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11.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12.xml" ContentType="application/vnd.openxmlformats-officedocument.drawing+xml"/>
  <Override PartName="/xl/charts/chart3.xml" ContentType="application/vnd.openxmlformats-officedocument.drawingml.chart+xml"/>
  <Override PartName="/xl/drawings/drawing13.xml" ContentType="application/vnd.openxmlformats-officedocument.drawing+xml"/>
  <Override PartName="/xl/charts/chart4.xml" ContentType="application/vnd.openxmlformats-officedocument.drawingml.chart+xml"/>
  <Override PartName="/xl/drawings/drawing14.xml" ContentType="application/vnd.openxmlformats-officedocument.drawing+xml"/>
  <Override PartName="/xl/charts/chart5.xml" ContentType="application/vnd.openxmlformats-officedocument.drawingml.chart+xml"/>
  <Override PartName="/xl/drawings/drawing15.xml" ContentType="application/vnd.openxmlformats-officedocument.drawing+xml"/>
  <Override PartName="/xl/charts/chart6.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A0073863\Dropbox (PRICELESS SA)\aisha.moolla@wits.ac.za’s files\MPH\4. Analysis\Daft Models\"/>
    </mc:Choice>
  </mc:AlternateContent>
  <xr:revisionPtr revIDLastSave="0" documentId="13_ncr:1_{DB2E41EA-1012-48D1-AE8F-0DACB89BEB31}" xr6:coauthVersionLast="47" xr6:coauthVersionMax="47" xr10:uidLastSave="{00000000-0000-0000-0000-000000000000}"/>
  <bookViews>
    <workbookView xWindow="-108" yWindow="-108" windowWidth="23256" windowHeight="12456" tabRatio="856" firstSheet="4" activeTab="4" xr2:uid="{00000000-000D-0000-FFFF-FFFF00000000}"/>
  </bookViews>
  <sheets>
    <sheet name="Search terms" sheetId="2" state="hidden" r:id="rId1"/>
    <sheet name="Management protocol" sheetId="12" state="hidden" r:id="rId2"/>
    <sheet name="PSG tree figure" sheetId="9" state="hidden" r:id="rId3"/>
    <sheet name="Comparator tree figure" sheetId="10" state="hidden" r:id="rId4"/>
    <sheet name="Demographics" sheetId="25" r:id="rId5"/>
    <sheet name="Cost" sheetId="11" r:id="rId6"/>
    <sheet name="Utilities" sheetId="13" state="hidden" r:id="rId7"/>
    <sheet name="DALYs" sheetId="17" state="hidden" r:id="rId8"/>
    <sheet name="DALY - SB" sheetId="30" r:id="rId9"/>
    <sheet name="DALY - CLD" sheetId="29" r:id="rId10"/>
    <sheet name="DALY - motor impairement" sheetId="28" r:id="rId11"/>
    <sheet name="Base case probabilities" sheetId="26" r:id="rId12"/>
    <sheet name="(A) Grant and ANC coverage" sheetId="3" state="hidden" r:id="rId13"/>
    <sheet name="(B) Preterm" sheetId="1" state="hidden" r:id="rId14"/>
    <sheet name="(C) LBW" sheetId="4" state="hidden" r:id="rId15"/>
    <sheet name="(D) RDS, NEC, Sepsis" sheetId="6" state="hidden" r:id="rId16"/>
    <sheet name="DT1" sheetId="7" state="hidden" r:id="rId17"/>
    <sheet name="Parameters" sheetId="5" r:id="rId18"/>
    <sheet name="Analysis" sheetId="15" state="hidden" r:id="rId19"/>
    <sheet name="Decision tree" sheetId="27" r:id="rId20"/>
    <sheet name="Output" sheetId="16" r:id="rId21"/>
    <sheet name="Pop estimates" sheetId="37" r:id="rId22"/>
    <sheet name="Sensitivity analysis" sheetId="31" r:id="rId23"/>
    <sheet name="Tornado diagram" sheetId="32" r:id="rId24"/>
    <sheet name="Tornado diagram - INMB" sheetId="34" r:id="rId25"/>
    <sheet name="Tornado diagram - INMB (2)" sheetId="35" r:id="rId26"/>
    <sheet name="WTP vs INMB" sheetId="33" r:id="rId27"/>
  </sheets>
  <definedNames>
    <definedName name="_xlnm._FilterDatabase" localSheetId="24" hidden="1">'Tornado diagram - INMB'!$I$6:$L$45</definedName>
    <definedName name="Adult_births">Demographics!$B$8</definedName>
    <definedName name="AGA_prem_2d_1">Parameters!$B$31</definedName>
    <definedName name="AGA_prem_2d_2">Parameters!$B$85</definedName>
    <definedName name="AGA_prem_2d_3">Parameters!$B$144</definedName>
    <definedName name="AGA_prem_2d_4">Parameters!$B$198</definedName>
    <definedName name="AGA_prem_2hypoglycaemia_1">Parameters!$B$47</definedName>
    <definedName name="AGA_prem_2hypoglycaemia_2">Parameters!$B$101</definedName>
    <definedName name="AGA_prem_2hypoglycaemia_3">Parameters!$B$160</definedName>
    <definedName name="AGA_prem_2hypoglycaemia_4">Parameters!$B$47</definedName>
    <definedName name="AGA_prem_2normoglycaemia_1">Parameters!$B$48</definedName>
    <definedName name="AGA_prem_2normoglycaemia_2">Parameters!$B$102</definedName>
    <definedName name="AGA_prem_2normoglycaemia_3">Parameters!$B$161</definedName>
    <definedName name="AGA_prem_2normoglycaemia_4">Parameters!$B$48</definedName>
    <definedName name="AGA_prem_2s_1">Parameters!$B$32</definedName>
    <definedName name="AGA_prem_2s_2">Parameters!$B$86</definedName>
    <definedName name="AGA_prem_2s_3">Parameters!$B$145</definedName>
    <definedName name="AGA_prem_2s_4">Parameters!$B$199</definedName>
    <definedName name="AGA_term_2d_1">Parameters!$B$35</definedName>
    <definedName name="AGA_term_2d_2">Parameters!$B$89</definedName>
    <definedName name="AGA_term_2d_3">Parameters!$B$148</definedName>
    <definedName name="AGA_term_2d_4">Parameters!$B$202</definedName>
    <definedName name="AGA_term_2hypoglycaemia_1">Parameters!$B$49</definedName>
    <definedName name="AGA_term_2hypoglycaemia_2">Parameters!$B$103</definedName>
    <definedName name="AGA_term_2hypoglycaemia_3">Parameters!$B$162</definedName>
    <definedName name="AGA_term_2hypoglycaemia_4">Parameters!$B$49</definedName>
    <definedName name="AGA_term_2normoglycaemia_1">Parameters!$B$50</definedName>
    <definedName name="AGA_term_2normoglycaemia_2">Parameters!$B$104</definedName>
    <definedName name="AGA_term_2normoglycaemia_3">Parameters!$B$163</definedName>
    <definedName name="AGA_term_2normoglycaemia_4">Parameters!$B$50</definedName>
    <definedName name="AGA_term_2s_1">Parameters!$B$36</definedName>
    <definedName name="AGA_term_2s_2">Parameters!$B$90</definedName>
    <definedName name="AGA_term_2s_3">Parameters!$B$149</definedName>
    <definedName name="AGA_term_2s_4">Parameters!$B$203</definedName>
    <definedName name="ANC_cost">Parameters!$B$241</definedName>
    <definedName name="ANC_first_visit">Demographics!$B$13</definedName>
    <definedName name="ANC_first_visit_coverage_rate">Demographics!$B$15</definedName>
    <definedName name="ANC_first_vist__increase" localSheetId="25">Parameters!#REF!</definedName>
    <definedName name="ANC_first_vist__increase">Parameters!#REF!</definedName>
    <definedName name="ANC2LB_1">Parameters!$B$10</definedName>
    <definedName name="ANC2LB_3">Parameters!$B$123</definedName>
    <definedName name="ANC2prem_1">Parameters!$B$9</definedName>
    <definedName name="ANC2prem_3" localSheetId="25">Parameters!#REF!</definedName>
    <definedName name="ANC2prem_3">Parameters!#REF!</definedName>
    <definedName name="ANC2SB_1">Parameters!$B$9</definedName>
    <definedName name="ANC2SB_3">Parameters!$B$122</definedName>
    <definedName name="ANC2term_1">Parameters!$B$10</definedName>
    <definedName name="ANC2term_3" localSheetId="25">Parameters!#REF!</definedName>
    <definedName name="ANC2term_3">Parameters!#REF!</definedName>
    <definedName name="Annual_births" localSheetId="25">Parameters!#REF!</definedName>
    <definedName name="Annual_births">Parameters!#REF!</definedName>
    <definedName name="Arm_1">Parameters!$B$8</definedName>
    <definedName name="Arm_2">Parameters!$B$62</definedName>
    <definedName name="Arm_3">Parameters!$B$121</definedName>
    <definedName name="Arm_4">Parameters!$B$175</definedName>
    <definedName name="Average_life_expectancy_at_birth">Demographics!$B$11</definedName>
    <definedName name="c_1year">Parameters!$B$252</definedName>
    <definedName name="c_2years">Parameters!$B$253</definedName>
    <definedName name="c_ANC">Parameters!$B$241</definedName>
    <definedName name="c_clinic_fu">Parameters!$B$251</definedName>
    <definedName name="c_cog">Parameters!$B$249</definedName>
    <definedName name="c_CSG">Parameters!$B$240</definedName>
    <definedName name="c_grant">Parameters!$B$239</definedName>
    <definedName name="c_hosp_fu">Parameters!$B$250</definedName>
    <definedName name="c_hypo">Parameters!$B$247</definedName>
    <definedName name="c_LBW">Parameters!$B$243</definedName>
    <definedName name="c_lung">Parameters!$B$248</definedName>
    <definedName name="c_NICU_NBW">Parameters!$B$244</definedName>
    <definedName name="c_prem">Parameters!$B$242</definedName>
    <definedName name="c_RDS">Parameters!$B$246</definedName>
    <definedName name="c_SB">Parameters!$B$245</definedName>
    <definedName name="Children_receiving_CSG">Demographics!$B$12</definedName>
    <definedName name="ChronicResp_cost">Parameters!$B$248</definedName>
    <definedName name="Cognitive_impairement_cost">Parameters!$B$249</definedName>
    <definedName name="Comparator_probabilities">Parameters!$B$116</definedName>
    <definedName name="Complication_rate" localSheetId="25">Parameters!#REF!</definedName>
    <definedName name="Complication_rate">Parameters!#REF!</definedName>
    <definedName name="DR">Parameters!$B$271</definedName>
    <definedName name="dw_CLD">Parameters!$B$257</definedName>
    <definedName name="dw_motor">Parameters!$B$258</definedName>
    <definedName name="e_ANC">Parameters!$B$231</definedName>
    <definedName name="e_LBW">Parameters!$B$233</definedName>
    <definedName name="e_mortality">Parameters!$B$235</definedName>
    <definedName name="e_premterm_PSGANC" localSheetId="25">Parameters!#REF!</definedName>
    <definedName name="e_premterm_PSGANC">Parameters!#REF!</definedName>
    <definedName name="e_preterm">Parameters!$B$232</definedName>
    <definedName name="e_preterm_ANC" localSheetId="25">Parameters!#REF!</definedName>
    <definedName name="e_preterm_ANC">Parameters!#REF!</definedName>
    <definedName name="e_preterm_PSG">Parameters!$B$232</definedName>
    <definedName name="e_SGA">Parameters!$B$234</definedName>
    <definedName name="Female_life_expectancy_at_birth">Demographics!$B$10</definedName>
    <definedName name="Female_population">Demographics!$B$5</definedName>
    <definedName name="follow_up__clinic__cost">Parameters!$B$251</definedName>
    <definedName name="follow_up__hosp__cost">Parameters!$B$250</definedName>
    <definedName name="G2ANC">Parameters!$B$5</definedName>
    <definedName name="G2noANC">Parameters!$B$6</definedName>
    <definedName name="Grant_cost">Parameters!$B$239</definedName>
    <definedName name="Grant_eligibility_rate" localSheetId="25">Parameters!#REF!</definedName>
    <definedName name="Grant_eligibility_rate">Parameters!#REF!</definedName>
    <definedName name="High_eligible">Demographics!$E$20</definedName>
    <definedName name="High_uptake">Demographics!$E$22</definedName>
    <definedName name="Hypo2CI_1">Parameters!$B$57</definedName>
    <definedName name="Hypo2CI_2">Parameters!$B$111</definedName>
    <definedName name="Hypo2CI_3">Parameters!$B$170</definedName>
    <definedName name="Hypo2CI_4">Parameters!$B$224</definedName>
    <definedName name="Hypo2cog_1">Parameters!$B$26</definedName>
    <definedName name="Hypo2cog_2" localSheetId="25">Parameters!#REF!</definedName>
    <definedName name="Hypo2cog_2">Parameters!#REF!</definedName>
    <definedName name="Hypo2cog_3" localSheetId="25">Parameters!#REF!</definedName>
    <definedName name="Hypo2cog_3">Parameters!#REF!</definedName>
    <definedName name="Hypo2cog_4" localSheetId="25">Parameters!#REF!</definedName>
    <definedName name="Hypo2cog_4">Parameters!#REF!</definedName>
    <definedName name="Hypo2noCI_1">Parameters!$B$58</definedName>
    <definedName name="Hypo2noCI_2">Parameters!$B$112</definedName>
    <definedName name="Hypo2noCI_3">Parameters!$B$171</definedName>
    <definedName name="Hypo2noCI_4">Parameters!$B$225</definedName>
    <definedName name="Hypo2norm_1">Parameters!$B$27</definedName>
    <definedName name="Hypo2norm_2" localSheetId="25">Parameters!#REF!</definedName>
    <definedName name="Hypo2norm_2">Parameters!#REF!</definedName>
    <definedName name="Hypo2norm_3" localSheetId="25">Parameters!#REF!</definedName>
    <definedName name="Hypo2norm_3">Parameters!#REF!</definedName>
    <definedName name="Hypo2norm_4" localSheetId="25">Parameters!#REF!</definedName>
    <definedName name="Hypo2norm_4">Parameters!#REF!</definedName>
    <definedName name="Hypoglycaemia" localSheetId="25">Parameters!#REF!</definedName>
    <definedName name="Hypoglycaemia">Parameters!#REF!</definedName>
    <definedName name="Hypoglycaemia_cost">Parameters!$B$247</definedName>
    <definedName name="LB2prem_1">Parameters!$B$12</definedName>
    <definedName name="LB2prem_2">Parameters!$B$66</definedName>
    <definedName name="LB2prem_3">Parameters!$B$125</definedName>
    <definedName name="LB2prem_4">Parameters!$B$179</definedName>
    <definedName name="LB2term_1">Parameters!$B$13</definedName>
    <definedName name="LB2term_2">Parameters!$B$67</definedName>
    <definedName name="LB2term_3">Parameters!$B$126</definedName>
    <definedName name="LB2term_4">Parameters!$B$180</definedName>
    <definedName name="LBW__reduction" localSheetId="25">Parameters!#REF!</definedName>
    <definedName name="LBW__reduction">Parameters!#REF!</definedName>
    <definedName name="LBW_cost">Parameters!$B$243</definedName>
    <definedName name="LBW_prem_2AGA_1">Parameters!$B$21</definedName>
    <definedName name="LBW_prem_2AGA_2">Parameters!$B$75</definedName>
    <definedName name="LBW_prem_2AGA_3">Parameters!$B$134</definedName>
    <definedName name="LBW_prem_2AGA_4">Parameters!$B$188</definedName>
    <definedName name="LBW_prem_2SGA_1">Parameters!$B$20</definedName>
    <definedName name="LBW_prem_2SGA_2">Parameters!$B$74</definedName>
    <definedName name="LBW_prem_2SGA_3">Parameters!$B$133</definedName>
    <definedName name="LBW_prem_2SGA_4">Parameters!$B$187</definedName>
    <definedName name="LBW_term_2AGA_1">Parameters!$B$25</definedName>
    <definedName name="LBW_term_2AGA_2">Parameters!$B$79</definedName>
    <definedName name="LBW_term_2AGA_3">Parameters!$B$138</definedName>
    <definedName name="LBW_term_2AGA_4">Parameters!$B$192</definedName>
    <definedName name="LBW_term_2SGA_1">Parameters!$B$24</definedName>
    <definedName name="LBW_term_2SGA_2">Parameters!$B$78</definedName>
    <definedName name="LBW_term_2SGA_3">Parameters!$B$137</definedName>
    <definedName name="LBW_term_2SGA_4">Parameters!$B$191</definedName>
    <definedName name="LBW2d_1">Parameters!$B$18</definedName>
    <definedName name="LBW2d_2">Parameters!$B$36</definedName>
    <definedName name="LBW2d_3" localSheetId="25">Parameters!#REF!</definedName>
    <definedName name="LBW2d_3">Parameters!#REF!</definedName>
    <definedName name="LBW2d_4" localSheetId="25">Parameters!#REF!</definedName>
    <definedName name="LBW2d_4">Parameters!#REF!</definedName>
    <definedName name="LBW2norm_1">Parameters!$B$17</definedName>
    <definedName name="LBW2norm_2">Parameters!$B$35</definedName>
    <definedName name="LBW2norm_3" localSheetId="25">Parameters!#REF!</definedName>
    <definedName name="LBW2norm_3">Parameters!#REF!</definedName>
    <definedName name="LBW2norm_4" localSheetId="25">Parameters!#REF!</definedName>
    <definedName name="LBW2norm_4">Parameters!#REF!</definedName>
    <definedName name="LBW2RDS_1">Parameters!$B$16</definedName>
    <definedName name="LBW2RDS_2">Parameters!$B$34</definedName>
    <definedName name="LBW2RDS_3" localSheetId="25">Parameters!#REF!</definedName>
    <definedName name="LBW2RDS_3">Parameters!#REF!</definedName>
    <definedName name="LBW2RDS_4" localSheetId="25">Parameters!#REF!</definedName>
    <definedName name="LBW2RDS_4">Parameters!#REF!</definedName>
    <definedName name="Low_eligible">Demographics!$D$20</definedName>
    <definedName name="Low_uptake">Demographics!$D$22</definedName>
    <definedName name="Male_life_expectancy_at_birth">Demographics!$B$9</definedName>
    <definedName name="NBW_prem_2AGA_1">Parameters!$B$23</definedName>
    <definedName name="NBW_prem_2AGA_2">Parameters!$B$77</definedName>
    <definedName name="NBW_prem_2AGA_3">Parameters!$B$136</definedName>
    <definedName name="NBW_prem_2AGA_4">Parameters!$B$190</definedName>
    <definedName name="NBW_prem_2SGA_1">Parameters!$B$22</definedName>
    <definedName name="NBW_prem_2SGA_2">Parameters!$B$76</definedName>
    <definedName name="NBW_prem_2SGA_3">Parameters!$B$135</definedName>
    <definedName name="NBW_prem_2SGA_4">Parameters!$B$189</definedName>
    <definedName name="NBW_term_2AGA_1">Parameters!$B$27</definedName>
    <definedName name="NBW_term_2AGA_2">Parameters!$B$81</definedName>
    <definedName name="NBW_term_2AGA_3">Parameters!$B$140</definedName>
    <definedName name="NBW_term_2AGA_4">Parameters!$B$194</definedName>
    <definedName name="NBW_term_2SGA_1">Parameters!$B$26</definedName>
    <definedName name="NBW_term_2SGA_2">Parameters!$B$80</definedName>
    <definedName name="NBW_term_2SGA_3">Parameters!$B$139</definedName>
    <definedName name="NBW_term_2SGA_4">Parameters!$B$193</definedName>
    <definedName name="NG2ANC" localSheetId="25">Parameters!#REF!</definedName>
    <definedName name="NG2ANC">Parameters!#REF!</definedName>
    <definedName name="NG2noANC" localSheetId="25">Parameters!#REF!</definedName>
    <definedName name="NG2noANC">Parameters!#REF!</definedName>
    <definedName name="No_ANC_rate">Demographics!$B$14</definedName>
    <definedName name="NoANC2LB_2">Parameters!$B$64</definedName>
    <definedName name="NoANC2LB_4">Parameters!$B$177</definedName>
    <definedName name="NoANC2prem_2">Parameters!$B$30</definedName>
    <definedName name="NoANC2prem_4" localSheetId="25">Parameters!#REF!</definedName>
    <definedName name="NoANC2prem_4">Parameters!#REF!</definedName>
    <definedName name="NoANC2SB_2">Parameters!$B$63</definedName>
    <definedName name="NoANC2SB_4">Parameters!$B$176</definedName>
    <definedName name="NoANC2term_2">Parameters!$B$31</definedName>
    <definedName name="NoANC2term_4" localSheetId="25">Parameters!#REF!</definedName>
    <definedName name="NoANC2term_4">Parameters!#REF!</definedName>
    <definedName name="NoG2ANC">Parameters!$B$118</definedName>
    <definedName name="NoG2noANC">Parameters!$B$119</definedName>
    <definedName name="noHypo2CI_1">Parameters!$B$59</definedName>
    <definedName name="noHypo2CI_2">Parameters!$B$113</definedName>
    <definedName name="noHypo2CI_3">Parameters!$B$172</definedName>
    <definedName name="noHypo2CI_4">Parameters!$B$226</definedName>
    <definedName name="noHypo2noCI_1">Parameters!$B$60</definedName>
    <definedName name="noHypo2noCI_2">Parameters!$B$114</definedName>
    <definedName name="noHypo2noCI_3">Parameters!$B$173</definedName>
    <definedName name="noHypo2noCI_4">Parameters!$B$227</definedName>
    <definedName name="noRDS2CLD_1">Parameters!$B$54</definedName>
    <definedName name="noRDS2CLD_2">Parameters!$B$108</definedName>
    <definedName name="noRDS2CLD_3">Parameters!$B$167</definedName>
    <definedName name="noRDS2CLD_4">Parameters!$B$221</definedName>
    <definedName name="noRDS2noCLD_1">Parameters!$B$55</definedName>
    <definedName name="noRDS2noCLD_2">Parameters!$B$109</definedName>
    <definedName name="noRDS2noCLD_3">Parameters!$B$168</definedName>
    <definedName name="noRDS2noCLD_4">Parameters!$B$222</definedName>
    <definedName name="Population">Demographics!$B$4</definedName>
    <definedName name="Prem2LBW_1">Parameters!$B$15</definedName>
    <definedName name="Prem2LBW_2">Parameters!$B$69</definedName>
    <definedName name="Prem2LBW_3">Parameters!$B$128</definedName>
    <definedName name="Prem2LBW_4">Parameters!$B$182</definedName>
    <definedName name="Prem2NBW_1">Parameters!$B$16</definedName>
    <definedName name="Prem2NBW_2">Parameters!$B$70</definedName>
    <definedName name="Prem2NBW_3">Parameters!$B$129</definedName>
    <definedName name="Prem2NBW_4">Parameters!$B$183</definedName>
    <definedName name="Prem2norm_1">Parameters!$B$15</definedName>
    <definedName name="Prem2norm_2">Parameters!$B$33</definedName>
    <definedName name="Prem2norm_3" localSheetId="25">Parameters!#REF!</definedName>
    <definedName name="Prem2norm_3">Parameters!#REF!</definedName>
    <definedName name="Prem2norm_4" localSheetId="25">Parameters!#REF!</definedName>
    <definedName name="Prem2norm_4">Parameters!#REF!</definedName>
    <definedName name="Preterm__ANC_and_PSG" localSheetId="25">Parameters!#REF!</definedName>
    <definedName name="Preterm__ANC_and_PSG">Parameters!#REF!</definedName>
    <definedName name="Preterm__reduction" localSheetId="25">Parameters!#REF!</definedName>
    <definedName name="Preterm__reduction">Parameters!#REF!</definedName>
    <definedName name="Preterm_cost">Parameters!$B$242</definedName>
    <definedName name="Preterm_rate" localSheetId="25">Parameters!#REF!</definedName>
    <definedName name="Preterm_rate">Parameters!#REF!</definedName>
    <definedName name="Preterm_reduction_with_ANC" localSheetId="25">Parameters!#REF!</definedName>
    <definedName name="Preterm_reduction_with_ANC">Parameters!#REF!</definedName>
    <definedName name="Rate_of_chronic_lung_disease" localSheetId="25">Parameters!#REF!</definedName>
    <definedName name="Rate_of_chronic_lung_disease">Parameters!#REF!</definedName>
    <definedName name="Rate_of_cognitive_impairement" localSheetId="25">Parameters!#REF!</definedName>
    <definedName name="Rate_of_cognitive_impairement">Parameters!#REF!</definedName>
    <definedName name="Rate_of_LBW" localSheetId="25">Parameters!#REF!</definedName>
    <definedName name="Rate_of_LBW">Parameters!#REF!</definedName>
    <definedName name="Rate_of_LBW_death" localSheetId="25">Parameters!#REF!</definedName>
    <definedName name="Rate_of_LBW_death">Parameters!#REF!</definedName>
    <definedName name="Rate_of_prem_death" localSheetId="25">Parameters!#REF!</definedName>
    <definedName name="Rate_of_prem_death">Parameters!#REF!</definedName>
    <definedName name="RDS_cost">Parameters!$B$246</definedName>
    <definedName name="RDS_death_rate" localSheetId="25">Parameters!#REF!</definedName>
    <definedName name="RDS_death_rate">Parameters!#REF!</definedName>
    <definedName name="RDS_rate" localSheetId="25">Parameters!#REF!</definedName>
    <definedName name="RDS_rate">Parameters!#REF!</definedName>
    <definedName name="RDS2CLD_1">Parameters!$B$52</definedName>
    <definedName name="RDS2CLD_2">Parameters!$B$106</definedName>
    <definedName name="RDS2CLD_3">Parameters!$B$165</definedName>
    <definedName name="RDS2CLD_4">Parameters!$B$219</definedName>
    <definedName name="RDS2lung_1">Parameters!$B$19</definedName>
    <definedName name="RDS2lung_2">Parameters!$B$37</definedName>
    <definedName name="RDS2lung_3" localSheetId="25">Parameters!#REF!</definedName>
    <definedName name="RDS2lung_3">Parameters!#REF!</definedName>
    <definedName name="RDS2lung_4" localSheetId="25">Parameters!#REF!</definedName>
    <definedName name="RDS2lung_4">Parameters!#REF!</definedName>
    <definedName name="RDS2noCLD_1">Parameters!$B$53</definedName>
    <definedName name="RDS2noCLD_2">Parameters!$B$107</definedName>
    <definedName name="RDS2noCLD_3">Parameters!$B$166</definedName>
    <definedName name="RDS2noCLD_4">Parameters!$B$220</definedName>
    <definedName name="RDS2norm_1">Parameters!$B$20</definedName>
    <definedName name="RDS2norm_2">Parameters!$B$38</definedName>
    <definedName name="RDS2norm_3" localSheetId="25">Parameters!#REF!</definedName>
    <definedName name="RDS2norm_3">Parameters!#REF!</definedName>
    <definedName name="RDS2norm_4" localSheetId="25">Parameters!#REF!</definedName>
    <definedName name="RDS2norm_4">Parameters!#REF!</definedName>
    <definedName name="S_prem_2noRDS_1">Parameters!$B$39</definedName>
    <definedName name="S_prem_2noRDS_2">Parameters!$B$93</definedName>
    <definedName name="S_prem_2noRDS_3">Parameters!$B$152</definedName>
    <definedName name="S_prem_2noRDS_4">Parameters!$B$206</definedName>
    <definedName name="S_prem_2RDS_1">Parameters!$B$38</definedName>
    <definedName name="S_prem_2RDS_2">Parameters!$B$92</definedName>
    <definedName name="S_prem_2RDS_3">Parameters!$B$151</definedName>
    <definedName name="S_prem_2RDS_4">Parameters!$B$205</definedName>
    <definedName name="S_term_2noRDS_1">Parameters!$B$41</definedName>
    <definedName name="S_term_2noRDS_2">Parameters!$B$95</definedName>
    <definedName name="S_term_2noRDS_3">Parameters!$B$154</definedName>
    <definedName name="S_term_2noRDS_4">Parameters!$B$208</definedName>
    <definedName name="S_term_2RDS_1">Parameters!$B$40</definedName>
    <definedName name="S_term_2RDS_2">Parameters!$B$94</definedName>
    <definedName name="S_term_2RDS_3">Parameters!$B$153</definedName>
    <definedName name="S_term_2RDS_4">Parameters!$B$207</definedName>
    <definedName name="SGA" localSheetId="25">Parameters!#REF!</definedName>
    <definedName name="SGA">Parameters!#REF!</definedName>
    <definedName name="SGA__reduction" localSheetId="25">Parameters!#REF!</definedName>
    <definedName name="SGA__reduction">Parameters!#REF!</definedName>
    <definedName name="SGA_death" localSheetId="25">Parameters!#REF!</definedName>
    <definedName name="SGA_death">Parameters!#REF!</definedName>
    <definedName name="SGA_prem_2d_1">Parameters!$B$29</definedName>
    <definedName name="SGA_prem_2d_2">Parameters!$B$83</definedName>
    <definedName name="SGA_prem_2d_3">Parameters!$B$142</definedName>
    <definedName name="SGA_prem_2d_4">Parameters!$B$196</definedName>
    <definedName name="SGA_prem_2hypoglycaemia_1">Parameters!$B$43</definedName>
    <definedName name="SGA_prem_2hypoglycaemia_2">Parameters!$B$97</definedName>
    <definedName name="SGA_prem_2hypoglycaemia_3">Parameters!$B$156</definedName>
    <definedName name="SGA_prem_2hypoglycaemia_4">Parameters!$B$210</definedName>
    <definedName name="SGA_prem_2normoglycaemia_1">Parameters!$B$44</definedName>
    <definedName name="SGA_prem_2normoglycaemia_2">Parameters!$B$98</definedName>
    <definedName name="SGA_prem_2normoglycaemia_3">Parameters!$B$157</definedName>
    <definedName name="SGA_prem_2normoglycaemia_4">Parameters!$B$211</definedName>
    <definedName name="SGA_prem_2s_1">Parameters!$B$30</definedName>
    <definedName name="SGA_prem_2s_2">Parameters!$B$84</definedName>
    <definedName name="SGA_prem_2s_3">Parameters!$B$143</definedName>
    <definedName name="SGA_prem_2s_4">Parameters!$B$197</definedName>
    <definedName name="SGA_term_2d_1">Parameters!$B$33</definedName>
    <definedName name="SGA_term_2d_2">Parameters!$B$87</definedName>
    <definedName name="SGA_term_2d_3">Parameters!$B$146</definedName>
    <definedName name="SGA_term_2d_4">Parameters!$B$200</definedName>
    <definedName name="SGA_term_2hypoglycaemia_1">Parameters!$B$45</definedName>
    <definedName name="SGA_term_2hypoglycaemia_2">Parameters!$B$99</definedName>
    <definedName name="SGA_term_2hypoglycaemia_3">Parameters!$B$158</definedName>
    <definedName name="SGA_term_2hypoglycaemia_4">Parameters!$B$212</definedName>
    <definedName name="SGA_term_2normoglycaemia_1">Parameters!$B$46</definedName>
    <definedName name="SGA_term_2normoglycaemia_2">Parameters!$B$100</definedName>
    <definedName name="SGA_term_2normoglycaemia_3">Parameters!$B$159</definedName>
    <definedName name="SGA_term_2normoglycaemia_4">Parameters!$B$213</definedName>
    <definedName name="SGA_term_2s_1">Parameters!$B$34</definedName>
    <definedName name="SGA_term_2s_2">Parameters!$B$88</definedName>
    <definedName name="SGA_term_2s_3">Parameters!$B$147</definedName>
    <definedName name="SGA_term_2s_4">Parameters!$B$201</definedName>
    <definedName name="SGA2hypo_1">Parameters!$B$24</definedName>
    <definedName name="SGA2hypo_2">Parameters!$B$42</definedName>
    <definedName name="SGA2hypo_3" localSheetId="25">Parameters!#REF!</definedName>
    <definedName name="SGA2hypo_3">Parameters!#REF!</definedName>
    <definedName name="SGA2hypo_4" localSheetId="25">Parameters!#REF!</definedName>
    <definedName name="SGA2hypo_4">Parameters!#REF!</definedName>
    <definedName name="SGA2norm_1">Parameters!$B$25</definedName>
    <definedName name="SGA2norm_2">Parameters!$B$43</definedName>
    <definedName name="SGA2norm_3" localSheetId="25">Parameters!#REF!</definedName>
    <definedName name="SGA2norm_3">Parameters!#REF!</definedName>
    <definedName name="SGA2norm_4" localSheetId="25">Parameters!#REF!</definedName>
    <definedName name="SGA2norm_4">Parameters!#REF!</definedName>
    <definedName name="South_African_births">Demographics!$B$18</definedName>
    <definedName name="Stillbirth_reductionn_with_ANC" localSheetId="25">Parameters!#REF!</definedName>
    <definedName name="Stillbirth_reductionn_with_ANC">Parameters!#REF!</definedName>
    <definedName name="Teen_births">Demographics!$B$7</definedName>
    <definedName name="Term_stillbirth" localSheetId="25">Parameters!#REF!</definedName>
    <definedName name="Term_stillbirth">Parameters!#REF!</definedName>
    <definedName name="Term2LBW_1">Parameters!$B$17</definedName>
    <definedName name="Term2LBW_2">Parameters!$B$71</definedName>
    <definedName name="Term2LBW_3">Parameters!$B$130</definedName>
    <definedName name="Term2LBW_4">Parameters!$B$184</definedName>
    <definedName name="Term2NBW_1">Parameters!$B$18</definedName>
    <definedName name="Term2NBW_2">Parameters!$B$72</definedName>
    <definedName name="Term2NBW_3">Parameters!$B$131</definedName>
    <definedName name="Term2NBW_4">Parameters!$B$185</definedName>
    <definedName name="Term2norm_1">Parameters!$B$22</definedName>
    <definedName name="Term2norm_2">Parameters!$B$40</definedName>
    <definedName name="Term2norm_3" localSheetId="25">Parameters!#REF!</definedName>
    <definedName name="Term2norm_3">Parameters!#REF!</definedName>
    <definedName name="Term2norm_4" localSheetId="25">Parameters!#REF!</definedName>
    <definedName name="Term2norm_4">Parameters!#REF!</definedName>
    <definedName name="Term2sb_1">Parameters!$B$23</definedName>
    <definedName name="Term2sb_2">Parameters!$B$41</definedName>
    <definedName name="Term2sb_3" localSheetId="25">Parameters!#REF!</definedName>
    <definedName name="Term2sb_3">Parameters!#REF!</definedName>
    <definedName name="Term2sb_4" localSheetId="25">Parameters!#REF!</definedName>
    <definedName name="Term2sb_4">Parameters!#REF!</definedName>
    <definedName name="Term2SGA_1">Parameters!$B$21</definedName>
    <definedName name="Term2SGA_2">Parameters!$B$39</definedName>
    <definedName name="Term2SGA_3" localSheetId="25">Parameters!#REF!</definedName>
    <definedName name="Term2SGA_3">Parameters!#REF!</definedName>
    <definedName name="Term2SGA_4" localSheetId="25">Parameters!#REF!</definedName>
    <definedName name="Term2SGA_4">Parameters!#REF!</definedName>
    <definedName name="Threshold" localSheetId="21">'Pop estimates'!$C$14</definedName>
    <definedName name="Threshold">Output!$C$12</definedName>
    <definedName name="Total_births">Demographics!$B$6</definedName>
    <definedName name="Total_pregnancies">Demographics!$B$16</definedName>
    <definedName name="Total_PSG_uptake">Demographics!$B$22</definedName>
    <definedName name="u_ChronicResp">Parameters!$B$265</definedName>
    <definedName name="u_CongnitiveImpairement">Parameters!$B$266</definedName>
    <definedName name="u_Death">Parameters!$B$263</definedName>
    <definedName name="u_Healthy">Parameters!$B$264</definedName>
    <definedName name="u_Hypoglycaemia" localSheetId="25">Parameters!#REF!</definedName>
    <definedName name="u_Hypoglycaemia">Parameters!#REF!</definedName>
    <definedName name="u_parental">Parameters!$B$267</definedName>
    <definedName name="u_RDS" localSheetId="25">Parameters!#REF!</definedName>
    <definedName name="u_RDS">Parameters!#REF!</definedName>
    <definedName name="USD_conversion">Parameters!$B$272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7" i="37" l="1"/>
  <c r="C14" i="37"/>
  <c r="E19" i="25"/>
  <c r="D19" i="25"/>
  <c r="D21" i="25"/>
  <c r="L256" i="5"/>
  <c r="I239" i="5"/>
  <c r="J257" i="5"/>
  <c r="K257" i="5"/>
  <c r="L257" i="5"/>
  <c r="J258" i="5"/>
  <c r="K258" i="5"/>
  <c r="L258" i="5"/>
  <c r="J259" i="5"/>
  <c r="K259" i="5"/>
  <c r="L259" i="5"/>
  <c r="J260" i="5"/>
  <c r="K260" i="5"/>
  <c r="L260" i="5"/>
  <c r="J261" i="5"/>
  <c r="K261" i="5"/>
  <c r="L261" i="5"/>
  <c r="J262" i="5"/>
  <c r="K262" i="5"/>
  <c r="L262" i="5"/>
  <c r="J263" i="5"/>
  <c r="K263" i="5"/>
  <c r="L263" i="5"/>
  <c r="J264" i="5"/>
  <c r="K264" i="5"/>
  <c r="L264" i="5"/>
  <c r="J265" i="5"/>
  <c r="K265" i="5"/>
  <c r="L265" i="5"/>
  <c r="J266" i="5"/>
  <c r="K266" i="5"/>
  <c r="L266" i="5"/>
  <c r="J267" i="5"/>
  <c r="K267" i="5"/>
  <c r="L267" i="5"/>
  <c r="J268" i="5"/>
  <c r="K268" i="5"/>
  <c r="L268" i="5"/>
  <c r="J269" i="5"/>
  <c r="K269" i="5"/>
  <c r="L269" i="5"/>
  <c r="K256" i="5"/>
  <c r="J256" i="5"/>
  <c r="D15" i="16" l="1"/>
  <c r="I248" i="5"/>
  <c r="J240" i="5"/>
  <c r="J241" i="5"/>
  <c r="J242" i="5"/>
  <c r="J243" i="5"/>
  <c r="J244" i="5"/>
  <c r="J245" i="5"/>
  <c r="J246" i="5"/>
  <c r="J247" i="5"/>
  <c r="J248" i="5"/>
  <c r="J249" i="5"/>
  <c r="J250" i="5"/>
  <c r="J251" i="5"/>
  <c r="J239" i="5"/>
  <c r="I240" i="5"/>
  <c r="I241" i="5"/>
  <c r="I242" i="5"/>
  <c r="I243" i="5"/>
  <c r="I244" i="5"/>
  <c r="I245" i="5"/>
  <c r="I246" i="5"/>
  <c r="I247" i="5"/>
  <c r="I249" i="5"/>
  <c r="I250" i="5"/>
  <c r="I251" i="5"/>
  <c r="I252" i="5"/>
  <c r="I253" i="5"/>
  <c r="D252" i="5"/>
  <c r="D253" i="5"/>
  <c r="D11" i="31" l="1"/>
  <c r="D12" i="31"/>
  <c r="D13" i="31"/>
  <c r="D14" i="31"/>
  <c r="E11" i="31"/>
  <c r="E12" i="31"/>
  <c r="E13" i="31"/>
  <c r="E14" i="31"/>
  <c r="F14" i="31" s="1"/>
  <c r="D10" i="31"/>
  <c r="F12" i="31" l="1"/>
  <c r="F11" i="31"/>
  <c r="F13" i="31"/>
  <c r="AZ4" i="27"/>
  <c r="AZ5" i="27"/>
  <c r="AZ7" i="27"/>
  <c r="AZ8" i="27"/>
  <c r="AZ10" i="27"/>
  <c r="AZ11" i="27"/>
  <c r="AJ4" i="27"/>
  <c r="AJ5" i="27"/>
  <c r="AJ7" i="27"/>
  <c r="AJ8" i="27"/>
  <c r="AJ10" i="27"/>
  <c r="AJ11" i="27"/>
  <c r="B16" i="25" l="1"/>
  <c r="C17" i="25" l="1"/>
  <c r="B18" i="25" s="1"/>
  <c r="B45" i="35"/>
  <c r="B44" i="35"/>
  <c r="B43" i="35"/>
  <c r="B42" i="35"/>
  <c r="B41" i="35"/>
  <c r="B40" i="35"/>
  <c r="B39" i="35"/>
  <c r="B38" i="35"/>
  <c r="B37" i="35"/>
  <c r="B36" i="35"/>
  <c r="B35" i="35"/>
  <c r="B34" i="35"/>
  <c r="B33" i="35"/>
  <c r="B32" i="35"/>
  <c r="B31" i="35"/>
  <c r="B30" i="35"/>
  <c r="B29" i="35"/>
  <c r="B28" i="35"/>
  <c r="B27" i="35"/>
  <c r="B26" i="35"/>
  <c r="B25" i="35"/>
  <c r="B24" i="35"/>
  <c r="B23" i="35"/>
  <c r="B22" i="35"/>
  <c r="B21" i="35"/>
  <c r="B20" i="35"/>
  <c r="B19" i="35"/>
  <c r="B18" i="35"/>
  <c r="B17" i="35"/>
  <c r="B16" i="35"/>
  <c r="B15" i="35"/>
  <c r="B14" i="35"/>
  <c r="B13" i="35"/>
  <c r="B12" i="35"/>
  <c r="B11" i="35"/>
  <c r="B10" i="35"/>
  <c r="B9" i="35"/>
  <c r="B8" i="35"/>
  <c r="B7" i="35"/>
  <c r="B6" i="35"/>
  <c r="B20" i="25" l="1"/>
  <c r="D20" i="25"/>
  <c r="E20" i="25"/>
  <c r="D22" i="25"/>
  <c r="E22" i="25"/>
  <c r="B22" i="25"/>
  <c r="C25" i="11"/>
  <c r="C24" i="11"/>
  <c r="B34" i="32" l="1"/>
  <c r="B35" i="32"/>
  <c r="B36" i="32"/>
  <c r="B37" i="32"/>
  <c r="B38" i="32"/>
  <c r="B39" i="32"/>
  <c r="B40" i="32"/>
  <c r="B41" i="32"/>
  <c r="B42" i="32"/>
  <c r="B43" i="32"/>
  <c r="B44" i="32"/>
  <c r="B45" i="32"/>
  <c r="B7" i="32"/>
  <c r="B8" i="32"/>
  <c r="B9" i="32"/>
  <c r="B10" i="32"/>
  <c r="B11" i="32"/>
  <c r="B12" i="32"/>
  <c r="B13" i="32"/>
  <c r="B14" i="32"/>
  <c r="B15" i="32"/>
  <c r="B16" i="32"/>
  <c r="B17" i="32"/>
  <c r="B18" i="32"/>
  <c r="B14" i="34"/>
  <c r="B15" i="34"/>
  <c r="B16" i="34"/>
  <c r="B17" i="34"/>
  <c r="B18" i="34"/>
  <c r="B19" i="34"/>
  <c r="B20" i="34"/>
  <c r="B21" i="34"/>
  <c r="B22" i="34"/>
  <c r="B23" i="34"/>
  <c r="B24" i="34"/>
  <c r="B25" i="34"/>
  <c r="B26" i="34"/>
  <c r="B27" i="34"/>
  <c r="B28" i="34"/>
  <c r="B29" i="34"/>
  <c r="B30" i="34"/>
  <c r="B31" i="34"/>
  <c r="B32" i="34"/>
  <c r="B33" i="34"/>
  <c r="B12" i="34"/>
  <c r="B13" i="34"/>
  <c r="B7" i="34"/>
  <c r="B8" i="34"/>
  <c r="B9" i="34"/>
  <c r="B10" i="34"/>
  <c r="B11" i="34"/>
  <c r="F129" i="31" l="1"/>
  <c r="D43" i="31" l="1"/>
  <c r="AL61" i="31" s="1"/>
  <c r="E43" i="31"/>
  <c r="E193" i="31" s="1"/>
  <c r="D44" i="31"/>
  <c r="AP61" i="31" s="1"/>
  <c r="E44" i="31"/>
  <c r="E194" i="31" s="1"/>
  <c r="B34" i="34"/>
  <c r="B35" i="34"/>
  <c r="B36" i="34"/>
  <c r="B37" i="34"/>
  <c r="B38" i="34"/>
  <c r="B39" i="34"/>
  <c r="B40" i="34"/>
  <c r="B41" i="34"/>
  <c r="B42" i="34"/>
  <c r="B43" i="34"/>
  <c r="B44" i="34"/>
  <c r="B45" i="34"/>
  <c r="BF128" i="31"/>
  <c r="BB128" i="31"/>
  <c r="AX128" i="31"/>
  <c r="AT128" i="31"/>
  <c r="AX94" i="31"/>
  <c r="AT94" i="31"/>
  <c r="AP94" i="31"/>
  <c r="AL94" i="31"/>
  <c r="AX60" i="31"/>
  <c r="AT60" i="31"/>
  <c r="AP60" i="31"/>
  <c r="B240" i="5"/>
  <c r="D240" i="5" s="1"/>
  <c r="B241" i="5"/>
  <c r="D241" i="5" s="1"/>
  <c r="B242" i="5"/>
  <c r="D242" i="5" s="1"/>
  <c r="B245" i="5"/>
  <c r="D245" i="5" s="1"/>
  <c r="B246" i="5"/>
  <c r="D246" i="5" s="1"/>
  <c r="B247" i="5"/>
  <c r="D247" i="5" s="1"/>
  <c r="B248" i="5"/>
  <c r="D248" i="5" s="1"/>
  <c r="B249" i="5"/>
  <c r="D249" i="5" s="1"/>
  <c r="B250" i="5"/>
  <c r="D250" i="5" s="1"/>
  <c r="B251" i="5"/>
  <c r="D251" i="5" s="1"/>
  <c r="AL60" i="31"/>
  <c r="E54" i="31"/>
  <c r="E204" i="31" s="1"/>
  <c r="D54" i="31"/>
  <c r="BF129" i="31" s="1"/>
  <c r="E53" i="31"/>
  <c r="E203" i="31" s="1"/>
  <c r="D53" i="31"/>
  <c r="BB129" i="31" s="1"/>
  <c r="E52" i="31"/>
  <c r="E202" i="31" s="1"/>
  <c r="D52" i="31"/>
  <c r="AX129" i="31" s="1"/>
  <c r="E51" i="31"/>
  <c r="E201" i="31" s="1"/>
  <c r="D51" i="31"/>
  <c r="AT129" i="31" s="1"/>
  <c r="E50" i="31"/>
  <c r="E200" i="31" s="1"/>
  <c r="D50" i="31"/>
  <c r="AX95" i="31" s="1"/>
  <c r="E49" i="31"/>
  <c r="E199" i="31" s="1"/>
  <c r="D49" i="31"/>
  <c r="C199" i="31" s="1"/>
  <c r="E48" i="31"/>
  <c r="E198" i="31" s="1"/>
  <c r="D48" i="31"/>
  <c r="C198" i="31" s="1"/>
  <c r="E47" i="31"/>
  <c r="E197" i="31" s="1"/>
  <c r="D47" i="31"/>
  <c r="AL95" i="31" s="1"/>
  <c r="E46" i="31"/>
  <c r="E196" i="31" s="1"/>
  <c r="D46" i="31"/>
  <c r="AX61" i="31" s="1"/>
  <c r="E45" i="31"/>
  <c r="E195" i="31" s="1"/>
  <c r="D45" i="31"/>
  <c r="AT61" i="31" s="1"/>
  <c r="AC724" i="27" l="1"/>
  <c r="AC62" i="27"/>
  <c r="AC177" i="27"/>
  <c r="AC246" i="27"/>
  <c r="AC315" i="27"/>
  <c r="AC384" i="27"/>
  <c r="AC453" i="27"/>
  <c r="AC474" i="27"/>
  <c r="AC543" i="27"/>
  <c r="AC612" i="27"/>
  <c r="AC681" i="27"/>
  <c r="AC738" i="27"/>
  <c r="AC795" i="27"/>
  <c r="AC853" i="27"/>
  <c r="AC21" i="27"/>
  <c r="AC34" i="27"/>
  <c r="AC91" i="27"/>
  <c r="AC160" i="27"/>
  <c r="AC229" i="27"/>
  <c r="AC286" i="27"/>
  <c r="AC343" i="27"/>
  <c r="AC401" i="27"/>
  <c r="AC514" i="27"/>
  <c r="AC571" i="27"/>
  <c r="AC629" i="27"/>
  <c r="AC698" i="27"/>
  <c r="AC767" i="27"/>
  <c r="AC836" i="27"/>
  <c r="AC905" i="27"/>
  <c r="AC173" i="27"/>
  <c r="AC203" i="27"/>
  <c r="AC233" i="27"/>
  <c r="AC341" i="27"/>
  <c r="AC371" i="27"/>
  <c r="AC461" i="27"/>
  <c r="AC569" i="27"/>
  <c r="AC599" i="27"/>
  <c r="AC737" i="27"/>
  <c r="AC967" i="27"/>
  <c r="AC983" i="27"/>
  <c r="AC1023" i="27"/>
  <c r="AC1039" i="27"/>
  <c r="AC1079" i="27"/>
  <c r="AC1095" i="27"/>
  <c r="AC1135" i="27"/>
  <c r="AC174" i="27"/>
  <c r="AC190" i="27"/>
  <c r="AC328" i="27"/>
  <c r="AC342" i="27"/>
  <c r="AC358" i="27"/>
  <c r="AC556" i="27"/>
  <c r="AC570" i="27"/>
  <c r="AC586" i="27"/>
  <c r="AC739" i="27"/>
  <c r="AC754" i="27"/>
  <c r="AC892" i="27"/>
  <c r="AC940" i="27"/>
  <c r="AC968" i="27"/>
  <c r="AC1024" i="27"/>
  <c r="AC1080" i="27"/>
  <c r="AC1136" i="27"/>
  <c r="AC61" i="27"/>
  <c r="AC104" i="27"/>
  <c r="AC287" i="27"/>
  <c r="AC530" i="27"/>
  <c r="AC573" i="27"/>
  <c r="AC794" i="27"/>
  <c r="AC879" i="27"/>
  <c r="AC1065" i="27"/>
  <c r="AC64" i="27"/>
  <c r="AC147" i="27"/>
  <c r="AC289" i="27"/>
  <c r="AC454" i="27"/>
  <c r="AC513" i="27"/>
  <c r="AC655" i="27"/>
  <c r="AC797" i="27"/>
  <c r="AC970" i="27"/>
  <c r="AC1022" i="27"/>
  <c r="AC1108" i="27"/>
  <c r="AC1190" i="27"/>
  <c r="AC1246" i="27"/>
  <c r="AC47" i="27"/>
  <c r="AC230" i="27"/>
  <c r="AC272" i="27"/>
  <c r="AC414" i="27"/>
  <c r="AC455" i="27"/>
  <c r="AC515" i="27"/>
  <c r="AC741" i="27"/>
  <c r="AC780" i="27"/>
  <c r="AC90" i="27"/>
  <c r="AC231" i="27"/>
  <c r="AC397" i="27"/>
  <c r="AC517" i="27"/>
  <c r="AC682" i="27"/>
  <c r="AC823" i="27"/>
  <c r="AC866" i="27"/>
  <c r="AC1026" i="27"/>
  <c r="AC1078" i="27"/>
  <c r="AC134" i="27"/>
  <c r="AC175" i="27"/>
  <c r="AC398" i="27"/>
  <c r="AC440" i="27"/>
  <c r="AC500" i="27"/>
  <c r="AC642" i="27"/>
  <c r="AC683" i="27"/>
  <c r="AC849" i="27"/>
  <c r="AC1177" i="27"/>
  <c r="AC1233" i="27"/>
  <c r="AC117" i="27"/>
  <c r="AC216" i="27"/>
  <c r="AC259" i="27"/>
  <c r="AC399" i="27"/>
  <c r="AC625" i="27"/>
  <c r="AC685" i="27"/>
  <c r="AC850" i="27"/>
  <c r="AC996" i="27"/>
  <c r="AC1082" i="27"/>
  <c r="AC1134" i="27"/>
  <c r="AC1194" i="27"/>
  <c r="AC77" i="27"/>
  <c r="AC118" i="27"/>
  <c r="AC302" i="27"/>
  <c r="AC345" i="27"/>
  <c r="AC626" i="27"/>
  <c r="AC668" i="27"/>
  <c r="AC711" i="27"/>
  <c r="AC810" i="27"/>
  <c r="AC851" i="27"/>
  <c r="AC953" i="27"/>
  <c r="AC1009" i="27"/>
  <c r="AC1379" i="27"/>
  <c r="AC1419" i="27"/>
  <c r="AC1435" i="27"/>
  <c r="AC1475" i="27"/>
  <c r="AC1491" i="27"/>
  <c r="AC60" i="27"/>
  <c r="AC121" i="27"/>
  <c r="AC285" i="27"/>
  <c r="AC427" i="27"/>
  <c r="AC487" i="27"/>
  <c r="AC627" i="27"/>
  <c r="AC793" i="27"/>
  <c r="AC927" i="27"/>
  <c r="AC966" i="27"/>
  <c r="AC1052" i="27"/>
  <c r="AC1138" i="27"/>
  <c r="AC1164" i="27"/>
  <c r="AC1220" i="27"/>
  <c r="AC1276" i="27"/>
  <c r="AC1332" i="27"/>
  <c r="AC1476" i="27"/>
  <c r="AC1207" i="27"/>
  <c r="AC1461" i="27"/>
  <c r="AC1534" i="27"/>
  <c r="AC1590" i="27"/>
  <c r="AC1702" i="27"/>
  <c r="AC1303" i="27"/>
  <c r="AC1345" i="27"/>
  <c r="AC1504" i="27"/>
  <c r="AC1616" i="27"/>
  <c r="AC1672" i="27"/>
  <c r="AC1784" i="27"/>
  <c r="AC1358" i="27"/>
  <c r="AC1422" i="27"/>
  <c r="AC1642" i="27"/>
  <c r="AC1754" i="27"/>
  <c r="AC1192" i="27"/>
  <c r="AC1302" i="27"/>
  <c r="AC1418" i="27"/>
  <c r="AC1289" i="27"/>
  <c r="AC1560" i="27"/>
  <c r="AC1728" i="27"/>
  <c r="AC1151" i="27"/>
  <c r="AC1263" i="27"/>
  <c r="AC1304" i="27"/>
  <c r="AC1474" i="27"/>
  <c r="AC1121" i="27"/>
  <c r="AC1191" i="27"/>
  <c r="AC1247" i="27"/>
  <c r="AC1530" i="27"/>
  <c r="AC1586" i="27"/>
  <c r="AC1698" i="27"/>
  <c r="AC1810" i="27"/>
  <c r="AC1448" i="27"/>
  <c r="AC1699" i="27"/>
  <c r="AC1531" i="27"/>
  <c r="AC1659" i="27"/>
  <c r="AC1644" i="27"/>
  <c r="AC1532" i="27"/>
  <c r="AC1573" i="27"/>
  <c r="AC1248" i="27"/>
  <c r="AC1319" i="27"/>
  <c r="AC1405" i="27"/>
  <c r="AC1643" i="27"/>
  <c r="AC1771" i="27"/>
  <c r="AC1250" i="27"/>
  <c r="AC1517" i="27"/>
  <c r="AC1755" i="27"/>
  <c r="AC1741" i="27"/>
  <c r="AC1603" i="27"/>
  <c r="AC1685" i="27"/>
  <c r="AC1587" i="27"/>
  <c r="AC1715" i="27"/>
  <c r="AC1756" i="27"/>
  <c r="AC1797" i="27"/>
  <c r="AC1306" i="27"/>
  <c r="AC1392" i="27"/>
  <c r="AC1478" i="27"/>
  <c r="AC1547" i="27"/>
  <c r="AC1588" i="27"/>
  <c r="AC1629" i="27"/>
  <c r="AC1700" i="27"/>
  <c r="AB927" i="27"/>
  <c r="AB938" i="27"/>
  <c r="AB950" i="27"/>
  <c r="AB961" i="27"/>
  <c r="AB972" i="27"/>
  <c r="AB984" i="27"/>
  <c r="AB996" i="27"/>
  <c r="AB1007" i="27"/>
  <c r="AB1030" i="27"/>
  <c r="AB1041" i="27"/>
  <c r="AB1065" i="27"/>
  <c r="AB1076" i="27"/>
  <c r="AB1087" i="27"/>
  <c r="AB1099" i="27"/>
  <c r="AB1122" i="27"/>
  <c r="AB1156" i="27"/>
  <c r="AB1179" i="27"/>
  <c r="AB1237" i="27"/>
  <c r="AB1271" i="27"/>
  <c r="AB928" i="27"/>
  <c r="AB940" i="27"/>
  <c r="AB951" i="27"/>
  <c r="AB963" i="27"/>
  <c r="AB974" i="27"/>
  <c r="AB985" i="27"/>
  <c r="AB997" i="27"/>
  <c r="AB1009" i="27"/>
  <c r="AB1020" i="27"/>
  <c r="AB1031" i="27"/>
  <c r="AB1043" i="27"/>
  <c r="AB1054" i="27"/>
  <c r="AB1066" i="27"/>
  <c r="AB1078" i="27"/>
  <c r="AB1089" i="27"/>
  <c r="AB1100" i="27"/>
  <c r="AB1112" i="27"/>
  <c r="AB1123" i="27"/>
  <c r="AB1135" i="27"/>
  <c r="AB1146" i="27"/>
  <c r="AB1158" i="27"/>
  <c r="AB1169" i="27"/>
  <c r="AB1181" i="27"/>
  <c r="AB918" i="27"/>
  <c r="AB929" i="27"/>
  <c r="AB941" i="27"/>
  <c r="AB953" i="27"/>
  <c r="AB964" i="27"/>
  <c r="AB975" i="27"/>
  <c r="AB987" i="27"/>
  <c r="AB998" i="27"/>
  <c r="AB1010" i="27"/>
  <c r="AB1022" i="27"/>
  <c r="AB1033" i="27"/>
  <c r="AB1044" i="27"/>
  <c r="AB1056" i="27"/>
  <c r="AB1067" i="27"/>
  <c r="AB1079" i="27"/>
  <c r="AB1090" i="27"/>
  <c r="AB1102" i="27"/>
  <c r="AB1113" i="27"/>
  <c r="AB1125" i="27"/>
  <c r="AB1136" i="27"/>
  <c r="AB919" i="27"/>
  <c r="AB931" i="27"/>
  <c r="AB942" i="27"/>
  <c r="AB954" i="27"/>
  <c r="AB966" i="27"/>
  <c r="AB977" i="27"/>
  <c r="AB988" i="27"/>
  <c r="AB1000" i="27"/>
  <c r="AB1011" i="27"/>
  <c r="AB1023" i="27"/>
  <c r="AB1034" i="27"/>
  <c r="AB1046" i="27"/>
  <c r="AB1057" i="27"/>
  <c r="AB1069" i="27"/>
  <c r="AB1080" i="27"/>
  <c r="AB1092" i="27"/>
  <c r="AB1103" i="27"/>
  <c r="AB1115" i="27"/>
  <c r="AB1126" i="27"/>
  <c r="AB1138" i="27"/>
  <c r="AB1149" i="27"/>
  <c r="AB1161" i="27"/>
  <c r="AB1172" i="27"/>
  <c r="AB921" i="27"/>
  <c r="AB932" i="27"/>
  <c r="AB944" i="27"/>
  <c r="AB955" i="27"/>
  <c r="AB967" i="27"/>
  <c r="AB978" i="27"/>
  <c r="AB990" i="27"/>
  <c r="AB1001" i="27"/>
  <c r="AB1013" i="27"/>
  <c r="AB1024" i="27"/>
  <c r="AB1036" i="27"/>
  <c r="AB1047" i="27"/>
  <c r="AB1059" i="27"/>
  <c r="AB1070" i="27"/>
  <c r="AB1082" i="27"/>
  <c r="AB1093" i="27"/>
  <c r="AB1105" i="27"/>
  <c r="AB1116" i="27"/>
  <c r="AB1128" i="27"/>
  <c r="AB1139" i="27"/>
  <c r="AB1151" i="27"/>
  <c r="AB1162" i="27"/>
  <c r="AB1174" i="27"/>
  <c r="AB1185" i="27"/>
  <c r="AB922" i="27"/>
  <c r="AB934" i="27"/>
  <c r="AB945" i="27"/>
  <c r="AB957" i="27"/>
  <c r="AB968" i="27"/>
  <c r="AB980" i="27"/>
  <c r="AB991" i="27"/>
  <c r="AB1003" i="27"/>
  <c r="AB1014" i="27"/>
  <c r="AB1026" i="27"/>
  <c r="AB1037" i="27"/>
  <c r="AB1049" i="27"/>
  <c r="AB1060" i="27"/>
  <c r="AB1072" i="27"/>
  <c r="AB1083" i="27"/>
  <c r="AB1095" i="27"/>
  <c r="AB1106" i="27"/>
  <c r="AB1118" i="27"/>
  <c r="AB1129" i="27"/>
  <c r="AB1140" i="27"/>
  <c r="AB1152" i="27"/>
  <c r="AB924" i="27"/>
  <c r="AB935" i="27"/>
  <c r="AB947" i="27"/>
  <c r="AB958" i="27"/>
  <c r="AB970" i="27"/>
  <c r="AB981" i="27"/>
  <c r="AB993" i="27"/>
  <c r="AB1004" i="27"/>
  <c r="AB1016" i="27"/>
  <c r="AB1027" i="27"/>
  <c r="AB1039" i="27"/>
  <c r="AB1050" i="27"/>
  <c r="AB1062" i="27"/>
  <c r="AB1073" i="27"/>
  <c r="AB1084" i="27"/>
  <c r="AB1096" i="27"/>
  <c r="AB1108" i="27"/>
  <c r="AB1119" i="27"/>
  <c r="AB1131" i="27"/>
  <c r="AB1142" i="27"/>
  <c r="AB1153" i="27"/>
  <c r="AB1165" i="27"/>
  <c r="AB1177" i="27"/>
  <c r="AB1188" i="27"/>
  <c r="AB1199" i="27"/>
  <c r="AB1211" i="27"/>
  <c r="AB1222" i="27"/>
  <c r="AB1234" i="27"/>
  <c r="AB1246" i="27"/>
  <c r="AB1257" i="27"/>
  <c r="AB1268" i="27"/>
  <c r="AB1280" i="27"/>
  <c r="AB1291" i="27"/>
  <c r="AB1303" i="27"/>
  <c r="AB1314" i="27"/>
  <c r="AB1326" i="27"/>
  <c r="AB1337" i="27"/>
  <c r="AB1349" i="27"/>
  <c r="AB1371" i="27"/>
  <c r="AB1383" i="27"/>
  <c r="AB1394" i="27"/>
  <c r="AB1406" i="27"/>
  <c r="AB1418" i="27"/>
  <c r="AB1429" i="27"/>
  <c r="AB1440" i="27"/>
  <c r="AB1452" i="27"/>
  <c r="AB1463" i="27"/>
  <c r="AB1475" i="27"/>
  <c r="AB1486" i="27"/>
  <c r="AB1498" i="27"/>
  <c r="AB1509" i="27"/>
  <c r="AB1521" i="27"/>
  <c r="AB1532" i="27"/>
  <c r="AB1544" i="27"/>
  <c r="AB1555" i="27"/>
  <c r="AB1567" i="27"/>
  <c r="AB1578" i="27"/>
  <c r="AB1590" i="27"/>
  <c r="AB1601" i="27"/>
  <c r="AB1613" i="27"/>
  <c r="AB1624" i="27"/>
  <c r="AB1636" i="27"/>
  <c r="AB1647" i="27"/>
  <c r="AB1659" i="27"/>
  <c r="AB1670" i="27"/>
  <c r="AB1682" i="27"/>
  <c r="AB1693" i="27"/>
  <c r="AB1704" i="27"/>
  <c r="AB1716" i="27"/>
  <c r="AB1728" i="27"/>
  <c r="AB1739" i="27"/>
  <c r="AB1751" i="27"/>
  <c r="AB1762" i="27"/>
  <c r="AB1773" i="27"/>
  <c r="AB1785" i="27"/>
  <c r="AB1797" i="27"/>
  <c r="AB1808" i="27"/>
  <c r="AB1053" i="27"/>
  <c r="AB1145" i="27"/>
  <c r="AB1191" i="27"/>
  <c r="AB1214" i="27"/>
  <c r="AB1260" i="27"/>
  <c r="AB925" i="27"/>
  <c r="AB937" i="27"/>
  <c r="AB948" i="27"/>
  <c r="AB960" i="27"/>
  <c r="AB971" i="27"/>
  <c r="AB983" i="27"/>
  <c r="AB994" i="27"/>
  <c r="AB1006" i="27"/>
  <c r="AB1017" i="27"/>
  <c r="AB1028" i="27"/>
  <c r="AB1040" i="27"/>
  <c r="AB1052" i="27"/>
  <c r="AB1063" i="27"/>
  <c r="AB1075" i="27"/>
  <c r="AB1086" i="27"/>
  <c r="AB1097" i="27"/>
  <c r="AB1109" i="27"/>
  <c r="AB1121" i="27"/>
  <c r="AB1132" i="27"/>
  <c r="AB1143" i="27"/>
  <c r="AB1155" i="27"/>
  <c r="AB1166" i="27"/>
  <c r="AB1178" i="27"/>
  <c r="AB1190" i="27"/>
  <c r="AB1201" i="27"/>
  <c r="AB1212" i="27"/>
  <c r="AB1224" i="27"/>
  <c r="AB1235" i="27"/>
  <c r="AB1247" i="27"/>
  <c r="AB1258" i="27"/>
  <c r="AB1270" i="27"/>
  <c r="AB1281" i="27"/>
  <c r="AB1293" i="27"/>
  <c r="AB1304" i="27"/>
  <c r="AB1316" i="27"/>
  <c r="AB1327" i="27"/>
  <c r="AB1339" i="27"/>
  <c r="AB1350" i="27"/>
  <c r="AB1373" i="27"/>
  <c r="AB1384" i="27"/>
  <c r="AB1396" i="27"/>
  <c r="AB1407" i="27"/>
  <c r="AB1419" i="27"/>
  <c r="AB1430" i="27"/>
  <c r="AB1442" i="27"/>
  <c r="AB1453" i="27"/>
  <c r="AB1465" i="27"/>
  <c r="AB1476" i="27"/>
  <c r="AB1488" i="27"/>
  <c r="AB1499" i="27"/>
  <c r="AB1511" i="27"/>
  <c r="AB1522" i="27"/>
  <c r="AB1534" i="27"/>
  <c r="AB1545" i="27"/>
  <c r="AB1557" i="27"/>
  <c r="AB1568" i="27"/>
  <c r="AB1580" i="27"/>
  <c r="AB1591" i="27"/>
  <c r="AB1603" i="27"/>
  <c r="AB1614" i="27"/>
  <c r="AB1626" i="27"/>
  <c r="AB1637" i="27"/>
  <c r="AB1648" i="27"/>
  <c r="AB1660" i="27"/>
  <c r="AB1672" i="27"/>
  <c r="AB1683" i="27"/>
  <c r="AB1695" i="27"/>
  <c r="AB1706" i="27"/>
  <c r="AB1717" i="27"/>
  <c r="AB1729" i="27"/>
  <c r="AB1741" i="27"/>
  <c r="AB1752" i="27"/>
  <c r="AB1763" i="27"/>
  <c r="AB1775" i="27"/>
  <c r="AB1786" i="27"/>
  <c r="AB1798" i="27"/>
  <c r="AB1810" i="27"/>
  <c r="AB1019" i="27"/>
  <c r="AB1110" i="27"/>
  <c r="AB1134" i="27"/>
  <c r="AB1168" i="27"/>
  <c r="AB1202" i="27"/>
  <c r="AB1225" i="27"/>
  <c r="AB1248" i="27"/>
  <c r="AB1175" i="27"/>
  <c r="AB1198" i="27"/>
  <c r="AB1218" i="27"/>
  <c r="AB1238" i="27"/>
  <c r="AB1254" i="27"/>
  <c r="AB1274" i="27"/>
  <c r="AB1289" i="27"/>
  <c r="AB1306" i="27"/>
  <c r="AB1320" i="27"/>
  <c r="AB1334" i="27"/>
  <c r="AB1352" i="27"/>
  <c r="AB1380" i="27"/>
  <c r="AB1397" i="27"/>
  <c r="AB1412" i="27"/>
  <c r="AB1426" i="27"/>
  <c r="AB1443" i="27"/>
  <c r="AB1458" i="27"/>
  <c r="AB1472" i="27"/>
  <c r="AB1489" i="27"/>
  <c r="AB1504" i="27"/>
  <c r="AB1518" i="27"/>
  <c r="AB1535" i="27"/>
  <c r="AB1549" i="27"/>
  <c r="AB1564" i="27"/>
  <c r="AB1581" i="27"/>
  <c r="AB1595" i="27"/>
  <c r="AB1610" i="27"/>
  <c r="AB1627" i="27"/>
  <c r="AB1642" i="27"/>
  <c r="AB1656" i="27"/>
  <c r="AB1673" i="27"/>
  <c r="AB1687" i="27"/>
  <c r="AB1702" i="27"/>
  <c r="AB1719" i="27"/>
  <c r="AB1733" i="27"/>
  <c r="AB1748" i="27"/>
  <c r="AB1765" i="27"/>
  <c r="AB1779" i="27"/>
  <c r="AB1794" i="27"/>
  <c r="AB1184" i="27"/>
  <c r="AB1221" i="27"/>
  <c r="AB1261" i="27"/>
  <c r="AB1294" i="27"/>
  <c r="AB1323" i="27"/>
  <c r="AB1355" i="27"/>
  <c r="AB1386" i="27"/>
  <c r="AB1415" i="27"/>
  <c r="AB1446" i="27"/>
  <c r="AB1478" i="27"/>
  <c r="AB1506" i="27"/>
  <c r="AB1538" i="27"/>
  <c r="AB1570" i="27"/>
  <c r="AB1598" i="27"/>
  <c r="AB1630" i="27"/>
  <c r="AB1661" i="27"/>
  <c r="AB1690" i="27"/>
  <c r="AB1722" i="27"/>
  <c r="AB1754" i="27"/>
  <c r="AB1782" i="27"/>
  <c r="AB1207" i="27"/>
  <c r="AB1243" i="27"/>
  <c r="AB1278" i="27"/>
  <c r="AB1310" i="27"/>
  <c r="AB1342" i="27"/>
  <c r="AB1370" i="27"/>
  <c r="AB1402" i="27"/>
  <c r="AB1433" i="27"/>
  <c r="AB1462" i="27"/>
  <c r="AB1493" i="27"/>
  <c r="AB1525" i="27"/>
  <c r="AB1554" i="27"/>
  <c r="AB1586" i="27"/>
  <c r="AB1617" i="27"/>
  <c r="AB1646" i="27"/>
  <c r="AB1677" i="27"/>
  <c r="AB1709" i="27"/>
  <c r="AB1738" i="27"/>
  <c r="AB1769" i="27"/>
  <c r="AB1801" i="27"/>
  <c r="AB1192" i="27"/>
  <c r="AB1208" i="27"/>
  <c r="AB1244" i="27"/>
  <c r="AB1283" i="27"/>
  <c r="AB1311" i="27"/>
  <c r="AB1182" i="27"/>
  <c r="AB1204" i="27"/>
  <c r="AB1220" i="27"/>
  <c r="AB1240" i="27"/>
  <c r="AB1255" i="27"/>
  <c r="AB1276" i="27"/>
  <c r="AB1290" i="27"/>
  <c r="AB1307" i="27"/>
  <c r="AB1321" i="27"/>
  <c r="AB1336" i="27"/>
  <c r="AB1353" i="27"/>
  <c r="AB1381" i="27"/>
  <c r="AB1399" i="27"/>
  <c r="AB1413" i="27"/>
  <c r="AB1427" i="27"/>
  <c r="AB1445" i="27"/>
  <c r="AB1459" i="27"/>
  <c r="AB1474" i="27"/>
  <c r="AB1491" i="27"/>
  <c r="AB1505" i="27"/>
  <c r="AB1519" i="27"/>
  <c r="AB1536" i="27"/>
  <c r="AB1551" i="27"/>
  <c r="AB1565" i="27"/>
  <c r="AB1583" i="27"/>
  <c r="AB1597" i="27"/>
  <c r="AB1611" i="27"/>
  <c r="AB1629" i="27"/>
  <c r="AB1643" i="27"/>
  <c r="AB1657" i="27"/>
  <c r="AB1674" i="27"/>
  <c r="AB1689" i="27"/>
  <c r="AB1703" i="27"/>
  <c r="AB1720" i="27"/>
  <c r="AB1735" i="27"/>
  <c r="AB1749" i="27"/>
  <c r="AB1766" i="27"/>
  <c r="AB1781" i="27"/>
  <c r="AB1795" i="27"/>
  <c r="AB1205" i="27"/>
  <c r="AB1241" i="27"/>
  <c r="AB1277" i="27"/>
  <c r="AB1308" i="27"/>
  <c r="AB1340" i="27"/>
  <c r="AB1400" i="27"/>
  <c r="AB1432" i="27"/>
  <c r="AB1461" i="27"/>
  <c r="AB1492" i="27"/>
  <c r="AB1524" i="27"/>
  <c r="AB1552" i="27"/>
  <c r="AB1584" i="27"/>
  <c r="AB1616" i="27"/>
  <c r="AB1644" i="27"/>
  <c r="AB1676" i="27"/>
  <c r="AB1707" i="27"/>
  <c r="AB1736" i="27"/>
  <c r="AB1768" i="27"/>
  <c r="AB1799" i="27"/>
  <c r="AB1187" i="27"/>
  <c r="AB1227" i="27"/>
  <c r="AB1263" i="27"/>
  <c r="AB1296" i="27"/>
  <c r="AB1324" i="27"/>
  <c r="AB1356" i="27"/>
  <c r="AB1387" i="27"/>
  <c r="AB1416" i="27"/>
  <c r="AB1448" i="27"/>
  <c r="AB1479" i="27"/>
  <c r="AB1508" i="27"/>
  <c r="AB1539" i="27"/>
  <c r="AB1571" i="27"/>
  <c r="AB1600" i="27"/>
  <c r="AB1631" i="27"/>
  <c r="AB1663" i="27"/>
  <c r="AB1692" i="27"/>
  <c r="AB1723" i="27"/>
  <c r="AB1755" i="27"/>
  <c r="AB1784" i="27"/>
  <c r="AB1148" i="27"/>
  <c r="AB1228" i="27"/>
  <c r="AB1264" i="27"/>
  <c r="AB1297" i="27"/>
  <c r="AB1329" i="27"/>
  <c r="AB1195" i="27"/>
  <c r="AB1250" i="27"/>
  <c r="AB1287" i="27"/>
  <c r="AB1332" i="27"/>
  <c r="AB1392" i="27"/>
  <c r="AB1423" i="27"/>
  <c r="AB1455" i="27"/>
  <c r="AB1483" i="27"/>
  <c r="AB1515" i="27"/>
  <c r="AB1547" i="27"/>
  <c r="AB1575" i="27"/>
  <c r="AB1607" i="27"/>
  <c r="AB1639" i="27"/>
  <c r="AB1667" i="27"/>
  <c r="AB1699" i="27"/>
  <c r="AB1730" i="27"/>
  <c r="AB1759" i="27"/>
  <c r="AB1791" i="27"/>
  <c r="AB1209" i="27"/>
  <c r="AB1300" i="27"/>
  <c r="AB1374" i="27"/>
  <c r="AB1435" i="27"/>
  <c r="AB1495" i="27"/>
  <c r="AB1558" i="27"/>
  <c r="AB1618" i="27"/>
  <c r="AB1679" i="27"/>
  <c r="AB1742" i="27"/>
  <c r="AB1802" i="27"/>
  <c r="AB1215" i="27"/>
  <c r="AB1345" i="27"/>
  <c r="AB1405" i="27"/>
  <c r="AB1468" i="27"/>
  <c r="AB1528" i="27"/>
  <c r="AB1588" i="27"/>
  <c r="AB1651" i="27"/>
  <c r="AB1712" i="27"/>
  <c r="AB1772" i="27"/>
  <c r="AB1159" i="27"/>
  <c r="AB1267" i="27"/>
  <c r="AB1346" i="27"/>
  <c r="AB1409" i="27"/>
  <c r="AB1469" i="27"/>
  <c r="AB1530" i="27"/>
  <c r="AB1592" i="27"/>
  <c r="AB1653" i="27"/>
  <c r="AB1713" i="27"/>
  <c r="AB1776" i="27"/>
  <c r="AB1164" i="27"/>
  <c r="AB1273" i="27"/>
  <c r="AB1347" i="27"/>
  <c r="AB1410" i="27"/>
  <c r="AB1471" i="27"/>
  <c r="AB1531" i="27"/>
  <c r="AB1594" i="27"/>
  <c r="AB1654" i="27"/>
  <c r="AB1715" i="27"/>
  <c r="AB1778" i="27"/>
  <c r="AB1171" i="27"/>
  <c r="AB1284" i="27"/>
  <c r="AB1358" i="27"/>
  <c r="AB1420" i="27"/>
  <c r="AB1480" i="27"/>
  <c r="AB1541" i="27"/>
  <c r="AB1604" i="27"/>
  <c r="AB1664" i="27"/>
  <c r="AB1725" i="27"/>
  <c r="AB1788" i="27"/>
  <c r="AB1233" i="27"/>
  <c r="AB1330" i="27"/>
  <c r="AB1390" i="27"/>
  <c r="AB1450" i="27"/>
  <c r="AB1514" i="27"/>
  <c r="AB1574" i="27"/>
  <c r="AB1634" i="27"/>
  <c r="AB1698" i="27"/>
  <c r="AB1758" i="27"/>
  <c r="AB1196" i="27"/>
  <c r="AB1251" i="27"/>
  <c r="AB1299" i="27"/>
  <c r="AB1333" i="27"/>
  <c r="AB1393" i="27"/>
  <c r="AB1424" i="27"/>
  <c r="AB1456" i="27"/>
  <c r="AB1485" i="27"/>
  <c r="AB1517" i="27"/>
  <c r="AB1548" i="27"/>
  <c r="AB1577" i="27"/>
  <c r="AB1608" i="27"/>
  <c r="AB1640" i="27"/>
  <c r="AB1669" i="27"/>
  <c r="AB1700" i="27"/>
  <c r="AB1732" i="27"/>
  <c r="AB1760" i="27"/>
  <c r="AB1792" i="27"/>
  <c r="AB1252" i="27"/>
  <c r="AB1343" i="27"/>
  <c r="AB1403" i="27"/>
  <c r="AB1466" i="27"/>
  <c r="AB1527" i="27"/>
  <c r="AB1587" i="27"/>
  <c r="AB1650" i="27"/>
  <c r="AB1710" i="27"/>
  <c r="AB1771" i="27"/>
  <c r="AB1265" i="27"/>
  <c r="AB1302" i="27"/>
  <c r="AB1376" i="27"/>
  <c r="AB1436" i="27"/>
  <c r="AB1496" i="27"/>
  <c r="AB1560" i="27"/>
  <c r="AB1620" i="27"/>
  <c r="AB1680" i="27"/>
  <c r="AB1743" i="27"/>
  <c r="AB1804" i="27"/>
  <c r="AB1217" i="27"/>
  <c r="AB1313" i="27"/>
  <c r="AB1377" i="27"/>
  <c r="AB1437" i="27"/>
  <c r="AB1501" i="27"/>
  <c r="AB1561" i="27"/>
  <c r="AB1621" i="27"/>
  <c r="AB1685" i="27"/>
  <c r="AB1745" i="27"/>
  <c r="AB1805" i="27"/>
  <c r="AB1230" i="27"/>
  <c r="AB1317" i="27"/>
  <c r="AB1379" i="27"/>
  <c r="AB1439" i="27"/>
  <c r="AB1502" i="27"/>
  <c r="AB1562" i="27"/>
  <c r="AB1623" i="27"/>
  <c r="AB1686" i="27"/>
  <c r="AB1746" i="27"/>
  <c r="AB1807" i="27"/>
  <c r="AB1231" i="27"/>
  <c r="AB1319" i="27"/>
  <c r="AB1389" i="27"/>
  <c r="AB1449" i="27"/>
  <c r="AB1512" i="27"/>
  <c r="AB1573" i="27"/>
  <c r="AB1633" i="27"/>
  <c r="AB1696" i="27"/>
  <c r="AB1756" i="27"/>
  <c r="AB1194" i="27"/>
  <c r="AB1286" i="27"/>
  <c r="AB1422" i="27"/>
  <c r="AB1482" i="27"/>
  <c r="AB1542" i="27"/>
  <c r="AB1605" i="27"/>
  <c r="AB1666" i="27"/>
  <c r="AB1726" i="27"/>
  <c r="AB1789" i="27"/>
  <c r="AB19" i="27"/>
  <c r="AB31" i="27"/>
  <c r="AB42" i="27"/>
  <c r="AB54" i="27"/>
  <c r="AB65" i="27"/>
  <c r="AB77" i="27"/>
  <c r="AB88" i="27"/>
  <c r="AB99" i="27"/>
  <c r="AB111" i="27"/>
  <c r="AB122" i="27"/>
  <c r="AB134" i="27"/>
  <c r="AB145" i="27"/>
  <c r="AB157" i="27"/>
  <c r="AB168" i="27"/>
  <c r="AB179" i="27"/>
  <c r="AB191" i="27"/>
  <c r="AB203" i="27"/>
  <c r="AB214" i="27"/>
  <c r="AB226" i="27"/>
  <c r="AB237" i="27"/>
  <c r="AB248" i="27"/>
  <c r="AB260" i="27"/>
  <c r="AB272" i="27"/>
  <c r="AB283" i="27"/>
  <c r="AB294" i="27"/>
  <c r="AB306" i="27"/>
  <c r="AB317" i="27"/>
  <c r="AB329" i="27"/>
  <c r="AB341" i="27"/>
  <c r="AB352" i="27"/>
  <c r="AB363" i="27"/>
  <c r="AB375" i="27"/>
  <c r="AB386" i="27"/>
  <c r="AB398" i="27"/>
  <c r="AB409" i="27"/>
  <c r="AB421" i="27"/>
  <c r="AB432" i="27"/>
  <c r="AB444" i="27"/>
  <c r="AB455" i="27"/>
  <c r="AB465" i="27"/>
  <c r="AB476" i="27"/>
  <c r="AB488" i="27"/>
  <c r="AB500" i="27"/>
  <c r="AB511" i="27"/>
  <c r="AB522" i="27"/>
  <c r="AB534" i="27"/>
  <c r="AB545" i="27"/>
  <c r="AB557" i="27"/>
  <c r="AB569" i="27"/>
  <c r="AB580" i="27"/>
  <c r="AB591" i="27"/>
  <c r="AB603" i="27"/>
  <c r="AB614" i="27"/>
  <c r="AB626" i="27"/>
  <c r="AB637" i="27"/>
  <c r="AB649" i="27"/>
  <c r="AB660" i="27"/>
  <c r="AB672" i="27"/>
  <c r="AB683" i="27"/>
  <c r="AB695" i="27"/>
  <c r="AB706" i="27"/>
  <c r="AB718" i="27"/>
  <c r="AB729" i="27"/>
  <c r="AB741" i="27"/>
  <c r="AB752" i="27"/>
  <c r="AB764" i="27"/>
  <c r="AB775" i="27"/>
  <c r="AB787" i="27"/>
  <c r="AB798" i="27"/>
  <c r="AB810" i="27"/>
  <c r="AB821" i="27"/>
  <c r="AB833" i="27"/>
  <c r="AB844" i="27"/>
  <c r="AB855" i="27"/>
  <c r="AB867" i="27"/>
  <c r="AB879" i="27"/>
  <c r="AB890" i="27"/>
  <c r="AB902" i="27"/>
  <c r="AB34" i="27"/>
  <c r="AB21" i="27"/>
  <c r="AB32" i="27"/>
  <c r="AB44" i="27"/>
  <c r="AB55" i="27"/>
  <c r="AB66" i="27"/>
  <c r="AB78" i="27"/>
  <c r="AB90" i="27"/>
  <c r="AB101" i="27"/>
  <c r="AB112" i="27"/>
  <c r="AB123" i="27"/>
  <c r="AB135" i="27"/>
  <c r="AB147" i="27"/>
  <c r="AB158" i="27"/>
  <c r="AB170" i="27"/>
  <c r="AB181" i="27"/>
  <c r="AB192" i="27"/>
  <c r="AB204" i="27"/>
  <c r="AB216" i="27"/>
  <c r="AB227" i="27"/>
  <c r="AB238" i="27"/>
  <c r="AB250" i="27"/>
  <c r="AB261" i="27"/>
  <c r="AB273" i="27"/>
  <c r="AB285" i="27"/>
  <c r="AB296" i="27"/>
  <c r="AB307" i="27"/>
  <c r="AB319" i="27"/>
  <c r="AB330" i="27"/>
  <c r="AB342" i="27"/>
  <c r="AB353" i="27"/>
  <c r="AB365" i="27"/>
  <c r="AB376" i="27"/>
  <c r="AB388" i="27"/>
  <c r="AB399" i="27"/>
  <c r="AB411" i="27"/>
  <c r="AB422" i="27"/>
  <c r="AB434" i="27"/>
  <c r="AB445" i="27"/>
  <c r="AB466" i="27"/>
  <c r="AB478" i="27"/>
  <c r="AB489" i="27"/>
  <c r="AB501" i="27"/>
  <c r="AB513" i="27"/>
  <c r="AB524" i="27"/>
  <c r="AB535" i="27"/>
  <c r="AB547" i="27"/>
  <c r="AB558" i="27"/>
  <c r="AB570" i="27"/>
  <c r="AB581" i="27"/>
  <c r="AB593" i="27"/>
  <c r="AB604" i="27"/>
  <c r="AB616" i="27"/>
  <c r="AB627" i="27"/>
  <c r="AB639" i="27"/>
  <c r="AB650" i="27"/>
  <c r="AB662" i="27"/>
  <c r="AB673" i="27"/>
  <c r="AB685" i="27"/>
  <c r="AB696" i="27"/>
  <c r="AB708" i="27"/>
  <c r="AB719" i="27"/>
  <c r="AB731" i="27"/>
  <c r="AB742" i="27"/>
  <c r="AB754" i="27"/>
  <c r="AB765" i="27"/>
  <c r="AB777" i="27"/>
  <c r="AB788" i="27"/>
  <c r="AB799" i="27"/>
  <c r="AB811" i="27"/>
  <c r="AB823" i="27"/>
  <c r="AB834" i="27"/>
  <c r="AB846" i="27"/>
  <c r="AB857" i="27"/>
  <c r="AB868" i="27"/>
  <c r="AB880" i="27"/>
  <c r="AB892" i="27"/>
  <c r="AB903" i="27"/>
  <c r="AB22" i="27"/>
  <c r="AB45" i="27"/>
  <c r="AB57" i="27"/>
  <c r="AB68" i="27"/>
  <c r="AB79" i="27"/>
  <c r="AB91" i="27"/>
  <c r="AB102" i="27"/>
  <c r="AB23" i="27"/>
  <c r="AB39" i="27"/>
  <c r="AB60" i="27"/>
  <c r="AB75" i="27"/>
  <c r="AB95" i="27"/>
  <c r="AB114" i="27"/>
  <c r="AB128" i="27"/>
  <c r="AB142" i="27"/>
  <c r="AB160" i="27"/>
  <c r="AB174" i="27"/>
  <c r="AB188" i="27"/>
  <c r="AB205" i="27"/>
  <c r="AB220" i="27"/>
  <c r="AB234" i="27"/>
  <c r="AB251" i="27"/>
  <c r="AB266" i="27"/>
  <c r="AB280" i="27"/>
  <c r="AB297" i="27"/>
  <c r="AB312" i="27"/>
  <c r="AB326" i="27"/>
  <c r="AB343" i="27"/>
  <c r="AB358" i="27"/>
  <c r="AB372" i="27"/>
  <c r="AB389" i="27"/>
  <c r="AB403" i="27"/>
  <c r="AB418" i="27"/>
  <c r="AB435" i="27"/>
  <c r="AB450" i="27"/>
  <c r="AB462" i="27"/>
  <c r="AB479" i="27"/>
  <c r="AB494" i="27"/>
  <c r="AB508" i="27"/>
  <c r="AB525" i="27"/>
  <c r="AB540" i="27"/>
  <c r="AB554" i="27"/>
  <c r="AB571" i="27"/>
  <c r="AB586" i="27"/>
  <c r="AB600" i="27"/>
  <c r="AB617" i="27"/>
  <c r="AB631" i="27"/>
  <c r="AB646" i="27"/>
  <c r="AB663" i="27"/>
  <c r="AB678" i="27"/>
  <c r="AB692" i="27"/>
  <c r="AB709" i="27"/>
  <c r="AB724" i="27"/>
  <c r="AB738" i="27"/>
  <c r="AB755" i="27"/>
  <c r="AB769" i="27"/>
  <c r="AB784" i="27"/>
  <c r="AB801" i="27"/>
  <c r="AB815" i="27"/>
  <c r="AB830" i="27"/>
  <c r="AB847" i="27"/>
  <c r="AB861" i="27"/>
  <c r="AB876" i="27"/>
  <c r="AB893" i="27"/>
  <c r="AB26" i="27"/>
  <c r="AB62" i="27"/>
  <c r="AB98" i="27"/>
  <c r="AB131" i="27"/>
  <c r="AB162" i="27"/>
  <c r="AB194" i="27"/>
  <c r="AB223" i="27"/>
  <c r="AB254" i="27"/>
  <c r="AB286" i="27"/>
  <c r="AB315" i="27"/>
  <c r="AB346" i="27"/>
  <c r="AB378" i="27"/>
  <c r="AB406" i="27"/>
  <c r="AB438" i="27"/>
  <c r="AB468" i="27"/>
  <c r="AB497" i="27"/>
  <c r="AB528" i="27"/>
  <c r="AB560" i="27"/>
  <c r="AB588" i="27"/>
  <c r="AB620" i="27"/>
  <c r="AB652" i="27"/>
  <c r="AB681" i="27"/>
  <c r="AB712" i="27"/>
  <c r="AB743" i="27"/>
  <c r="AB772" i="27"/>
  <c r="AB804" i="27"/>
  <c r="AB836" i="27"/>
  <c r="AB864" i="27"/>
  <c r="AB25" i="27"/>
  <c r="AB41" i="27"/>
  <c r="AB61" i="27"/>
  <c r="AB81" i="27"/>
  <c r="AB96" i="27"/>
  <c r="AB115" i="27"/>
  <c r="AB129" i="27"/>
  <c r="AB144" i="27"/>
  <c r="AB161" i="27"/>
  <c r="AB175" i="27"/>
  <c r="AB190" i="27"/>
  <c r="AB207" i="27"/>
  <c r="AB221" i="27"/>
  <c r="AB235" i="27"/>
  <c r="AB253" i="27"/>
  <c r="AB267" i="27"/>
  <c r="AB282" i="27"/>
  <c r="AB299" i="27"/>
  <c r="AB313" i="27"/>
  <c r="AB328" i="27"/>
  <c r="AB345" i="27"/>
  <c r="AB359" i="27"/>
  <c r="AB373" i="27"/>
  <c r="AB391" i="27"/>
  <c r="AB405" i="27"/>
  <c r="AB419" i="27"/>
  <c r="AB437" i="27"/>
  <c r="AB451" i="27"/>
  <c r="AB463" i="27"/>
  <c r="AB481" i="27"/>
  <c r="AB495" i="27"/>
  <c r="AB510" i="27"/>
  <c r="AB527" i="27"/>
  <c r="AB541" i="27"/>
  <c r="AB556" i="27"/>
  <c r="AB573" i="27"/>
  <c r="AB587" i="27"/>
  <c r="AB601" i="27"/>
  <c r="AB619" i="27"/>
  <c r="AB633" i="27"/>
  <c r="AB647" i="27"/>
  <c r="AB665" i="27"/>
  <c r="AB679" i="27"/>
  <c r="AB693" i="27"/>
  <c r="AB711" i="27"/>
  <c r="AB725" i="27"/>
  <c r="AB739" i="27"/>
  <c r="AB756" i="27"/>
  <c r="AB771" i="27"/>
  <c r="AB785" i="27"/>
  <c r="AB802" i="27"/>
  <c r="AB817" i="27"/>
  <c r="AB831" i="27"/>
  <c r="AB849" i="27"/>
  <c r="AB863" i="27"/>
  <c r="AB877" i="27"/>
  <c r="AB894" i="27"/>
  <c r="AB47" i="27"/>
  <c r="AB82" i="27"/>
  <c r="AB117" i="27"/>
  <c r="AB148" i="27"/>
  <c r="AB177" i="27"/>
  <c r="AB208" i="27"/>
  <c r="AB240" i="27"/>
  <c r="AB269" i="27"/>
  <c r="AB300" i="27"/>
  <c r="AB332" i="27"/>
  <c r="AB360" i="27"/>
  <c r="AB392" i="27"/>
  <c r="AB424" i="27"/>
  <c r="AB453" i="27"/>
  <c r="AB482" i="27"/>
  <c r="AB514" i="27"/>
  <c r="AB543" i="27"/>
  <c r="AB574" i="27"/>
  <c r="AB606" i="27"/>
  <c r="AB634" i="27"/>
  <c r="AB666" i="27"/>
  <c r="AB698" i="27"/>
  <c r="AB726" i="27"/>
  <c r="AB758" i="27"/>
  <c r="AB790" i="27"/>
  <c r="AB818" i="27"/>
  <c r="AB850" i="27"/>
  <c r="AB881" i="27"/>
  <c r="AB136" i="27"/>
  <c r="AB502" i="27"/>
  <c r="AB670" i="27"/>
  <c r="AB768" i="27"/>
  <c r="AB889" i="27"/>
  <c r="AB472" i="27"/>
  <c r="AB279" i="27"/>
  <c r="AB428" i="27"/>
  <c r="AB521" i="27"/>
  <c r="AB597" i="27"/>
  <c r="AB699" i="27"/>
  <c r="AB841" i="27"/>
  <c r="AB28" i="27"/>
  <c r="AB52" i="27"/>
  <c r="AB85" i="27"/>
  <c r="AB109" i="27"/>
  <c r="AB138" i="27"/>
  <c r="AB164" i="27"/>
  <c r="AB185" i="27"/>
  <c r="AB211" i="27"/>
  <c r="AB233" i="27"/>
  <c r="AB259" i="27"/>
  <c r="AB287" i="27"/>
  <c r="AB309" i="27"/>
  <c r="AB335" i="27"/>
  <c r="AB356" i="27"/>
  <c r="AB382" i="27"/>
  <c r="AB408" i="27"/>
  <c r="AB429" i="27"/>
  <c r="AB457" i="27"/>
  <c r="AB475" i="27"/>
  <c r="AB504" i="27"/>
  <c r="AB530" i="27"/>
  <c r="AB551" i="27"/>
  <c r="AB577" i="27"/>
  <c r="AB599" i="27"/>
  <c r="AB625" i="27"/>
  <c r="AB653" i="27"/>
  <c r="AB675" i="27"/>
  <c r="AB700" i="27"/>
  <c r="AB722" i="27"/>
  <c r="AB748" i="27"/>
  <c r="AB774" i="27"/>
  <c r="AB795" i="27"/>
  <c r="AB824" i="27"/>
  <c r="AB843" i="27"/>
  <c r="AB871" i="27"/>
  <c r="AB896" i="27"/>
  <c r="AB35" i="27"/>
  <c r="AB92" i="27"/>
  <c r="AB141" i="27"/>
  <c r="AB195" i="27"/>
  <c r="AB243" i="27"/>
  <c r="AB290" i="27"/>
  <c r="AB338" i="27"/>
  <c r="AB385" i="27"/>
  <c r="AB440" i="27"/>
  <c r="AB485" i="27"/>
  <c r="AB532" i="27"/>
  <c r="AB583" i="27"/>
  <c r="AB630" i="27"/>
  <c r="AB682" i="27"/>
  <c r="AB732" i="27"/>
  <c r="AB780" i="27"/>
  <c r="AB827" i="27"/>
  <c r="AB874" i="27"/>
  <c r="AB12" i="27"/>
  <c r="AB93" i="27"/>
  <c r="AB149" i="27"/>
  <c r="AB197" i="27"/>
  <c r="AB244" i="27"/>
  <c r="AB291" i="27"/>
  <c r="AB339" i="27"/>
  <c r="AB394" i="27"/>
  <c r="AB441" i="27"/>
  <c r="AB487" i="27"/>
  <c r="AB537" i="27"/>
  <c r="AB584" i="27"/>
  <c r="AB636" i="27"/>
  <c r="AB686" i="27"/>
  <c r="AB734" i="27"/>
  <c r="AB781" i="27"/>
  <c r="AB828" i="27"/>
  <c r="AB883" i="27"/>
  <c r="AB13" i="27"/>
  <c r="AB104" i="27"/>
  <c r="AB151" i="27"/>
  <c r="AB198" i="27"/>
  <c r="AB246" i="27"/>
  <c r="AB293" i="27"/>
  <c r="AB347" i="27"/>
  <c r="AB395" i="27"/>
  <c r="AB442" i="27"/>
  <c r="AB491" i="27"/>
  <c r="AB538" i="27"/>
  <c r="AB590" i="27"/>
  <c r="AB640" i="27"/>
  <c r="AB687" i="27"/>
  <c r="AB735" i="27"/>
  <c r="AB782" i="27"/>
  <c r="AB837" i="27"/>
  <c r="AB884" i="27"/>
  <c r="AB48" i="27"/>
  <c r="AB72" i="27"/>
  <c r="AB126" i="27"/>
  <c r="AB178" i="27"/>
  <c r="AB229" i="27"/>
  <c r="AB276" i="27"/>
  <c r="AB323" i="27"/>
  <c r="AB371" i="27"/>
  <c r="AB425" i="27"/>
  <c r="AB471" i="27"/>
  <c r="AB518" i="27"/>
  <c r="AB566" i="27"/>
  <c r="AB613" i="27"/>
  <c r="AB668" i="27"/>
  <c r="AB715" i="27"/>
  <c r="AB791" i="27"/>
  <c r="AB838" i="27"/>
  <c r="AB886" i="27"/>
  <c r="AB49" i="27"/>
  <c r="AB74" i="27"/>
  <c r="AB132" i="27"/>
  <c r="AB182" i="27"/>
  <c r="AB230" i="27"/>
  <c r="AB277" i="27"/>
  <c r="AB325" i="27"/>
  <c r="AB379" i="27"/>
  <c r="AB427" i="27"/>
  <c r="AB498" i="27"/>
  <c r="AB548" i="27"/>
  <c r="AB596" i="27"/>
  <c r="AB643" i="27"/>
  <c r="AB690" i="27"/>
  <c r="AB745" i="27"/>
  <c r="AB793" i="27"/>
  <c r="AB840" i="27"/>
  <c r="AB887" i="27"/>
  <c r="AB51" i="27"/>
  <c r="AB84" i="27"/>
  <c r="AB155" i="27"/>
  <c r="AB210" i="27"/>
  <c r="AB257" i="27"/>
  <c r="AB333" i="27"/>
  <c r="AB381" i="27"/>
  <c r="AB454" i="27"/>
  <c r="AB550" i="27"/>
  <c r="AB623" i="27"/>
  <c r="AB721" i="27"/>
  <c r="AB794" i="27"/>
  <c r="AB870" i="27"/>
  <c r="AB29" i="27"/>
  <c r="AB58" i="27"/>
  <c r="AB87" i="27"/>
  <c r="AB118" i="27"/>
  <c r="AB139" i="27"/>
  <c r="AB165" i="27"/>
  <c r="AB187" i="27"/>
  <c r="AB213" i="27"/>
  <c r="AB241" i="27"/>
  <c r="AB263" i="27"/>
  <c r="AB289" i="27"/>
  <c r="AB310" i="27"/>
  <c r="AB336" i="27"/>
  <c r="AB362" i="27"/>
  <c r="AB384" i="27"/>
  <c r="AB412" i="27"/>
  <c r="AB431" i="27"/>
  <c r="AB458" i="27"/>
  <c r="AB484" i="27"/>
  <c r="AB505" i="27"/>
  <c r="AB531" i="27"/>
  <c r="AB553" i="27"/>
  <c r="AB578" i="27"/>
  <c r="AB607" i="27"/>
  <c r="AB629" i="27"/>
  <c r="AB655" i="27"/>
  <c r="AB676" i="27"/>
  <c r="AB702" i="27"/>
  <c r="AB728" i="27"/>
  <c r="AB749" i="27"/>
  <c r="AB778" i="27"/>
  <c r="AB797" i="27"/>
  <c r="AB825" i="27"/>
  <c r="AB851" i="27"/>
  <c r="AB873" i="27"/>
  <c r="AB897" i="27"/>
  <c r="AB64" i="27"/>
  <c r="AB119" i="27"/>
  <c r="AB167" i="27"/>
  <c r="AB217" i="27"/>
  <c r="AB264" i="27"/>
  <c r="AB316" i="27"/>
  <c r="AB366" i="27"/>
  <c r="AB414" i="27"/>
  <c r="AB459" i="27"/>
  <c r="AB507" i="27"/>
  <c r="AB561" i="27"/>
  <c r="AB609" i="27"/>
  <c r="AB656" i="27"/>
  <c r="AB703" i="27"/>
  <c r="AB751" i="27"/>
  <c r="AB805" i="27"/>
  <c r="AB853" i="27"/>
  <c r="AB899" i="27"/>
  <c r="AB36" i="27"/>
  <c r="AB69" i="27"/>
  <c r="AB121" i="27"/>
  <c r="AB171" i="27"/>
  <c r="AB218" i="27"/>
  <c r="AB270" i="27"/>
  <c r="AB320" i="27"/>
  <c r="AB368" i="27"/>
  <c r="AB415" i="27"/>
  <c r="AB461" i="27"/>
  <c r="AB515" i="27"/>
  <c r="AB563" i="27"/>
  <c r="AB610" i="27"/>
  <c r="AB657" i="27"/>
  <c r="AB705" i="27"/>
  <c r="AB759" i="27"/>
  <c r="AB807" i="27"/>
  <c r="AB854" i="27"/>
  <c r="AB900" i="27"/>
  <c r="AB38" i="27"/>
  <c r="AB71" i="27"/>
  <c r="AB125" i="27"/>
  <c r="AB173" i="27"/>
  <c r="AB224" i="27"/>
  <c r="AB274" i="27"/>
  <c r="AB322" i="27"/>
  <c r="AB369" i="27"/>
  <c r="AB416" i="27"/>
  <c r="AB469" i="27"/>
  <c r="AB517" i="27"/>
  <c r="AB564" i="27"/>
  <c r="AB612" i="27"/>
  <c r="AB659" i="27"/>
  <c r="AB713" i="27"/>
  <c r="AB761" i="27"/>
  <c r="AB808" i="27"/>
  <c r="AB858" i="27"/>
  <c r="AB15" i="27"/>
  <c r="AB105" i="27"/>
  <c r="AB152" i="27"/>
  <c r="AB200" i="27"/>
  <c r="AB247" i="27"/>
  <c r="AB302" i="27"/>
  <c r="AB349" i="27"/>
  <c r="AB397" i="27"/>
  <c r="AB447" i="27"/>
  <c r="AB492" i="27"/>
  <c r="AB544" i="27"/>
  <c r="AB594" i="27"/>
  <c r="AB642" i="27"/>
  <c r="AB689" i="27"/>
  <c r="AB737" i="27"/>
  <c r="AB762" i="27"/>
  <c r="AB812" i="27"/>
  <c r="AB860" i="27"/>
  <c r="AB16" i="27"/>
  <c r="AB106" i="27"/>
  <c r="AB154" i="27"/>
  <c r="AB201" i="27"/>
  <c r="AB256" i="27"/>
  <c r="AB303" i="27"/>
  <c r="AB350" i="27"/>
  <c r="AB401" i="27"/>
  <c r="AB448" i="27"/>
  <c r="AB519" i="27"/>
  <c r="AB567" i="27"/>
  <c r="AB622" i="27"/>
  <c r="AB669" i="27"/>
  <c r="AB716" i="27"/>
  <c r="AB767" i="27"/>
  <c r="AB814" i="27"/>
  <c r="AB866" i="27"/>
  <c r="AB18" i="27"/>
  <c r="AB108" i="27"/>
  <c r="AB184" i="27"/>
  <c r="AB231" i="27"/>
  <c r="AB304" i="27"/>
  <c r="AB355" i="27"/>
  <c r="AB402" i="27"/>
  <c r="AB474" i="27"/>
  <c r="AB575" i="27"/>
  <c r="AB644" i="27"/>
  <c r="AB746" i="27"/>
  <c r="AB820" i="27"/>
  <c r="C204" i="31"/>
  <c r="C202" i="31"/>
  <c r="C196" i="31"/>
  <c r="C194" i="31"/>
  <c r="C203" i="31"/>
  <c r="C195" i="31"/>
  <c r="C201" i="31"/>
  <c r="F54" i="31"/>
  <c r="BF130" i="31" s="1"/>
  <c r="BF131" i="31" s="1"/>
  <c r="BF132" i="31" s="1"/>
  <c r="BF133" i="31" s="1"/>
  <c r="BF134" i="31" s="1"/>
  <c r="BF135" i="31" s="1"/>
  <c r="BF136" i="31" s="1"/>
  <c r="BF137" i="31" s="1"/>
  <c r="BF138" i="31" s="1"/>
  <c r="BF139" i="31" s="1"/>
  <c r="BF140" i="31" s="1"/>
  <c r="BF141" i="31" s="1"/>
  <c r="BF142" i="31" s="1"/>
  <c r="BF143" i="31" s="1"/>
  <c r="G204" i="31" s="1"/>
  <c r="C200" i="31"/>
  <c r="F47" i="31"/>
  <c r="AL96" i="31" s="1"/>
  <c r="AL97" i="31" s="1"/>
  <c r="AL98" i="31" s="1"/>
  <c r="AL99" i="31" s="1"/>
  <c r="AL100" i="31" s="1"/>
  <c r="AL101" i="31" s="1"/>
  <c r="AL102" i="31" s="1"/>
  <c r="AL103" i="31" s="1"/>
  <c r="AL104" i="31" s="1"/>
  <c r="AL105" i="31" s="1"/>
  <c r="AL106" i="31" s="1"/>
  <c r="AL107" i="31" s="1"/>
  <c r="AL108" i="31" s="1"/>
  <c r="AL109" i="31" s="1"/>
  <c r="AT95" i="31"/>
  <c r="F48" i="31"/>
  <c r="C193" i="31"/>
  <c r="C197" i="31"/>
  <c r="F51" i="31"/>
  <c r="AT130" i="31" s="1"/>
  <c r="AT131" i="31" s="1"/>
  <c r="AT132" i="31" s="1"/>
  <c r="AT133" i="31" s="1"/>
  <c r="AT134" i="31" s="1"/>
  <c r="AT135" i="31" s="1"/>
  <c r="AT136" i="31" s="1"/>
  <c r="AT137" i="31" s="1"/>
  <c r="AT138" i="31" s="1"/>
  <c r="AT139" i="31" s="1"/>
  <c r="AT140" i="31" s="1"/>
  <c r="AT141" i="31" s="1"/>
  <c r="AT142" i="31" s="1"/>
  <c r="AT143" i="31" s="1"/>
  <c r="AT144" i="31" s="1"/>
  <c r="AT145" i="31" s="1"/>
  <c r="AT146" i="31" s="1"/>
  <c r="AT147" i="31" s="1"/>
  <c r="AT148" i="31" s="1"/>
  <c r="AT149" i="31" s="1"/>
  <c r="AT150" i="31" s="1"/>
  <c r="AT151" i="31" s="1"/>
  <c r="AT152" i="31" s="1"/>
  <c r="AT153" i="31" s="1"/>
  <c r="AT154" i="31" s="1"/>
  <c r="AT155" i="31" s="1"/>
  <c r="AT156" i="31" s="1"/>
  <c r="AT157" i="31" s="1"/>
  <c r="AT158" i="31" s="1"/>
  <c r="AT159" i="31" s="1"/>
  <c r="F45" i="31"/>
  <c r="AT62" i="31" s="1"/>
  <c r="AT63" i="31" s="1"/>
  <c r="AT64" i="31" s="1"/>
  <c r="AT65" i="31" s="1"/>
  <c r="AT66" i="31" s="1"/>
  <c r="AT67" i="31" s="1"/>
  <c r="AT68" i="31" s="1"/>
  <c r="AT69" i="31" s="1"/>
  <c r="AT70" i="31" s="1"/>
  <c r="AT71" i="31" s="1"/>
  <c r="AT72" i="31" s="1"/>
  <c r="AT73" i="31" s="1"/>
  <c r="AT74" i="31" s="1"/>
  <c r="AT75" i="31" s="1"/>
  <c r="AT76" i="31" s="1"/>
  <c r="AT77" i="31" s="1"/>
  <c r="AT78" i="31" s="1"/>
  <c r="AT79" i="31" s="1"/>
  <c r="AT80" i="31" s="1"/>
  <c r="AT81" i="31" s="1"/>
  <c r="AT82" i="31" s="1"/>
  <c r="AT83" i="31" s="1"/>
  <c r="AT84" i="31" s="1"/>
  <c r="AT85" i="31" s="1"/>
  <c r="AT86" i="31" s="1"/>
  <c r="AT87" i="31" s="1"/>
  <c r="AT88" i="31" s="1"/>
  <c r="AT89" i="31" s="1"/>
  <c r="AT90" i="31" s="1"/>
  <c r="AT91" i="31" s="1"/>
  <c r="F52" i="31"/>
  <c r="AX130" i="31" s="1"/>
  <c r="AX131" i="31" s="1"/>
  <c r="AX132" i="31" s="1"/>
  <c r="AX133" i="31" s="1"/>
  <c r="AX134" i="31" s="1"/>
  <c r="AX135" i="31" s="1"/>
  <c r="AX136" i="31" s="1"/>
  <c r="AX137" i="31" s="1"/>
  <c r="AX138" i="31" s="1"/>
  <c r="AX139" i="31" s="1"/>
  <c r="AX140" i="31" s="1"/>
  <c r="AX141" i="31" s="1"/>
  <c r="AX142" i="31" s="1"/>
  <c r="AX143" i="31" s="1"/>
  <c r="G202" i="31" s="1"/>
  <c r="AP95" i="31"/>
  <c r="F43" i="31"/>
  <c r="AL62" i="31" s="1"/>
  <c r="AL63" i="31" s="1"/>
  <c r="AL64" i="31" s="1"/>
  <c r="AL65" i="31" s="1"/>
  <c r="AL66" i="31" s="1"/>
  <c r="AL67" i="31" s="1"/>
  <c r="AL68" i="31" s="1"/>
  <c r="AL69" i="31" s="1"/>
  <c r="AL70" i="31" s="1"/>
  <c r="AL71" i="31" s="1"/>
  <c r="AL72" i="31" s="1"/>
  <c r="AL73" i="31" s="1"/>
  <c r="AL74" i="31" s="1"/>
  <c r="AL75" i="31" s="1"/>
  <c r="F49" i="31"/>
  <c r="F46" i="31"/>
  <c r="AX62" i="31" s="1"/>
  <c r="AX63" i="31" s="1"/>
  <c r="AX64" i="31" s="1"/>
  <c r="AX65" i="31" s="1"/>
  <c r="AX66" i="31" s="1"/>
  <c r="AX67" i="31" s="1"/>
  <c r="AX68" i="31" s="1"/>
  <c r="AX69" i="31" s="1"/>
  <c r="AX70" i="31" s="1"/>
  <c r="AX71" i="31" s="1"/>
  <c r="AX72" i="31" s="1"/>
  <c r="AX73" i="31" s="1"/>
  <c r="AX74" i="31" s="1"/>
  <c r="AX75" i="31" s="1"/>
  <c r="AX76" i="31" s="1"/>
  <c r="AX77" i="31" s="1"/>
  <c r="AX78" i="31" s="1"/>
  <c r="AX79" i="31" s="1"/>
  <c r="AX80" i="31" s="1"/>
  <c r="AX81" i="31" s="1"/>
  <c r="AX82" i="31" s="1"/>
  <c r="AX83" i="31" s="1"/>
  <c r="AX84" i="31" s="1"/>
  <c r="AX85" i="31" s="1"/>
  <c r="AX86" i="31" s="1"/>
  <c r="AX87" i="31" s="1"/>
  <c r="AX88" i="31" s="1"/>
  <c r="AX89" i="31" s="1"/>
  <c r="AX90" i="31" s="1"/>
  <c r="AX91" i="31" s="1"/>
  <c r="F50" i="31"/>
  <c r="AX96" i="31" s="1"/>
  <c r="AX97" i="31" s="1"/>
  <c r="AX98" i="31" s="1"/>
  <c r="AX99" i="31" s="1"/>
  <c r="AX100" i="31" s="1"/>
  <c r="AX101" i="31" s="1"/>
  <c r="AX102" i="31" s="1"/>
  <c r="AX103" i="31" s="1"/>
  <c r="AX104" i="31" s="1"/>
  <c r="AX105" i="31" s="1"/>
  <c r="AX106" i="31" s="1"/>
  <c r="AX107" i="31" s="1"/>
  <c r="AX108" i="31" s="1"/>
  <c r="AX109" i="31" s="1"/>
  <c r="F53" i="31"/>
  <c r="BB130" i="31" s="1"/>
  <c r="BB131" i="31" s="1"/>
  <c r="BB132" i="31" s="1"/>
  <c r="BB133" i="31" s="1"/>
  <c r="BB134" i="31" s="1"/>
  <c r="BB135" i="31" s="1"/>
  <c r="BB136" i="31" s="1"/>
  <c r="BB137" i="31" s="1"/>
  <c r="BB138" i="31" s="1"/>
  <c r="BB139" i="31" s="1"/>
  <c r="BB140" i="31" s="1"/>
  <c r="BB141" i="31" s="1"/>
  <c r="BB142" i="31" s="1"/>
  <c r="BB143" i="31" s="1"/>
  <c r="BB144" i="31" s="1"/>
  <c r="BB145" i="31" s="1"/>
  <c r="BB146" i="31" s="1"/>
  <c r="BB147" i="31" s="1"/>
  <c r="BB148" i="31" s="1"/>
  <c r="BB149" i="31" s="1"/>
  <c r="BB150" i="31" s="1"/>
  <c r="BB151" i="31" s="1"/>
  <c r="BB152" i="31" s="1"/>
  <c r="BB153" i="31" s="1"/>
  <c r="BB154" i="31" s="1"/>
  <c r="BB155" i="31" s="1"/>
  <c r="BB156" i="31" s="1"/>
  <c r="BB157" i="31" s="1"/>
  <c r="BB158" i="31" s="1"/>
  <c r="BB159" i="31" s="1"/>
  <c r="F44" i="31"/>
  <c r="AP62" i="31" s="1"/>
  <c r="AP63" i="31" s="1"/>
  <c r="AP64" i="31" s="1"/>
  <c r="AP65" i="31" s="1"/>
  <c r="AP66" i="31" s="1"/>
  <c r="AP67" i="31" s="1"/>
  <c r="AP68" i="31" s="1"/>
  <c r="AP69" i="31" s="1"/>
  <c r="AP70" i="31" s="1"/>
  <c r="AP71" i="31" s="1"/>
  <c r="AP72" i="31" s="1"/>
  <c r="AP73" i="31" s="1"/>
  <c r="AP74" i="31" s="1"/>
  <c r="AP75" i="31" s="1"/>
  <c r="C10" i="33"/>
  <c r="D19" i="31"/>
  <c r="D15" i="31"/>
  <c r="D20" i="31"/>
  <c r="C12" i="16"/>
  <c r="C4" i="33"/>
  <c r="AH60" i="31"/>
  <c r="AD60" i="31"/>
  <c r="Z60" i="31"/>
  <c r="V60" i="31"/>
  <c r="R60" i="31"/>
  <c r="N60" i="31"/>
  <c r="J60" i="31"/>
  <c r="B60" i="31"/>
  <c r="F60" i="31"/>
  <c r="B6" i="34"/>
  <c r="B95" i="26"/>
  <c r="G77" i="26"/>
  <c r="E20" i="31"/>
  <c r="E19" i="31"/>
  <c r="E15" i="31"/>
  <c r="E10" i="31"/>
  <c r="F10" i="31" s="1"/>
  <c r="Z95" i="31"/>
  <c r="B10" i="26"/>
  <c r="B9" i="26" s="1"/>
  <c r="B258" i="5"/>
  <c r="B257" i="5"/>
  <c r="C45" i="34" l="1"/>
  <c r="C45" i="35"/>
  <c r="C43" i="34"/>
  <c r="C43" i="35"/>
  <c r="H201" i="31"/>
  <c r="AT96" i="31"/>
  <c r="AT97" i="31" s="1"/>
  <c r="AT98" i="31" s="1"/>
  <c r="AT99" i="31" s="1"/>
  <c r="AT100" i="31" s="1"/>
  <c r="AT101" i="31" s="1"/>
  <c r="AT102" i="31" s="1"/>
  <c r="AT103" i="31" s="1"/>
  <c r="AT104" i="31" s="1"/>
  <c r="AT105" i="31" s="1"/>
  <c r="AT106" i="31" s="1"/>
  <c r="AT107" i="31" s="1"/>
  <c r="AT108" i="31" s="1"/>
  <c r="AT109" i="31" s="1"/>
  <c r="AT110" i="31" s="1"/>
  <c r="AT111" i="31" s="1"/>
  <c r="AT112" i="31" s="1"/>
  <c r="AT113" i="31" s="1"/>
  <c r="AT114" i="31" s="1"/>
  <c r="AT115" i="31" s="1"/>
  <c r="AT116" i="31" s="1"/>
  <c r="AT117" i="31" s="1"/>
  <c r="AT118" i="31" s="1"/>
  <c r="AT119" i="31" s="1"/>
  <c r="AT120" i="31" s="1"/>
  <c r="AT121" i="31" s="1"/>
  <c r="AT122" i="31" s="1"/>
  <c r="AT123" i="31" s="1"/>
  <c r="AT124" i="31" s="1"/>
  <c r="AT125" i="31" s="1"/>
  <c r="G200" i="31"/>
  <c r="AL110" i="31"/>
  <c r="AL111" i="31" s="1"/>
  <c r="AL112" i="31" s="1"/>
  <c r="AL113" i="31" s="1"/>
  <c r="AL114" i="31" s="1"/>
  <c r="AL115" i="31" s="1"/>
  <c r="AL116" i="31" s="1"/>
  <c r="AL117" i="31" s="1"/>
  <c r="AL118" i="31" s="1"/>
  <c r="AL119" i="31" s="1"/>
  <c r="AL120" i="31" s="1"/>
  <c r="AL121" i="31" s="1"/>
  <c r="AL122" i="31" s="1"/>
  <c r="AL123" i="31" s="1"/>
  <c r="AL124" i="31" s="1"/>
  <c r="AL125" i="31" s="1"/>
  <c r="G195" i="31"/>
  <c r="D203" i="31"/>
  <c r="C44" i="32" s="1"/>
  <c r="G203" i="31"/>
  <c r="H195" i="31"/>
  <c r="F203" i="31"/>
  <c r="D44" i="32" s="1"/>
  <c r="F201" i="31"/>
  <c r="D42" i="32" s="1"/>
  <c r="F196" i="31"/>
  <c r="D37" i="32" s="1"/>
  <c r="AP76" i="31"/>
  <c r="AP77" i="31" s="1"/>
  <c r="AP78" i="31" s="1"/>
  <c r="AP79" i="31" s="1"/>
  <c r="AP80" i="31" s="1"/>
  <c r="AP81" i="31" s="1"/>
  <c r="AP82" i="31" s="1"/>
  <c r="AP83" i="31" s="1"/>
  <c r="AP84" i="31" s="1"/>
  <c r="AP85" i="31" s="1"/>
  <c r="AP86" i="31" s="1"/>
  <c r="AP87" i="31" s="1"/>
  <c r="AP88" i="31" s="1"/>
  <c r="AP89" i="31" s="1"/>
  <c r="AP90" i="31" s="1"/>
  <c r="AP91" i="31" s="1"/>
  <c r="G193" i="31"/>
  <c r="G194" i="31"/>
  <c r="F195" i="31"/>
  <c r="D36" i="32" s="1"/>
  <c r="H203" i="31"/>
  <c r="AX110" i="31"/>
  <c r="AX111" i="31" s="1"/>
  <c r="AX112" i="31" s="1"/>
  <c r="AX113" i="31" s="1"/>
  <c r="AX114" i="31" s="1"/>
  <c r="AX115" i="31" s="1"/>
  <c r="AX116" i="31" s="1"/>
  <c r="AX117" i="31" s="1"/>
  <c r="AX118" i="31" s="1"/>
  <c r="AX119" i="31" s="1"/>
  <c r="AX120" i="31" s="1"/>
  <c r="AX121" i="31" s="1"/>
  <c r="AX122" i="31" s="1"/>
  <c r="AX123" i="31" s="1"/>
  <c r="AX124" i="31" s="1"/>
  <c r="AX125" i="31" s="1"/>
  <c r="G197" i="31"/>
  <c r="D201" i="31"/>
  <c r="C42" i="32" s="1"/>
  <c r="G201" i="31"/>
  <c r="G196" i="31"/>
  <c r="H196" i="31"/>
  <c r="AX144" i="31"/>
  <c r="AX145" i="31" s="1"/>
  <c r="AX146" i="31" s="1"/>
  <c r="AX147" i="31" s="1"/>
  <c r="AX148" i="31" s="1"/>
  <c r="AX149" i="31" s="1"/>
  <c r="AX150" i="31" s="1"/>
  <c r="AX151" i="31" s="1"/>
  <c r="AX152" i="31" s="1"/>
  <c r="AX153" i="31" s="1"/>
  <c r="AX154" i="31" s="1"/>
  <c r="AX155" i="31" s="1"/>
  <c r="AX156" i="31" s="1"/>
  <c r="AX157" i="31" s="1"/>
  <c r="AX158" i="31" s="1"/>
  <c r="AX159" i="31" s="1"/>
  <c r="D202" i="31"/>
  <c r="C43" i="32" s="1"/>
  <c r="BF144" i="31"/>
  <c r="BF145" i="31" s="1"/>
  <c r="BF146" i="31" s="1"/>
  <c r="BF147" i="31" s="1"/>
  <c r="BF148" i="31" s="1"/>
  <c r="BF149" i="31" s="1"/>
  <c r="BF150" i="31" s="1"/>
  <c r="BF151" i="31" s="1"/>
  <c r="BF152" i="31" s="1"/>
  <c r="BF153" i="31" s="1"/>
  <c r="BF154" i="31" s="1"/>
  <c r="BF155" i="31" s="1"/>
  <c r="BF156" i="31" s="1"/>
  <c r="BF157" i="31" s="1"/>
  <c r="BF158" i="31" s="1"/>
  <c r="BF159" i="31" s="1"/>
  <c r="D204" i="31"/>
  <c r="C45" i="32" s="1"/>
  <c r="D195" i="31"/>
  <c r="C36" i="32" s="1"/>
  <c r="D196" i="31"/>
  <c r="C37" i="32" s="1"/>
  <c r="D200" i="31"/>
  <c r="C41" i="32" s="1"/>
  <c r="D194" i="31"/>
  <c r="C35" i="32" s="1"/>
  <c r="D197" i="31"/>
  <c r="C38" i="32" s="1"/>
  <c r="AP96" i="31"/>
  <c r="AP97" i="31" s="1"/>
  <c r="AP98" i="31" s="1"/>
  <c r="AP99" i="31" s="1"/>
  <c r="AP100" i="31" s="1"/>
  <c r="AP101" i="31" s="1"/>
  <c r="AP102" i="31" s="1"/>
  <c r="AP103" i="31" s="1"/>
  <c r="AP104" i="31" s="1"/>
  <c r="AP105" i="31" s="1"/>
  <c r="AP106" i="31" s="1"/>
  <c r="AP107" i="31" s="1"/>
  <c r="AP108" i="31" s="1"/>
  <c r="AP109" i="31" s="1"/>
  <c r="AL76" i="31"/>
  <c r="AL77" i="31" s="1"/>
  <c r="AL78" i="31" s="1"/>
  <c r="AL79" i="31" s="1"/>
  <c r="AL80" i="31" s="1"/>
  <c r="AL81" i="31" s="1"/>
  <c r="AL82" i="31" s="1"/>
  <c r="AL83" i="31" s="1"/>
  <c r="AL84" i="31" s="1"/>
  <c r="AL85" i="31" s="1"/>
  <c r="AL86" i="31" s="1"/>
  <c r="AL87" i="31" s="1"/>
  <c r="AL88" i="31" s="1"/>
  <c r="AL89" i="31" s="1"/>
  <c r="AL90" i="31" s="1"/>
  <c r="AL91" i="31" s="1"/>
  <c r="D193" i="31"/>
  <c r="C34" i="32" s="1"/>
  <c r="G103" i="26"/>
  <c r="B103" i="26"/>
  <c r="B99" i="26"/>
  <c r="G91" i="26"/>
  <c r="B91" i="26"/>
  <c r="B81" i="26"/>
  <c r="G74" i="26"/>
  <c r="B77" i="26"/>
  <c r="B74" i="26"/>
  <c r="G60" i="26"/>
  <c r="G59" i="26" s="1"/>
  <c r="B55" i="26"/>
  <c r="B56" i="26" s="1"/>
  <c r="G43" i="26"/>
  <c r="G44" i="26" s="1"/>
  <c r="B43" i="26"/>
  <c r="B44" i="26" s="1"/>
  <c r="G27" i="26"/>
  <c r="B27" i="26"/>
  <c r="G10" i="26"/>
  <c r="G199" i="31" l="1"/>
  <c r="C40" i="35" s="1"/>
  <c r="H199" i="31"/>
  <c r="D40" i="34" s="1"/>
  <c r="D199" i="31"/>
  <c r="C40" i="32" s="1"/>
  <c r="C42" i="34"/>
  <c r="C42" i="35"/>
  <c r="C38" i="34"/>
  <c r="C38" i="35"/>
  <c r="C41" i="34"/>
  <c r="C41" i="35"/>
  <c r="C34" i="34"/>
  <c r="C34" i="35"/>
  <c r="D44" i="34"/>
  <c r="D44" i="35"/>
  <c r="D37" i="34"/>
  <c r="D37" i="35"/>
  <c r="D36" i="34"/>
  <c r="D36" i="35"/>
  <c r="C37" i="34"/>
  <c r="C37" i="35"/>
  <c r="C36" i="34"/>
  <c r="C36" i="35"/>
  <c r="D42" i="34"/>
  <c r="D42" i="35"/>
  <c r="C35" i="34"/>
  <c r="C35" i="35"/>
  <c r="C44" i="34"/>
  <c r="C44" i="35"/>
  <c r="H200" i="31"/>
  <c r="F199" i="31"/>
  <c r="D40" i="32" s="1"/>
  <c r="F197" i="31"/>
  <c r="D38" i="32" s="1"/>
  <c r="E38" i="32" s="1"/>
  <c r="E42" i="32"/>
  <c r="F194" i="31"/>
  <c r="D35" i="32" s="1"/>
  <c r="E35" i="32" s="1"/>
  <c r="H197" i="31"/>
  <c r="F200" i="31"/>
  <c r="D41" i="32" s="1"/>
  <c r="E41" i="32" s="1"/>
  <c r="E37" i="32"/>
  <c r="G198" i="31"/>
  <c r="E36" i="32"/>
  <c r="H202" i="31"/>
  <c r="F204" i="31"/>
  <c r="D45" i="32" s="1"/>
  <c r="E45" i="32" s="1"/>
  <c r="E44" i="32"/>
  <c r="H204" i="31"/>
  <c r="F202" i="31"/>
  <c r="D43" i="32" s="1"/>
  <c r="E43" i="32" s="1"/>
  <c r="H194" i="31"/>
  <c r="H193" i="31"/>
  <c r="F193" i="31"/>
  <c r="D34" i="32" s="1"/>
  <c r="E34" i="32" s="1"/>
  <c r="AP110" i="31"/>
  <c r="AP111" i="31" s="1"/>
  <c r="AP112" i="31" s="1"/>
  <c r="AP113" i="31" s="1"/>
  <c r="AP114" i="31" s="1"/>
  <c r="AP115" i="31" s="1"/>
  <c r="AP116" i="31" s="1"/>
  <c r="AP117" i="31" s="1"/>
  <c r="AP118" i="31" s="1"/>
  <c r="AP119" i="31" s="1"/>
  <c r="AP120" i="31" s="1"/>
  <c r="AP121" i="31" s="1"/>
  <c r="AP122" i="31" s="1"/>
  <c r="AP123" i="31" s="1"/>
  <c r="AP124" i="31" s="1"/>
  <c r="AP125" i="31" s="1"/>
  <c r="D198" i="31"/>
  <c r="C39" i="32" s="1"/>
  <c r="B5" i="26"/>
  <c r="C40" i="34" l="1"/>
  <c r="E40" i="34" s="1"/>
  <c r="D40" i="35"/>
  <c r="E40" i="35" s="1"/>
  <c r="E40" i="32"/>
  <c r="E36" i="34"/>
  <c r="E37" i="35"/>
  <c r="E37" i="34"/>
  <c r="E42" i="34"/>
  <c r="E42" i="35"/>
  <c r="E36" i="35"/>
  <c r="E44" i="34"/>
  <c r="D41" i="34"/>
  <c r="E41" i="34" s="1"/>
  <c r="D41" i="35"/>
  <c r="E41" i="35" s="1"/>
  <c r="D38" i="34"/>
  <c r="E38" i="34" s="1"/>
  <c r="D38" i="35"/>
  <c r="E38" i="35" s="1"/>
  <c r="E44" i="35"/>
  <c r="D43" i="34"/>
  <c r="E43" i="34" s="1"/>
  <c r="D43" i="35"/>
  <c r="E43" i="35" s="1"/>
  <c r="D45" i="34"/>
  <c r="E45" i="34" s="1"/>
  <c r="D45" i="35"/>
  <c r="E45" i="35" s="1"/>
  <c r="D34" i="34"/>
  <c r="E34" i="34" s="1"/>
  <c r="D34" i="35"/>
  <c r="E34" i="35" s="1"/>
  <c r="D35" i="34"/>
  <c r="E35" i="34" s="1"/>
  <c r="D35" i="35"/>
  <c r="E35" i="35" s="1"/>
  <c r="C39" i="34"/>
  <c r="C39" i="35"/>
  <c r="H198" i="31"/>
  <c r="F198" i="31"/>
  <c r="D39" i="32" s="1"/>
  <c r="E39" i="32" s="1"/>
  <c r="B235" i="5"/>
  <c r="B234" i="5"/>
  <c r="B233" i="5"/>
  <c r="B232" i="5"/>
  <c r="B231" i="5"/>
  <c r="B239" i="5"/>
  <c r="D239" i="5" s="1"/>
  <c r="C34" i="33"/>
  <c r="C33" i="33"/>
  <c r="C32" i="33"/>
  <c r="C31" i="33"/>
  <c r="C30" i="33"/>
  <c r="C29" i="33"/>
  <c r="C28" i="33"/>
  <c r="C27" i="33"/>
  <c r="C26" i="33"/>
  <c r="C25" i="33"/>
  <c r="C24" i="33"/>
  <c r="C23" i="33"/>
  <c r="C22" i="33"/>
  <c r="C21" i="33"/>
  <c r="C20" i="33"/>
  <c r="C19" i="33"/>
  <c r="C18" i="33"/>
  <c r="C17" i="33"/>
  <c r="C16" i="33"/>
  <c r="C15" i="33"/>
  <c r="C14" i="33"/>
  <c r="C13" i="33"/>
  <c r="C12" i="33"/>
  <c r="C11" i="33"/>
  <c r="C9" i="33"/>
  <c r="C8" i="33"/>
  <c r="C7" i="33"/>
  <c r="C6" i="33"/>
  <c r="C5" i="33"/>
  <c r="B33" i="32"/>
  <c r="B32" i="32"/>
  <c r="B31" i="32"/>
  <c r="B30" i="32"/>
  <c r="B29" i="32"/>
  <c r="B28" i="32"/>
  <c r="B27" i="32"/>
  <c r="B26" i="32"/>
  <c r="B25" i="32"/>
  <c r="B24" i="32"/>
  <c r="B23" i="32"/>
  <c r="B22" i="32"/>
  <c r="B21" i="32"/>
  <c r="B20" i="32"/>
  <c r="B19" i="32"/>
  <c r="B6" i="32"/>
  <c r="C192" i="31"/>
  <c r="C191" i="31"/>
  <c r="C190" i="31"/>
  <c r="C189" i="31"/>
  <c r="E188" i="31"/>
  <c r="C188" i="31"/>
  <c r="C187" i="31"/>
  <c r="E186" i="31"/>
  <c r="C186" i="31"/>
  <c r="C185" i="31"/>
  <c r="C184" i="31"/>
  <c r="C183" i="31"/>
  <c r="C182" i="31"/>
  <c r="E181" i="31"/>
  <c r="C180" i="31"/>
  <c r="C179" i="31"/>
  <c r="E178" i="31"/>
  <c r="E177" i="31"/>
  <c r="E176" i="31"/>
  <c r="E175" i="31"/>
  <c r="E174" i="31"/>
  <c r="E173" i="31"/>
  <c r="C173" i="31"/>
  <c r="E172" i="31"/>
  <c r="C172" i="31"/>
  <c r="E171" i="31"/>
  <c r="C171" i="31"/>
  <c r="E169" i="31"/>
  <c r="C169" i="31"/>
  <c r="E168" i="31"/>
  <c r="C168" i="31"/>
  <c r="E167" i="31"/>
  <c r="C167" i="31"/>
  <c r="AP129" i="31"/>
  <c r="AL129" i="31"/>
  <c r="AH129" i="31"/>
  <c r="AD129" i="31"/>
  <c r="Z129" i="31"/>
  <c r="V129" i="31"/>
  <c r="R129" i="31"/>
  <c r="N129" i="31"/>
  <c r="J129" i="31"/>
  <c r="B129" i="31"/>
  <c r="AP128" i="31"/>
  <c r="AL128" i="31"/>
  <c r="AH128" i="31"/>
  <c r="AD128" i="31"/>
  <c r="Z128" i="31"/>
  <c r="V128" i="31"/>
  <c r="R128" i="31"/>
  <c r="N128" i="31"/>
  <c r="J128" i="31"/>
  <c r="F128" i="31"/>
  <c r="B128" i="31"/>
  <c r="AD95" i="31"/>
  <c r="B95" i="31"/>
  <c r="AH94" i="31"/>
  <c r="AD94" i="31"/>
  <c r="Z94" i="31"/>
  <c r="V94" i="31"/>
  <c r="R94" i="31"/>
  <c r="N94" i="31"/>
  <c r="J94" i="31"/>
  <c r="F94" i="31"/>
  <c r="AH61" i="31"/>
  <c r="AD61" i="31"/>
  <c r="R61" i="31"/>
  <c r="C213" i="31" s="1"/>
  <c r="N61" i="31"/>
  <c r="C212" i="31" s="1"/>
  <c r="J61" i="31"/>
  <c r="C211" i="31" s="1"/>
  <c r="E192" i="31"/>
  <c r="E191" i="31"/>
  <c r="E189" i="31"/>
  <c r="F38" i="31"/>
  <c r="E187" i="31"/>
  <c r="F36" i="31"/>
  <c r="F34" i="31"/>
  <c r="E183" i="31"/>
  <c r="E182" i="31"/>
  <c r="AH95" i="31"/>
  <c r="F30" i="31"/>
  <c r="E179" i="31"/>
  <c r="F28" i="31"/>
  <c r="N95" i="31"/>
  <c r="F25" i="31"/>
  <c r="F95" i="31"/>
  <c r="F23" i="31"/>
  <c r="F22" i="31"/>
  <c r="F21" i="31"/>
  <c r="Z61" i="31"/>
  <c r="E170" i="31"/>
  <c r="C170" i="31"/>
  <c r="F18" i="31"/>
  <c r="F17" i="31"/>
  <c r="F16" i="31"/>
  <c r="E166" i="31"/>
  <c r="AD96" i="31" l="1"/>
  <c r="AD97" i="31" s="1"/>
  <c r="AD98" i="31" s="1"/>
  <c r="AD99" i="31" s="1"/>
  <c r="AD100" i="31" s="1"/>
  <c r="AD101" i="31" s="1"/>
  <c r="AD102" i="31" s="1"/>
  <c r="AD103" i="31" s="1"/>
  <c r="AD104" i="31" s="1"/>
  <c r="AD105" i="31" s="1"/>
  <c r="AD106" i="31" s="1"/>
  <c r="AD107" i="31" s="1"/>
  <c r="AD108" i="31" s="1"/>
  <c r="AD109" i="31" s="1"/>
  <c r="G180" i="31" s="1"/>
  <c r="N62" i="31"/>
  <c r="N63" i="31" s="1"/>
  <c r="N64" i="31" s="1"/>
  <c r="N65" i="31" s="1"/>
  <c r="N66" i="31" s="1"/>
  <c r="N67" i="31" s="1"/>
  <c r="N68" i="31" s="1"/>
  <c r="N69" i="31" s="1"/>
  <c r="N70" i="31" s="1"/>
  <c r="N71" i="31" s="1"/>
  <c r="N72" i="31" s="1"/>
  <c r="N73" i="31" s="1"/>
  <c r="N74" i="31" s="1"/>
  <c r="N75" i="31" s="1"/>
  <c r="D168" i="31" s="1"/>
  <c r="C9" i="32" s="1"/>
  <c r="D39" i="34"/>
  <c r="E39" i="34" s="1"/>
  <c r="D39" i="35"/>
  <c r="E39" i="35" s="1"/>
  <c r="AD62" i="31"/>
  <c r="AD63" i="31" s="1"/>
  <c r="AD64" i="31" s="1"/>
  <c r="AD65" i="31" s="1"/>
  <c r="AD66" i="31" s="1"/>
  <c r="AD67" i="31" s="1"/>
  <c r="AD68" i="31" s="1"/>
  <c r="AD69" i="31" s="1"/>
  <c r="AD70" i="31" s="1"/>
  <c r="AD71" i="31" s="1"/>
  <c r="AD72" i="31" s="1"/>
  <c r="AD73" i="31" s="1"/>
  <c r="AD74" i="31" s="1"/>
  <c r="AD75" i="31" s="1"/>
  <c r="D171" i="31" s="1"/>
  <c r="C12" i="32" s="1"/>
  <c r="AH62" i="31"/>
  <c r="AH63" i="31" s="1"/>
  <c r="AH64" i="31" s="1"/>
  <c r="AH65" i="31" s="1"/>
  <c r="AH66" i="31" s="1"/>
  <c r="AH67" i="31" s="1"/>
  <c r="AH68" i="31" s="1"/>
  <c r="AH69" i="31" s="1"/>
  <c r="AH70" i="31" s="1"/>
  <c r="AH71" i="31" s="1"/>
  <c r="AH72" i="31" s="1"/>
  <c r="AH73" i="31" s="1"/>
  <c r="AH74" i="31" s="1"/>
  <c r="AH75" i="31" s="1"/>
  <c r="AH76" i="31" s="1"/>
  <c r="AH77" i="31" s="1"/>
  <c r="AH78" i="31" s="1"/>
  <c r="AH79" i="31" s="1"/>
  <c r="AH80" i="31" s="1"/>
  <c r="AH81" i="31" s="1"/>
  <c r="AH82" i="31" s="1"/>
  <c r="AH83" i="31" s="1"/>
  <c r="AH84" i="31" s="1"/>
  <c r="AH85" i="31" s="1"/>
  <c r="AH86" i="31" s="1"/>
  <c r="AH87" i="31" s="1"/>
  <c r="AH88" i="31" s="1"/>
  <c r="AH89" i="31" s="1"/>
  <c r="AH90" i="31" s="1"/>
  <c r="AH91" i="31" s="1"/>
  <c r="J62" i="31"/>
  <c r="J63" i="31" s="1"/>
  <c r="J64" i="31" s="1"/>
  <c r="J65" i="31" s="1"/>
  <c r="J66" i="31" s="1"/>
  <c r="J67" i="31" s="1"/>
  <c r="J68" i="31" s="1"/>
  <c r="J69" i="31" s="1"/>
  <c r="J70" i="31" s="1"/>
  <c r="J71" i="31" s="1"/>
  <c r="J72" i="31" s="1"/>
  <c r="J73" i="31" s="1"/>
  <c r="J74" i="31" s="1"/>
  <c r="J75" i="31" s="1"/>
  <c r="D211" i="31" s="1"/>
  <c r="F15" i="31"/>
  <c r="J130" i="31"/>
  <c r="J131" i="31" s="1"/>
  <c r="J132" i="31" s="1"/>
  <c r="J133" i="31" s="1"/>
  <c r="J134" i="31" s="1"/>
  <c r="J135" i="31" s="1"/>
  <c r="J136" i="31" s="1"/>
  <c r="J137" i="31" s="1"/>
  <c r="J138" i="31" s="1"/>
  <c r="J139" i="31" s="1"/>
  <c r="J140" i="31" s="1"/>
  <c r="J141" i="31" s="1"/>
  <c r="J142" i="31" s="1"/>
  <c r="J143" i="31" s="1"/>
  <c r="J144" i="31" s="1"/>
  <c r="J145" i="31" s="1"/>
  <c r="J146" i="31" s="1"/>
  <c r="J147" i="31" s="1"/>
  <c r="J148" i="31" s="1"/>
  <c r="J149" i="31" s="1"/>
  <c r="J150" i="31" s="1"/>
  <c r="J151" i="31" s="1"/>
  <c r="J152" i="31" s="1"/>
  <c r="J153" i="31" s="1"/>
  <c r="J154" i="31" s="1"/>
  <c r="J155" i="31" s="1"/>
  <c r="J156" i="31" s="1"/>
  <c r="J157" i="31" s="1"/>
  <c r="J158" i="31" s="1"/>
  <c r="J159" i="31" s="1"/>
  <c r="F41" i="31"/>
  <c r="AL130" i="31" s="1"/>
  <c r="AL131" i="31" s="1"/>
  <c r="AL132" i="31" s="1"/>
  <c r="AL133" i="31" s="1"/>
  <c r="AL134" i="31" s="1"/>
  <c r="AL135" i="31" s="1"/>
  <c r="AL136" i="31" s="1"/>
  <c r="AL137" i="31" s="1"/>
  <c r="AL138" i="31" s="1"/>
  <c r="AL139" i="31" s="1"/>
  <c r="AL140" i="31" s="1"/>
  <c r="AL141" i="31" s="1"/>
  <c r="AL142" i="31" s="1"/>
  <c r="AL143" i="31" s="1"/>
  <c r="G191" i="31" s="1"/>
  <c r="F37" i="31"/>
  <c r="V130" i="31" s="1"/>
  <c r="V131" i="31" s="1"/>
  <c r="V132" i="31" s="1"/>
  <c r="V133" i="31" s="1"/>
  <c r="V134" i="31" s="1"/>
  <c r="V135" i="31" s="1"/>
  <c r="V136" i="31" s="1"/>
  <c r="V137" i="31" s="1"/>
  <c r="V138" i="31" s="1"/>
  <c r="V139" i="31" s="1"/>
  <c r="V140" i="31" s="1"/>
  <c r="V141" i="31" s="1"/>
  <c r="V142" i="31" s="1"/>
  <c r="V143" i="31" s="1"/>
  <c r="G187" i="31" s="1"/>
  <c r="E184" i="31"/>
  <c r="F33" i="31"/>
  <c r="F130" i="31" s="1"/>
  <c r="F131" i="31" s="1"/>
  <c r="F132" i="31" s="1"/>
  <c r="F133" i="31" s="1"/>
  <c r="F134" i="31" s="1"/>
  <c r="F135" i="31" s="1"/>
  <c r="F136" i="31" s="1"/>
  <c r="F137" i="31" s="1"/>
  <c r="F138" i="31" s="1"/>
  <c r="F139" i="31" s="1"/>
  <c r="F140" i="31" s="1"/>
  <c r="F141" i="31" s="1"/>
  <c r="F142" i="31" s="1"/>
  <c r="F143" i="31" s="1"/>
  <c r="F144" i="31" s="1"/>
  <c r="F145" i="31" s="1"/>
  <c r="F146" i="31" s="1"/>
  <c r="F147" i="31" s="1"/>
  <c r="F148" i="31" s="1"/>
  <c r="F149" i="31" s="1"/>
  <c r="F150" i="31" s="1"/>
  <c r="F151" i="31" s="1"/>
  <c r="F152" i="31" s="1"/>
  <c r="F153" i="31" s="1"/>
  <c r="F154" i="31" s="1"/>
  <c r="F155" i="31" s="1"/>
  <c r="F156" i="31" s="1"/>
  <c r="F157" i="31" s="1"/>
  <c r="F158" i="31" s="1"/>
  <c r="F159" i="31" s="1"/>
  <c r="F32" i="31"/>
  <c r="B130" i="31" s="1"/>
  <c r="B131" i="31" s="1"/>
  <c r="B132" i="31" s="1"/>
  <c r="B133" i="31" s="1"/>
  <c r="B134" i="31" s="1"/>
  <c r="B135" i="31" s="1"/>
  <c r="B136" i="31" s="1"/>
  <c r="B137" i="31" s="1"/>
  <c r="B138" i="31" s="1"/>
  <c r="B139" i="31" s="1"/>
  <c r="B140" i="31" s="1"/>
  <c r="B141" i="31" s="1"/>
  <c r="B142" i="31" s="1"/>
  <c r="B143" i="31" s="1"/>
  <c r="B144" i="31" s="1"/>
  <c r="B145" i="31" s="1"/>
  <c r="B146" i="31" s="1"/>
  <c r="B147" i="31" s="1"/>
  <c r="B148" i="31" s="1"/>
  <c r="B149" i="31" s="1"/>
  <c r="B150" i="31" s="1"/>
  <c r="B151" i="31" s="1"/>
  <c r="B152" i="31" s="1"/>
  <c r="B153" i="31" s="1"/>
  <c r="B154" i="31" s="1"/>
  <c r="B155" i="31" s="1"/>
  <c r="B156" i="31" s="1"/>
  <c r="B157" i="31" s="1"/>
  <c r="B158" i="31" s="1"/>
  <c r="B159" i="31" s="1"/>
  <c r="E180" i="31"/>
  <c r="F29" i="31"/>
  <c r="Z96" i="31" s="1"/>
  <c r="Z97" i="31" s="1"/>
  <c r="Z98" i="31" s="1"/>
  <c r="Z99" i="31" s="1"/>
  <c r="Z100" i="31" s="1"/>
  <c r="Z101" i="31" s="1"/>
  <c r="Z102" i="31" s="1"/>
  <c r="Z103" i="31" s="1"/>
  <c r="Z104" i="31" s="1"/>
  <c r="Z105" i="31" s="1"/>
  <c r="Z106" i="31" s="1"/>
  <c r="Z107" i="31" s="1"/>
  <c r="Z108" i="31" s="1"/>
  <c r="Z109" i="31" s="1"/>
  <c r="Z110" i="31" s="1"/>
  <c r="Z111" i="31" s="1"/>
  <c r="Z112" i="31" s="1"/>
  <c r="Z113" i="31" s="1"/>
  <c r="Z114" i="31" s="1"/>
  <c r="Z115" i="31" s="1"/>
  <c r="Z116" i="31" s="1"/>
  <c r="Z117" i="31" s="1"/>
  <c r="Z118" i="31" s="1"/>
  <c r="Z119" i="31" s="1"/>
  <c r="Z120" i="31" s="1"/>
  <c r="Z121" i="31" s="1"/>
  <c r="Z122" i="31" s="1"/>
  <c r="Z123" i="31" s="1"/>
  <c r="Z124" i="31" s="1"/>
  <c r="Z125" i="31" s="1"/>
  <c r="C178" i="31"/>
  <c r="V95" i="31"/>
  <c r="V96" i="31" s="1"/>
  <c r="V97" i="31" s="1"/>
  <c r="V98" i="31" s="1"/>
  <c r="V99" i="31" s="1"/>
  <c r="V100" i="31" s="1"/>
  <c r="V101" i="31" s="1"/>
  <c r="V102" i="31" s="1"/>
  <c r="V103" i="31" s="1"/>
  <c r="V104" i="31" s="1"/>
  <c r="V105" i="31" s="1"/>
  <c r="V106" i="31" s="1"/>
  <c r="V107" i="31" s="1"/>
  <c r="V108" i="31" s="1"/>
  <c r="V109" i="31" s="1"/>
  <c r="C174" i="31"/>
  <c r="F24" i="31"/>
  <c r="F20" i="31"/>
  <c r="Z62" i="31" s="1"/>
  <c r="V61" i="31"/>
  <c r="F19" i="31"/>
  <c r="N76" i="31"/>
  <c r="N77" i="31" s="1"/>
  <c r="N78" i="31" s="1"/>
  <c r="N79" i="31" s="1"/>
  <c r="N80" i="31" s="1"/>
  <c r="N81" i="31" s="1"/>
  <c r="N82" i="31" s="1"/>
  <c r="N83" i="31" s="1"/>
  <c r="N84" i="31" s="1"/>
  <c r="N85" i="31" s="1"/>
  <c r="N86" i="31" s="1"/>
  <c r="N87" i="31" s="1"/>
  <c r="N88" i="31" s="1"/>
  <c r="N89" i="31" s="1"/>
  <c r="N90" i="31" s="1"/>
  <c r="N91" i="31" s="1"/>
  <c r="E212" i="31" s="1"/>
  <c r="B4" i="33"/>
  <c r="C181" i="31"/>
  <c r="F31" i="31"/>
  <c r="AH96" i="31" s="1"/>
  <c r="AH97" i="31" s="1"/>
  <c r="AH98" i="31" s="1"/>
  <c r="AH99" i="31" s="1"/>
  <c r="AH100" i="31" s="1"/>
  <c r="AH101" i="31" s="1"/>
  <c r="AH102" i="31" s="1"/>
  <c r="AH103" i="31" s="1"/>
  <c r="AH104" i="31" s="1"/>
  <c r="AH105" i="31" s="1"/>
  <c r="AH106" i="31" s="1"/>
  <c r="AH107" i="31" s="1"/>
  <c r="AH108" i="31" s="1"/>
  <c r="F42" i="31"/>
  <c r="AP130" i="31" s="1"/>
  <c r="AP131" i="31" s="1"/>
  <c r="AP132" i="31" s="1"/>
  <c r="AP133" i="31" s="1"/>
  <c r="AP134" i="31" s="1"/>
  <c r="AP135" i="31" s="1"/>
  <c r="AP136" i="31" s="1"/>
  <c r="AP137" i="31" s="1"/>
  <c r="AP138" i="31" s="1"/>
  <c r="AP139" i="31" s="1"/>
  <c r="AP140" i="31" s="1"/>
  <c r="AP141" i="31" s="1"/>
  <c r="AP142" i="31" s="1"/>
  <c r="AP143" i="31" s="1"/>
  <c r="G192" i="31" s="1"/>
  <c r="C177" i="31"/>
  <c r="R95" i="31"/>
  <c r="F27" i="31"/>
  <c r="C175" i="31"/>
  <c r="J95" i="31"/>
  <c r="J96" i="31" s="1"/>
  <c r="J97" i="31" s="1"/>
  <c r="J98" i="31" s="1"/>
  <c r="J99" i="31" s="1"/>
  <c r="J100" i="31" s="1"/>
  <c r="J101" i="31" s="1"/>
  <c r="J102" i="31" s="1"/>
  <c r="J103" i="31" s="1"/>
  <c r="J104" i="31" s="1"/>
  <c r="J105" i="31" s="1"/>
  <c r="J106" i="31" s="1"/>
  <c r="J107" i="31" s="1"/>
  <c r="J108" i="31" s="1"/>
  <c r="J109" i="31" s="1"/>
  <c r="Z130" i="31"/>
  <c r="Z131" i="31" s="1"/>
  <c r="Z132" i="31" s="1"/>
  <c r="Z133" i="31" s="1"/>
  <c r="Z134" i="31" s="1"/>
  <c r="Z135" i="31" s="1"/>
  <c r="Z136" i="31" s="1"/>
  <c r="Z137" i="31" s="1"/>
  <c r="Z138" i="31" s="1"/>
  <c r="Z139" i="31" s="1"/>
  <c r="Z140" i="31" s="1"/>
  <c r="Z141" i="31" s="1"/>
  <c r="Z142" i="31" s="1"/>
  <c r="Z143" i="31" s="1"/>
  <c r="D188" i="31" s="1"/>
  <c r="C166" i="31"/>
  <c r="F61" i="31"/>
  <c r="E185" i="31"/>
  <c r="F35" i="31"/>
  <c r="N130" i="31" s="1"/>
  <c r="N131" i="31" s="1"/>
  <c r="N132" i="31" s="1"/>
  <c r="N133" i="31" s="1"/>
  <c r="N134" i="31" s="1"/>
  <c r="N135" i="31" s="1"/>
  <c r="N136" i="31" s="1"/>
  <c r="N137" i="31" s="1"/>
  <c r="N138" i="31" s="1"/>
  <c r="N139" i="31" s="1"/>
  <c r="N140" i="31" s="1"/>
  <c r="N141" i="31" s="1"/>
  <c r="N142" i="31" s="1"/>
  <c r="N143" i="31" s="1"/>
  <c r="D185" i="31" s="1"/>
  <c r="E190" i="31"/>
  <c r="F40" i="31"/>
  <c r="AH130" i="31" s="1"/>
  <c r="AH131" i="31" s="1"/>
  <c r="AH132" i="31" s="1"/>
  <c r="AH133" i="31" s="1"/>
  <c r="AH134" i="31" s="1"/>
  <c r="AH135" i="31" s="1"/>
  <c r="AH136" i="31" s="1"/>
  <c r="AH137" i="31" s="1"/>
  <c r="AH138" i="31" s="1"/>
  <c r="AH139" i="31" s="1"/>
  <c r="AH140" i="31" s="1"/>
  <c r="AH141" i="31" s="1"/>
  <c r="AH142" i="31" s="1"/>
  <c r="AH143" i="31" s="1"/>
  <c r="D190" i="31" s="1"/>
  <c r="R62" i="31"/>
  <c r="R63" i="31" s="1"/>
  <c r="R64" i="31" s="1"/>
  <c r="R65" i="31" s="1"/>
  <c r="R66" i="31" s="1"/>
  <c r="R67" i="31" s="1"/>
  <c r="R68" i="31" s="1"/>
  <c r="R69" i="31" s="1"/>
  <c r="R70" i="31" s="1"/>
  <c r="R71" i="31" s="1"/>
  <c r="R72" i="31" s="1"/>
  <c r="R73" i="31" s="1"/>
  <c r="R74" i="31" s="1"/>
  <c r="R75" i="31" s="1"/>
  <c r="G169" i="31" s="1"/>
  <c r="B96" i="31"/>
  <c r="B97" i="31" s="1"/>
  <c r="B98" i="31" s="1"/>
  <c r="B99" i="31" s="1"/>
  <c r="B100" i="31" s="1"/>
  <c r="B101" i="31" s="1"/>
  <c r="B102" i="31" s="1"/>
  <c r="B103" i="31" s="1"/>
  <c r="B104" i="31" s="1"/>
  <c r="B105" i="31" s="1"/>
  <c r="B106" i="31" s="1"/>
  <c r="B107" i="31" s="1"/>
  <c r="B108" i="31" s="1"/>
  <c r="B109" i="31" s="1"/>
  <c r="D173" i="31" s="1"/>
  <c r="F26" i="31"/>
  <c r="F39" i="31"/>
  <c r="AD130" i="31" s="1"/>
  <c r="AD131" i="31" s="1"/>
  <c r="AD132" i="31" s="1"/>
  <c r="AD133" i="31" s="1"/>
  <c r="AD134" i="31" s="1"/>
  <c r="AD135" i="31" s="1"/>
  <c r="AD136" i="31" s="1"/>
  <c r="AD137" i="31" s="1"/>
  <c r="AD138" i="31" s="1"/>
  <c r="AD139" i="31" s="1"/>
  <c r="AD140" i="31" s="1"/>
  <c r="AD141" i="31" s="1"/>
  <c r="AD142" i="31" s="1"/>
  <c r="AD143" i="31" s="1"/>
  <c r="D189" i="31" s="1"/>
  <c r="C176" i="31"/>
  <c r="R130" i="31"/>
  <c r="R131" i="31" s="1"/>
  <c r="R132" i="31" s="1"/>
  <c r="R133" i="31" s="1"/>
  <c r="R134" i="31" s="1"/>
  <c r="R135" i="31" s="1"/>
  <c r="R136" i="31" s="1"/>
  <c r="R137" i="31" s="1"/>
  <c r="R138" i="31" s="1"/>
  <c r="R139" i="31" s="1"/>
  <c r="R140" i="31" s="1"/>
  <c r="R141" i="31" s="1"/>
  <c r="R142" i="31" s="1"/>
  <c r="R143" i="31" s="1"/>
  <c r="D186" i="31" s="1"/>
  <c r="D212" i="31" l="1"/>
  <c r="G168" i="31"/>
  <c r="C9" i="34" s="1"/>
  <c r="J76" i="31"/>
  <c r="J77" i="31" s="1"/>
  <c r="J78" i="31" s="1"/>
  <c r="J79" i="31" s="1"/>
  <c r="J80" i="31" s="1"/>
  <c r="J81" i="31" s="1"/>
  <c r="J82" i="31" s="1"/>
  <c r="J83" i="31" s="1"/>
  <c r="J84" i="31" s="1"/>
  <c r="J85" i="31" s="1"/>
  <c r="J86" i="31" s="1"/>
  <c r="J87" i="31" s="1"/>
  <c r="J88" i="31" s="1"/>
  <c r="J89" i="31" s="1"/>
  <c r="J90" i="31" s="1"/>
  <c r="J91" i="31" s="1"/>
  <c r="E211" i="31" s="1"/>
  <c r="D180" i="31"/>
  <c r="C21" i="32" s="1"/>
  <c r="AD76" i="31"/>
  <c r="AD77" i="31" s="1"/>
  <c r="AD78" i="31" s="1"/>
  <c r="AD79" i="31" s="1"/>
  <c r="AD80" i="31" s="1"/>
  <c r="AD81" i="31" s="1"/>
  <c r="AD82" i="31" s="1"/>
  <c r="AD83" i="31" s="1"/>
  <c r="AD84" i="31" s="1"/>
  <c r="AD85" i="31" s="1"/>
  <c r="AD86" i="31" s="1"/>
  <c r="AD87" i="31" s="1"/>
  <c r="AD88" i="31" s="1"/>
  <c r="AD89" i="31" s="1"/>
  <c r="AD90" i="31" s="1"/>
  <c r="AD91" i="31" s="1"/>
  <c r="AD110" i="31"/>
  <c r="AD111" i="31" s="1"/>
  <c r="AD112" i="31" s="1"/>
  <c r="AD113" i="31" s="1"/>
  <c r="AD114" i="31" s="1"/>
  <c r="AD115" i="31" s="1"/>
  <c r="AD116" i="31" s="1"/>
  <c r="AD117" i="31" s="1"/>
  <c r="AD118" i="31" s="1"/>
  <c r="AD119" i="31" s="1"/>
  <c r="AD120" i="31" s="1"/>
  <c r="AD121" i="31" s="1"/>
  <c r="AD122" i="31" s="1"/>
  <c r="AD123" i="31" s="1"/>
  <c r="AD124" i="31" s="1"/>
  <c r="AD125" i="31" s="1"/>
  <c r="C33" i="34"/>
  <c r="C33" i="35"/>
  <c r="C21" i="34"/>
  <c r="C21" i="35"/>
  <c r="C10" i="34"/>
  <c r="C10" i="35"/>
  <c r="C28" i="34"/>
  <c r="C28" i="35"/>
  <c r="C32" i="34"/>
  <c r="C32" i="35"/>
  <c r="G183" i="31"/>
  <c r="D183" i="31"/>
  <c r="C24" i="32" s="1"/>
  <c r="G188" i="31"/>
  <c r="H179" i="31"/>
  <c r="D187" i="31"/>
  <c r="C28" i="32" s="1"/>
  <c r="G190" i="31"/>
  <c r="G171" i="31"/>
  <c r="F212" i="31"/>
  <c r="D191" i="31"/>
  <c r="C32" i="32" s="1"/>
  <c r="D179" i="31"/>
  <c r="F182" i="31"/>
  <c r="G173" i="31"/>
  <c r="G189" i="31"/>
  <c r="H182" i="31"/>
  <c r="D167" i="31"/>
  <c r="C8" i="32" s="1"/>
  <c r="G167" i="31"/>
  <c r="G185" i="31"/>
  <c r="D182" i="31"/>
  <c r="C23" i="32" s="1"/>
  <c r="D184" i="31"/>
  <c r="C25" i="32" s="1"/>
  <c r="G186" i="31"/>
  <c r="F96" i="31"/>
  <c r="F97" i="31" s="1"/>
  <c r="F98" i="31" s="1"/>
  <c r="F99" i="31" s="1"/>
  <c r="F100" i="31" s="1"/>
  <c r="F101" i="31" s="1"/>
  <c r="F102" i="31" s="1"/>
  <c r="F103" i="31" s="1"/>
  <c r="F104" i="31" s="1"/>
  <c r="F105" i="31" s="1"/>
  <c r="F106" i="31" s="1"/>
  <c r="F107" i="31" s="1"/>
  <c r="F108" i="31" s="1"/>
  <c r="F109" i="31" s="1"/>
  <c r="D174" i="31" s="1"/>
  <c r="F184" i="31"/>
  <c r="H184" i="31"/>
  <c r="G182" i="31"/>
  <c r="F179" i="31"/>
  <c r="G184" i="31"/>
  <c r="G179" i="31"/>
  <c r="N96" i="31"/>
  <c r="N97" i="31" s="1"/>
  <c r="N98" i="31" s="1"/>
  <c r="N99" i="31" s="1"/>
  <c r="N100" i="31" s="1"/>
  <c r="N101" i="31" s="1"/>
  <c r="N102" i="31" s="1"/>
  <c r="N103" i="31" s="1"/>
  <c r="N104" i="31" s="1"/>
  <c r="N105" i="31" s="1"/>
  <c r="N106" i="31" s="1"/>
  <c r="N107" i="31" s="1"/>
  <c r="N108" i="31" s="1"/>
  <c r="N109" i="31" s="1"/>
  <c r="G176" i="31" s="1"/>
  <c r="D169" i="31"/>
  <c r="F168" i="31"/>
  <c r="D9" i="32" s="1"/>
  <c r="E9" i="32" s="1"/>
  <c r="D192" i="31"/>
  <c r="C33" i="32" s="1"/>
  <c r="H172" i="31"/>
  <c r="G172" i="31"/>
  <c r="D181" i="31"/>
  <c r="G181" i="31"/>
  <c r="H168" i="31"/>
  <c r="F172" i="31"/>
  <c r="D13" i="32" s="1"/>
  <c r="D172" i="31"/>
  <c r="C13" i="32" s="1"/>
  <c r="D178" i="31"/>
  <c r="G175" i="31"/>
  <c r="D175" i="31"/>
  <c r="G178" i="31"/>
  <c r="J110" i="31"/>
  <c r="J111" i="31" s="1"/>
  <c r="J112" i="31" s="1"/>
  <c r="J113" i="31" s="1"/>
  <c r="J114" i="31" s="1"/>
  <c r="J115" i="31" s="1"/>
  <c r="J116" i="31" s="1"/>
  <c r="J117" i="31" s="1"/>
  <c r="J118" i="31" s="1"/>
  <c r="J119" i="31" s="1"/>
  <c r="J120" i="31" s="1"/>
  <c r="J121" i="31" s="1"/>
  <c r="J122" i="31" s="1"/>
  <c r="J123" i="31" s="1"/>
  <c r="J124" i="31" s="1"/>
  <c r="J125" i="31" s="1"/>
  <c r="AH109" i="31"/>
  <c r="AH110" i="31" s="1"/>
  <c r="AH111" i="31" s="1"/>
  <c r="AH112" i="31" s="1"/>
  <c r="AH113" i="31" s="1"/>
  <c r="AH114" i="31" s="1"/>
  <c r="AH115" i="31" s="1"/>
  <c r="AH116" i="31" s="1"/>
  <c r="AH117" i="31" s="1"/>
  <c r="AH118" i="31" s="1"/>
  <c r="AH119" i="31" s="1"/>
  <c r="AH120" i="31" s="1"/>
  <c r="AH121" i="31" s="1"/>
  <c r="AH122" i="31" s="1"/>
  <c r="AH123" i="31" s="1"/>
  <c r="AH124" i="31" s="1"/>
  <c r="AH125" i="31" s="1"/>
  <c r="V62" i="31"/>
  <c r="V63" i="31" s="1"/>
  <c r="V64" i="31" s="1"/>
  <c r="V65" i="31" s="1"/>
  <c r="V66" i="31" s="1"/>
  <c r="V67" i="31" s="1"/>
  <c r="V68" i="31" s="1"/>
  <c r="V69" i="31" s="1"/>
  <c r="V70" i="31" s="1"/>
  <c r="V71" i="31" s="1"/>
  <c r="V72" i="31" s="1"/>
  <c r="V73" i="31" s="1"/>
  <c r="V74" i="31" s="1"/>
  <c r="V75" i="31" s="1"/>
  <c r="D170" i="31" s="1"/>
  <c r="C214" i="31"/>
  <c r="R96" i="31"/>
  <c r="R97" i="31" s="1"/>
  <c r="R98" i="31" s="1"/>
  <c r="R99" i="31" s="1"/>
  <c r="R100" i="31" s="1"/>
  <c r="R101" i="31" s="1"/>
  <c r="R102" i="31" s="1"/>
  <c r="R103" i="31" s="1"/>
  <c r="R104" i="31" s="1"/>
  <c r="R105" i="31" s="1"/>
  <c r="R106" i="31" s="1"/>
  <c r="R107" i="31" s="1"/>
  <c r="R108" i="31" s="1"/>
  <c r="R109" i="31" s="1"/>
  <c r="D177" i="31" s="1"/>
  <c r="AP144" i="31"/>
  <c r="AP145" i="31" s="1"/>
  <c r="AP146" i="31" s="1"/>
  <c r="AP147" i="31" s="1"/>
  <c r="AP148" i="31" s="1"/>
  <c r="AP149" i="31" s="1"/>
  <c r="AP150" i="31" s="1"/>
  <c r="AP151" i="31" s="1"/>
  <c r="AP152" i="31" s="1"/>
  <c r="AP153" i="31" s="1"/>
  <c r="AP154" i="31" s="1"/>
  <c r="AP155" i="31" s="1"/>
  <c r="AP156" i="31" s="1"/>
  <c r="AP157" i="31" s="1"/>
  <c r="AP158" i="31" s="1"/>
  <c r="AP159" i="31" s="1"/>
  <c r="V144" i="31"/>
  <c r="V145" i="31" s="1"/>
  <c r="V146" i="31" s="1"/>
  <c r="V147" i="31" s="1"/>
  <c r="V148" i="31" s="1"/>
  <c r="V149" i="31" s="1"/>
  <c r="V150" i="31" s="1"/>
  <c r="V151" i="31" s="1"/>
  <c r="B110" i="31"/>
  <c r="B111" i="31" s="1"/>
  <c r="B112" i="31" s="1"/>
  <c r="B113" i="31" s="1"/>
  <c r="B114" i="31" s="1"/>
  <c r="B115" i="31" s="1"/>
  <c r="B116" i="31" s="1"/>
  <c r="B117" i="31" s="1"/>
  <c r="C14" i="32"/>
  <c r="B5" i="33"/>
  <c r="Z63" i="31"/>
  <c r="C27" i="32"/>
  <c r="R144" i="31"/>
  <c r="R145" i="31" s="1"/>
  <c r="R146" i="31" s="1"/>
  <c r="R147" i="31" s="1"/>
  <c r="R148" i="31" s="1"/>
  <c r="R149" i="31" s="1"/>
  <c r="R150" i="31" s="1"/>
  <c r="R151" i="31" s="1"/>
  <c r="AL144" i="31"/>
  <c r="AL145" i="31" s="1"/>
  <c r="AL146" i="31" s="1"/>
  <c r="AL147" i="31" s="1"/>
  <c r="AL148" i="31" s="1"/>
  <c r="AL149" i="31" s="1"/>
  <c r="AL150" i="31" s="1"/>
  <c r="AL151" i="31" s="1"/>
  <c r="AD144" i="31"/>
  <c r="AD145" i="31" s="1"/>
  <c r="AD146" i="31" s="1"/>
  <c r="AD147" i="31" s="1"/>
  <c r="AD148" i="31" s="1"/>
  <c r="AD149" i="31" s="1"/>
  <c r="AD150" i="31" s="1"/>
  <c r="AD151" i="31" s="1"/>
  <c r="C30" i="32"/>
  <c r="N144" i="31"/>
  <c r="N145" i="31" s="1"/>
  <c r="N146" i="31" s="1"/>
  <c r="N147" i="31" s="1"/>
  <c r="N148" i="31" s="1"/>
  <c r="N149" i="31" s="1"/>
  <c r="N150" i="31" s="1"/>
  <c r="N151" i="31" s="1"/>
  <c r="N152" i="31" s="1"/>
  <c r="N153" i="31" s="1"/>
  <c r="N154" i="31" s="1"/>
  <c r="N155" i="31" s="1"/>
  <c r="N156" i="31" s="1"/>
  <c r="N157" i="31" s="1"/>
  <c r="N158" i="31" s="1"/>
  <c r="N159" i="31" s="1"/>
  <c r="C26" i="32"/>
  <c r="C210" i="31"/>
  <c r="F62" i="31"/>
  <c r="F63" i="31" s="1"/>
  <c r="F64" i="31" s="1"/>
  <c r="F65" i="31" s="1"/>
  <c r="F66" i="31" s="1"/>
  <c r="F67" i="31" s="1"/>
  <c r="F68" i="31" s="1"/>
  <c r="F69" i="31" s="1"/>
  <c r="F70" i="31" s="1"/>
  <c r="F71" i="31" s="1"/>
  <c r="F72" i="31" s="1"/>
  <c r="F73" i="31" s="1"/>
  <c r="F74" i="31" s="1"/>
  <c r="F75" i="31" s="1"/>
  <c r="G166" i="31" s="1"/>
  <c r="D213" i="31"/>
  <c r="R76" i="31"/>
  <c r="R77" i="31" s="1"/>
  <c r="R78" i="31" s="1"/>
  <c r="R79" i="31" s="1"/>
  <c r="R80" i="31" s="1"/>
  <c r="R81" i="31" s="1"/>
  <c r="R82" i="31" s="1"/>
  <c r="R83" i="31" s="1"/>
  <c r="V110" i="31"/>
  <c r="V111" i="31" s="1"/>
  <c r="V112" i="31" s="1"/>
  <c r="V113" i="31" s="1"/>
  <c r="V114" i="31" s="1"/>
  <c r="V115" i="31" s="1"/>
  <c r="V116" i="31" s="1"/>
  <c r="V117" i="31" s="1"/>
  <c r="V118" i="31" s="1"/>
  <c r="V119" i="31" s="1"/>
  <c r="V120" i="31" s="1"/>
  <c r="V121" i="31" s="1"/>
  <c r="V122" i="31" s="1"/>
  <c r="V123" i="31" s="1"/>
  <c r="V124" i="31" s="1"/>
  <c r="V125" i="31" s="1"/>
  <c r="AH144" i="31"/>
  <c r="AH145" i="31" s="1"/>
  <c r="AH146" i="31" s="1"/>
  <c r="AH147" i="31" s="1"/>
  <c r="AH148" i="31" s="1"/>
  <c r="AH149" i="31" s="1"/>
  <c r="AH150" i="31" s="1"/>
  <c r="AH151" i="31" s="1"/>
  <c r="AH152" i="31" s="1"/>
  <c r="AH153" i="31" s="1"/>
  <c r="AH154" i="31" s="1"/>
  <c r="AH155" i="31" s="1"/>
  <c r="AH156" i="31" s="1"/>
  <c r="AH157" i="31" s="1"/>
  <c r="AH158" i="31" s="1"/>
  <c r="AH159" i="31" s="1"/>
  <c r="C31" i="32"/>
  <c r="Z144" i="31"/>
  <c r="Z145" i="31" s="1"/>
  <c r="Z146" i="31" s="1"/>
  <c r="Z147" i="31" s="1"/>
  <c r="Z148" i="31" s="1"/>
  <c r="Z149" i="31" s="1"/>
  <c r="Z150" i="31" s="1"/>
  <c r="Z151" i="31" s="1"/>
  <c r="C29" i="32"/>
  <c r="F180" i="31" l="1"/>
  <c r="D21" i="32" s="1"/>
  <c r="E21" i="32" s="1"/>
  <c r="F211" i="31"/>
  <c r="F167" i="31"/>
  <c r="D8" i="32" s="1"/>
  <c r="E8" i="32" s="1"/>
  <c r="H180" i="31"/>
  <c r="D21" i="34" s="1"/>
  <c r="E21" i="34" s="1"/>
  <c r="H167" i="31"/>
  <c r="D8" i="34" s="1"/>
  <c r="C9" i="35"/>
  <c r="H171" i="31"/>
  <c r="D12" i="34" s="1"/>
  <c r="F171" i="31"/>
  <c r="D12" i="32" s="1"/>
  <c r="E12" i="32" s="1"/>
  <c r="C17" i="34"/>
  <c r="C17" i="35"/>
  <c r="C16" i="34"/>
  <c r="C16" i="35"/>
  <c r="C13" i="34"/>
  <c r="C13" i="35"/>
  <c r="C30" i="34"/>
  <c r="C30" i="35"/>
  <c r="C23" i="34"/>
  <c r="C23" i="35"/>
  <c r="C14" i="34"/>
  <c r="C14" i="35"/>
  <c r="D20" i="34"/>
  <c r="D20" i="35"/>
  <c r="C20" i="34"/>
  <c r="C20" i="35"/>
  <c r="D23" i="34"/>
  <c r="D23" i="35"/>
  <c r="D9" i="34"/>
  <c r="E9" i="34" s="1"/>
  <c r="D9" i="35"/>
  <c r="D25" i="34"/>
  <c r="D25" i="35"/>
  <c r="C29" i="34"/>
  <c r="C29" i="35"/>
  <c r="C8" i="34"/>
  <c r="C8" i="35"/>
  <c r="C19" i="34"/>
  <c r="C19" i="35"/>
  <c r="C22" i="34"/>
  <c r="C22" i="35"/>
  <c r="C24" i="34"/>
  <c r="C24" i="35"/>
  <c r="C27" i="34"/>
  <c r="C27" i="35"/>
  <c r="C12" i="34"/>
  <c r="C12" i="35"/>
  <c r="C25" i="34"/>
  <c r="C25" i="35"/>
  <c r="C31" i="34"/>
  <c r="C31" i="35"/>
  <c r="C7" i="34"/>
  <c r="C7" i="35"/>
  <c r="D13" i="34"/>
  <c r="D13" i="35"/>
  <c r="C26" i="34"/>
  <c r="C26" i="35"/>
  <c r="F110" i="31"/>
  <c r="F111" i="31" s="1"/>
  <c r="F112" i="31" s="1"/>
  <c r="F113" i="31" s="1"/>
  <c r="F114" i="31" s="1"/>
  <c r="F115" i="31" s="1"/>
  <c r="F116" i="31" s="1"/>
  <c r="F117" i="31" s="1"/>
  <c r="F118" i="31" s="1"/>
  <c r="F119" i="31" s="1"/>
  <c r="F120" i="31" s="1"/>
  <c r="F121" i="31" s="1"/>
  <c r="F122" i="31" s="1"/>
  <c r="F123" i="31" s="1"/>
  <c r="F124" i="31" s="1"/>
  <c r="F125" i="31" s="1"/>
  <c r="G174" i="31"/>
  <c r="D176" i="31"/>
  <c r="C17" i="32" s="1"/>
  <c r="N110" i="31"/>
  <c r="N111" i="31" s="1"/>
  <c r="N112" i="31" s="1"/>
  <c r="N113" i="31" s="1"/>
  <c r="N114" i="31" s="1"/>
  <c r="N115" i="31" s="1"/>
  <c r="N116" i="31" s="1"/>
  <c r="N117" i="31" s="1"/>
  <c r="N118" i="31" s="1"/>
  <c r="N119" i="31" s="1"/>
  <c r="N120" i="31" s="1"/>
  <c r="N121" i="31" s="1"/>
  <c r="N122" i="31" s="1"/>
  <c r="N123" i="31" s="1"/>
  <c r="N124" i="31" s="1"/>
  <c r="N125" i="31" s="1"/>
  <c r="E13" i="32"/>
  <c r="Z152" i="31"/>
  <c r="Z153" i="31" s="1"/>
  <c r="Z154" i="31" s="1"/>
  <c r="Z155" i="31" s="1"/>
  <c r="Z156" i="31" s="1"/>
  <c r="Z157" i="31" s="1"/>
  <c r="Z158" i="31" s="1"/>
  <c r="Z159" i="31" s="1"/>
  <c r="H190" i="31"/>
  <c r="F190" i="31"/>
  <c r="H192" i="31"/>
  <c r="H185" i="31"/>
  <c r="F183" i="31"/>
  <c r="D24" i="32" s="1"/>
  <c r="E24" i="32" s="1"/>
  <c r="F185" i="31"/>
  <c r="F192" i="31"/>
  <c r="H183" i="31"/>
  <c r="R152" i="31"/>
  <c r="R153" i="31" s="1"/>
  <c r="R154" i="31" s="1"/>
  <c r="R155" i="31" s="1"/>
  <c r="R156" i="31" s="1"/>
  <c r="R157" i="31" s="1"/>
  <c r="R158" i="31" s="1"/>
  <c r="R159" i="31" s="1"/>
  <c r="V152" i="31"/>
  <c r="V153" i="31" s="1"/>
  <c r="V154" i="31" s="1"/>
  <c r="V155" i="31" s="1"/>
  <c r="V156" i="31" s="1"/>
  <c r="V157" i="31" s="1"/>
  <c r="V158" i="31" s="1"/>
  <c r="V159" i="31" s="1"/>
  <c r="C22" i="32"/>
  <c r="C15" i="32"/>
  <c r="C16" i="32"/>
  <c r="C19" i="32"/>
  <c r="D166" i="31"/>
  <c r="F181" i="31"/>
  <c r="F175" i="31"/>
  <c r="H175" i="31"/>
  <c r="F178" i="31"/>
  <c r="G177" i="31"/>
  <c r="G170" i="31"/>
  <c r="H178" i="31"/>
  <c r="H181" i="31"/>
  <c r="C18" i="32"/>
  <c r="V76" i="31"/>
  <c r="V77" i="31" s="1"/>
  <c r="V78" i="31" s="1"/>
  <c r="V79" i="31" s="1"/>
  <c r="V80" i="31" s="1"/>
  <c r="V81" i="31" s="1"/>
  <c r="V82" i="31" s="1"/>
  <c r="V83" i="31" s="1"/>
  <c r="V84" i="31" s="1"/>
  <c r="V85" i="31" s="1"/>
  <c r="V86" i="31" s="1"/>
  <c r="V87" i="31" s="1"/>
  <c r="V88" i="31" s="1"/>
  <c r="V89" i="31" s="1"/>
  <c r="V90" i="31" s="1"/>
  <c r="V91" i="31" s="1"/>
  <c r="E214" i="31" s="1"/>
  <c r="D23" i="32"/>
  <c r="E23" i="32" s="1"/>
  <c r="D25" i="32"/>
  <c r="E25" i="32" s="1"/>
  <c r="C11" i="32"/>
  <c r="R110" i="31"/>
  <c r="R111" i="31" s="1"/>
  <c r="R112" i="31" s="1"/>
  <c r="R113" i="31" s="1"/>
  <c r="R114" i="31" s="1"/>
  <c r="R115" i="31" s="1"/>
  <c r="R116" i="31" s="1"/>
  <c r="R117" i="31" s="1"/>
  <c r="R118" i="31" s="1"/>
  <c r="R119" i="31" s="1"/>
  <c r="R120" i="31" s="1"/>
  <c r="R121" i="31" s="1"/>
  <c r="R122" i="31" s="1"/>
  <c r="R123" i="31" s="1"/>
  <c r="R124" i="31" s="1"/>
  <c r="R125" i="31" s="1"/>
  <c r="F76" i="31"/>
  <c r="F77" i="31" s="1"/>
  <c r="F78" i="31" s="1"/>
  <c r="F79" i="31" s="1"/>
  <c r="F80" i="31" s="1"/>
  <c r="F81" i="31" s="1"/>
  <c r="F82" i="31" s="1"/>
  <c r="F83" i="31" s="1"/>
  <c r="F84" i="31" s="1"/>
  <c r="F85" i="31" s="1"/>
  <c r="F86" i="31" s="1"/>
  <c r="B6" i="33"/>
  <c r="Z64" i="31"/>
  <c r="B118" i="31"/>
  <c r="B119" i="31" s="1"/>
  <c r="B120" i="31" s="1"/>
  <c r="B121" i="31" s="1"/>
  <c r="B122" i="31" s="1"/>
  <c r="B123" i="31" s="1"/>
  <c r="B124" i="31" s="1"/>
  <c r="B125" i="31" s="1"/>
  <c r="AD152" i="31"/>
  <c r="AD153" i="31" s="1"/>
  <c r="AD154" i="31" s="1"/>
  <c r="AD155" i="31" s="1"/>
  <c r="AD156" i="31" s="1"/>
  <c r="AD157" i="31" s="1"/>
  <c r="AD158" i="31" s="1"/>
  <c r="AD159" i="31" s="1"/>
  <c r="AL152" i="31"/>
  <c r="AL153" i="31" s="1"/>
  <c r="AL154" i="31" s="1"/>
  <c r="AL155" i="31" s="1"/>
  <c r="AL156" i="31" s="1"/>
  <c r="AL157" i="31" s="1"/>
  <c r="AL158" i="31" s="1"/>
  <c r="AL159" i="31" s="1"/>
  <c r="R84" i="31"/>
  <c r="R85" i="31" s="1"/>
  <c r="R86" i="31" s="1"/>
  <c r="R87" i="31" s="1"/>
  <c r="H188" i="31" l="1"/>
  <c r="D29" i="34" s="1"/>
  <c r="E29" i="34" s="1"/>
  <c r="D21" i="35"/>
  <c r="E21" i="35" s="1"/>
  <c r="D8" i="35"/>
  <c r="E8" i="35" s="1"/>
  <c r="E9" i="35"/>
  <c r="D12" i="35"/>
  <c r="E12" i="35" s="1"/>
  <c r="H174" i="31"/>
  <c r="D15" i="35" s="1"/>
  <c r="E8" i="34"/>
  <c r="E23" i="34"/>
  <c r="E23" i="35"/>
  <c r="E20" i="34"/>
  <c r="E13" i="34"/>
  <c r="E25" i="34"/>
  <c r="E13" i="35"/>
  <c r="E12" i="34"/>
  <c r="D26" i="34"/>
  <c r="E26" i="34" s="1"/>
  <c r="D26" i="35"/>
  <c r="E26" i="35" s="1"/>
  <c r="C11" i="34"/>
  <c r="C11" i="35"/>
  <c r="D31" i="34"/>
  <c r="E31" i="34" s="1"/>
  <c r="D31" i="35"/>
  <c r="E31" i="35" s="1"/>
  <c r="D16" i="34"/>
  <c r="E16" i="34" s="1"/>
  <c r="D16" i="35"/>
  <c r="E16" i="35" s="1"/>
  <c r="C15" i="34"/>
  <c r="C15" i="35"/>
  <c r="E25" i="35"/>
  <c r="E20" i="35"/>
  <c r="C18" i="34"/>
  <c r="C18" i="35"/>
  <c r="D22" i="34"/>
  <c r="E22" i="34" s="1"/>
  <c r="D22" i="35"/>
  <c r="E22" i="35" s="1"/>
  <c r="D33" i="34"/>
  <c r="E33" i="34" s="1"/>
  <c r="D33" i="35"/>
  <c r="E33" i="35" s="1"/>
  <c r="D19" i="34"/>
  <c r="E19" i="34" s="1"/>
  <c r="D19" i="35"/>
  <c r="E19" i="35" s="1"/>
  <c r="D24" i="34"/>
  <c r="E24" i="34" s="1"/>
  <c r="D24" i="35"/>
  <c r="E24" i="35" s="1"/>
  <c r="F174" i="31"/>
  <c r="D15" i="32" s="1"/>
  <c r="E15" i="32" s="1"/>
  <c r="F176" i="31"/>
  <c r="D17" i="32" s="1"/>
  <c r="E17" i="32" s="1"/>
  <c r="H176" i="31"/>
  <c r="F187" i="31"/>
  <c r="D28" i="32" s="1"/>
  <c r="E28" i="32" s="1"/>
  <c r="F191" i="31"/>
  <c r="F188" i="31"/>
  <c r="D29" i="32" s="1"/>
  <c r="E29" i="32" s="1"/>
  <c r="H189" i="31"/>
  <c r="F173" i="31"/>
  <c r="H186" i="31"/>
  <c r="F186" i="31"/>
  <c r="D27" i="32" s="1"/>
  <c r="E27" i="32" s="1"/>
  <c r="H191" i="31"/>
  <c r="F189" i="31"/>
  <c r="R88" i="31"/>
  <c r="R89" i="31" s="1"/>
  <c r="R90" i="31" s="1"/>
  <c r="R91" i="31" s="1"/>
  <c r="E213" i="31" s="1"/>
  <c r="H187" i="31"/>
  <c r="H173" i="31"/>
  <c r="D22" i="32"/>
  <c r="E22" i="32" s="1"/>
  <c r="D16" i="32"/>
  <c r="E16" i="32" s="1"/>
  <c r="C7" i="32"/>
  <c r="F170" i="31"/>
  <c r="F177" i="31"/>
  <c r="H177" i="31"/>
  <c r="H170" i="31"/>
  <c r="D26" i="32"/>
  <c r="E26" i="32" s="1"/>
  <c r="D19" i="32"/>
  <c r="E19" i="32" s="1"/>
  <c r="D31" i="32"/>
  <c r="E31" i="32" s="1"/>
  <c r="D33" i="32"/>
  <c r="E33" i="32" s="1"/>
  <c r="D20" i="32"/>
  <c r="C20" i="32"/>
  <c r="F214" i="31"/>
  <c r="F87" i="31"/>
  <c r="D210" i="31"/>
  <c r="B7" i="33"/>
  <c r="Z65" i="31"/>
  <c r="D214" i="31"/>
  <c r="D29" i="35" l="1"/>
  <c r="E29" i="35" s="1"/>
  <c r="F213" i="31"/>
  <c r="H169" i="31"/>
  <c r="D10" i="34" s="1"/>
  <c r="E10" i="34" s="1"/>
  <c r="D15" i="34"/>
  <c r="E15" i="34" s="1"/>
  <c r="E15" i="35"/>
  <c r="D11" i="34"/>
  <c r="E11" i="34" s="1"/>
  <c r="D11" i="35"/>
  <c r="E11" i="35" s="1"/>
  <c r="D32" i="34"/>
  <c r="E32" i="34" s="1"/>
  <c r="D32" i="35"/>
  <c r="E32" i="35" s="1"/>
  <c r="D17" i="34"/>
  <c r="E17" i="34" s="1"/>
  <c r="D17" i="35"/>
  <c r="E17" i="35" s="1"/>
  <c r="D18" i="34"/>
  <c r="E18" i="34" s="1"/>
  <c r="D18" i="35"/>
  <c r="E18" i="35" s="1"/>
  <c r="D27" i="34"/>
  <c r="E27" i="34" s="1"/>
  <c r="D27" i="35"/>
  <c r="E27" i="35" s="1"/>
  <c r="D28" i="34"/>
  <c r="E28" i="34" s="1"/>
  <c r="D28" i="35"/>
  <c r="E28" i="35" s="1"/>
  <c r="D30" i="34"/>
  <c r="E30" i="34" s="1"/>
  <c r="D30" i="35"/>
  <c r="E30" i="35" s="1"/>
  <c r="D14" i="34"/>
  <c r="E14" i="34" s="1"/>
  <c r="D14" i="35"/>
  <c r="E14" i="35" s="1"/>
  <c r="F169" i="31"/>
  <c r="D10" i="32" s="1"/>
  <c r="D11" i="32"/>
  <c r="E11" i="32" s="1"/>
  <c r="E20" i="32"/>
  <c r="D32" i="32"/>
  <c r="E32" i="32" s="1"/>
  <c r="D14" i="32"/>
  <c r="E14" i="32" s="1"/>
  <c r="D30" i="32"/>
  <c r="E30" i="32" s="1"/>
  <c r="D18" i="32"/>
  <c r="E18" i="32" s="1"/>
  <c r="B8" i="33"/>
  <c r="Z66" i="31"/>
  <c r="F88" i="31"/>
  <c r="F89" i="31" s="1"/>
  <c r="D10" i="35" l="1"/>
  <c r="E10" i="35" s="1"/>
  <c r="F90" i="31"/>
  <c r="B9" i="33"/>
  <c r="Z67" i="31"/>
  <c r="B10" i="33" l="1"/>
  <c r="Z68" i="31"/>
  <c r="F91" i="31"/>
  <c r="F166" i="31" s="1"/>
  <c r="F210" i="31" l="1"/>
  <c r="H166" i="31"/>
  <c r="E210" i="31"/>
  <c r="D7" i="32"/>
  <c r="E7" i="32" s="1"/>
  <c r="B11" i="33"/>
  <c r="Z69" i="31"/>
  <c r="D7" i="34" l="1"/>
  <c r="E7" i="34" s="1"/>
  <c r="D7" i="35"/>
  <c r="E7" i="35" s="1"/>
  <c r="B12" i="33"/>
  <c r="Z70" i="31"/>
  <c r="B13" i="33" l="1"/>
  <c r="Z71" i="31"/>
  <c r="B14" i="33" l="1"/>
  <c r="Z72" i="31"/>
  <c r="B15" i="33" l="1"/>
  <c r="Z73" i="31"/>
  <c r="B16" i="33" l="1"/>
  <c r="Z74" i="31"/>
  <c r="B17" i="33" l="1"/>
  <c r="Z75" i="31"/>
  <c r="B18" i="33" l="1"/>
  <c r="Z76" i="31"/>
  <c r="B19" i="33" l="1"/>
  <c r="Z77" i="31"/>
  <c r="B20" i="33" l="1"/>
  <c r="Z78" i="31"/>
  <c r="B21" i="33" l="1"/>
  <c r="Z79" i="31"/>
  <c r="Z80" i="31" l="1"/>
  <c r="B22" i="33"/>
  <c r="B23" i="33" l="1"/>
  <c r="Z81" i="31"/>
  <c r="B24" i="33" l="1"/>
  <c r="Z82" i="31"/>
  <c r="B25" i="33" l="1"/>
  <c r="Z83" i="31"/>
  <c r="B26" i="33" l="1"/>
  <c r="Z84" i="31"/>
  <c r="B27" i="33" l="1"/>
  <c r="Z85" i="31"/>
  <c r="B28" i="33" l="1"/>
  <c r="Z86" i="31"/>
  <c r="B29" i="33" l="1"/>
  <c r="Z87" i="31"/>
  <c r="B30" i="33" l="1"/>
  <c r="Z88" i="31"/>
  <c r="Z89" i="31" l="1"/>
  <c r="B31" i="33"/>
  <c r="B32" i="33" l="1"/>
  <c r="Z90" i="31"/>
  <c r="B33" i="33" l="1"/>
  <c r="Z91" i="31"/>
  <c r="B34" i="33" s="1"/>
  <c r="D5" i="11" l="1"/>
  <c r="B40" i="11" l="1"/>
  <c r="B39" i="11"/>
  <c r="B38" i="11"/>
  <c r="D38" i="11" s="1"/>
  <c r="B29" i="11" l="1"/>
  <c r="B28" i="11"/>
  <c r="B27" i="11"/>
  <c r="B26" i="11"/>
  <c r="B25" i="11"/>
  <c r="B24" i="11"/>
  <c r="B62" i="11" l="1"/>
  <c r="B61" i="11"/>
  <c r="B60" i="11"/>
  <c r="B59" i="11"/>
  <c r="B47" i="11"/>
  <c r="B19" i="11" l="1"/>
  <c r="B20" i="11"/>
  <c r="B18" i="11"/>
  <c r="D18" i="11" s="1"/>
  <c r="B77" i="11"/>
  <c r="B76" i="11"/>
  <c r="B72" i="11"/>
  <c r="B71" i="11"/>
  <c r="B70" i="11"/>
  <c r="B66" i="11"/>
  <c r="B58" i="11"/>
  <c r="B57" i="11"/>
  <c r="B53" i="11"/>
  <c r="B52" i="11"/>
  <c r="B46" i="11"/>
  <c r="B45" i="11"/>
  <c r="B41" i="11"/>
  <c r="B17" i="11"/>
  <c r="B13" i="11"/>
  <c r="B9" i="11"/>
  <c r="C34" i="11" l="1"/>
  <c r="C31" i="11"/>
  <c r="D29" i="11"/>
  <c r="D28" i="11"/>
  <c r="D27" i="11"/>
  <c r="D26" i="11"/>
  <c r="C47" i="31" s="1"/>
  <c r="D25" i="11"/>
  <c r="D24" i="11"/>
  <c r="C46" i="31" s="1"/>
  <c r="B243" i="5" l="1"/>
  <c r="D243" i="5" s="1"/>
  <c r="B244" i="5"/>
  <c r="D244" i="5" s="1"/>
  <c r="CF600" i="27"/>
  <c r="CF597" i="27"/>
  <c r="CF594" i="27"/>
  <c r="CF593" i="27"/>
  <c r="CF591" i="27"/>
  <c r="CF590" i="27"/>
  <c r="CF588" i="27"/>
  <c r="CF586" i="27"/>
  <c r="CF583" i="27"/>
  <c r="CF581" i="27"/>
  <c r="CF580" i="27"/>
  <c r="CF577" i="27"/>
  <c r="CF574" i="27"/>
  <c r="CF571" i="27"/>
  <c r="CF569" i="27"/>
  <c r="CF566" i="27"/>
  <c r="CF563" i="27"/>
  <c r="CF561" i="27"/>
  <c r="CF557" i="27"/>
  <c r="CF553" i="27"/>
  <c r="CF551" i="27"/>
  <c r="CF550" i="27"/>
  <c r="CF548" i="27"/>
  <c r="CF545" i="27"/>
  <c r="CF543" i="27"/>
  <c r="CF541" i="27"/>
  <c r="CF540" i="27"/>
  <c r="CF538" i="27"/>
  <c r="CF537" i="27"/>
  <c r="CF531" i="27"/>
  <c r="CF596" i="27"/>
  <c r="CF584" i="27"/>
  <c r="CF564" i="27"/>
  <c r="CF560" i="27"/>
  <c r="CF556" i="27"/>
  <c r="CF544" i="27"/>
  <c r="CF532" i="27"/>
  <c r="CF601" i="27"/>
  <c r="CF573" i="27"/>
  <c r="CF587" i="27"/>
  <c r="CF575" i="27"/>
  <c r="CF567" i="27"/>
  <c r="CF558" i="27"/>
  <c r="CF554" i="27"/>
  <c r="CI601" i="27"/>
  <c r="CH601" i="27"/>
  <c r="CG601" i="27"/>
  <c r="CE601" i="27"/>
  <c r="CD601" i="27"/>
  <c r="CC601" i="27"/>
  <c r="CB601" i="27"/>
  <c r="CA601" i="27"/>
  <c r="BZ601" i="27"/>
  <c r="BY601" i="27"/>
  <c r="BX601" i="27"/>
  <c r="BW601" i="27"/>
  <c r="BV601" i="27"/>
  <c r="BU601" i="27"/>
  <c r="BT601" i="27"/>
  <c r="BS601" i="27"/>
  <c r="BR601" i="27"/>
  <c r="CQ601" i="27" s="1"/>
  <c r="BQ601" i="27"/>
  <c r="CP601" i="27" s="1"/>
  <c r="BP601" i="27"/>
  <c r="CO601" i="27" s="1"/>
  <c r="BO601" i="27"/>
  <c r="CN601" i="27" s="1"/>
  <c r="BN601" i="27"/>
  <c r="CM601" i="27" s="1"/>
  <c r="BM601" i="27"/>
  <c r="CL601" i="27" s="1"/>
  <c r="BL601" i="27"/>
  <c r="CK601" i="27" s="1"/>
  <c r="CI600" i="27"/>
  <c r="CH600" i="27"/>
  <c r="CG600" i="27"/>
  <c r="CE600" i="27"/>
  <c r="CD600" i="27"/>
  <c r="CC600" i="27"/>
  <c r="CB600" i="27"/>
  <c r="BZ600" i="27"/>
  <c r="BY600" i="27"/>
  <c r="BX600" i="27"/>
  <c r="BW600" i="27"/>
  <c r="BV600" i="27"/>
  <c r="BU600" i="27"/>
  <c r="BT600" i="27"/>
  <c r="BS600" i="27"/>
  <c r="BR600" i="27"/>
  <c r="CQ600" i="27" s="1"/>
  <c r="BQ600" i="27"/>
  <c r="CP600" i="27" s="1"/>
  <c r="BP600" i="27"/>
  <c r="CO600" i="27" s="1"/>
  <c r="BO600" i="27"/>
  <c r="CN600" i="27" s="1"/>
  <c r="BN600" i="27"/>
  <c r="CM600" i="27" s="1"/>
  <c r="BL600" i="27"/>
  <c r="CK600" i="27" s="1"/>
  <c r="CI599" i="27"/>
  <c r="CH599" i="27"/>
  <c r="CG599" i="27"/>
  <c r="CF599" i="27"/>
  <c r="CE599" i="27"/>
  <c r="CD599" i="27"/>
  <c r="CC599" i="27"/>
  <c r="CB599" i="27"/>
  <c r="BZ599" i="27"/>
  <c r="BY599" i="27"/>
  <c r="BX599" i="27"/>
  <c r="BW599" i="27"/>
  <c r="BV599" i="27"/>
  <c r="BU599" i="27"/>
  <c r="BT599" i="27"/>
  <c r="BS599" i="27"/>
  <c r="BR599" i="27"/>
  <c r="CQ599" i="27" s="1"/>
  <c r="BQ599" i="27"/>
  <c r="CP599" i="27" s="1"/>
  <c r="BP599" i="27"/>
  <c r="CO599" i="27" s="1"/>
  <c r="BO599" i="27"/>
  <c r="CN599" i="27" s="1"/>
  <c r="BN599" i="27"/>
  <c r="CM599" i="27" s="1"/>
  <c r="BM599" i="27"/>
  <c r="CL599" i="27" s="1"/>
  <c r="BL599" i="27"/>
  <c r="CK599" i="27" s="1"/>
  <c r="CI598" i="27"/>
  <c r="CH598" i="27"/>
  <c r="CE598" i="27"/>
  <c r="CC598" i="27"/>
  <c r="CB598" i="27"/>
  <c r="CA598" i="27"/>
  <c r="BZ598" i="27"/>
  <c r="BY598" i="27"/>
  <c r="BX598" i="27"/>
  <c r="BW598" i="27"/>
  <c r="BV598" i="27"/>
  <c r="BU598" i="27"/>
  <c r="BT598" i="27"/>
  <c r="BS598" i="27"/>
  <c r="BR598" i="27"/>
  <c r="CQ598" i="27" s="1"/>
  <c r="BQ598" i="27"/>
  <c r="CP598" i="27" s="1"/>
  <c r="BP598" i="27"/>
  <c r="CO598" i="27" s="1"/>
  <c r="BO598" i="27"/>
  <c r="CN598" i="27" s="1"/>
  <c r="BN598" i="27"/>
  <c r="BM598" i="27"/>
  <c r="BL598" i="27"/>
  <c r="CI597" i="27"/>
  <c r="CH597" i="27"/>
  <c r="CG597" i="27"/>
  <c r="CE597" i="27"/>
  <c r="CD597" i="27"/>
  <c r="CC597" i="27"/>
  <c r="CB597" i="27"/>
  <c r="BZ597" i="27"/>
  <c r="BY597" i="27"/>
  <c r="BX597" i="27"/>
  <c r="BW597" i="27"/>
  <c r="BV597" i="27"/>
  <c r="BU597" i="27"/>
  <c r="BT597" i="27"/>
  <c r="BS597" i="27"/>
  <c r="BR597" i="27"/>
  <c r="CQ597" i="27" s="1"/>
  <c r="BQ597" i="27"/>
  <c r="CP597" i="27" s="1"/>
  <c r="BP597" i="27"/>
  <c r="CO597" i="27" s="1"/>
  <c r="BO597" i="27"/>
  <c r="CN597" i="27" s="1"/>
  <c r="BN597" i="27"/>
  <c r="CM597" i="27" s="1"/>
  <c r="BM597" i="27"/>
  <c r="CL597" i="27" s="1"/>
  <c r="BL597" i="27"/>
  <c r="CK597" i="27" s="1"/>
  <c r="CI596" i="27"/>
  <c r="CH596" i="27"/>
  <c r="CG596" i="27"/>
  <c r="CE596" i="27"/>
  <c r="CD596" i="27"/>
  <c r="CC596" i="27"/>
  <c r="CB596" i="27"/>
  <c r="BZ596" i="27"/>
  <c r="BY596" i="27"/>
  <c r="BX596" i="27"/>
  <c r="BW596" i="27"/>
  <c r="BV596" i="27"/>
  <c r="BU596" i="27"/>
  <c r="BT596" i="27"/>
  <c r="BS596" i="27"/>
  <c r="BR596" i="27"/>
  <c r="CQ596" i="27" s="1"/>
  <c r="BQ596" i="27"/>
  <c r="CP596" i="27" s="1"/>
  <c r="BP596" i="27"/>
  <c r="CO596" i="27" s="1"/>
  <c r="BO596" i="27"/>
  <c r="CN596" i="27" s="1"/>
  <c r="BN596" i="27"/>
  <c r="CM596" i="27" s="1"/>
  <c r="BM596" i="27"/>
  <c r="CL596" i="27" s="1"/>
  <c r="BL596" i="27"/>
  <c r="CK596" i="27" s="1"/>
  <c r="CI595" i="27"/>
  <c r="CH595" i="27"/>
  <c r="CE595" i="27"/>
  <c r="CC595" i="27"/>
  <c r="CB595" i="27"/>
  <c r="CA595" i="27"/>
  <c r="BZ595" i="27"/>
  <c r="BY595" i="27"/>
  <c r="BX595" i="27"/>
  <c r="BW595" i="27"/>
  <c r="BV595" i="27"/>
  <c r="BU595" i="27"/>
  <c r="BT595" i="27"/>
  <c r="BS595" i="27"/>
  <c r="BR595" i="27"/>
  <c r="CQ595" i="27" s="1"/>
  <c r="BQ595" i="27"/>
  <c r="CP595" i="27" s="1"/>
  <c r="BP595" i="27"/>
  <c r="CO595" i="27" s="1"/>
  <c r="BO595" i="27"/>
  <c r="CN595" i="27" s="1"/>
  <c r="BN595" i="27"/>
  <c r="BM595" i="27"/>
  <c r="BL595" i="27"/>
  <c r="CI594" i="27"/>
  <c r="CH594" i="27"/>
  <c r="CG594" i="27"/>
  <c r="CE594" i="27"/>
  <c r="CD594" i="27"/>
  <c r="CC594" i="27"/>
  <c r="CB594" i="27"/>
  <c r="BZ594" i="27"/>
  <c r="BY594" i="27"/>
  <c r="BX594" i="27"/>
  <c r="BW594" i="27"/>
  <c r="BV594" i="27"/>
  <c r="BU594" i="27"/>
  <c r="BT594" i="27"/>
  <c r="BS594" i="27"/>
  <c r="BR594" i="27"/>
  <c r="CQ594" i="27" s="1"/>
  <c r="BQ594" i="27"/>
  <c r="CP594" i="27" s="1"/>
  <c r="BP594" i="27"/>
  <c r="CO594" i="27" s="1"/>
  <c r="BO594" i="27"/>
  <c r="CN594" i="27" s="1"/>
  <c r="BN594" i="27"/>
  <c r="CM594" i="27" s="1"/>
  <c r="BM594" i="27"/>
  <c r="CL594" i="27" s="1"/>
  <c r="BL594" i="27"/>
  <c r="CK594" i="27" s="1"/>
  <c r="CI593" i="27"/>
  <c r="CH593" i="27"/>
  <c r="CG593" i="27"/>
  <c r="CE593" i="27"/>
  <c r="CD593" i="27"/>
  <c r="CC593" i="27"/>
  <c r="CB593" i="27"/>
  <c r="BZ593" i="27"/>
  <c r="BY593" i="27"/>
  <c r="BX593" i="27"/>
  <c r="BW593" i="27"/>
  <c r="BV593" i="27"/>
  <c r="BU593" i="27"/>
  <c r="BT593" i="27"/>
  <c r="BS593" i="27"/>
  <c r="BR593" i="27"/>
  <c r="CQ593" i="27" s="1"/>
  <c r="BQ593" i="27"/>
  <c r="CP593" i="27" s="1"/>
  <c r="BP593" i="27"/>
  <c r="CO593" i="27" s="1"/>
  <c r="BO593" i="27"/>
  <c r="CN593" i="27" s="1"/>
  <c r="BN593" i="27"/>
  <c r="CM593" i="27" s="1"/>
  <c r="BM593" i="27"/>
  <c r="CL593" i="27" s="1"/>
  <c r="BL593" i="27"/>
  <c r="CK593" i="27" s="1"/>
  <c r="CI592" i="27"/>
  <c r="CH592" i="27"/>
  <c r="CE592" i="27"/>
  <c r="CC592" i="27"/>
  <c r="CB592" i="27"/>
  <c r="CA592" i="27"/>
  <c r="BZ592" i="27"/>
  <c r="BX592" i="27"/>
  <c r="BW592" i="27"/>
  <c r="BV592" i="27"/>
  <c r="BT592" i="27"/>
  <c r="BS592" i="27"/>
  <c r="BR592" i="27"/>
  <c r="CQ592" i="27" s="1"/>
  <c r="BQ592" i="27"/>
  <c r="CP592" i="27" s="1"/>
  <c r="BP592" i="27"/>
  <c r="CO592" i="27" s="1"/>
  <c r="BO592" i="27"/>
  <c r="CN592" i="27" s="1"/>
  <c r="BN592" i="27"/>
  <c r="BM592" i="27"/>
  <c r="BL592" i="27"/>
  <c r="CI591" i="27"/>
  <c r="CH591" i="27"/>
  <c r="CG591" i="27"/>
  <c r="CE591" i="27"/>
  <c r="CD591" i="27"/>
  <c r="CC591" i="27"/>
  <c r="CB591" i="27"/>
  <c r="BZ591" i="27"/>
  <c r="BY591" i="27"/>
  <c r="BX591" i="27"/>
  <c r="BW591" i="27"/>
  <c r="BV591" i="27"/>
  <c r="BU591" i="27"/>
  <c r="BT591" i="27"/>
  <c r="BS591" i="27"/>
  <c r="BR591" i="27"/>
  <c r="CQ591" i="27" s="1"/>
  <c r="BQ591" i="27"/>
  <c r="CP591" i="27" s="1"/>
  <c r="BP591" i="27"/>
  <c r="CO591" i="27" s="1"/>
  <c r="BO591" i="27"/>
  <c r="CN591" i="27" s="1"/>
  <c r="BN591" i="27"/>
  <c r="CM591" i="27" s="1"/>
  <c r="BM591" i="27"/>
  <c r="CL591" i="27" s="1"/>
  <c r="BL591" i="27"/>
  <c r="CK591" i="27" s="1"/>
  <c r="CI590" i="27"/>
  <c r="CH590" i="27"/>
  <c r="CG590" i="27"/>
  <c r="CE590" i="27"/>
  <c r="CD590" i="27"/>
  <c r="CC590" i="27"/>
  <c r="CB590" i="27"/>
  <c r="BZ590" i="27"/>
  <c r="BY590" i="27"/>
  <c r="BX590" i="27"/>
  <c r="BW590" i="27"/>
  <c r="BV590" i="27"/>
  <c r="BU590" i="27"/>
  <c r="BT590" i="27"/>
  <c r="BS590" i="27"/>
  <c r="BR590" i="27"/>
  <c r="CQ590" i="27" s="1"/>
  <c r="BQ590" i="27"/>
  <c r="CP590" i="27" s="1"/>
  <c r="BP590" i="27"/>
  <c r="CO590" i="27" s="1"/>
  <c r="BO590" i="27"/>
  <c r="CN590" i="27" s="1"/>
  <c r="BN590" i="27"/>
  <c r="CM590" i="27" s="1"/>
  <c r="BM590" i="27"/>
  <c r="CL590" i="27" s="1"/>
  <c r="BL590" i="27"/>
  <c r="CK590" i="27" s="1"/>
  <c r="CI589" i="27"/>
  <c r="CH589" i="27"/>
  <c r="CE589" i="27"/>
  <c r="CC589" i="27"/>
  <c r="CB589" i="27"/>
  <c r="CA589" i="27"/>
  <c r="BZ589" i="27"/>
  <c r="BY589" i="27"/>
  <c r="BX589" i="27"/>
  <c r="BW589" i="27"/>
  <c r="BV589" i="27"/>
  <c r="BU589" i="27"/>
  <c r="BT589" i="27"/>
  <c r="BS589" i="27"/>
  <c r="BR589" i="27"/>
  <c r="CQ589" i="27" s="1"/>
  <c r="BQ589" i="27"/>
  <c r="CP589" i="27" s="1"/>
  <c r="BP589" i="27"/>
  <c r="CO589" i="27" s="1"/>
  <c r="BO589" i="27"/>
  <c r="CN589" i="27" s="1"/>
  <c r="BN589" i="27"/>
  <c r="BM589" i="27"/>
  <c r="BL589" i="27"/>
  <c r="CI588" i="27"/>
  <c r="CH588" i="27"/>
  <c r="CG588" i="27"/>
  <c r="CE588" i="27"/>
  <c r="CD588" i="27"/>
  <c r="CC588" i="27"/>
  <c r="CB588" i="27"/>
  <c r="CA588" i="27"/>
  <c r="BZ588" i="27"/>
  <c r="BY588" i="27"/>
  <c r="BX588" i="27"/>
  <c r="BV588" i="27"/>
  <c r="BU588" i="27"/>
  <c r="BT588" i="27"/>
  <c r="BS588" i="27"/>
  <c r="BR588" i="27"/>
  <c r="CQ588" i="27" s="1"/>
  <c r="BQ588" i="27"/>
  <c r="CP588" i="27" s="1"/>
  <c r="BP588" i="27"/>
  <c r="CO588" i="27" s="1"/>
  <c r="BO588" i="27"/>
  <c r="CN588" i="27" s="1"/>
  <c r="BN588" i="27"/>
  <c r="CM588" i="27" s="1"/>
  <c r="BM588" i="27"/>
  <c r="CL588" i="27" s="1"/>
  <c r="BL588" i="27"/>
  <c r="CK588" i="27" s="1"/>
  <c r="CI587" i="27"/>
  <c r="CH587" i="27"/>
  <c r="CG587" i="27"/>
  <c r="CE587" i="27"/>
  <c r="CD587" i="27"/>
  <c r="CC587" i="27"/>
  <c r="CB587" i="27"/>
  <c r="BZ587" i="27"/>
  <c r="BY587" i="27"/>
  <c r="BX587" i="27"/>
  <c r="BV587" i="27"/>
  <c r="BU587" i="27"/>
  <c r="BT587" i="27"/>
  <c r="BS587" i="27"/>
  <c r="BR587" i="27"/>
  <c r="CQ587" i="27" s="1"/>
  <c r="BQ587" i="27"/>
  <c r="CP587" i="27" s="1"/>
  <c r="BP587" i="27"/>
  <c r="CO587" i="27" s="1"/>
  <c r="BO587" i="27"/>
  <c r="CN587" i="27" s="1"/>
  <c r="BN587" i="27"/>
  <c r="CM587" i="27" s="1"/>
  <c r="BM587" i="27"/>
  <c r="CL587" i="27" s="1"/>
  <c r="BL587" i="27"/>
  <c r="CK587" i="27" s="1"/>
  <c r="CI586" i="27"/>
  <c r="CH586" i="27"/>
  <c r="CG586" i="27"/>
  <c r="CE586" i="27"/>
  <c r="CD586" i="27"/>
  <c r="CC586" i="27"/>
  <c r="CB586" i="27"/>
  <c r="BZ586" i="27"/>
  <c r="BY586" i="27"/>
  <c r="BX586" i="27"/>
  <c r="BW586" i="27"/>
  <c r="BV586" i="27"/>
  <c r="BU586" i="27"/>
  <c r="BT586" i="27"/>
  <c r="BS586" i="27"/>
  <c r="BR586" i="27"/>
  <c r="CQ586" i="27" s="1"/>
  <c r="BQ586" i="27"/>
  <c r="CP586" i="27" s="1"/>
  <c r="BP586" i="27"/>
  <c r="CO586" i="27" s="1"/>
  <c r="BO586" i="27"/>
  <c r="CN586" i="27" s="1"/>
  <c r="BN586" i="27"/>
  <c r="CM586" i="27" s="1"/>
  <c r="BM586" i="27"/>
  <c r="CL586" i="27" s="1"/>
  <c r="BL586" i="27"/>
  <c r="CK586" i="27" s="1"/>
  <c r="CI585" i="27"/>
  <c r="CH585" i="27"/>
  <c r="CE585" i="27"/>
  <c r="CC585" i="27"/>
  <c r="CB585" i="27"/>
  <c r="CA585" i="27"/>
  <c r="BZ585" i="27"/>
  <c r="BY585" i="27"/>
  <c r="BX585" i="27"/>
  <c r="BW585" i="27"/>
  <c r="BV585" i="27"/>
  <c r="BU585" i="27"/>
  <c r="BT585" i="27"/>
  <c r="BS585" i="27"/>
  <c r="BR585" i="27"/>
  <c r="CQ585" i="27" s="1"/>
  <c r="BQ585" i="27"/>
  <c r="CP585" i="27" s="1"/>
  <c r="BP585" i="27"/>
  <c r="CO585" i="27" s="1"/>
  <c r="BO585" i="27"/>
  <c r="CN585" i="27" s="1"/>
  <c r="BN585" i="27"/>
  <c r="BM585" i="27"/>
  <c r="BL585" i="27"/>
  <c r="CI584" i="27"/>
  <c r="CH584" i="27"/>
  <c r="CG584" i="27"/>
  <c r="CE584" i="27"/>
  <c r="CD584" i="27"/>
  <c r="CC584" i="27"/>
  <c r="CB584" i="27"/>
  <c r="BZ584" i="27"/>
  <c r="BY584" i="27"/>
  <c r="BX584" i="27"/>
  <c r="BW584" i="27"/>
  <c r="BV584" i="27"/>
  <c r="BU584" i="27"/>
  <c r="BT584" i="27"/>
  <c r="BS584" i="27"/>
  <c r="BR584" i="27"/>
  <c r="CQ584" i="27" s="1"/>
  <c r="BQ584" i="27"/>
  <c r="CP584" i="27" s="1"/>
  <c r="BP584" i="27"/>
  <c r="CO584" i="27" s="1"/>
  <c r="BO584" i="27"/>
  <c r="CN584" i="27" s="1"/>
  <c r="BN584" i="27"/>
  <c r="CM584" i="27" s="1"/>
  <c r="BM584" i="27"/>
  <c r="CL584" i="27" s="1"/>
  <c r="BL584" i="27"/>
  <c r="CK584" i="27" s="1"/>
  <c r="CI583" i="27"/>
  <c r="CH583" i="27"/>
  <c r="CG583" i="27"/>
  <c r="CE583" i="27"/>
  <c r="CD583" i="27"/>
  <c r="CC583" i="27"/>
  <c r="CB583" i="27"/>
  <c r="BZ583" i="27"/>
  <c r="BX583" i="27"/>
  <c r="BW583" i="27"/>
  <c r="BV583" i="27"/>
  <c r="BU583" i="27"/>
  <c r="BT583" i="27"/>
  <c r="BS583" i="27"/>
  <c r="BR583" i="27"/>
  <c r="CQ583" i="27" s="1"/>
  <c r="BQ583" i="27"/>
  <c r="CP583" i="27" s="1"/>
  <c r="BP583" i="27"/>
  <c r="CO583" i="27" s="1"/>
  <c r="BO583" i="27"/>
  <c r="CN583" i="27" s="1"/>
  <c r="BN583" i="27"/>
  <c r="CM583" i="27" s="1"/>
  <c r="BM583" i="27"/>
  <c r="CL583" i="27" s="1"/>
  <c r="BL583" i="27"/>
  <c r="CK583" i="27" s="1"/>
  <c r="CI582" i="27"/>
  <c r="CH582" i="27"/>
  <c r="CE582" i="27"/>
  <c r="CC582" i="27"/>
  <c r="CB582" i="27"/>
  <c r="CA582" i="27"/>
  <c r="BZ582" i="27"/>
  <c r="BX582" i="27"/>
  <c r="BW582" i="27"/>
  <c r="BV582" i="27"/>
  <c r="BU582" i="27"/>
  <c r="BT582" i="27"/>
  <c r="BS582" i="27"/>
  <c r="BR582" i="27"/>
  <c r="CQ582" i="27" s="1"/>
  <c r="BQ582" i="27"/>
  <c r="CP582" i="27" s="1"/>
  <c r="BP582" i="27"/>
  <c r="CO582" i="27" s="1"/>
  <c r="BO582" i="27"/>
  <c r="CN582" i="27" s="1"/>
  <c r="BN582" i="27"/>
  <c r="BM582" i="27"/>
  <c r="BL582" i="27"/>
  <c r="CI581" i="27"/>
  <c r="CH581" i="27"/>
  <c r="CG581" i="27"/>
  <c r="CE581" i="27"/>
  <c r="CD581" i="27"/>
  <c r="CC581" i="27"/>
  <c r="CB581" i="27"/>
  <c r="BZ581" i="27"/>
  <c r="BY581" i="27"/>
  <c r="BX581" i="27"/>
  <c r="BW581" i="27"/>
  <c r="BV581" i="27"/>
  <c r="BU581" i="27"/>
  <c r="BT581" i="27"/>
  <c r="BR581" i="27"/>
  <c r="CQ581" i="27" s="1"/>
  <c r="BQ581" i="27"/>
  <c r="CP581" i="27" s="1"/>
  <c r="BP581" i="27"/>
  <c r="CO581" i="27" s="1"/>
  <c r="BO581" i="27"/>
  <c r="CN581" i="27" s="1"/>
  <c r="BN581" i="27"/>
  <c r="CM581" i="27" s="1"/>
  <c r="BM581" i="27"/>
  <c r="CL581" i="27" s="1"/>
  <c r="BL581" i="27"/>
  <c r="CK581" i="27" s="1"/>
  <c r="CI580" i="27"/>
  <c r="CH580" i="27"/>
  <c r="CG580" i="27"/>
  <c r="CE580" i="27"/>
  <c r="CD580" i="27"/>
  <c r="CC580" i="27"/>
  <c r="CB580" i="27"/>
  <c r="BZ580" i="27"/>
  <c r="BY580" i="27"/>
  <c r="BX580" i="27"/>
  <c r="BW580" i="27"/>
  <c r="BV580" i="27"/>
  <c r="BU580" i="27"/>
  <c r="BT580" i="27"/>
  <c r="BS580" i="27"/>
  <c r="BR580" i="27"/>
  <c r="CQ580" i="27" s="1"/>
  <c r="BQ580" i="27"/>
  <c r="CP580" i="27" s="1"/>
  <c r="BP580" i="27"/>
  <c r="CO580" i="27" s="1"/>
  <c r="BO580" i="27"/>
  <c r="CN580" i="27" s="1"/>
  <c r="BN580" i="27"/>
  <c r="CM580" i="27" s="1"/>
  <c r="BM580" i="27"/>
  <c r="CL580" i="27" s="1"/>
  <c r="BL580" i="27"/>
  <c r="CK580" i="27" s="1"/>
  <c r="CI579" i="27"/>
  <c r="CH579" i="27"/>
  <c r="CE579" i="27"/>
  <c r="CC579" i="27"/>
  <c r="CB579" i="27"/>
  <c r="CA579" i="27"/>
  <c r="BZ579" i="27"/>
  <c r="BY579" i="27"/>
  <c r="BX579" i="27"/>
  <c r="BW579" i="27"/>
  <c r="BV579" i="27"/>
  <c r="BU579" i="27"/>
  <c r="BT579" i="27"/>
  <c r="BS579" i="27"/>
  <c r="BR579" i="27"/>
  <c r="CQ579" i="27" s="1"/>
  <c r="BQ579" i="27"/>
  <c r="CP579" i="27" s="1"/>
  <c r="BP579" i="27"/>
  <c r="CO579" i="27" s="1"/>
  <c r="BO579" i="27"/>
  <c r="CN579" i="27" s="1"/>
  <c r="BN579" i="27"/>
  <c r="BM579" i="27"/>
  <c r="BL579" i="27"/>
  <c r="CI578" i="27"/>
  <c r="CH578" i="27"/>
  <c r="CG578" i="27"/>
  <c r="CF578" i="27"/>
  <c r="CE578" i="27"/>
  <c r="CD578" i="27"/>
  <c r="CC578" i="27"/>
  <c r="CB578" i="27"/>
  <c r="BZ578" i="27"/>
  <c r="BY578" i="27"/>
  <c r="BX578" i="27"/>
  <c r="BW578" i="27"/>
  <c r="BV578" i="27"/>
  <c r="BU578" i="27"/>
  <c r="BT578" i="27"/>
  <c r="BS578" i="27"/>
  <c r="BR578" i="27"/>
  <c r="CQ578" i="27" s="1"/>
  <c r="BQ578" i="27"/>
  <c r="CP578" i="27" s="1"/>
  <c r="BP578" i="27"/>
  <c r="CO578" i="27" s="1"/>
  <c r="BO578" i="27"/>
  <c r="CN578" i="27" s="1"/>
  <c r="BN578" i="27"/>
  <c r="CM578" i="27" s="1"/>
  <c r="BM578" i="27"/>
  <c r="CL578" i="27" s="1"/>
  <c r="BL578" i="27"/>
  <c r="CK578" i="27" s="1"/>
  <c r="CI577" i="27"/>
  <c r="CH577" i="27"/>
  <c r="CG577" i="27"/>
  <c r="CE577" i="27"/>
  <c r="CD577" i="27"/>
  <c r="CC577" i="27"/>
  <c r="CB577" i="27"/>
  <c r="BZ577" i="27"/>
  <c r="BY577" i="27"/>
  <c r="BX577" i="27"/>
  <c r="BW577" i="27"/>
  <c r="BV577" i="27"/>
  <c r="BU577" i="27"/>
  <c r="BT577" i="27"/>
  <c r="BS577" i="27"/>
  <c r="BR577" i="27"/>
  <c r="CQ577" i="27" s="1"/>
  <c r="BQ577" i="27"/>
  <c r="CP577" i="27" s="1"/>
  <c r="BP577" i="27"/>
  <c r="CO577" i="27" s="1"/>
  <c r="BO577" i="27"/>
  <c r="CN577" i="27" s="1"/>
  <c r="BN577" i="27"/>
  <c r="CM577" i="27" s="1"/>
  <c r="BM577" i="27"/>
  <c r="CL577" i="27" s="1"/>
  <c r="BL577" i="27"/>
  <c r="CK577" i="27" s="1"/>
  <c r="CI576" i="27"/>
  <c r="CH576" i="27"/>
  <c r="CE576" i="27"/>
  <c r="CC576" i="27"/>
  <c r="CB576" i="27"/>
  <c r="CA576" i="27"/>
  <c r="BZ576" i="27"/>
  <c r="BY576" i="27"/>
  <c r="BX576" i="27"/>
  <c r="BW576" i="27"/>
  <c r="BV576" i="27"/>
  <c r="BU576" i="27"/>
  <c r="BT576" i="27"/>
  <c r="BS576" i="27"/>
  <c r="BR576" i="27"/>
  <c r="CQ576" i="27" s="1"/>
  <c r="BQ576" i="27"/>
  <c r="CP576" i="27" s="1"/>
  <c r="BP576" i="27"/>
  <c r="CO576" i="27" s="1"/>
  <c r="BO576" i="27"/>
  <c r="CN576" i="27" s="1"/>
  <c r="BN576" i="27"/>
  <c r="BM576" i="27"/>
  <c r="BL576" i="27"/>
  <c r="CI575" i="27"/>
  <c r="CH575" i="27"/>
  <c r="CG575" i="27"/>
  <c r="CE575" i="27"/>
  <c r="CD575" i="27"/>
  <c r="CC575" i="27"/>
  <c r="CB575" i="27"/>
  <c r="CA575" i="27"/>
  <c r="BZ575" i="27"/>
  <c r="BY575" i="27"/>
  <c r="BX575" i="27"/>
  <c r="BW575" i="27"/>
  <c r="BV575" i="27"/>
  <c r="BU575" i="27"/>
  <c r="BT575" i="27"/>
  <c r="BS575" i="27"/>
  <c r="BR575" i="27"/>
  <c r="CQ575" i="27" s="1"/>
  <c r="BQ575" i="27"/>
  <c r="CP575" i="27" s="1"/>
  <c r="BP575" i="27"/>
  <c r="CO575" i="27" s="1"/>
  <c r="BO575" i="27"/>
  <c r="CN575" i="27" s="1"/>
  <c r="BN575" i="27"/>
  <c r="CM575" i="27" s="1"/>
  <c r="BM575" i="27"/>
  <c r="CL575" i="27" s="1"/>
  <c r="BL575" i="27"/>
  <c r="CK575" i="27" s="1"/>
  <c r="CI574" i="27"/>
  <c r="CH574" i="27"/>
  <c r="CG574" i="27"/>
  <c r="CE574" i="27"/>
  <c r="CD574" i="27"/>
  <c r="CC574" i="27"/>
  <c r="CB574" i="27"/>
  <c r="CA574" i="27"/>
  <c r="BZ574" i="27"/>
  <c r="BY574" i="27"/>
  <c r="BX574" i="27"/>
  <c r="BW574" i="27"/>
  <c r="BV574" i="27"/>
  <c r="BT574" i="27"/>
  <c r="BS574" i="27"/>
  <c r="BR574" i="27"/>
  <c r="CQ574" i="27" s="1"/>
  <c r="BQ574" i="27"/>
  <c r="CP574" i="27" s="1"/>
  <c r="BP574" i="27"/>
  <c r="CO574" i="27" s="1"/>
  <c r="BO574" i="27"/>
  <c r="CN574" i="27" s="1"/>
  <c r="BN574" i="27"/>
  <c r="CM574" i="27" s="1"/>
  <c r="BM574" i="27"/>
  <c r="CL574" i="27" s="1"/>
  <c r="BL574" i="27"/>
  <c r="CK574" i="27" s="1"/>
  <c r="CI573" i="27"/>
  <c r="CH573" i="27"/>
  <c r="CG573" i="27"/>
  <c r="CE573" i="27"/>
  <c r="CD573" i="27"/>
  <c r="CC573" i="27"/>
  <c r="CB573" i="27"/>
  <c r="CA573" i="27"/>
  <c r="BZ573" i="27"/>
  <c r="BY573" i="27"/>
  <c r="BX573" i="27"/>
  <c r="BW573" i="27"/>
  <c r="BV573" i="27"/>
  <c r="BT573" i="27"/>
  <c r="BS573" i="27"/>
  <c r="BR573" i="27"/>
  <c r="CQ573" i="27" s="1"/>
  <c r="BQ573" i="27"/>
  <c r="CP573" i="27" s="1"/>
  <c r="BP573" i="27"/>
  <c r="CO573" i="27" s="1"/>
  <c r="BO573" i="27"/>
  <c r="CN573" i="27" s="1"/>
  <c r="BN573" i="27"/>
  <c r="CM573" i="27" s="1"/>
  <c r="BM573" i="27"/>
  <c r="CL573" i="27" s="1"/>
  <c r="BL573" i="27"/>
  <c r="CK573" i="27" s="1"/>
  <c r="CI572" i="27"/>
  <c r="CH572" i="27"/>
  <c r="CE572" i="27"/>
  <c r="CC572" i="27"/>
  <c r="CB572" i="27"/>
  <c r="CA572" i="27"/>
  <c r="BZ572" i="27"/>
  <c r="BY572" i="27"/>
  <c r="BX572" i="27"/>
  <c r="BW572" i="27"/>
  <c r="BV572" i="27"/>
  <c r="BU572" i="27"/>
  <c r="BT572" i="27"/>
  <c r="BS572" i="27"/>
  <c r="BR572" i="27"/>
  <c r="CQ572" i="27" s="1"/>
  <c r="BQ572" i="27"/>
  <c r="CP572" i="27" s="1"/>
  <c r="BP572" i="27"/>
  <c r="CO572" i="27" s="1"/>
  <c r="BO572" i="27"/>
  <c r="CN572" i="27" s="1"/>
  <c r="BN572" i="27"/>
  <c r="BM572" i="27"/>
  <c r="BL572" i="27"/>
  <c r="CI571" i="27"/>
  <c r="CH571" i="27"/>
  <c r="CG571" i="27"/>
  <c r="CE571" i="27"/>
  <c r="CD571" i="27"/>
  <c r="CC571" i="27"/>
  <c r="CB571" i="27"/>
  <c r="CA571" i="27"/>
  <c r="BZ571" i="27"/>
  <c r="BY571" i="27"/>
  <c r="BX571" i="27"/>
  <c r="BW571" i="27"/>
  <c r="BV571" i="27"/>
  <c r="BU571" i="27"/>
  <c r="BT571" i="27"/>
  <c r="BS571" i="27"/>
  <c r="BR571" i="27"/>
  <c r="CQ571" i="27" s="1"/>
  <c r="BQ571" i="27"/>
  <c r="CP571" i="27" s="1"/>
  <c r="BP571" i="27"/>
  <c r="CO571" i="27" s="1"/>
  <c r="BO571" i="27"/>
  <c r="CN571" i="27" s="1"/>
  <c r="BN571" i="27"/>
  <c r="CM571" i="27" s="1"/>
  <c r="BM571" i="27"/>
  <c r="CL571" i="27" s="1"/>
  <c r="BL571" i="27"/>
  <c r="CK571" i="27" s="1"/>
  <c r="CI570" i="27"/>
  <c r="CH570" i="27"/>
  <c r="CG570" i="27"/>
  <c r="CF570" i="27"/>
  <c r="CE570" i="27"/>
  <c r="CD570" i="27"/>
  <c r="CC570" i="27"/>
  <c r="CB570" i="27"/>
  <c r="BZ570" i="27"/>
  <c r="BY570" i="27"/>
  <c r="BX570" i="27"/>
  <c r="BW570" i="27"/>
  <c r="BV570" i="27"/>
  <c r="BU570" i="27"/>
  <c r="BT570" i="27"/>
  <c r="BS570" i="27"/>
  <c r="BR570" i="27"/>
  <c r="CQ570" i="27" s="1"/>
  <c r="BQ570" i="27"/>
  <c r="CP570" i="27" s="1"/>
  <c r="BP570" i="27"/>
  <c r="CO570" i="27" s="1"/>
  <c r="BO570" i="27"/>
  <c r="CN570" i="27" s="1"/>
  <c r="BN570" i="27"/>
  <c r="CM570" i="27" s="1"/>
  <c r="BM570" i="27"/>
  <c r="CL570" i="27" s="1"/>
  <c r="BL570" i="27"/>
  <c r="CK570" i="27" s="1"/>
  <c r="CI569" i="27"/>
  <c r="CH569" i="27"/>
  <c r="CG569" i="27"/>
  <c r="CE569" i="27"/>
  <c r="CD569" i="27"/>
  <c r="CC569" i="27"/>
  <c r="CB569" i="27"/>
  <c r="BZ569" i="27"/>
  <c r="BY569" i="27"/>
  <c r="BX569" i="27"/>
  <c r="BW569" i="27"/>
  <c r="BV569" i="27"/>
  <c r="BU569" i="27"/>
  <c r="BT569" i="27"/>
  <c r="BS569" i="27"/>
  <c r="BR569" i="27"/>
  <c r="CQ569" i="27" s="1"/>
  <c r="BQ569" i="27"/>
  <c r="CP569" i="27" s="1"/>
  <c r="BP569" i="27"/>
  <c r="CO569" i="27" s="1"/>
  <c r="BO569" i="27"/>
  <c r="CN569" i="27" s="1"/>
  <c r="BN569" i="27"/>
  <c r="CM569" i="27" s="1"/>
  <c r="BM569" i="27"/>
  <c r="CL569" i="27" s="1"/>
  <c r="BL569" i="27"/>
  <c r="CK569" i="27" s="1"/>
  <c r="CI568" i="27"/>
  <c r="CH568" i="27"/>
  <c r="CE568" i="27"/>
  <c r="CC568" i="27"/>
  <c r="CB568" i="27"/>
  <c r="CA568" i="27"/>
  <c r="BZ568" i="27"/>
  <c r="BY568" i="27"/>
  <c r="BX568" i="27"/>
  <c r="BW568" i="27"/>
  <c r="BV568" i="27"/>
  <c r="BU568" i="27"/>
  <c r="BT568" i="27"/>
  <c r="BS568" i="27"/>
  <c r="BR568" i="27"/>
  <c r="CQ568" i="27" s="1"/>
  <c r="BQ568" i="27"/>
  <c r="CP568" i="27" s="1"/>
  <c r="BP568" i="27"/>
  <c r="CO568" i="27" s="1"/>
  <c r="BO568" i="27"/>
  <c r="CN568" i="27" s="1"/>
  <c r="BN568" i="27"/>
  <c r="BM568" i="27"/>
  <c r="BL568" i="27"/>
  <c r="CI567" i="27"/>
  <c r="CH567" i="27"/>
  <c r="CG567" i="27"/>
  <c r="CE567" i="27"/>
  <c r="CD567" i="27"/>
  <c r="CC567" i="27"/>
  <c r="CB567" i="27"/>
  <c r="BZ567" i="27"/>
  <c r="BY567" i="27"/>
  <c r="BX567" i="27"/>
  <c r="BW567" i="27"/>
  <c r="BV567" i="27"/>
  <c r="BU567" i="27"/>
  <c r="BT567" i="27"/>
  <c r="BS567" i="27"/>
  <c r="BR567" i="27"/>
  <c r="CQ567" i="27" s="1"/>
  <c r="BQ567" i="27"/>
  <c r="CP567" i="27" s="1"/>
  <c r="BP567" i="27"/>
  <c r="CO567" i="27" s="1"/>
  <c r="BO567" i="27"/>
  <c r="CN567" i="27" s="1"/>
  <c r="BN567" i="27"/>
  <c r="CM567" i="27" s="1"/>
  <c r="BM567" i="27"/>
  <c r="CL567" i="27" s="1"/>
  <c r="BL567" i="27"/>
  <c r="CK567" i="27" s="1"/>
  <c r="CI566" i="27"/>
  <c r="CH566" i="27"/>
  <c r="CG566" i="27"/>
  <c r="CE566" i="27"/>
  <c r="CD566" i="27"/>
  <c r="CC566" i="27"/>
  <c r="CB566" i="27"/>
  <c r="BZ566" i="27"/>
  <c r="BY566" i="27"/>
  <c r="BX566" i="27"/>
  <c r="BW566" i="27"/>
  <c r="BV566" i="27"/>
  <c r="BU566" i="27"/>
  <c r="BT566" i="27"/>
  <c r="BS566" i="27"/>
  <c r="BR566" i="27"/>
  <c r="CQ566" i="27" s="1"/>
  <c r="BQ566" i="27"/>
  <c r="CP566" i="27" s="1"/>
  <c r="BP566" i="27"/>
  <c r="CO566" i="27" s="1"/>
  <c r="BO566" i="27"/>
  <c r="CN566" i="27" s="1"/>
  <c r="BN566" i="27"/>
  <c r="CM566" i="27" s="1"/>
  <c r="BM566" i="27"/>
  <c r="CL566" i="27" s="1"/>
  <c r="BL566" i="27"/>
  <c r="CK566" i="27" s="1"/>
  <c r="CI565" i="27"/>
  <c r="CH565" i="27"/>
  <c r="CE565" i="27"/>
  <c r="CC565" i="27"/>
  <c r="CB565" i="27"/>
  <c r="CA565" i="27"/>
  <c r="BZ565" i="27"/>
  <c r="BY565" i="27"/>
  <c r="BX565" i="27"/>
  <c r="BW565" i="27"/>
  <c r="BV565" i="27"/>
  <c r="BU565" i="27"/>
  <c r="BT565" i="27"/>
  <c r="BS565" i="27"/>
  <c r="BR565" i="27"/>
  <c r="CQ565" i="27" s="1"/>
  <c r="BQ565" i="27"/>
  <c r="CP565" i="27" s="1"/>
  <c r="BP565" i="27"/>
  <c r="CO565" i="27" s="1"/>
  <c r="BO565" i="27"/>
  <c r="CN565" i="27" s="1"/>
  <c r="BN565" i="27"/>
  <c r="BM565" i="27"/>
  <c r="BL565" i="27"/>
  <c r="CI564" i="27"/>
  <c r="CH564" i="27"/>
  <c r="CG564" i="27"/>
  <c r="CE564" i="27"/>
  <c r="CD564" i="27"/>
  <c r="CC564" i="27"/>
  <c r="CB564" i="27"/>
  <c r="BZ564" i="27"/>
  <c r="BY564" i="27"/>
  <c r="BX564" i="27"/>
  <c r="BW564" i="27"/>
  <c r="BV564" i="27"/>
  <c r="BU564" i="27"/>
  <c r="BT564" i="27"/>
  <c r="BS564" i="27"/>
  <c r="BR564" i="27"/>
  <c r="CQ564" i="27" s="1"/>
  <c r="BQ564" i="27"/>
  <c r="CP564" i="27" s="1"/>
  <c r="BP564" i="27"/>
  <c r="CO564" i="27" s="1"/>
  <c r="BO564" i="27"/>
  <c r="CN564" i="27" s="1"/>
  <c r="BN564" i="27"/>
  <c r="CM564" i="27" s="1"/>
  <c r="BM564" i="27"/>
  <c r="CL564" i="27" s="1"/>
  <c r="BL564" i="27"/>
  <c r="CK564" i="27" s="1"/>
  <c r="CI563" i="27"/>
  <c r="CH563" i="27"/>
  <c r="CG563" i="27"/>
  <c r="CE563" i="27"/>
  <c r="CD563" i="27"/>
  <c r="CC563" i="27"/>
  <c r="CB563" i="27"/>
  <c r="BZ563" i="27"/>
  <c r="BX563" i="27"/>
  <c r="BW563" i="27"/>
  <c r="BV563" i="27"/>
  <c r="BU563" i="27"/>
  <c r="BT563" i="27"/>
  <c r="BS563" i="27"/>
  <c r="BR563" i="27"/>
  <c r="CQ563" i="27" s="1"/>
  <c r="BQ563" i="27"/>
  <c r="CP563" i="27" s="1"/>
  <c r="BP563" i="27"/>
  <c r="CO563" i="27" s="1"/>
  <c r="BO563" i="27"/>
  <c r="CN563" i="27" s="1"/>
  <c r="BN563" i="27"/>
  <c r="CM563" i="27" s="1"/>
  <c r="BM563" i="27"/>
  <c r="CL563" i="27" s="1"/>
  <c r="BL563" i="27"/>
  <c r="CK563" i="27" s="1"/>
  <c r="CI562" i="27"/>
  <c r="CH562" i="27"/>
  <c r="CE562" i="27"/>
  <c r="CC562" i="27"/>
  <c r="CB562" i="27"/>
  <c r="CA562" i="27"/>
  <c r="BZ562" i="27"/>
  <c r="BY562" i="27"/>
  <c r="BX562" i="27"/>
  <c r="BW562" i="27"/>
  <c r="BV562" i="27"/>
  <c r="BU562" i="27"/>
  <c r="BT562" i="27"/>
  <c r="BS562" i="27"/>
  <c r="BR562" i="27"/>
  <c r="CQ562" i="27" s="1"/>
  <c r="BQ562" i="27"/>
  <c r="CP562" i="27" s="1"/>
  <c r="BP562" i="27"/>
  <c r="CO562" i="27" s="1"/>
  <c r="BO562" i="27"/>
  <c r="CN562" i="27" s="1"/>
  <c r="BN562" i="27"/>
  <c r="BM562" i="27"/>
  <c r="BL562" i="27"/>
  <c r="CI561" i="27"/>
  <c r="CH561" i="27"/>
  <c r="CG561" i="27"/>
  <c r="CE561" i="27"/>
  <c r="CD561" i="27"/>
  <c r="CC561" i="27"/>
  <c r="CB561" i="27"/>
  <c r="BZ561" i="27"/>
  <c r="BY561" i="27"/>
  <c r="BX561" i="27"/>
  <c r="BW561" i="27"/>
  <c r="BV561" i="27"/>
  <c r="BU561" i="27"/>
  <c r="BT561" i="27"/>
  <c r="BS561" i="27"/>
  <c r="BR561" i="27"/>
  <c r="CQ561" i="27" s="1"/>
  <c r="BQ561" i="27"/>
  <c r="CP561" i="27" s="1"/>
  <c r="BP561" i="27"/>
  <c r="CO561" i="27" s="1"/>
  <c r="BO561" i="27"/>
  <c r="CN561" i="27" s="1"/>
  <c r="BN561" i="27"/>
  <c r="CM561" i="27" s="1"/>
  <c r="BM561" i="27"/>
  <c r="CL561" i="27" s="1"/>
  <c r="BL561" i="27"/>
  <c r="CK561" i="27" s="1"/>
  <c r="CI560" i="27"/>
  <c r="CH560" i="27"/>
  <c r="CG560" i="27"/>
  <c r="CE560" i="27"/>
  <c r="CD560" i="27"/>
  <c r="CC560" i="27"/>
  <c r="CB560" i="27"/>
  <c r="BZ560" i="27"/>
  <c r="BY560" i="27"/>
  <c r="BX560" i="27"/>
  <c r="BW560" i="27"/>
  <c r="BV560" i="27"/>
  <c r="BU560" i="27"/>
  <c r="BT560" i="27"/>
  <c r="BS560" i="27"/>
  <c r="BR560" i="27"/>
  <c r="CQ560" i="27" s="1"/>
  <c r="BQ560" i="27"/>
  <c r="CP560" i="27" s="1"/>
  <c r="BP560" i="27"/>
  <c r="CO560" i="27" s="1"/>
  <c r="BO560" i="27"/>
  <c r="CN560" i="27" s="1"/>
  <c r="BN560" i="27"/>
  <c r="CM560" i="27" s="1"/>
  <c r="BM560" i="27"/>
  <c r="CL560" i="27" s="1"/>
  <c r="BL560" i="27"/>
  <c r="CK560" i="27" s="1"/>
  <c r="CI559" i="27"/>
  <c r="CH559" i="27"/>
  <c r="CE559" i="27"/>
  <c r="CC559" i="27"/>
  <c r="CB559" i="27"/>
  <c r="CA559" i="27"/>
  <c r="BZ559" i="27"/>
  <c r="BY559" i="27"/>
  <c r="BX559" i="27"/>
  <c r="BW559" i="27"/>
  <c r="BV559" i="27"/>
  <c r="BU559" i="27"/>
  <c r="BT559" i="27"/>
  <c r="BS559" i="27"/>
  <c r="BR559" i="27"/>
  <c r="CQ559" i="27" s="1"/>
  <c r="BQ559" i="27"/>
  <c r="CP559" i="27" s="1"/>
  <c r="BP559" i="27"/>
  <c r="CO559" i="27" s="1"/>
  <c r="BO559" i="27"/>
  <c r="CN559" i="27" s="1"/>
  <c r="BN559" i="27"/>
  <c r="BM559" i="27"/>
  <c r="BL559" i="27"/>
  <c r="CI558" i="27"/>
  <c r="CH558" i="27"/>
  <c r="CG558" i="27"/>
  <c r="CE558" i="27"/>
  <c r="CD558" i="27"/>
  <c r="CC558" i="27"/>
  <c r="CB558" i="27"/>
  <c r="CA558" i="27"/>
  <c r="BZ558" i="27"/>
  <c r="BY558" i="27"/>
  <c r="BX558" i="27"/>
  <c r="BW558" i="27"/>
  <c r="BV558" i="27"/>
  <c r="BU558" i="27"/>
  <c r="BT558" i="27"/>
  <c r="BS558" i="27"/>
  <c r="BR558" i="27"/>
  <c r="CQ558" i="27" s="1"/>
  <c r="BQ558" i="27"/>
  <c r="CP558" i="27" s="1"/>
  <c r="BP558" i="27"/>
  <c r="CO558" i="27" s="1"/>
  <c r="BO558" i="27"/>
  <c r="CN558" i="27" s="1"/>
  <c r="BN558" i="27"/>
  <c r="CM558" i="27" s="1"/>
  <c r="BM558" i="27"/>
  <c r="CL558" i="27" s="1"/>
  <c r="BL558" i="27"/>
  <c r="CK558" i="27" s="1"/>
  <c r="CI557" i="27"/>
  <c r="CH557" i="27"/>
  <c r="CG557" i="27"/>
  <c r="CE557" i="27"/>
  <c r="CD557" i="27"/>
  <c r="CC557" i="27"/>
  <c r="CB557" i="27"/>
  <c r="BZ557" i="27"/>
  <c r="BY557" i="27"/>
  <c r="BX557" i="27"/>
  <c r="BW557" i="27"/>
  <c r="BV557" i="27"/>
  <c r="BU557" i="27"/>
  <c r="BT557" i="27"/>
  <c r="BS557" i="27"/>
  <c r="BR557" i="27"/>
  <c r="CQ557" i="27" s="1"/>
  <c r="BQ557" i="27"/>
  <c r="CP557" i="27" s="1"/>
  <c r="BP557" i="27"/>
  <c r="CO557" i="27" s="1"/>
  <c r="BO557" i="27"/>
  <c r="CN557" i="27" s="1"/>
  <c r="BN557" i="27"/>
  <c r="CM557" i="27" s="1"/>
  <c r="BM557" i="27"/>
  <c r="CL557" i="27" s="1"/>
  <c r="BL557" i="27"/>
  <c r="CK557" i="27" s="1"/>
  <c r="CI556" i="27"/>
  <c r="CH556" i="27"/>
  <c r="CG556" i="27"/>
  <c r="CE556" i="27"/>
  <c r="CD556" i="27"/>
  <c r="CC556" i="27"/>
  <c r="CB556" i="27"/>
  <c r="BZ556" i="27"/>
  <c r="BY556" i="27"/>
  <c r="BX556" i="27"/>
  <c r="BW556" i="27"/>
  <c r="BV556" i="27"/>
  <c r="BU556" i="27"/>
  <c r="BT556" i="27"/>
  <c r="BS556" i="27"/>
  <c r="BR556" i="27"/>
  <c r="CQ556" i="27" s="1"/>
  <c r="BQ556" i="27"/>
  <c r="CP556" i="27" s="1"/>
  <c r="BP556" i="27"/>
  <c r="CO556" i="27" s="1"/>
  <c r="BO556" i="27"/>
  <c r="CN556" i="27" s="1"/>
  <c r="BN556" i="27"/>
  <c r="CM556" i="27" s="1"/>
  <c r="BM556" i="27"/>
  <c r="CL556" i="27" s="1"/>
  <c r="BL556" i="27"/>
  <c r="CK556" i="27" s="1"/>
  <c r="CI555" i="27"/>
  <c r="CH555" i="27"/>
  <c r="CE555" i="27"/>
  <c r="CC555" i="27"/>
  <c r="CB555" i="27"/>
  <c r="CA555" i="27"/>
  <c r="BZ555" i="27"/>
  <c r="BY555" i="27"/>
  <c r="BX555" i="27"/>
  <c r="BW555" i="27"/>
  <c r="BV555" i="27"/>
  <c r="BU555" i="27"/>
  <c r="BT555" i="27"/>
  <c r="BS555" i="27"/>
  <c r="BR555" i="27"/>
  <c r="CQ555" i="27" s="1"/>
  <c r="BQ555" i="27"/>
  <c r="CP555" i="27" s="1"/>
  <c r="BP555" i="27"/>
  <c r="CO555" i="27" s="1"/>
  <c r="BO555" i="27"/>
  <c r="CN555" i="27" s="1"/>
  <c r="BN555" i="27"/>
  <c r="BM555" i="27"/>
  <c r="BL555" i="27"/>
  <c r="CI554" i="27"/>
  <c r="CH554" i="27"/>
  <c r="CG554" i="27"/>
  <c r="CE554" i="27"/>
  <c r="CD554" i="27"/>
  <c r="CC554" i="27"/>
  <c r="CB554" i="27"/>
  <c r="BZ554" i="27"/>
  <c r="BY554" i="27"/>
  <c r="BX554" i="27"/>
  <c r="BW554" i="27"/>
  <c r="BV554" i="27"/>
  <c r="BU554" i="27"/>
  <c r="BT554" i="27"/>
  <c r="BS554" i="27"/>
  <c r="BR554" i="27"/>
  <c r="CQ554" i="27" s="1"/>
  <c r="BQ554" i="27"/>
  <c r="CP554" i="27" s="1"/>
  <c r="BP554" i="27"/>
  <c r="CO554" i="27" s="1"/>
  <c r="BO554" i="27"/>
  <c r="CN554" i="27" s="1"/>
  <c r="BN554" i="27"/>
  <c r="CM554" i="27" s="1"/>
  <c r="BM554" i="27"/>
  <c r="CL554" i="27" s="1"/>
  <c r="BL554" i="27"/>
  <c r="CK554" i="27" s="1"/>
  <c r="CI553" i="27"/>
  <c r="CH553" i="27"/>
  <c r="CG553" i="27"/>
  <c r="CE553" i="27"/>
  <c r="CD553" i="27"/>
  <c r="CC553" i="27"/>
  <c r="CB553" i="27"/>
  <c r="BZ553" i="27"/>
  <c r="BY553" i="27"/>
  <c r="BX553" i="27"/>
  <c r="BW553" i="27"/>
  <c r="BV553" i="27"/>
  <c r="BU553" i="27"/>
  <c r="BT553" i="27"/>
  <c r="BS553" i="27"/>
  <c r="BR553" i="27"/>
  <c r="CQ553" i="27" s="1"/>
  <c r="BQ553" i="27"/>
  <c r="CP553" i="27" s="1"/>
  <c r="BP553" i="27"/>
  <c r="CO553" i="27" s="1"/>
  <c r="BO553" i="27"/>
  <c r="CN553" i="27" s="1"/>
  <c r="BN553" i="27"/>
  <c r="CM553" i="27" s="1"/>
  <c r="BM553" i="27"/>
  <c r="CL553" i="27" s="1"/>
  <c r="BL553" i="27"/>
  <c r="CK553" i="27" s="1"/>
  <c r="CI552" i="27"/>
  <c r="CH552" i="27"/>
  <c r="CE552" i="27"/>
  <c r="CC552" i="27"/>
  <c r="CB552" i="27"/>
  <c r="CA552" i="27"/>
  <c r="BZ552" i="27"/>
  <c r="BY552" i="27"/>
  <c r="BX552" i="27"/>
  <c r="BW552" i="27"/>
  <c r="BV552" i="27"/>
  <c r="BU552" i="27"/>
  <c r="BT552" i="27"/>
  <c r="BS552" i="27"/>
  <c r="BR552" i="27"/>
  <c r="CQ552" i="27" s="1"/>
  <c r="BQ552" i="27"/>
  <c r="CP552" i="27" s="1"/>
  <c r="BP552" i="27"/>
  <c r="CO552" i="27" s="1"/>
  <c r="BO552" i="27"/>
  <c r="CN552" i="27" s="1"/>
  <c r="BN552" i="27"/>
  <c r="BM552" i="27"/>
  <c r="BL552" i="27"/>
  <c r="CI551" i="27"/>
  <c r="CH551" i="27"/>
  <c r="CG551" i="27"/>
  <c r="CE551" i="27"/>
  <c r="CD551" i="27"/>
  <c r="CC551" i="27"/>
  <c r="CB551" i="27"/>
  <c r="BZ551" i="27"/>
  <c r="BY551" i="27"/>
  <c r="BX551" i="27"/>
  <c r="BV551" i="27"/>
  <c r="BU551" i="27"/>
  <c r="BT551" i="27"/>
  <c r="BS551" i="27"/>
  <c r="BR551" i="27"/>
  <c r="CQ551" i="27" s="1"/>
  <c r="BQ551" i="27"/>
  <c r="CP551" i="27" s="1"/>
  <c r="BP551" i="27"/>
  <c r="CO551" i="27" s="1"/>
  <c r="BO551" i="27"/>
  <c r="CN551" i="27" s="1"/>
  <c r="BN551" i="27"/>
  <c r="CM551" i="27" s="1"/>
  <c r="BM551" i="27"/>
  <c r="CL551" i="27" s="1"/>
  <c r="BL551" i="27"/>
  <c r="CK551" i="27" s="1"/>
  <c r="CI550" i="27"/>
  <c r="CH550" i="27"/>
  <c r="CG550" i="27"/>
  <c r="CE550" i="27"/>
  <c r="CD550" i="27"/>
  <c r="CC550" i="27"/>
  <c r="CB550" i="27"/>
  <c r="BZ550" i="27"/>
  <c r="BX550" i="27"/>
  <c r="BW550" i="27"/>
  <c r="BV550" i="27"/>
  <c r="BU550" i="27"/>
  <c r="BT550" i="27"/>
  <c r="BS550" i="27"/>
  <c r="BR550" i="27"/>
  <c r="CQ550" i="27" s="1"/>
  <c r="BQ550" i="27"/>
  <c r="CP550" i="27" s="1"/>
  <c r="BP550" i="27"/>
  <c r="CO550" i="27" s="1"/>
  <c r="BO550" i="27"/>
  <c r="CN550" i="27" s="1"/>
  <c r="BN550" i="27"/>
  <c r="CM550" i="27" s="1"/>
  <c r="BM550" i="27"/>
  <c r="CL550" i="27" s="1"/>
  <c r="BL550" i="27"/>
  <c r="CK550" i="27" s="1"/>
  <c r="CI549" i="27"/>
  <c r="CH549" i="27"/>
  <c r="CE549" i="27"/>
  <c r="CC549" i="27"/>
  <c r="CB549" i="27"/>
  <c r="CA549" i="27"/>
  <c r="BZ549" i="27"/>
  <c r="BX549" i="27"/>
  <c r="BW549" i="27"/>
  <c r="BV549" i="27"/>
  <c r="BU549" i="27"/>
  <c r="BT549" i="27"/>
  <c r="BS549" i="27"/>
  <c r="BR549" i="27"/>
  <c r="CQ549" i="27" s="1"/>
  <c r="BQ549" i="27"/>
  <c r="CP549" i="27" s="1"/>
  <c r="BP549" i="27"/>
  <c r="CO549" i="27" s="1"/>
  <c r="BO549" i="27"/>
  <c r="CN549" i="27" s="1"/>
  <c r="BN549" i="27"/>
  <c r="BM549" i="27"/>
  <c r="BL549" i="27"/>
  <c r="CI548" i="27"/>
  <c r="CH548" i="27"/>
  <c r="CG548" i="27"/>
  <c r="CE548" i="27"/>
  <c r="CD548" i="27"/>
  <c r="CC548" i="27"/>
  <c r="CB548" i="27"/>
  <c r="BZ548" i="27"/>
  <c r="BY548" i="27"/>
  <c r="BX548" i="27"/>
  <c r="BW548" i="27"/>
  <c r="BV548" i="27"/>
  <c r="BU548" i="27"/>
  <c r="BT548" i="27"/>
  <c r="BS548" i="27"/>
  <c r="BR548" i="27"/>
  <c r="CQ548" i="27" s="1"/>
  <c r="BQ548" i="27"/>
  <c r="CP548" i="27" s="1"/>
  <c r="BP548" i="27"/>
  <c r="CO548" i="27" s="1"/>
  <c r="BO548" i="27"/>
  <c r="CN548" i="27" s="1"/>
  <c r="BN548" i="27"/>
  <c r="CM548" i="27" s="1"/>
  <c r="BM548" i="27"/>
  <c r="CL548" i="27" s="1"/>
  <c r="BL548" i="27"/>
  <c r="CK548" i="27" s="1"/>
  <c r="CI547" i="27"/>
  <c r="CH547" i="27"/>
  <c r="CG547" i="27"/>
  <c r="CF547" i="27"/>
  <c r="CE547" i="27"/>
  <c r="CD547" i="27"/>
  <c r="CC547" i="27"/>
  <c r="CB547" i="27"/>
  <c r="BZ547" i="27"/>
  <c r="BY547" i="27"/>
  <c r="BX547" i="27"/>
  <c r="BW547" i="27"/>
  <c r="BV547" i="27"/>
  <c r="BU547" i="27"/>
  <c r="BT547" i="27"/>
  <c r="BS547" i="27"/>
  <c r="BR547" i="27"/>
  <c r="CQ547" i="27" s="1"/>
  <c r="BQ547" i="27"/>
  <c r="CP547" i="27" s="1"/>
  <c r="BP547" i="27"/>
  <c r="CO547" i="27" s="1"/>
  <c r="BO547" i="27"/>
  <c r="CN547" i="27" s="1"/>
  <c r="BN547" i="27"/>
  <c r="CM547" i="27" s="1"/>
  <c r="BM547" i="27"/>
  <c r="CL547" i="27" s="1"/>
  <c r="BL547" i="27"/>
  <c r="CK547" i="27" s="1"/>
  <c r="CI546" i="27"/>
  <c r="CH546" i="27"/>
  <c r="CE546" i="27"/>
  <c r="CC546" i="27"/>
  <c r="CB546" i="27"/>
  <c r="CA546" i="27"/>
  <c r="BZ546" i="27"/>
  <c r="BY546" i="27"/>
  <c r="BX546" i="27"/>
  <c r="BW546" i="27"/>
  <c r="BV546" i="27"/>
  <c r="BU546" i="27"/>
  <c r="BT546" i="27"/>
  <c r="BS546" i="27"/>
  <c r="BR546" i="27"/>
  <c r="CQ546" i="27" s="1"/>
  <c r="BQ546" i="27"/>
  <c r="CP546" i="27" s="1"/>
  <c r="BP546" i="27"/>
  <c r="CO546" i="27" s="1"/>
  <c r="BO546" i="27"/>
  <c r="CN546" i="27" s="1"/>
  <c r="BN546" i="27"/>
  <c r="BM546" i="27"/>
  <c r="BL546" i="27"/>
  <c r="CI545" i="27"/>
  <c r="CH545" i="27"/>
  <c r="CG545" i="27"/>
  <c r="CE545" i="27"/>
  <c r="CD545" i="27"/>
  <c r="CC545" i="27"/>
  <c r="CB545" i="27"/>
  <c r="CA545" i="27"/>
  <c r="BZ545" i="27"/>
  <c r="BY545" i="27"/>
  <c r="BX545" i="27"/>
  <c r="BW545" i="27"/>
  <c r="BV545" i="27"/>
  <c r="BU545" i="27"/>
  <c r="BT545" i="27"/>
  <c r="BS545" i="27"/>
  <c r="BR545" i="27"/>
  <c r="CQ545" i="27" s="1"/>
  <c r="BQ545" i="27"/>
  <c r="CP545" i="27" s="1"/>
  <c r="BP545" i="27"/>
  <c r="CO545" i="27" s="1"/>
  <c r="BO545" i="27"/>
  <c r="CN545" i="27" s="1"/>
  <c r="BN545" i="27"/>
  <c r="CM545" i="27" s="1"/>
  <c r="BM545" i="27"/>
  <c r="CL545" i="27" s="1"/>
  <c r="BL545" i="27"/>
  <c r="CK545" i="27" s="1"/>
  <c r="CI544" i="27"/>
  <c r="CH544" i="27"/>
  <c r="CG544" i="27"/>
  <c r="CE544" i="27"/>
  <c r="CD544" i="27"/>
  <c r="CC544" i="27"/>
  <c r="CB544" i="27"/>
  <c r="BZ544" i="27"/>
  <c r="BY544" i="27"/>
  <c r="BX544" i="27"/>
  <c r="BW544" i="27"/>
  <c r="BV544" i="27"/>
  <c r="BU544" i="27"/>
  <c r="BT544" i="27"/>
  <c r="BS544" i="27"/>
  <c r="BR544" i="27"/>
  <c r="CQ544" i="27" s="1"/>
  <c r="BQ544" i="27"/>
  <c r="CP544" i="27" s="1"/>
  <c r="BP544" i="27"/>
  <c r="CO544" i="27" s="1"/>
  <c r="BO544" i="27"/>
  <c r="CN544" i="27" s="1"/>
  <c r="BN544" i="27"/>
  <c r="CM544" i="27" s="1"/>
  <c r="BM544" i="27"/>
  <c r="CL544" i="27" s="1"/>
  <c r="BL544" i="27"/>
  <c r="CK544" i="27" s="1"/>
  <c r="CI543" i="27"/>
  <c r="CH543" i="27"/>
  <c r="CG543" i="27"/>
  <c r="CE543" i="27"/>
  <c r="CD543" i="27"/>
  <c r="CC543" i="27"/>
  <c r="CB543" i="27"/>
  <c r="BZ543" i="27"/>
  <c r="BY543" i="27"/>
  <c r="BX543" i="27"/>
  <c r="BW543" i="27"/>
  <c r="BV543" i="27"/>
  <c r="BU543" i="27"/>
  <c r="BT543" i="27"/>
  <c r="BS543" i="27"/>
  <c r="BR543" i="27"/>
  <c r="CQ543" i="27" s="1"/>
  <c r="BQ543" i="27"/>
  <c r="CP543" i="27" s="1"/>
  <c r="BP543" i="27"/>
  <c r="CO543" i="27" s="1"/>
  <c r="BO543" i="27"/>
  <c r="CN543" i="27" s="1"/>
  <c r="BN543" i="27"/>
  <c r="CM543" i="27" s="1"/>
  <c r="BM543" i="27"/>
  <c r="CL543" i="27" s="1"/>
  <c r="BL543" i="27"/>
  <c r="CK543" i="27" s="1"/>
  <c r="CI542" i="27"/>
  <c r="CH542" i="27"/>
  <c r="CE542" i="27"/>
  <c r="CC542" i="27"/>
  <c r="CB542" i="27"/>
  <c r="CA542" i="27"/>
  <c r="BZ542" i="27"/>
  <c r="BY542" i="27"/>
  <c r="BX542" i="27"/>
  <c r="BW542" i="27"/>
  <c r="BV542" i="27"/>
  <c r="BU542" i="27"/>
  <c r="BT542" i="27"/>
  <c r="BS542" i="27"/>
  <c r="BR542" i="27"/>
  <c r="CQ542" i="27" s="1"/>
  <c r="BQ542" i="27"/>
  <c r="CP542" i="27" s="1"/>
  <c r="BP542" i="27"/>
  <c r="CO542" i="27" s="1"/>
  <c r="BO542" i="27"/>
  <c r="CN542" i="27" s="1"/>
  <c r="BN542" i="27"/>
  <c r="BM542" i="27"/>
  <c r="BL542" i="27"/>
  <c r="CI541" i="27"/>
  <c r="CH541" i="27"/>
  <c r="CG541" i="27"/>
  <c r="CE541" i="27"/>
  <c r="CD541" i="27"/>
  <c r="CC541" i="27"/>
  <c r="CB541" i="27"/>
  <c r="BZ541" i="27"/>
  <c r="BY541" i="27"/>
  <c r="BX541" i="27"/>
  <c r="BW541" i="27"/>
  <c r="BV541" i="27"/>
  <c r="BU541" i="27"/>
  <c r="BT541" i="27"/>
  <c r="BS541" i="27"/>
  <c r="BR541" i="27"/>
  <c r="CQ541" i="27" s="1"/>
  <c r="BQ541" i="27"/>
  <c r="CP541" i="27" s="1"/>
  <c r="BP541" i="27"/>
  <c r="CO541" i="27" s="1"/>
  <c r="BO541" i="27"/>
  <c r="CN541" i="27" s="1"/>
  <c r="BN541" i="27"/>
  <c r="CM541" i="27" s="1"/>
  <c r="BM541" i="27"/>
  <c r="CL541" i="27" s="1"/>
  <c r="BL541" i="27"/>
  <c r="CK541" i="27" s="1"/>
  <c r="CI540" i="27"/>
  <c r="CH540" i="27"/>
  <c r="CG540" i="27"/>
  <c r="CE540" i="27"/>
  <c r="CD540" i="27"/>
  <c r="CC540" i="27"/>
  <c r="CB540" i="27"/>
  <c r="BZ540" i="27"/>
  <c r="BY540" i="27"/>
  <c r="BX540" i="27"/>
  <c r="BW540" i="27"/>
  <c r="BV540" i="27"/>
  <c r="BU540" i="27"/>
  <c r="BT540" i="27"/>
  <c r="BS540" i="27"/>
  <c r="BR540" i="27"/>
  <c r="CQ540" i="27" s="1"/>
  <c r="BQ540" i="27"/>
  <c r="CP540" i="27" s="1"/>
  <c r="BP540" i="27"/>
  <c r="CO540" i="27" s="1"/>
  <c r="BO540" i="27"/>
  <c r="CN540" i="27" s="1"/>
  <c r="BN540" i="27"/>
  <c r="CM540" i="27" s="1"/>
  <c r="BM540" i="27"/>
  <c r="CL540" i="27" s="1"/>
  <c r="BL540" i="27"/>
  <c r="CK540" i="27" s="1"/>
  <c r="CI539" i="27"/>
  <c r="CH539" i="27"/>
  <c r="CE539" i="27"/>
  <c r="CC539" i="27"/>
  <c r="CB539" i="27"/>
  <c r="CA539" i="27"/>
  <c r="BZ539" i="27"/>
  <c r="BY539" i="27"/>
  <c r="BX539" i="27"/>
  <c r="BW539" i="27"/>
  <c r="BV539" i="27"/>
  <c r="BU539" i="27"/>
  <c r="BT539" i="27"/>
  <c r="BS539" i="27"/>
  <c r="BR539" i="27"/>
  <c r="CQ539" i="27" s="1"/>
  <c r="BQ539" i="27"/>
  <c r="CP539" i="27" s="1"/>
  <c r="BP539" i="27"/>
  <c r="CO539" i="27" s="1"/>
  <c r="BO539" i="27"/>
  <c r="CN539" i="27" s="1"/>
  <c r="BN539" i="27"/>
  <c r="BM539" i="27"/>
  <c r="BL539" i="27"/>
  <c r="CI538" i="27"/>
  <c r="CH538" i="27"/>
  <c r="CG538" i="27"/>
  <c r="CE538" i="27"/>
  <c r="CD538" i="27"/>
  <c r="CC538" i="27"/>
  <c r="CB538" i="27"/>
  <c r="BZ538" i="27"/>
  <c r="BY538" i="27"/>
  <c r="BX538" i="27"/>
  <c r="BW538" i="27"/>
  <c r="BV538" i="27"/>
  <c r="BU538" i="27"/>
  <c r="BT538" i="27"/>
  <c r="BS538" i="27"/>
  <c r="BR538" i="27"/>
  <c r="CQ538" i="27" s="1"/>
  <c r="BQ538" i="27"/>
  <c r="CP538" i="27" s="1"/>
  <c r="BP538" i="27"/>
  <c r="CO538" i="27" s="1"/>
  <c r="BO538" i="27"/>
  <c r="CN538" i="27" s="1"/>
  <c r="BN538" i="27"/>
  <c r="CM538" i="27" s="1"/>
  <c r="BM538" i="27"/>
  <c r="CL538" i="27" s="1"/>
  <c r="BL538" i="27"/>
  <c r="CK538" i="27" s="1"/>
  <c r="CI537" i="27"/>
  <c r="CH537" i="27"/>
  <c r="CG537" i="27"/>
  <c r="CE537" i="27"/>
  <c r="CD537" i="27"/>
  <c r="CC537" i="27"/>
  <c r="CB537" i="27"/>
  <c r="BZ537" i="27"/>
  <c r="BY537" i="27"/>
  <c r="BX537" i="27"/>
  <c r="BW537" i="27"/>
  <c r="BV537" i="27"/>
  <c r="BU537" i="27"/>
  <c r="BT537" i="27"/>
  <c r="BS537" i="27"/>
  <c r="BR537" i="27"/>
  <c r="CQ537" i="27" s="1"/>
  <c r="BQ537" i="27"/>
  <c r="CP537" i="27" s="1"/>
  <c r="BP537" i="27"/>
  <c r="CO537" i="27" s="1"/>
  <c r="BO537" i="27"/>
  <c r="CN537" i="27" s="1"/>
  <c r="BN537" i="27"/>
  <c r="CM537" i="27" s="1"/>
  <c r="BM537" i="27"/>
  <c r="CL537" i="27" s="1"/>
  <c r="BL537" i="27"/>
  <c r="CK537" i="27" s="1"/>
  <c r="CI536" i="27"/>
  <c r="CH536" i="27"/>
  <c r="CE536" i="27"/>
  <c r="CC536" i="27"/>
  <c r="CB536" i="27"/>
  <c r="CA536" i="27"/>
  <c r="BZ536" i="27"/>
  <c r="BX536" i="27"/>
  <c r="BW536" i="27"/>
  <c r="BV536" i="27"/>
  <c r="BT536" i="27"/>
  <c r="BS536" i="27"/>
  <c r="BR536" i="27"/>
  <c r="CQ536" i="27" s="1"/>
  <c r="BQ536" i="27"/>
  <c r="CP536" i="27" s="1"/>
  <c r="BP536" i="27"/>
  <c r="CO536" i="27" s="1"/>
  <c r="BO536" i="27"/>
  <c r="CN536" i="27" s="1"/>
  <c r="BN536" i="27"/>
  <c r="BM536" i="27"/>
  <c r="BL536" i="27"/>
  <c r="CI535" i="27"/>
  <c r="CH535" i="27"/>
  <c r="CG535" i="27"/>
  <c r="CF535" i="27"/>
  <c r="CE535" i="27"/>
  <c r="CD535" i="27"/>
  <c r="CC535" i="27"/>
  <c r="CB535" i="27"/>
  <c r="BZ535" i="27"/>
  <c r="BY535" i="27"/>
  <c r="BX535" i="27"/>
  <c r="BW535" i="27"/>
  <c r="BV535" i="27"/>
  <c r="BU535" i="27"/>
  <c r="BT535" i="27"/>
  <c r="BS535" i="27"/>
  <c r="BR535" i="27"/>
  <c r="CQ535" i="27" s="1"/>
  <c r="BQ535" i="27"/>
  <c r="CP535" i="27" s="1"/>
  <c r="BP535" i="27"/>
  <c r="CO535" i="27" s="1"/>
  <c r="BO535" i="27"/>
  <c r="CN535" i="27" s="1"/>
  <c r="BN535" i="27"/>
  <c r="CM535" i="27" s="1"/>
  <c r="BM535" i="27"/>
  <c r="CL535" i="27" s="1"/>
  <c r="BL535" i="27"/>
  <c r="CK535" i="27" s="1"/>
  <c r="CI534" i="27"/>
  <c r="CH534" i="27"/>
  <c r="CG534" i="27"/>
  <c r="CF534" i="27"/>
  <c r="CE534" i="27"/>
  <c r="CD534" i="27"/>
  <c r="CC534" i="27"/>
  <c r="CB534" i="27"/>
  <c r="BZ534" i="27"/>
  <c r="BY534" i="27"/>
  <c r="BX534" i="27"/>
  <c r="BW534" i="27"/>
  <c r="BV534" i="27"/>
  <c r="BU534" i="27"/>
  <c r="BT534" i="27"/>
  <c r="BS534" i="27"/>
  <c r="BR534" i="27"/>
  <c r="CQ534" i="27" s="1"/>
  <c r="BQ534" i="27"/>
  <c r="CP534" i="27" s="1"/>
  <c r="BP534" i="27"/>
  <c r="CO534" i="27" s="1"/>
  <c r="BO534" i="27"/>
  <c r="CN534" i="27" s="1"/>
  <c r="BN534" i="27"/>
  <c r="CM534" i="27" s="1"/>
  <c r="BM534" i="27"/>
  <c r="CL534" i="27" s="1"/>
  <c r="BL534" i="27"/>
  <c r="CK534" i="27" s="1"/>
  <c r="CI533" i="27"/>
  <c r="CH533" i="27"/>
  <c r="CE533" i="27"/>
  <c r="CC533" i="27"/>
  <c r="CB533" i="27"/>
  <c r="CA533" i="27"/>
  <c r="BZ533" i="27"/>
  <c r="BY533" i="27"/>
  <c r="BX533" i="27"/>
  <c r="BW533" i="27"/>
  <c r="BV533" i="27"/>
  <c r="BU533" i="27"/>
  <c r="BT533" i="27"/>
  <c r="BS533" i="27"/>
  <c r="BR533" i="27"/>
  <c r="CQ533" i="27" s="1"/>
  <c r="BQ533" i="27"/>
  <c r="CP533" i="27" s="1"/>
  <c r="BP533" i="27"/>
  <c r="CO533" i="27" s="1"/>
  <c r="BO533" i="27"/>
  <c r="CN533" i="27" s="1"/>
  <c r="BN533" i="27"/>
  <c r="BM533" i="27"/>
  <c r="BL533" i="27"/>
  <c r="CI532" i="27"/>
  <c r="CH532" i="27"/>
  <c r="CG532" i="27"/>
  <c r="CE532" i="27"/>
  <c r="CD532" i="27"/>
  <c r="CC532" i="27"/>
  <c r="CB532" i="27"/>
  <c r="CA532" i="27"/>
  <c r="BZ532" i="27"/>
  <c r="BY532" i="27"/>
  <c r="BX532" i="27"/>
  <c r="BV532" i="27"/>
  <c r="BU532" i="27"/>
  <c r="BT532" i="27"/>
  <c r="BS532" i="27"/>
  <c r="BR532" i="27"/>
  <c r="CQ532" i="27" s="1"/>
  <c r="BQ532" i="27"/>
  <c r="CP532" i="27" s="1"/>
  <c r="BP532" i="27"/>
  <c r="CO532" i="27" s="1"/>
  <c r="BN532" i="27"/>
  <c r="CM532" i="27" s="1"/>
  <c r="BM532" i="27"/>
  <c r="CL532" i="27" s="1"/>
  <c r="BL532" i="27"/>
  <c r="CK532" i="27" s="1"/>
  <c r="CI531" i="27"/>
  <c r="CH531" i="27"/>
  <c r="CG531" i="27"/>
  <c r="CE531" i="27"/>
  <c r="CD531" i="27"/>
  <c r="CC531" i="27"/>
  <c r="CB531" i="27"/>
  <c r="BZ531" i="27"/>
  <c r="BY531" i="27"/>
  <c r="BX531" i="27"/>
  <c r="BV531" i="27"/>
  <c r="BU531" i="27"/>
  <c r="BT531" i="27"/>
  <c r="BS531" i="27"/>
  <c r="BR531" i="27"/>
  <c r="CQ531" i="27" s="1"/>
  <c r="BQ531" i="27"/>
  <c r="CP531" i="27" s="1"/>
  <c r="BP531" i="27"/>
  <c r="CO531" i="27" s="1"/>
  <c r="BN531" i="27"/>
  <c r="CM531" i="27" s="1"/>
  <c r="BM531" i="27"/>
  <c r="CL531" i="27" s="1"/>
  <c r="BL531" i="27"/>
  <c r="CK531" i="27" s="1"/>
  <c r="CI530" i="27"/>
  <c r="CH530" i="27"/>
  <c r="CG530" i="27"/>
  <c r="CF530" i="27"/>
  <c r="CE530" i="27"/>
  <c r="CD530" i="27"/>
  <c r="CC530" i="27"/>
  <c r="CB530" i="27"/>
  <c r="BZ530" i="27"/>
  <c r="BY530" i="27"/>
  <c r="BX530" i="27"/>
  <c r="BW530" i="27"/>
  <c r="BV530" i="27"/>
  <c r="BU530" i="27"/>
  <c r="BT530" i="27"/>
  <c r="BS530" i="27"/>
  <c r="BR530" i="27"/>
  <c r="CQ530" i="27" s="1"/>
  <c r="BQ530" i="27"/>
  <c r="CP530" i="27" s="1"/>
  <c r="BP530" i="27"/>
  <c r="CO530" i="27" s="1"/>
  <c r="BO530" i="27"/>
  <c r="CN530" i="27" s="1"/>
  <c r="BN530" i="27"/>
  <c r="CM530" i="27" s="1"/>
  <c r="BM530" i="27"/>
  <c r="CL530" i="27" s="1"/>
  <c r="BL530" i="27"/>
  <c r="CK530" i="27" s="1"/>
  <c r="BK601" i="27"/>
  <c r="CJ601" i="27" s="1"/>
  <c r="BK600" i="27"/>
  <c r="CJ600" i="27" s="1"/>
  <c r="BK599" i="27"/>
  <c r="CJ599" i="27" s="1"/>
  <c r="BK598" i="27"/>
  <c r="CJ598" i="27" s="1"/>
  <c r="BK597" i="27"/>
  <c r="CJ597" i="27" s="1"/>
  <c r="BK596" i="27"/>
  <c r="CJ596" i="27" s="1"/>
  <c r="BK595" i="27"/>
  <c r="CJ595" i="27" s="1"/>
  <c r="BK594" i="27"/>
  <c r="CJ594" i="27" s="1"/>
  <c r="BK593" i="27"/>
  <c r="CJ593" i="27" s="1"/>
  <c r="BK592" i="27"/>
  <c r="CJ592" i="27" s="1"/>
  <c r="BK591" i="27"/>
  <c r="CJ591" i="27" s="1"/>
  <c r="BK590" i="27"/>
  <c r="CJ590" i="27" s="1"/>
  <c r="BK589" i="27"/>
  <c r="CJ589" i="27" s="1"/>
  <c r="BK588" i="27"/>
  <c r="CJ588" i="27" s="1"/>
  <c r="BK587" i="27"/>
  <c r="CJ587" i="27" s="1"/>
  <c r="BK586" i="27"/>
  <c r="CJ586" i="27" s="1"/>
  <c r="BK585" i="27"/>
  <c r="CJ585" i="27" s="1"/>
  <c r="BK584" i="27"/>
  <c r="CJ584" i="27" s="1"/>
  <c r="BK583" i="27"/>
  <c r="CJ583" i="27" s="1"/>
  <c r="BK582" i="27"/>
  <c r="CJ582" i="27" s="1"/>
  <c r="BK581" i="27"/>
  <c r="CJ581" i="27" s="1"/>
  <c r="BK580" i="27"/>
  <c r="CJ580" i="27" s="1"/>
  <c r="BK579" i="27"/>
  <c r="CJ579" i="27" s="1"/>
  <c r="BK578" i="27"/>
  <c r="CJ578" i="27" s="1"/>
  <c r="BK577" i="27"/>
  <c r="CJ577" i="27" s="1"/>
  <c r="BK576" i="27"/>
  <c r="CJ576" i="27" s="1"/>
  <c r="BK575" i="27"/>
  <c r="CJ575" i="27" s="1"/>
  <c r="BK574" i="27"/>
  <c r="CJ574" i="27" s="1"/>
  <c r="BK573" i="27"/>
  <c r="CJ573" i="27" s="1"/>
  <c r="BK572" i="27"/>
  <c r="CJ572" i="27" s="1"/>
  <c r="BK571" i="27"/>
  <c r="CJ571" i="27" s="1"/>
  <c r="BK570" i="27"/>
  <c r="CJ570" i="27" s="1"/>
  <c r="BK569" i="27"/>
  <c r="CJ569" i="27" s="1"/>
  <c r="BK568" i="27"/>
  <c r="CJ568" i="27" s="1"/>
  <c r="BK567" i="27"/>
  <c r="CJ567" i="27" s="1"/>
  <c r="BK566" i="27"/>
  <c r="CJ566" i="27" s="1"/>
  <c r="BK565" i="27"/>
  <c r="CJ565" i="27" s="1"/>
  <c r="BK564" i="27"/>
  <c r="CJ564" i="27" s="1"/>
  <c r="BK563" i="27"/>
  <c r="CJ563" i="27" s="1"/>
  <c r="BK562" i="27"/>
  <c r="CJ562" i="27" s="1"/>
  <c r="BK561" i="27"/>
  <c r="CJ561" i="27" s="1"/>
  <c r="BK560" i="27"/>
  <c r="CJ560" i="27" s="1"/>
  <c r="BK559" i="27"/>
  <c r="CJ559" i="27" s="1"/>
  <c r="BK558" i="27"/>
  <c r="CJ558" i="27" s="1"/>
  <c r="BK557" i="27"/>
  <c r="CJ557" i="27" s="1"/>
  <c r="BK554" i="27"/>
  <c r="CJ554" i="27" s="1"/>
  <c r="BK553" i="27"/>
  <c r="CJ553" i="27" s="1"/>
  <c r="BK552" i="27"/>
  <c r="CJ552" i="27" s="1"/>
  <c r="BK551" i="27"/>
  <c r="CJ551" i="27" s="1"/>
  <c r="BK550" i="27"/>
  <c r="CJ550" i="27" s="1"/>
  <c r="BK549" i="27"/>
  <c r="CJ549" i="27" s="1"/>
  <c r="BK548" i="27"/>
  <c r="CJ548" i="27" s="1"/>
  <c r="BK547" i="27"/>
  <c r="CJ547" i="27" s="1"/>
  <c r="BK546" i="27"/>
  <c r="CJ546" i="27" s="1"/>
  <c r="BK545" i="27"/>
  <c r="CJ545" i="27" s="1"/>
  <c r="BK544" i="27"/>
  <c r="CJ544" i="27" s="1"/>
  <c r="BK543" i="27"/>
  <c r="CJ543" i="27" s="1"/>
  <c r="BK542" i="27"/>
  <c r="CJ542" i="27" s="1"/>
  <c r="BK541" i="27"/>
  <c r="CJ541" i="27" s="1"/>
  <c r="BK540" i="27"/>
  <c r="CJ540" i="27" s="1"/>
  <c r="BK539" i="27"/>
  <c r="CJ539" i="27" s="1"/>
  <c r="BK538" i="27"/>
  <c r="CJ538" i="27" s="1"/>
  <c r="BK537" i="27"/>
  <c r="CJ537" i="27" s="1"/>
  <c r="BK536" i="27"/>
  <c r="CJ536" i="27" s="1"/>
  <c r="BK535" i="27"/>
  <c r="CJ535" i="27" s="1"/>
  <c r="BK534" i="27"/>
  <c r="CJ534" i="27" s="1"/>
  <c r="BK533" i="27"/>
  <c r="CJ533" i="27" s="1"/>
  <c r="BK532" i="27"/>
  <c r="CJ532" i="27" s="1"/>
  <c r="BK531" i="27"/>
  <c r="CJ531" i="27" s="1"/>
  <c r="BK530" i="27"/>
  <c r="CJ530" i="27" s="1"/>
  <c r="BJ63" i="27"/>
  <c r="BX83" i="27"/>
  <c r="BW83" i="27"/>
  <c r="BV83" i="27"/>
  <c r="BU83" i="27"/>
  <c r="BS83" i="27"/>
  <c r="BR83" i="27"/>
  <c r="BQ83" i="27"/>
  <c r="BO83" i="27"/>
  <c r="BN83" i="27"/>
  <c r="BM83" i="27"/>
  <c r="BL83" i="27"/>
  <c r="BK83" i="27"/>
  <c r="BJ83" i="27"/>
  <c r="BY82" i="27"/>
  <c r="BX82" i="27"/>
  <c r="BW82" i="27"/>
  <c r="BU82" i="27"/>
  <c r="BT82" i="27"/>
  <c r="BS82" i="27"/>
  <c r="BR82" i="27"/>
  <c r="BQ82" i="27"/>
  <c r="BP82" i="27"/>
  <c r="BO82" i="27"/>
  <c r="BN82" i="27"/>
  <c r="BM82" i="27"/>
  <c r="BL82" i="27"/>
  <c r="BK82" i="27"/>
  <c r="BJ82" i="27"/>
  <c r="BY81" i="27"/>
  <c r="BX81" i="27"/>
  <c r="BW81" i="27"/>
  <c r="BU81" i="27"/>
  <c r="BT81" i="27"/>
  <c r="BS81" i="27"/>
  <c r="BR81" i="27"/>
  <c r="BQ81" i="27"/>
  <c r="BP81" i="27"/>
  <c r="BO81" i="27"/>
  <c r="BN81" i="27"/>
  <c r="BM81" i="27"/>
  <c r="BL81" i="27"/>
  <c r="BK81" i="27"/>
  <c r="BJ81" i="27"/>
  <c r="BX80" i="27"/>
  <c r="BW80" i="27"/>
  <c r="BV80" i="27"/>
  <c r="BU80" i="27"/>
  <c r="BT80" i="27"/>
  <c r="BS80" i="27"/>
  <c r="BR80" i="27"/>
  <c r="BQ80" i="27"/>
  <c r="BP80" i="27"/>
  <c r="BO80" i="27"/>
  <c r="BN80" i="27"/>
  <c r="BM80" i="27"/>
  <c r="BL80" i="27"/>
  <c r="BK80" i="27"/>
  <c r="BJ80" i="27"/>
  <c r="BY79" i="27"/>
  <c r="BX79" i="27"/>
  <c r="BW79" i="27"/>
  <c r="BV79" i="27"/>
  <c r="BU79" i="27"/>
  <c r="BT79" i="27"/>
  <c r="BS79" i="27"/>
  <c r="BQ79" i="27"/>
  <c r="BP79" i="27"/>
  <c r="BO79" i="27"/>
  <c r="BN79" i="27"/>
  <c r="BM79" i="27"/>
  <c r="BL79" i="27"/>
  <c r="BK79" i="27"/>
  <c r="BY78" i="27"/>
  <c r="BX78" i="27"/>
  <c r="BW78" i="27"/>
  <c r="BU78" i="27"/>
  <c r="BT78" i="27"/>
  <c r="BS78" i="27"/>
  <c r="BQ78" i="27"/>
  <c r="BP78" i="27"/>
  <c r="BO78" i="27"/>
  <c r="BN78" i="27"/>
  <c r="BM78" i="27"/>
  <c r="BL78" i="27"/>
  <c r="BK78" i="27"/>
  <c r="BY77" i="27"/>
  <c r="BX77" i="27"/>
  <c r="BW77" i="27"/>
  <c r="BU77" i="27"/>
  <c r="BT77" i="27"/>
  <c r="BS77" i="27"/>
  <c r="BR77" i="27"/>
  <c r="BQ77" i="27"/>
  <c r="BP77" i="27"/>
  <c r="BO77" i="27"/>
  <c r="BN77" i="27"/>
  <c r="BM77" i="27"/>
  <c r="BL77" i="27"/>
  <c r="BK77" i="27"/>
  <c r="BJ77" i="27"/>
  <c r="BX76" i="27"/>
  <c r="BW76" i="27"/>
  <c r="BV76" i="27"/>
  <c r="BU76" i="27"/>
  <c r="BT76" i="27"/>
  <c r="BS76" i="27"/>
  <c r="BR76" i="27"/>
  <c r="BQ76" i="27"/>
  <c r="BP76" i="27"/>
  <c r="BO76" i="27"/>
  <c r="BN76" i="27"/>
  <c r="BM76" i="27"/>
  <c r="BL76" i="27"/>
  <c r="BK76" i="27"/>
  <c r="BJ76" i="27"/>
  <c r="BY75" i="27"/>
  <c r="BX75" i="27"/>
  <c r="BW75" i="27"/>
  <c r="BU75" i="27"/>
  <c r="BT75" i="27"/>
  <c r="BS75" i="27"/>
  <c r="BR75" i="27"/>
  <c r="BQ75" i="27"/>
  <c r="BP75" i="27"/>
  <c r="BO75" i="27"/>
  <c r="BN75" i="27"/>
  <c r="BM75" i="27"/>
  <c r="BL75" i="27"/>
  <c r="BK75" i="27"/>
  <c r="BJ75" i="27"/>
  <c r="BY74" i="27"/>
  <c r="BX74" i="27"/>
  <c r="BW74" i="27"/>
  <c r="BU74" i="27"/>
  <c r="BS74" i="27"/>
  <c r="BR74" i="27"/>
  <c r="BQ74" i="27"/>
  <c r="BP74" i="27"/>
  <c r="BO74" i="27"/>
  <c r="BN74" i="27"/>
  <c r="BM74" i="27"/>
  <c r="BL74" i="27"/>
  <c r="BK74" i="27"/>
  <c r="BJ74" i="27"/>
  <c r="BX73" i="27"/>
  <c r="BW73" i="27"/>
  <c r="BV73" i="27"/>
  <c r="BU73" i="27"/>
  <c r="BS73" i="27"/>
  <c r="BR73" i="27"/>
  <c r="BQ73" i="27"/>
  <c r="BP73" i="27"/>
  <c r="BO73" i="27"/>
  <c r="BN73" i="27"/>
  <c r="BM73" i="27"/>
  <c r="BL73" i="27"/>
  <c r="BK73" i="27"/>
  <c r="BJ73" i="27"/>
  <c r="BY72" i="27"/>
  <c r="BX72" i="27"/>
  <c r="BW72" i="27"/>
  <c r="BU72" i="27"/>
  <c r="BT72" i="27"/>
  <c r="BS72" i="27"/>
  <c r="BR72" i="27"/>
  <c r="BQ72" i="27"/>
  <c r="BP72" i="27"/>
  <c r="BO72" i="27"/>
  <c r="BM72" i="27"/>
  <c r="BL72" i="27"/>
  <c r="BK72" i="27"/>
  <c r="BJ72" i="27"/>
  <c r="BY71" i="27"/>
  <c r="BX71" i="27"/>
  <c r="BW71" i="27"/>
  <c r="BU71" i="27"/>
  <c r="BT71" i="27"/>
  <c r="BS71" i="27"/>
  <c r="BR71" i="27"/>
  <c r="BQ71" i="27"/>
  <c r="BP71" i="27"/>
  <c r="BO71" i="27"/>
  <c r="BN71" i="27"/>
  <c r="BM71" i="27"/>
  <c r="BL71" i="27"/>
  <c r="BK71" i="27"/>
  <c r="BJ71" i="27"/>
  <c r="BX70" i="27"/>
  <c r="BW70" i="27"/>
  <c r="BV70" i="27"/>
  <c r="BU70" i="27"/>
  <c r="BT70" i="27"/>
  <c r="BS70" i="27"/>
  <c r="BR70" i="27"/>
  <c r="BQ70" i="27"/>
  <c r="BP70" i="27"/>
  <c r="BO70" i="27"/>
  <c r="BN70" i="27"/>
  <c r="BM70" i="27"/>
  <c r="BL70" i="27"/>
  <c r="BK70" i="27"/>
  <c r="BJ70" i="27"/>
  <c r="BY69" i="27"/>
  <c r="BX69" i="27"/>
  <c r="BW69" i="27"/>
  <c r="BU69" i="27"/>
  <c r="BT69" i="27"/>
  <c r="BS69" i="27"/>
  <c r="BR69" i="27"/>
  <c r="BQ69" i="27"/>
  <c r="BP69" i="27"/>
  <c r="BO69" i="27"/>
  <c r="BN69" i="27"/>
  <c r="BM69" i="27"/>
  <c r="BL69" i="27"/>
  <c r="BK69" i="27"/>
  <c r="BJ69" i="27"/>
  <c r="BY68" i="27"/>
  <c r="BX68" i="27"/>
  <c r="BW68" i="27"/>
  <c r="BU68" i="27"/>
  <c r="BT68" i="27"/>
  <c r="BS68" i="27"/>
  <c r="BR68" i="27"/>
  <c r="BQ68" i="27"/>
  <c r="BP68" i="27"/>
  <c r="BO68" i="27"/>
  <c r="BN68" i="27"/>
  <c r="BM68" i="27"/>
  <c r="BL68" i="27"/>
  <c r="BK68" i="27"/>
  <c r="BJ68" i="27"/>
  <c r="BX67" i="27"/>
  <c r="BW67" i="27"/>
  <c r="BV67" i="27"/>
  <c r="BU67" i="27"/>
  <c r="BT67" i="27"/>
  <c r="BS67" i="27"/>
  <c r="BR67" i="27"/>
  <c r="BQ67" i="27"/>
  <c r="BP67" i="27"/>
  <c r="BO67" i="27"/>
  <c r="BN67" i="27"/>
  <c r="BM67" i="27"/>
  <c r="BL67" i="27"/>
  <c r="BK67" i="27"/>
  <c r="BJ67" i="27"/>
  <c r="BY66" i="27"/>
  <c r="BX66" i="27"/>
  <c r="BW66" i="27"/>
  <c r="BV66" i="27"/>
  <c r="BU66" i="27"/>
  <c r="BT66" i="27"/>
  <c r="BS66" i="27"/>
  <c r="BR66" i="27"/>
  <c r="BQ66" i="27"/>
  <c r="BP66" i="27"/>
  <c r="BO66" i="27"/>
  <c r="BN66" i="27"/>
  <c r="BM66" i="27"/>
  <c r="BL66" i="27"/>
  <c r="BK66" i="27"/>
  <c r="BJ66" i="27"/>
  <c r="BY65" i="27"/>
  <c r="BX65" i="27"/>
  <c r="BW65" i="27"/>
  <c r="BV65" i="27"/>
  <c r="BU65" i="27"/>
  <c r="BT65" i="27"/>
  <c r="BS65" i="27"/>
  <c r="BR65" i="27"/>
  <c r="BQ65" i="27"/>
  <c r="BO65" i="27"/>
  <c r="BN65" i="27"/>
  <c r="BM65" i="27"/>
  <c r="BL65" i="27"/>
  <c r="BK65" i="27"/>
  <c r="BJ65" i="27"/>
  <c r="BY64" i="27"/>
  <c r="BX64" i="27"/>
  <c r="BW64" i="27"/>
  <c r="BV64" i="27"/>
  <c r="BU64" i="27"/>
  <c r="BT64" i="27"/>
  <c r="BS64" i="27"/>
  <c r="BR64" i="27"/>
  <c r="BQ64" i="27"/>
  <c r="BO64" i="27"/>
  <c r="BN64" i="27"/>
  <c r="BM64" i="27"/>
  <c r="BL64" i="27"/>
  <c r="BK64" i="27"/>
  <c r="BJ64" i="27"/>
  <c r="BX63" i="27"/>
  <c r="BW63" i="27"/>
  <c r="BV63" i="27"/>
  <c r="BU63" i="27"/>
  <c r="BT63" i="27"/>
  <c r="BS63" i="27"/>
  <c r="BR63" i="27"/>
  <c r="BQ63" i="27"/>
  <c r="BP63" i="27"/>
  <c r="BO63" i="27"/>
  <c r="BN63" i="27"/>
  <c r="BM63" i="27"/>
  <c r="BL63" i="27"/>
  <c r="BK63" i="27"/>
  <c r="B11" i="25"/>
  <c r="G603" i="27" l="1"/>
  <c r="G1508" i="27"/>
  <c r="G1280" i="27"/>
  <c r="G375" i="27"/>
  <c r="G1056" i="27"/>
  <c r="G827" i="27"/>
  <c r="G151" i="27"/>
  <c r="G1732" i="27"/>
  <c r="C39" i="30"/>
  <c r="C40" i="30"/>
  <c r="C41" i="30"/>
  <c r="C42" i="30"/>
  <c r="C43" i="30"/>
  <c r="C44" i="30"/>
  <c r="C45" i="30"/>
  <c r="C46" i="30"/>
  <c r="C47" i="30"/>
  <c r="C48" i="30"/>
  <c r="C49" i="30"/>
  <c r="C50" i="30"/>
  <c r="C51" i="30"/>
  <c r="C52" i="30"/>
  <c r="C53" i="30"/>
  <c r="C54" i="30"/>
  <c r="C55" i="30"/>
  <c r="C56" i="30"/>
  <c r="C57" i="30"/>
  <c r="C58" i="30"/>
  <c r="C59" i="30"/>
  <c r="C60" i="30"/>
  <c r="C61" i="30"/>
  <c r="C62" i="30"/>
  <c r="C63" i="30"/>
  <c r="C64" i="30"/>
  <c r="C65" i="30"/>
  <c r="C66" i="30"/>
  <c r="C67" i="30"/>
  <c r="C68" i="30"/>
  <c r="C69" i="30"/>
  <c r="B39" i="30"/>
  <c r="B40" i="30"/>
  <c r="B41" i="30"/>
  <c r="B42" i="30"/>
  <c r="B43" i="30"/>
  <c r="B44" i="30"/>
  <c r="B45" i="30"/>
  <c r="B46" i="30"/>
  <c r="B47" i="30"/>
  <c r="B48" i="30"/>
  <c r="B49" i="30"/>
  <c r="B50" i="30"/>
  <c r="B51" i="30"/>
  <c r="B52" i="30"/>
  <c r="B53" i="30"/>
  <c r="B54" i="30"/>
  <c r="B55" i="30"/>
  <c r="B56" i="30"/>
  <c r="B57" i="30"/>
  <c r="B58" i="30"/>
  <c r="B59" i="30"/>
  <c r="B60" i="30"/>
  <c r="B61" i="30"/>
  <c r="B62" i="30"/>
  <c r="B63" i="30"/>
  <c r="B64" i="30"/>
  <c r="B65" i="30"/>
  <c r="B66" i="30"/>
  <c r="B67" i="30"/>
  <c r="B68" i="30"/>
  <c r="B69" i="30"/>
  <c r="C38" i="30"/>
  <c r="B38" i="30"/>
  <c r="C37" i="30"/>
  <c r="D37" i="30" s="1"/>
  <c r="B37" i="30"/>
  <c r="C36" i="30"/>
  <c r="B36" i="30"/>
  <c r="C35" i="30"/>
  <c r="B35" i="30"/>
  <c r="C34" i="30"/>
  <c r="B34" i="30"/>
  <c r="C33" i="30"/>
  <c r="D33" i="30" s="1"/>
  <c r="B33" i="30"/>
  <c r="C32" i="30"/>
  <c r="B32" i="30"/>
  <c r="C31" i="30"/>
  <c r="B31" i="30"/>
  <c r="C30" i="30"/>
  <c r="B30" i="30"/>
  <c r="C29" i="30"/>
  <c r="B29" i="30"/>
  <c r="C28" i="30"/>
  <c r="B28" i="30"/>
  <c r="C27" i="30"/>
  <c r="B27" i="30"/>
  <c r="C26" i="30"/>
  <c r="B26" i="30"/>
  <c r="C25" i="30"/>
  <c r="B25" i="30"/>
  <c r="C24" i="30"/>
  <c r="B24" i="30"/>
  <c r="C23" i="30"/>
  <c r="B23" i="30"/>
  <c r="C22" i="30"/>
  <c r="B22" i="30"/>
  <c r="C21" i="30"/>
  <c r="B21" i="30"/>
  <c r="C20" i="30"/>
  <c r="B20" i="30"/>
  <c r="C19" i="30"/>
  <c r="B19" i="30"/>
  <c r="C18" i="30"/>
  <c r="B18" i="30"/>
  <c r="C17" i="30"/>
  <c r="B17" i="30"/>
  <c r="C16" i="30"/>
  <c r="B16" i="30"/>
  <c r="C15" i="30"/>
  <c r="B15" i="30"/>
  <c r="C14" i="30"/>
  <c r="B14" i="30"/>
  <c r="C13" i="30"/>
  <c r="B13" i="30"/>
  <c r="C12" i="30"/>
  <c r="B12" i="30"/>
  <c r="C11" i="30"/>
  <c r="B11" i="30"/>
  <c r="C10" i="30"/>
  <c r="B10" i="30"/>
  <c r="C9" i="30"/>
  <c r="B9" i="30"/>
  <c r="C8" i="30"/>
  <c r="B8" i="30"/>
  <c r="C7" i="30"/>
  <c r="B7" i="30"/>
  <c r="C6" i="30"/>
  <c r="B6" i="30"/>
  <c r="C5" i="30"/>
  <c r="D5" i="30" s="1"/>
  <c r="B5" i="30"/>
  <c r="C4" i="30"/>
  <c r="B4" i="30"/>
  <c r="C3" i="30"/>
  <c r="D3" i="30" s="1"/>
  <c r="D15" i="29"/>
  <c r="E15" i="29" s="1"/>
  <c r="D16" i="29"/>
  <c r="E16" i="29" s="1"/>
  <c r="D17" i="29"/>
  <c r="E17" i="29" s="1"/>
  <c r="D18" i="29"/>
  <c r="E18" i="29" s="1"/>
  <c r="D19" i="29"/>
  <c r="E19" i="29" s="1"/>
  <c r="D20" i="29"/>
  <c r="E20" i="29" s="1"/>
  <c r="D21" i="29"/>
  <c r="E21" i="29" s="1"/>
  <c r="D22" i="29"/>
  <c r="E22" i="29" s="1"/>
  <c r="D23" i="29"/>
  <c r="E23" i="29" s="1"/>
  <c r="D24" i="29"/>
  <c r="E24" i="29" s="1"/>
  <c r="D25" i="29"/>
  <c r="E25" i="29" s="1"/>
  <c r="D26" i="29"/>
  <c r="E26" i="29" s="1"/>
  <c r="D27" i="29"/>
  <c r="E27" i="29" s="1"/>
  <c r="D28" i="29"/>
  <c r="E28" i="29" s="1"/>
  <c r="D29" i="29"/>
  <c r="E29" i="29" s="1"/>
  <c r="D30" i="29"/>
  <c r="E30" i="29" s="1"/>
  <c r="D31" i="29"/>
  <c r="E31" i="29" s="1"/>
  <c r="D32" i="29"/>
  <c r="E32" i="29" s="1"/>
  <c r="D33" i="29"/>
  <c r="E33" i="29" s="1"/>
  <c r="D34" i="29"/>
  <c r="E34" i="29" s="1"/>
  <c r="D35" i="29"/>
  <c r="E35" i="29" s="1"/>
  <c r="D36" i="29"/>
  <c r="E36" i="29" s="1"/>
  <c r="D37" i="29"/>
  <c r="E37" i="29" s="1"/>
  <c r="D38" i="29"/>
  <c r="E38" i="29" s="1"/>
  <c r="D39" i="29"/>
  <c r="E39" i="29" s="1"/>
  <c r="D40" i="29"/>
  <c r="E40" i="29" s="1"/>
  <c r="D41" i="29"/>
  <c r="E41" i="29" s="1"/>
  <c r="D42" i="29"/>
  <c r="E42" i="29" s="1"/>
  <c r="D43" i="29"/>
  <c r="E43" i="29" s="1"/>
  <c r="D44" i="29"/>
  <c r="E44" i="29" s="1"/>
  <c r="D45" i="29"/>
  <c r="E45" i="29" s="1"/>
  <c r="D46" i="29"/>
  <c r="E46" i="29" s="1"/>
  <c r="D47" i="29"/>
  <c r="E47" i="29" s="1"/>
  <c r="D48" i="29"/>
  <c r="E48" i="29" s="1"/>
  <c r="D49" i="29"/>
  <c r="E49" i="29" s="1"/>
  <c r="D50" i="29"/>
  <c r="E50" i="29" s="1"/>
  <c r="D51" i="29"/>
  <c r="E51" i="29" s="1"/>
  <c r="D52" i="29"/>
  <c r="E52" i="29" s="1"/>
  <c r="D53" i="29"/>
  <c r="E53" i="29" s="1"/>
  <c r="D54" i="29"/>
  <c r="E54" i="29" s="1"/>
  <c r="D55" i="29"/>
  <c r="E55" i="29" s="1"/>
  <c r="D56" i="29"/>
  <c r="E56" i="29" s="1"/>
  <c r="D57" i="29"/>
  <c r="E57" i="29" s="1"/>
  <c r="D58" i="29"/>
  <c r="E58" i="29" s="1"/>
  <c r="D59" i="29"/>
  <c r="E59" i="29" s="1"/>
  <c r="D60" i="29"/>
  <c r="E60" i="29" s="1"/>
  <c r="D61" i="29"/>
  <c r="E61" i="29" s="1"/>
  <c r="D62" i="29"/>
  <c r="E62" i="29" s="1"/>
  <c r="D63" i="29"/>
  <c r="E63" i="29" s="1"/>
  <c r="D64" i="29"/>
  <c r="E64" i="29" s="1"/>
  <c r="D65" i="29"/>
  <c r="E65" i="29" s="1"/>
  <c r="D66" i="29"/>
  <c r="E66" i="29" s="1"/>
  <c r="D67" i="29"/>
  <c r="E67" i="29" s="1"/>
  <c r="D68" i="29"/>
  <c r="E68" i="29" s="1"/>
  <c r="D69" i="29"/>
  <c r="E69" i="29" s="1"/>
  <c r="D70" i="29"/>
  <c r="E70" i="29" s="1"/>
  <c r="D71" i="29"/>
  <c r="E71" i="29" s="1"/>
  <c r="D72" i="29"/>
  <c r="E72" i="29" s="1"/>
  <c r="D73" i="29"/>
  <c r="E73" i="29" s="1"/>
  <c r="D74" i="29"/>
  <c r="E74" i="29" s="1"/>
  <c r="D75" i="29"/>
  <c r="E75" i="29" s="1"/>
  <c r="D76" i="29"/>
  <c r="E76" i="29" s="1"/>
  <c r="D77" i="29"/>
  <c r="E77" i="29" s="1"/>
  <c r="D78" i="29"/>
  <c r="E78" i="29" s="1"/>
  <c r="D79" i="29"/>
  <c r="E79" i="29" s="1"/>
  <c r="D14" i="29"/>
  <c r="E14" i="29" s="1"/>
  <c r="C79" i="29"/>
  <c r="C78" i="29"/>
  <c r="C77" i="29"/>
  <c r="C76" i="29"/>
  <c r="C75" i="29"/>
  <c r="C74" i="29"/>
  <c r="C73" i="29"/>
  <c r="C72" i="29"/>
  <c r="C71" i="29"/>
  <c r="C70" i="29"/>
  <c r="C69" i="29"/>
  <c r="C68" i="29"/>
  <c r="C67" i="29"/>
  <c r="C66" i="29"/>
  <c r="C65" i="29"/>
  <c r="C64" i="29"/>
  <c r="C63" i="29"/>
  <c r="C62" i="29"/>
  <c r="C61" i="29"/>
  <c r="C60" i="29"/>
  <c r="C59" i="29"/>
  <c r="C58" i="29"/>
  <c r="C57" i="29"/>
  <c r="C56" i="29"/>
  <c r="C55" i="29"/>
  <c r="C54" i="29"/>
  <c r="C53" i="29"/>
  <c r="C52" i="29"/>
  <c r="C51" i="29"/>
  <c r="C50" i="29"/>
  <c r="C49" i="29"/>
  <c r="C48" i="29"/>
  <c r="C47" i="29"/>
  <c r="C46" i="29"/>
  <c r="C45" i="29"/>
  <c r="C43" i="29"/>
  <c r="C42" i="29"/>
  <c r="C41" i="29"/>
  <c r="C40" i="29"/>
  <c r="C39" i="29"/>
  <c r="C38" i="29"/>
  <c r="C37" i="29"/>
  <c r="C36" i="29"/>
  <c r="C35" i="29"/>
  <c r="C34" i="29"/>
  <c r="C33" i="29"/>
  <c r="C32" i="29"/>
  <c r="C31" i="29"/>
  <c r="C30" i="29"/>
  <c r="C29" i="29"/>
  <c r="C28" i="29"/>
  <c r="C27" i="29"/>
  <c r="C26" i="29"/>
  <c r="C25" i="29"/>
  <c r="C24" i="29"/>
  <c r="C23" i="29"/>
  <c r="C22" i="29"/>
  <c r="C21" i="29"/>
  <c r="C20" i="29"/>
  <c r="C19" i="29"/>
  <c r="C18" i="29"/>
  <c r="C17" i="29"/>
  <c r="C16" i="29"/>
  <c r="C15" i="29"/>
  <c r="D15" i="28"/>
  <c r="E15" i="28" s="1"/>
  <c r="D16" i="28"/>
  <c r="E16" i="28" s="1"/>
  <c r="D17" i="28"/>
  <c r="E17" i="28" s="1"/>
  <c r="D18" i="28"/>
  <c r="E18" i="28" s="1"/>
  <c r="D19" i="28"/>
  <c r="E19" i="28" s="1"/>
  <c r="D20" i="28"/>
  <c r="E20" i="28" s="1"/>
  <c r="D21" i="28"/>
  <c r="E21" i="28" s="1"/>
  <c r="D22" i="28"/>
  <c r="E22" i="28" s="1"/>
  <c r="D23" i="28"/>
  <c r="E23" i="28" s="1"/>
  <c r="D24" i="28"/>
  <c r="E24" i="28" s="1"/>
  <c r="D25" i="28"/>
  <c r="E25" i="28" s="1"/>
  <c r="D26" i="28"/>
  <c r="E26" i="28" s="1"/>
  <c r="D27" i="28"/>
  <c r="E27" i="28" s="1"/>
  <c r="D28" i="28"/>
  <c r="E28" i="28" s="1"/>
  <c r="D29" i="28"/>
  <c r="E29" i="28" s="1"/>
  <c r="D30" i="28"/>
  <c r="E30" i="28" s="1"/>
  <c r="D31" i="28"/>
  <c r="E31" i="28" s="1"/>
  <c r="D32" i="28"/>
  <c r="E32" i="28" s="1"/>
  <c r="D33" i="28"/>
  <c r="E33" i="28" s="1"/>
  <c r="D34" i="28"/>
  <c r="E34" i="28" s="1"/>
  <c r="D35" i="28"/>
  <c r="E35" i="28" s="1"/>
  <c r="D36" i="28"/>
  <c r="E36" i="28" s="1"/>
  <c r="D37" i="28"/>
  <c r="E37" i="28" s="1"/>
  <c r="D38" i="28"/>
  <c r="E38" i="28" s="1"/>
  <c r="D39" i="28"/>
  <c r="E39" i="28" s="1"/>
  <c r="D40" i="28"/>
  <c r="E40" i="28" s="1"/>
  <c r="D41" i="28"/>
  <c r="E41" i="28" s="1"/>
  <c r="D42" i="28"/>
  <c r="E42" i="28" s="1"/>
  <c r="D43" i="28"/>
  <c r="E43" i="28" s="1"/>
  <c r="D14" i="28"/>
  <c r="E14" i="28" s="1"/>
  <c r="C16" i="28"/>
  <c r="C17" i="28"/>
  <c r="C18" i="28"/>
  <c r="C19" i="28"/>
  <c r="C20" i="28"/>
  <c r="C21" i="28"/>
  <c r="C22" i="28"/>
  <c r="C23" i="28"/>
  <c r="C24" i="28"/>
  <c r="C25" i="28"/>
  <c r="C26" i="28"/>
  <c r="C27" i="28"/>
  <c r="C28" i="28"/>
  <c r="C29" i="28"/>
  <c r="C30" i="28"/>
  <c r="C31" i="28"/>
  <c r="C32" i="28"/>
  <c r="C33" i="28"/>
  <c r="C34" i="28"/>
  <c r="C35" i="28"/>
  <c r="C36" i="28"/>
  <c r="C37" i="28"/>
  <c r="C38" i="28"/>
  <c r="C39" i="28"/>
  <c r="C40" i="28"/>
  <c r="C41" i="28"/>
  <c r="C42" i="28"/>
  <c r="C43" i="28"/>
  <c r="C15" i="28"/>
  <c r="D7" i="30" l="1"/>
  <c r="D19" i="30"/>
  <c r="D23" i="30"/>
  <c r="D31" i="30"/>
  <c r="D60" i="30"/>
  <c r="D66" i="30"/>
  <c r="D58" i="30"/>
  <c r="D50" i="30"/>
  <c r="D42" i="30"/>
  <c r="D10" i="30"/>
  <c r="D14" i="30"/>
  <c r="D18" i="30"/>
  <c r="D22" i="30"/>
  <c r="D34" i="30"/>
  <c r="D62" i="30"/>
  <c r="D54" i="30"/>
  <c r="D46" i="30"/>
  <c r="D68" i="30"/>
  <c r="D64" i="30"/>
  <c r="D56" i="30"/>
  <c r="D52" i="30"/>
  <c r="D48" i="30"/>
  <c r="D44" i="30"/>
  <c r="D67" i="30"/>
  <c r="D59" i="30"/>
  <c r="D51" i="30"/>
  <c r="D43" i="30"/>
  <c r="D32" i="30"/>
  <c r="D36" i="30"/>
  <c r="D65" i="30"/>
  <c r="D57" i="30"/>
  <c r="D49" i="30"/>
  <c r="D41" i="30"/>
  <c r="D40" i="30"/>
  <c r="D63" i="30"/>
  <c r="D55" i="30"/>
  <c r="D47" i="30"/>
  <c r="D39" i="30"/>
  <c r="D69" i="30"/>
  <c r="D61" i="30"/>
  <c r="D53" i="30"/>
  <c r="D45" i="30"/>
  <c r="D27" i="30"/>
  <c r="D4" i="30"/>
  <c r="D8" i="30"/>
  <c r="D12" i="30"/>
  <c r="D16" i="30"/>
  <c r="D20" i="30"/>
  <c r="D35" i="30"/>
  <c r="D25" i="30"/>
  <c r="D15" i="30"/>
  <c r="D9" i="30"/>
  <c r="D13" i="30"/>
  <c r="D24" i="30"/>
  <c r="D28" i="30"/>
  <c r="D6" i="30"/>
  <c r="D17" i="30"/>
  <c r="D21" i="30"/>
  <c r="D29" i="30"/>
  <c r="D11" i="30"/>
  <c r="D26" i="30"/>
  <c r="D30" i="30"/>
  <c r="D38" i="30"/>
  <c r="C81" i="29"/>
  <c r="D81" i="29"/>
  <c r="E45" i="28"/>
  <c r="B9" i="28" s="1"/>
  <c r="D45" i="28"/>
  <c r="D50" i="28"/>
  <c r="C51" i="28"/>
  <c r="C52" i="28"/>
  <c r="C53" i="28"/>
  <c r="C54" i="28"/>
  <c r="C55" i="28"/>
  <c r="C56" i="28"/>
  <c r="C57" i="28"/>
  <c r="C58" i="28"/>
  <c r="C59" i="28"/>
  <c r="C60" i="28"/>
  <c r="C61" i="28"/>
  <c r="C62" i="28"/>
  <c r="C63" i="28"/>
  <c r="C64" i="28"/>
  <c r="C65" i="28"/>
  <c r="C66" i="28"/>
  <c r="C67" i="28"/>
  <c r="C68" i="28"/>
  <c r="C69" i="28"/>
  <c r="C70" i="28"/>
  <c r="C71" i="28"/>
  <c r="C72" i="28"/>
  <c r="C73" i="28"/>
  <c r="C74" i="28"/>
  <c r="C75" i="28"/>
  <c r="C76" i="28"/>
  <c r="C77" i="28"/>
  <c r="C78" i="28"/>
  <c r="C79" i="28"/>
  <c r="C80" i="28"/>
  <c r="C81" i="28"/>
  <c r="C82" i="28"/>
  <c r="C83" i="28"/>
  <c r="C84" i="28"/>
  <c r="C50" i="28"/>
  <c r="D51" i="28"/>
  <c r="D52" i="28"/>
  <c r="D53" i="28"/>
  <c r="D54" i="28"/>
  <c r="D55" i="28"/>
  <c r="D56" i="28"/>
  <c r="D57" i="28"/>
  <c r="D58" i="28"/>
  <c r="D59" i="28"/>
  <c r="D60" i="28"/>
  <c r="D61" i="28"/>
  <c r="D62" i="28"/>
  <c r="D63" i="28"/>
  <c r="D64" i="28"/>
  <c r="D65" i="28"/>
  <c r="D66" i="28"/>
  <c r="D67" i="28"/>
  <c r="D68" i="28"/>
  <c r="D69" i="28"/>
  <c r="D70" i="28"/>
  <c r="D71" i="28"/>
  <c r="D72" i="28"/>
  <c r="D73" i="28"/>
  <c r="D74" i="28"/>
  <c r="D75" i="28"/>
  <c r="D76" i="28"/>
  <c r="D77" i="28"/>
  <c r="D78" i="28"/>
  <c r="D79" i="28"/>
  <c r="D80" i="28"/>
  <c r="D81" i="28"/>
  <c r="D82" i="28"/>
  <c r="D83" i="28"/>
  <c r="D84" i="28"/>
  <c r="D49" i="28"/>
  <c r="E81" i="28" l="1"/>
  <c r="E73" i="28"/>
  <c r="E65" i="28"/>
  <c r="E69" i="28"/>
  <c r="E61" i="28"/>
  <c r="E53" i="28"/>
  <c r="E77" i="28"/>
  <c r="D71" i="30"/>
  <c r="B263" i="5" s="1"/>
  <c r="E81" i="29"/>
  <c r="E56" i="28"/>
  <c r="E83" i="28"/>
  <c r="E75" i="28"/>
  <c r="E67" i="28"/>
  <c r="E59" i="28"/>
  <c r="E72" i="28"/>
  <c r="E64" i="28"/>
  <c r="E79" i="28"/>
  <c r="E71" i="28"/>
  <c r="E63" i="28"/>
  <c r="E55" i="28"/>
  <c r="E82" i="28"/>
  <c r="E74" i="28"/>
  <c r="E66" i="28"/>
  <c r="E58" i="28"/>
  <c r="E50" i="28"/>
  <c r="E80" i="28"/>
  <c r="E78" i="28"/>
  <c r="E70" i="28"/>
  <c r="E62" i="28"/>
  <c r="E54" i="28"/>
  <c r="D86" i="28"/>
  <c r="E76" i="28"/>
  <c r="E68" i="28"/>
  <c r="E60" i="28"/>
  <c r="E52" i="28"/>
  <c r="E84" i="28"/>
  <c r="E57" i="28"/>
  <c r="C86" i="28"/>
  <c r="E51" i="28"/>
  <c r="E49" i="28"/>
  <c r="B19" i="17"/>
  <c r="B21" i="17"/>
  <c r="E86" i="28" l="1"/>
  <c r="B8" i="28" s="1"/>
  <c r="B10" i="28" s="1"/>
  <c r="B266" i="5" s="1"/>
  <c r="B9" i="29"/>
  <c r="B10" i="29" s="1"/>
  <c r="B265" i="5" s="1"/>
  <c r="X413" i="27"/>
  <c r="X396" i="27"/>
  <c r="X383" i="27"/>
  <c r="X370" i="27"/>
  <c r="X357" i="27"/>
  <c r="X340" i="27"/>
  <c r="X327" i="27"/>
  <c r="X314" i="27"/>
  <c r="X301" i="27"/>
  <c r="X284" i="27"/>
  <c r="X271" i="27"/>
  <c r="X258" i="27"/>
  <c r="X245" i="27"/>
  <c r="X228" i="27"/>
  <c r="X215" i="27"/>
  <c r="X202" i="27"/>
  <c r="X189" i="27"/>
  <c r="X172" i="27"/>
  <c r="X159" i="27"/>
  <c r="X146" i="27"/>
  <c r="X133" i="27"/>
  <c r="X116" i="27"/>
  <c r="X103" i="27"/>
  <c r="X89" i="27"/>
  <c r="X76" i="27"/>
  <c r="X59" i="27"/>
  <c r="X46" i="27"/>
  <c r="X33" i="27"/>
  <c r="X20" i="27"/>
  <c r="X176" i="27"/>
  <c r="X120" i="27"/>
  <c r="X63" i="27"/>
  <c r="X7" i="27"/>
  <c r="X3" i="27"/>
  <c r="AA745" i="27" l="1"/>
  <c r="AA746" i="27"/>
  <c r="AA748" i="27"/>
  <c r="AA749" i="27"/>
  <c r="AA751" i="27"/>
  <c r="AA752" i="27"/>
  <c r="AA754" i="27"/>
  <c r="AA755" i="27"/>
  <c r="AA756" i="27"/>
  <c r="AA758" i="27"/>
  <c r="AA759" i="27"/>
  <c r="AA761" i="27"/>
  <c r="AA762" i="27"/>
  <c r="AA764" i="27"/>
  <c r="AA765" i="27"/>
  <c r="AA767" i="27"/>
  <c r="AA768" i="27"/>
  <c r="AA769" i="27"/>
  <c r="AA771" i="27"/>
  <c r="AA772" i="27"/>
  <c r="AA774" i="27"/>
  <c r="AA775" i="27"/>
  <c r="AA777" i="27"/>
  <c r="AA778" i="27"/>
  <c r="AA780" i="27"/>
  <c r="AA781" i="27"/>
  <c r="AA782" i="27"/>
  <c r="AA784" i="27"/>
  <c r="AA785" i="27"/>
  <c r="AA787" i="27"/>
  <c r="AA788" i="27"/>
  <c r="AA790" i="27"/>
  <c r="AA791" i="27"/>
  <c r="AA793" i="27"/>
  <c r="AA794" i="27"/>
  <c r="AA795" i="27"/>
  <c r="AA797" i="27"/>
  <c r="AA798" i="27"/>
  <c r="AA799" i="27"/>
  <c r="AA801" i="27"/>
  <c r="AA802" i="27"/>
  <c r="AA804" i="27"/>
  <c r="AA805" i="27"/>
  <c r="AA807" i="27"/>
  <c r="AA808" i="27"/>
  <c r="AA810" i="27"/>
  <c r="AA811" i="27"/>
  <c r="AA812" i="27"/>
  <c r="AA814" i="27"/>
  <c r="AA815" i="27"/>
  <c r="AA817" i="27"/>
  <c r="AA818" i="27"/>
  <c r="AA820" i="27"/>
  <c r="AA821" i="27"/>
  <c r="AA823" i="27"/>
  <c r="AA824" i="27"/>
  <c r="AA825" i="27"/>
  <c r="AA827" i="27"/>
  <c r="AA828" i="27"/>
  <c r="AA830" i="27"/>
  <c r="AA831" i="27"/>
  <c r="AA833" i="27"/>
  <c r="AA834" i="27"/>
  <c r="AA836" i="27"/>
  <c r="AA837" i="27"/>
  <c r="AA838" i="27"/>
  <c r="AA840" i="27"/>
  <c r="AA841" i="27"/>
  <c r="AA843" i="27"/>
  <c r="AA844" i="27"/>
  <c r="AA846" i="27"/>
  <c r="AA847" i="27"/>
  <c r="AA849" i="27"/>
  <c r="AA850" i="27"/>
  <c r="AA851" i="27"/>
  <c r="AA853" i="27"/>
  <c r="AA854" i="27"/>
  <c r="AA855" i="27"/>
  <c r="AA857" i="27"/>
  <c r="AA858" i="27"/>
  <c r="AA860" i="27"/>
  <c r="AA861" i="27"/>
  <c r="AA863" i="27"/>
  <c r="AA864" i="27"/>
  <c r="AA866" i="27"/>
  <c r="AA867" i="27"/>
  <c r="AA868" i="27"/>
  <c r="AA870" i="27"/>
  <c r="AA871" i="27"/>
  <c r="AA873" i="27"/>
  <c r="AA874" i="27"/>
  <c r="AA876" i="27"/>
  <c r="AA877" i="27"/>
  <c r="AA879" i="27"/>
  <c r="AA880" i="27"/>
  <c r="AA881" i="27"/>
  <c r="AA883" i="27"/>
  <c r="AA884" i="27"/>
  <c r="AA886" i="27"/>
  <c r="AA887" i="27"/>
  <c r="AA889" i="27"/>
  <c r="AA890" i="27"/>
  <c r="AA892" i="27"/>
  <c r="AA893" i="27"/>
  <c r="AA894" i="27"/>
  <c r="AA896" i="27"/>
  <c r="AA897" i="27"/>
  <c r="AA899" i="27"/>
  <c r="AA900" i="27"/>
  <c r="AA902" i="27"/>
  <c r="AA903" i="27"/>
  <c r="AA905" i="27"/>
  <c r="AA906" i="27"/>
  <c r="AA907" i="27"/>
  <c r="AA910" i="27"/>
  <c r="AA911" i="27"/>
  <c r="AA912" i="27"/>
  <c r="AA914" i="27"/>
  <c r="AA915" i="27"/>
  <c r="AA916" i="27"/>
  <c r="AA918" i="27"/>
  <c r="AA919" i="27"/>
  <c r="AA921" i="27"/>
  <c r="AA922" i="27"/>
  <c r="AA924" i="27"/>
  <c r="AA925" i="27"/>
  <c r="AA927" i="27"/>
  <c r="AA928" i="27"/>
  <c r="AA929" i="27"/>
  <c r="AA931" i="27"/>
  <c r="AA932" i="27"/>
  <c r="AA934" i="27"/>
  <c r="AA935" i="27"/>
  <c r="AA937" i="27"/>
  <c r="AA938" i="27"/>
  <c r="AA940" i="27"/>
  <c r="AA941" i="27"/>
  <c r="AA942" i="27"/>
  <c r="AA944" i="27"/>
  <c r="AA945" i="27"/>
  <c r="AA947" i="27"/>
  <c r="AA948" i="27"/>
  <c r="AA950" i="27"/>
  <c r="AA951" i="27"/>
  <c r="AA953" i="27"/>
  <c r="AA954" i="27"/>
  <c r="AA955" i="27"/>
  <c r="AA957" i="27"/>
  <c r="AA958" i="27"/>
  <c r="AA960" i="27"/>
  <c r="AA961" i="27"/>
  <c r="AA963" i="27"/>
  <c r="AA964" i="27"/>
  <c r="AA966" i="27"/>
  <c r="AA967" i="27"/>
  <c r="AA968" i="27"/>
  <c r="AA970" i="27"/>
  <c r="AA971" i="27"/>
  <c r="AA972" i="27"/>
  <c r="AA974" i="27"/>
  <c r="AA975" i="27"/>
  <c r="AA977" i="27"/>
  <c r="AA978" i="27"/>
  <c r="AA980" i="27"/>
  <c r="AA981" i="27"/>
  <c r="AA983" i="27"/>
  <c r="AA984" i="27"/>
  <c r="AA985" i="27"/>
  <c r="AA987" i="27"/>
  <c r="AA988" i="27"/>
  <c r="AA990" i="27"/>
  <c r="AA991" i="27"/>
  <c r="AA993" i="27"/>
  <c r="AA994" i="27"/>
  <c r="AA996" i="27"/>
  <c r="AA997" i="27"/>
  <c r="AA998" i="27"/>
  <c r="AA1000" i="27"/>
  <c r="AA1001" i="27"/>
  <c r="AA1003" i="27"/>
  <c r="AA1004" i="27"/>
  <c r="AA1006" i="27"/>
  <c r="AA1007" i="27"/>
  <c r="AA1009" i="27"/>
  <c r="AA1010" i="27"/>
  <c r="AA1011" i="27"/>
  <c r="AA1013" i="27"/>
  <c r="AA1014" i="27"/>
  <c r="AA1016" i="27"/>
  <c r="AA1017" i="27"/>
  <c r="AA1019" i="27"/>
  <c r="AA1020" i="27"/>
  <c r="AA1022" i="27"/>
  <c r="AA1023" i="27"/>
  <c r="AA1024" i="27"/>
  <c r="AA1026" i="27"/>
  <c r="AA1027" i="27"/>
  <c r="AA1028" i="27"/>
  <c r="AA1030" i="27"/>
  <c r="AA1031" i="27"/>
  <c r="AA1033" i="27"/>
  <c r="AA1034" i="27"/>
  <c r="AA1036" i="27"/>
  <c r="AA1037" i="27"/>
  <c r="AA1039" i="27"/>
  <c r="AA1040" i="27"/>
  <c r="AA1041" i="27"/>
  <c r="AA1043" i="27"/>
  <c r="AA1044" i="27"/>
  <c r="AA1046" i="27"/>
  <c r="AA1047" i="27"/>
  <c r="AA1049" i="27"/>
  <c r="AA1050" i="27"/>
  <c r="AA1052" i="27"/>
  <c r="AA1053" i="27"/>
  <c r="AA1054" i="27"/>
  <c r="AA1056" i="27"/>
  <c r="AA1057" i="27"/>
  <c r="AA1059" i="27"/>
  <c r="AA1060" i="27"/>
  <c r="AA1062" i="27"/>
  <c r="AA1063" i="27"/>
  <c r="AA1065" i="27"/>
  <c r="AA1066" i="27"/>
  <c r="AA1067" i="27"/>
  <c r="AA1069" i="27"/>
  <c r="AA1070" i="27"/>
  <c r="AA1072" i="27"/>
  <c r="AA1073" i="27"/>
  <c r="AA1075" i="27"/>
  <c r="AA1076" i="27"/>
  <c r="AA1078" i="27"/>
  <c r="AA1079" i="27"/>
  <c r="AA1080" i="27"/>
  <c r="AA1082" i="27"/>
  <c r="AA1083" i="27"/>
  <c r="AA1084" i="27"/>
  <c r="AA1086" i="27"/>
  <c r="AA1087" i="27"/>
  <c r="AA1089" i="27"/>
  <c r="AA1090" i="27"/>
  <c r="AA1092" i="27"/>
  <c r="AA1093" i="27"/>
  <c r="AA1095" i="27"/>
  <c r="AA1096" i="27"/>
  <c r="AA1097" i="27"/>
  <c r="AA1099" i="27"/>
  <c r="AA1100" i="27"/>
  <c r="AA1102" i="27"/>
  <c r="AA1103" i="27"/>
  <c r="AA1105" i="27"/>
  <c r="AA1106" i="27"/>
  <c r="AA1108" i="27"/>
  <c r="AA1109" i="27"/>
  <c r="AA1110" i="27"/>
  <c r="AA1112" i="27"/>
  <c r="AA1113" i="27"/>
  <c r="AA1115" i="27"/>
  <c r="AA1116" i="27"/>
  <c r="AA1118" i="27"/>
  <c r="AA1119" i="27"/>
  <c r="AA1121" i="27"/>
  <c r="AA1122" i="27"/>
  <c r="AA1123" i="27"/>
  <c r="AA1125" i="27"/>
  <c r="AA1126" i="27"/>
  <c r="AA1128" i="27"/>
  <c r="AA1129" i="27"/>
  <c r="AA1131" i="27"/>
  <c r="AA1132" i="27"/>
  <c r="AA1134" i="27"/>
  <c r="AA1135" i="27"/>
  <c r="AA1136" i="27"/>
  <c r="AA1138" i="27"/>
  <c r="AA1139" i="27"/>
  <c r="AA1140" i="27"/>
  <c r="AA1142" i="27"/>
  <c r="AA1143" i="27"/>
  <c r="AA1145" i="27"/>
  <c r="AA1146" i="27"/>
  <c r="AA1148" i="27"/>
  <c r="AA1149" i="27"/>
  <c r="AA1151" i="27"/>
  <c r="AA1152" i="27"/>
  <c r="AA1153" i="27"/>
  <c r="AA1155" i="27"/>
  <c r="AA1156" i="27"/>
  <c r="AA1158" i="27"/>
  <c r="AA1159" i="27"/>
  <c r="AA1161" i="27"/>
  <c r="AA1162" i="27"/>
  <c r="AA1164" i="27"/>
  <c r="AA1165" i="27"/>
  <c r="AA1166" i="27"/>
  <c r="AA1168" i="27"/>
  <c r="AA1169" i="27"/>
  <c r="AA1171" i="27"/>
  <c r="AA1172" i="27"/>
  <c r="AA1174" i="27"/>
  <c r="AA1175" i="27"/>
  <c r="AA1177" i="27"/>
  <c r="AA1178" i="27"/>
  <c r="AA1179" i="27"/>
  <c r="AA1181" i="27"/>
  <c r="AA1182" i="27"/>
  <c r="AA1184" i="27"/>
  <c r="AA1185" i="27"/>
  <c r="AA1187" i="27"/>
  <c r="AA1188" i="27"/>
  <c r="AA1190" i="27"/>
  <c r="AA1191" i="27"/>
  <c r="AA1192" i="27"/>
  <c r="AA1194" i="27"/>
  <c r="AA1195" i="27"/>
  <c r="AA1196" i="27"/>
  <c r="AA1198" i="27"/>
  <c r="AA1199" i="27"/>
  <c r="AA1201" i="27"/>
  <c r="AA1202" i="27"/>
  <c r="AA1204" i="27"/>
  <c r="AA1205" i="27"/>
  <c r="AA1207" i="27"/>
  <c r="AA1208" i="27"/>
  <c r="AA1209" i="27"/>
  <c r="AA1211" i="27"/>
  <c r="AA1212" i="27"/>
  <c r="AA1214" i="27"/>
  <c r="AA1215" i="27"/>
  <c r="AA1217" i="27"/>
  <c r="AA1218" i="27"/>
  <c r="AA1220" i="27"/>
  <c r="AA1221" i="27"/>
  <c r="AA1222" i="27"/>
  <c r="AA1224" i="27"/>
  <c r="AA1225" i="27"/>
  <c r="AA1227" i="27"/>
  <c r="AA1228" i="27"/>
  <c r="AA1230" i="27"/>
  <c r="AA1231" i="27"/>
  <c r="AA1233" i="27"/>
  <c r="AA1234" i="27"/>
  <c r="AA1235" i="27"/>
  <c r="AA1237" i="27"/>
  <c r="AA1238" i="27"/>
  <c r="AA1240" i="27"/>
  <c r="AA1241" i="27"/>
  <c r="AA1243" i="27"/>
  <c r="AA1244" i="27"/>
  <c r="AA1246" i="27"/>
  <c r="AA1247" i="27"/>
  <c r="AA1248" i="27"/>
  <c r="AA1250" i="27"/>
  <c r="AA1251" i="27"/>
  <c r="AA1252" i="27"/>
  <c r="AA1254" i="27"/>
  <c r="AA1255" i="27"/>
  <c r="AA1257" i="27"/>
  <c r="AA1258" i="27"/>
  <c r="AA1260" i="27"/>
  <c r="AA1261" i="27"/>
  <c r="AA1263" i="27"/>
  <c r="AA1264" i="27"/>
  <c r="AA1265" i="27"/>
  <c r="AA1267" i="27"/>
  <c r="AA1268" i="27"/>
  <c r="AA1270" i="27"/>
  <c r="AA1271" i="27"/>
  <c r="AA1273" i="27"/>
  <c r="AA1274" i="27"/>
  <c r="AA1276" i="27"/>
  <c r="AA1277" i="27"/>
  <c r="AA1278" i="27"/>
  <c r="AA1280" i="27"/>
  <c r="AA1281" i="27"/>
  <c r="AA1283" i="27"/>
  <c r="AA1284" i="27"/>
  <c r="AA1286" i="27"/>
  <c r="AA1287" i="27"/>
  <c r="AA1289" i="27"/>
  <c r="AA1290" i="27"/>
  <c r="AA1291" i="27"/>
  <c r="AA1293" i="27"/>
  <c r="AA1294" i="27"/>
  <c r="AA1296" i="27"/>
  <c r="AA1297" i="27"/>
  <c r="AA1299" i="27"/>
  <c r="AA1300" i="27"/>
  <c r="AA1302" i="27"/>
  <c r="AA1303" i="27"/>
  <c r="AA1304" i="27"/>
  <c r="AA1306" i="27"/>
  <c r="AA1307" i="27"/>
  <c r="AA1308" i="27"/>
  <c r="AA1310" i="27"/>
  <c r="AA1311" i="27"/>
  <c r="AA1313" i="27"/>
  <c r="AA1314" i="27"/>
  <c r="AA1316" i="27"/>
  <c r="AA1317" i="27"/>
  <c r="AA1319" i="27"/>
  <c r="AA1320" i="27"/>
  <c r="AA1321" i="27"/>
  <c r="AA1323" i="27"/>
  <c r="AA1324" i="27"/>
  <c r="AA1326" i="27"/>
  <c r="AA1327" i="27"/>
  <c r="AA1329" i="27"/>
  <c r="AA1330" i="27"/>
  <c r="AA1332" i="27"/>
  <c r="AA1333" i="27"/>
  <c r="AA1334" i="27"/>
  <c r="AA1336" i="27"/>
  <c r="AA1337" i="27"/>
  <c r="AA1339" i="27"/>
  <c r="AA1340" i="27"/>
  <c r="AA1342" i="27"/>
  <c r="AA1343" i="27"/>
  <c r="AA1345" i="27"/>
  <c r="AA1346" i="27"/>
  <c r="AA1347" i="27"/>
  <c r="AA1349" i="27"/>
  <c r="AA1350" i="27"/>
  <c r="AA1352" i="27"/>
  <c r="AA1353" i="27"/>
  <c r="AA1355" i="27"/>
  <c r="AA1356" i="27"/>
  <c r="AA1358" i="27"/>
  <c r="AA1359" i="27"/>
  <c r="AA1360" i="27"/>
  <c r="AA1362" i="27"/>
  <c r="AA1363" i="27"/>
  <c r="AA1364" i="27"/>
  <c r="AA1366" i="27"/>
  <c r="AA1367" i="27"/>
  <c r="AA1368" i="27"/>
  <c r="AA1370" i="27"/>
  <c r="AA1371" i="27"/>
  <c r="AA1373" i="27"/>
  <c r="AA1374" i="27"/>
  <c r="AA1376" i="27"/>
  <c r="AA1377" i="27"/>
  <c r="AA1379" i="27"/>
  <c r="AA1380" i="27"/>
  <c r="AA1381" i="27"/>
  <c r="AA1383" i="27"/>
  <c r="AA1384" i="27"/>
  <c r="AA1386" i="27"/>
  <c r="AA1387" i="27"/>
  <c r="AA1389" i="27"/>
  <c r="AA1390" i="27"/>
  <c r="AA1392" i="27"/>
  <c r="AA1393" i="27"/>
  <c r="AA1394" i="27"/>
  <c r="AA1396" i="27"/>
  <c r="AA1397" i="27"/>
  <c r="AA1399" i="27"/>
  <c r="AA1400" i="27"/>
  <c r="AA1402" i="27"/>
  <c r="AA1403" i="27"/>
  <c r="AA1405" i="27"/>
  <c r="AA1406" i="27"/>
  <c r="AA1407" i="27"/>
  <c r="AA1409" i="27"/>
  <c r="AA1410" i="27"/>
  <c r="AA1412" i="27"/>
  <c r="AA1413" i="27"/>
  <c r="AA1415" i="27"/>
  <c r="AA1416" i="27"/>
  <c r="AA1418" i="27"/>
  <c r="AA1419" i="27"/>
  <c r="AA1420" i="27"/>
  <c r="AA1422" i="27"/>
  <c r="AA1423" i="27"/>
  <c r="AA1424" i="27"/>
  <c r="AA1426" i="27"/>
  <c r="AA1427" i="27"/>
  <c r="AA1429" i="27"/>
  <c r="AA1430" i="27"/>
  <c r="AA1432" i="27"/>
  <c r="AA1433" i="27"/>
  <c r="AA1435" i="27"/>
  <c r="AA1436" i="27"/>
  <c r="AA1437" i="27"/>
  <c r="AA1439" i="27"/>
  <c r="AA1440" i="27"/>
  <c r="AA1442" i="27"/>
  <c r="AA1443" i="27"/>
  <c r="AA1445" i="27"/>
  <c r="AA1446" i="27"/>
  <c r="AA1448" i="27"/>
  <c r="AA1449" i="27"/>
  <c r="AA1450" i="27"/>
  <c r="AA1452" i="27"/>
  <c r="AA1453" i="27"/>
  <c r="AA1455" i="27"/>
  <c r="AA1456" i="27"/>
  <c r="AA1458" i="27"/>
  <c r="AA1459" i="27"/>
  <c r="AA1461" i="27"/>
  <c r="AA1462" i="27"/>
  <c r="AA1463" i="27"/>
  <c r="AA1465" i="27"/>
  <c r="AA1466" i="27"/>
  <c r="AA1468" i="27"/>
  <c r="AA1469" i="27"/>
  <c r="AA1471" i="27"/>
  <c r="AA1472" i="27"/>
  <c r="AA1474" i="27"/>
  <c r="AA1475" i="27"/>
  <c r="AA1476" i="27"/>
  <c r="AA1478" i="27"/>
  <c r="AA1479" i="27"/>
  <c r="AA1480" i="27"/>
  <c r="AA1482" i="27"/>
  <c r="AA1483" i="27"/>
  <c r="AA1485" i="27"/>
  <c r="AA1486" i="27"/>
  <c r="AA1488" i="27"/>
  <c r="AA1489" i="27"/>
  <c r="AA1491" i="27"/>
  <c r="AA1492" i="27"/>
  <c r="AA1493" i="27"/>
  <c r="AA1495" i="27"/>
  <c r="AA1496" i="27"/>
  <c r="AA1498" i="27"/>
  <c r="AA1499" i="27"/>
  <c r="AA1501" i="27"/>
  <c r="AA1502" i="27"/>
  <c r="AA1504" i="27"/>
  <c r="AA1505" i="27"/>
  <c r="AA1506" i="27"/>
  <c r="AA1508" i="27"/>
  <c r="AA1509" i="27"/>
  <c r="AA1511" i="27"/>
  <c r="AA1512" i="27"/>
  <c r="AA1514" i="27"/>
  <c r="AA1515" i="27"/>
  <c r="AA1517" i="27"/>
  <c r="AA1518" i="27"/>
  <c r="AA1519" i="27"/>
  <c r="AA1521" i="27"/>
  <c r="AA1522" i="27"/>
  <c r="AA1524" i="27"/>
  <c r="AA1525" i="27"/>
  <c r="AA1527" i="27"/>
  <c r="AA1528" i="27"/>
  <c r="AA1530" i="27"/>
  <c r="AA1531" i="27"/>
  <c r="AA1532" i="27"/>
  <c r="AA1534" i="27"/>
  <c r="AA1535" i="27"/>
  <c r="AA1536" i="27"/>
  <c r="AA1538" i="27"/>
  <c r="AA1539" i="27"/>
  <c r="AA1541" i="27"/>
  <c r="AA1542" i="27"/>
  <c r="AA1544" i="27"/>
  <c r="AA1545" i="27"/>
  <c r="AA1547" i="27"/>
  <c r="AA1548" i="27"/>
  <c r="AA1549" i="27"/>
  <c r="AA1551" i="27"/>
  <c r="AA1552" i="27"/>
  <c r="AA1554" i="27"/>
  <c r="AA1555" i="27"/>
  <c r="AA1557" i="27"/>
  <c r="AA1558" i="27"/>
  <c r="AA1560" i="27"/>
  <c r="AA1561" i="27"/>
  <c r="AA1562" i="27"/>
  <c r="AA1564" i="27"/>
  <c r="AA1565" i="27"/>
  <c r="AA1567" i="27"/>
  <c r="AA1568" i="27"/>
  <c r="AA1570" i="27"/>
  <c r="AA1571" i="27"/>
  <c r="AA1573" i="27"/>
  <c r="AA1574" i="27"/>
  <c r="AA1575" i="27"/>
  <c r="AA1577" i="27"/>
  <c r="AA1578" i="27"/>
  <c r="AA1580" i="27"/>
  <c r="AA1581" i="27"/>
  <c r="AA1583" i="27"/>
  <c r="AA1584" i="27"/>
  <c r="AA1586" i="27"/>
  <c r="AA1587" i="27"/>
  <c r="AA1588" i="27"/>
  <c r="AA1590" i="27"/>
  <c r="AA1591" i="27"/>
  <c r="AA1592" i="27"/>
  <c r="AA1594" i="27"/>
  <c r="AA1595" i="27"/>
  <c r="AA1597" i="27"/>
  <c r="AA1598" i="27"/>
  <c r="AA1600" i="27"/>
  <c r="AA1601" i="27"/>
  <c r="AA1603" i="27"/>
  <c r="AA1604" i="27"/>
  <c r="AA1605" i="27"/>
  <c r="AA1607" i="27"/>
  <c r="AA1608" i="27"/>
  <c r="AA1610" i="27"/>
  <c r="AA1611" i="27"/>
  <c r="AA1613" i="27"/>
  <c r="AA1614" i="27"/>
  <c r="AA1616" i="27"/>
  <c r="AA1617" i="27"/>
  <c r="AA1618" i="27"/>
  <c r="AA1620" i="27"/>
  <c r="AA1621" i="27"/>
  <c r="AA1623" i="27"/>
  <c r="AA1624" i="27"/>
  <c r="AA1626" i="27"/>
  <c r="AA1627" i="27"/>
  <c r="AA1629" i="27"/>
  <c r="AA1630" i="27"/>
  <c r="AA1631" i="27"/>
  <c r="AA1633" i="27"/>
  <c r="AA1634" i="27"/>
  <c r="AA1636" i="27"/>
  <c r="AA1637" i="27"/>
  <c r="AA1639" i="27"/>
  <c r="AA1640" i="27"/>
  <c r="AA1642" i="27"/>
  <c r="AA1643" i="27"/>
  <c r="AA1644" i="27"/>
  <c r="AA1646" i="27"/>
  <c r="AA1647" i="27"/>
  <c r="AA1648" i="27"/>
  <c r="AA1650" i="27"/>
  <c r="AA1651" i="27"/>
  <c r="AA1653" i="27"/>
  <c r="AA1654" i="27"/>
  <c r="AA1656" i="27"/>
  <c r="AA1657" i="27"/>
  <c r="AA1659" i="27"/>
  <c r="AA1660" i="27"/>
  <c r="AA1661" i="27"/>
  <c r="AA1663" i="27"/>
  <c r="AA1664" i="27"/>
  <c r="AA1666" i="27"/>
  <c r="AA1667" i="27"/>
  <c r="AA1669" i="27"/>
  <c r="AA1670" i="27"/>
  <c r="AA1672" i="27"/>
  <c r="AA1673" i="27"/>
  <c r="AA1674" i="27"/>
  <c r="AA1676" i="27"/>
  <c r="AA1677" i="27"/>
  <c r="AA1679" i="27"/>
  <c r="AA1680" i="27"/>
  <c r="AA1682" i="27"/>
  <c r="AA1683" i="27"/>
  <c r="AA1685" i="27"/>
  <c r="AA1686" i="27"/>
  <c r="AA1687" i="27"/>
  <c r="AA1689" i="27"/>
  <c r="AA1690" i="27"/>
  <c r="AA1692" i="27"/>
  <c r="AA1693" i="27"/>
  <c r="AA1695" i="27"/>
  <c r="AA1696" i="27"/>
  <c r="AA1698" i="27"/>
  <c r="AA1699" i="27"/>
  <c r="AA1700" i="27"/>
  <c r="AA1702" i="27"/>
  <c r="AA1703" i="27"/>
  <c r="AA1704" i="27"/>
  <c r="AA1706" i="27"/>
  <c r="AA1707" i="27"/>
  <c r="AA1709" i="27"/>
  <c r="AA1710" i="27"/>
  <c r="AA1712" i="27"/>
  <c r="AA1713" i="27"/>
  <c r="AA1715" i="27"/>
  <c r="AA1716" i="27"/>
  <c r="AA1717" i="27"/>
  <c r="AA1719" i="27"/>
  <c r="AA1720" i="27"/>
  <c r="AA1722" i="27"/>
  <c r="AA1723" i="27"/>
  <c r="AA1725" i="27"/>
  <c r="AA1726" i="27"/>
  <c r="AA1728" i="27"/>
  <c r="AA1729" i="27"/>
  <c r="AA1730" i="27"/>
  <c r="AA1732" i="27"/>
  <c r="AA1733" i="27"/>
  <c r="AA1735" i="27"/>
  <c r="AA1736" i="27"/>
  <c r="AA1738" i="27"/>
  <c r="AA1739" i="27"/>
  <c r="AA1741" i="27"/>
  <c r="AA1742" i="27"/>
  <c r="AA1743" i="27"/>
  <c r="AA1745" i="27"/>
  <c r="AA1746" i="27"/>
  <c r="AA1748" i="27"/>
  <c r="AA1749" i="27"/>
  <c r="AA1751" i="27"/>
  <c r="AA1752" i="27"/>
  <c r="AA1754" i="27"/>
  <c r="AA1755" i="27"/>
  <c r="AA1756" i="27"/>
  <c r="AA1758" i="27"/>
  <c r="AA1759" i="27"/>
  <c r="AA1760" i="27"/>
  <c r="AA1762" i="27"/>
  <c r="AA1763" i="27"/>
  <c r="AA1765" i="27"/>
  <c r="AA1766" i="27"/>
  <c r="AA1768" i="27"/>
  <c r="AA1769" i="27"/>
  <c r="AA1771" i="27"/>
  <c r="AA1772" i="27"/>
  <c r="AA1773" i="27"/>
  <c r="AA1775" i="27"/>
  <c r="AA1776" i="27"/>
  <c r="AA1778" i="27"/>
  <c r="AA1779" i="27"/>
  <c r="AA1781" i="27"/>
  <c r="AA1782" i="27"/>
  <c r="AA1784" i="27"/>
  <c r="AA1785" i="27"/>
  <c r="AA1786" i="27"/>
  <c r="AA1788" i="27"/>
  <c r="AA1789" i="27"/>
  <c r="AA1791" i="27"/>
  <c r="AA1792" i="27"/>
  <c r="AA1794" i="27"/>
  <c r="AA1795" i="27"/>
  <c r="AA1797" i="27"/>
  <c r="AA1798" i="27"/>
  <c r="AA1799" i="27"/>
  <c r="AA1801" i="27"/>
  <c r="AA1802" i="27"/>
  <c r="AA1804" i="27"/>
  <c r="AA1805" i="27"/>
  <c r="AA1807" i="27"/>
  <c r="AA1808" i="27"/>
  <c r="Z911" i="27"/>
  <c r="Z912" i="27"/>
  <c r="Z914" i="27"/>
  <c r="Z915" i="27"/>
  <c r="Z916" i="27"/>
  <c r="Z918" i="27"/>
  <c r="Z919" i="27"/>
  <c r="Z921" i="27"/>
  <c r="Z922" i="27"/>
  <c r="Z924" i="27"/>
  <c r="Z925" i="27"/>
  <c r="Z927" i="27"/>
  <c r="Z928" i="27"/>
  <c r="Z929" i="27"/>
  <c r="Z931" i="27"/>
  <c r="Z932" i="27"/>
  <c r="Z934" i="27"/>
  <c r="Z935" i="27"/>
  <c r="Z937" i="27"/>
  <c r="Z938" i="27"/>
  <c r="Z940" i="27"/>
  <c r="Z941" i="27"/>
  <c r="Z942" i="27"/>
  <c r="Z944" i="27"/>
  <c r="Z945" i="27"/>
  <c r="Z947" i="27"/>
  <c r="Z948" i="27"/>
  <c r="Z950" i="27"/>
  <c r="Z951" i="27"/>
  <c r="Z953" i="27"/>
  <c r="Z954" i="27"/>
  <c r="Z955" i="27"/>
  <c r="Z957" i="27"/>
  <c r="Z958" i="27"/>
  <c r="Z960" i="27"/>
  <c r="Z961" i="27"/>
  <c r="Z963" i="27"/>
  <c r="Z964" i="27"/>
  <c r="Z966" i="27"/>
  <c r="Z967" i="27"/>
  <c r="Z968" i="27"/>
  <c r="Z970" i="27"/>
  <c r="Z971" i="27"/>
  <c r="Z972" i="27"/>
  <c r="Z974" i="27"/>
  <c r="Z975" i="27"/>
  <c r="Z977" i="27"/>
  <c r="Z978" i="27"/>
  <c r="Z980" i="27"/>
  <c r="Z981" i="27"/>
  <c r="Z983" i="27"/>
  <c r="Z984" i="27"/>
  <c r="Z985" i="27"/>
  <c r="Z987" i="27"/>
  <c r="Z988" i="27"/>
  <c r="Z990" i="27"/>
  <c r="Z991" i="27"/>
  <c r="Z993" i="27"/>
  <c r="Z994" i="27"/>
  <c r="Z996" i="27"/>
  <c r="Z997" i="27"/>
  <c r="Z998" i="27"/>
  <c r="Z1000" i="27"/>
  <c r="Z1001" i="27"/>
  <c r="Z1003" i="27"/>
  <c r="Z1004" i="27"/>
  <c r="Z1006" i="27"/>
  <c r="Z1007" i="27"/>
  <c r="Z1009" i="27"/>
  <c r="Z1010" i="27"/>
  <c r="Z1011" i="27"/>
  <c r="Z1013" i="27"/>
  <c r="Z1014" i="27"/>
  <c r="Z1016" i="27"/>
  <c r="Z1017" i="27"/>
  <c r="Z1019" i="27"/>
  <c r="Z1020" i="27"/>
  <c r="Z1022" i="27"/>
  <c r="Z1023" i="27"/>
  <c r="Z1024" i="27"/>
  <c r="Z1026" i="27"/>
  <c r="Z1027" i="27"/>
  <c r="Z1028" i="27"/>
  <c r="Z1030" i="27"/>
  <c r="Z1031" i="27"/>
  <c r="Z1033" i="27"/>
  <c r="Z1034" i="27"/>
  <c r="Z1036" i="27"/>
  <c r="Z1037" i="27"/>
  <c r="Z1039" i="27"/>
  <c r="Z1040" i="27"/>
  <c r="Z1041" i="27"/>
  <c r="Z1043" i="27"/>
  <c r="Z1044" i="27"/>
  <c r="Z1046" i="27"/>
  <c r="Z1047" i="27"/>
  <c r="Z1049" i="27"/>
  <c r="Z1050" i="27"/>
  <c r="Z1052" i="27"/>
  <c r="Z1053" i="27"/>
  <c r="Z1054" i="27"/>
  <c r="Z1056" i="27"/>
  <c r="Z1057" i="27"/>
  <c r="Z1059" i="27"/>
  <c r="Z1060" i="27"/>
  <c r="Z1062" i="27"/>
  <c r="Z1063" i="27"/>
  <c r="Z1065" i="27"/>
  <c r="Z1066" i="27"/>
  <c r="Z1067" i="27"/>
  <c r="Z1069" i="27"/>
  <c r="Z1070" i="27"/>
  <c r="Z1072" i="27"/>
  <c r="Z1073" i="27"/>
  <c r="Z1075" i="27"/>
  <c r="Z1076" i="27"/>
  <c r="Z1078" i="27"/>
  <c r="Z1079" i="27"/>
  <c r="Z1080" i="27"/>
  <c r="Z1082" i="27"/>
  <c r="Z1083" i="27"/>
  <c r="Z1084" i="27"/>
  <c r="Z1086" i="27"/>
  <c r="Z1087" i="27"/>
  <c r="Z1089" i="27"/>
  <c r="Z1090" i="27"/>
  <c r="Z1092" i="27"/>
  <c r="Z1093" i="27"/>
  <c r="Z1095" i="27"/>
  <c r="Z1096" i="27"/>
  <c r="Z1097" i="27"/>
  <c r="Z1099" i="27"/>
  <c r="Z1100" i="27"/>
  <c r="Z1102" i="27"/>
  <c r="Z1103" i="27"/>
  <c r="Z1105" i="27"/>
  <c r="Z1106" i="27"/>
  <c r="Z1108" i="27"/>
  <c r="Z1109" i="27"/>
  <c r="Z1110" i="27"/>
  <c r="Z1112" i="27"/>
  <c r="Z1113" i="27"/>
  <c r="Z1115" i="27"/>
  <c r="Z1116" i="27"/>
  <c r="Z1118" i="27"/>
  <c r="Z1119" i="27"/>
  <c r="Z1121" i="27"/>
  <c r="Z1122" i="27"/>
  <c r="Z1123" i="27"/>
  <c r="Z1125" i="27"/>
  <c r="Z1126" i="27"/>
  <c r="Z1128" i="27"/>
  <c r="Z1129" i="27"/>
  <c r="Z1131" i="27"/>
  <c r="Z1132" i="27"/>
  <c r="Z1134" i="27"/>
  <c r="Z1135" i="27"/>
  <c r="Z1136" i="27"/>
  <c r="Z1138" i="27"/>
  <c r="Z1139" i="27"/>
  <c r="Z1140" i="27"/>
  <c r="Z1142" i="27"/>
  <c r="Z1143" i="27"/>
  <c r="Z1145" i="27"/>
  <c r="Z1146" i="27"/>
  <c r="Z1148" i="27"/>
  <c r="Z1149" i="27"/>
  <c r="Z1151" i="27"/>
  <c r="Z1152" i="27"/>
  <c r="Z1153" i="27"/>
  <c r="Z1155" i="27"/>
  <c r="Z1156" i="27"/>
  <c r="Z1158" i="27"/>
  <c r="Z1159" i="27"/>
  <c r="Z1161" i="27"/>
  <c r="Z1162" i="27"/>
  <c r="Z1164" i="27"/>
  <c r="Z1165" i="27"/>
  <c r="Z1166" i="27"/>
  <c r="Z1168" i="27"/>
  <c r="Z1169" i="27"/>
  <c r="Z1171" i="27"/>
  <c r="Z1172" i="27"/>
  <c r="Z1174" i="27"/>
  <c r="Z1175" i="27"/>
  <c r="Z1177" i="27"/>
  <c r="Z1178" i="27"/>
  <c r="Z1179" i="27"/>
  <c r="Z1181" i="27"/>
  <c r="Z1182" i="27"/>
  <c r="Z1184" i="27"/>
  <c r="Z1185" i="27"/>
  <c r="Z1187" i="27"/>
  <c r="Z1188" i="27"/>
  <c r="Z1190" i="27"/>
  <c r="Z1191" i="27"/>
  <c r="Z1192" i="27"/>
  <c r="Z1194" i="27"/>
  <c r="Z1195" i="27"/>
  <c r="Z1196" i="27"/>
  <c r="Z1198" i="27"/>
  <c r="Z1199" i="27"/>
  <c r="Z1201" i="27"/>
  <c r="Z1202" i="27"/>
  <c r="Z1204" i="27"/>
  <c r="Z1205" i="27"/>
  <c r="Z1207" i="27"/>
  <c r="Z1208" i="27"/>
  <c r="Z1209" i="27"/>
  <c r="Z1211" i="27"/>
  <c r="Z1212" i="27"/>
  <c r="Z1214" i="27"/>
  <c r="Z1215" i="27"/>
  <c r="Z1217" i="27"/>
  <c r="Z1218" i="27"/>
  <c r="Z1220" i="27"/>
  <c r="Z1221" i="27"/>
  <c r="Z1222" i="27"/>
  <c r="Z1224" i="27"/>
  <c r="Z1225" i="27"/>
  <c r="Z1227" i="27"/>
  <c r="Z1228" i="27"/>
  <c r="Z1230" i="27"/>
  <c r="Z1231" i="27"/>
  <c r="Z1233" i="27"/>
  <c r="Z1234" i="27"/>
  <c r="Z1235" i="27"/>
  <c r="Z1237" i="27"/>
  <c r="Z1238" i="27"/>
  <c r="Z1240" i="27"/>
  <c r="Z1241" i="27"/>
  <c r="Z1243" i="27"/>
  <c r="Z1244" i="27"/>
  <c r="Z1246" i="27"/>
  <c r="Z1247" i="27"/>
  <c r="Z1248" i="27"/>
  <c r="Z1250" i="27"/>
  <c r="Z1251" i="27"/>
  <c r="Z1252" i="27"/>
  <c r="Z1254" i="27"/>
  <c r="Z1255" i="27"/>
  <c r="Z1257" i="27"/>
  <c r="Z1258" i="27"/>
  <c r="Z1260" i="27"/>
  <c r="Z1261" i="27"/>
  <c r="Z1263" i="27"/>
  <c r="Z1264" i="27"/>
  <c r="Z1265" i="27"/>
  <c r="Z1267" i="27"/>
  <c r="Z1268" i="27"/>
  <c r="Z1270" i="27"/>
  <c r="Z1271" i="27"/>
  <c r="Z1273" i="27"/>
  <c r="Z1274" i="27"/>
  <c r="Z1276" i="27"/>
  <c r="Z1277" i="27"/>
  <c r="Z1278" i="27"/>
  <c r="Z1280" i="27"/>
  <c r="Z1281" i="27"/>
  <c r="Z1283" i="27"/>
  <c r="Z1284" i="27"/>
  <c r="Z1286" i="27"/>
  <c r="Z1287" i="27"/>
  <c r="Z1289" i="27"/>
  <c r="Z1290" i="27"/>
  <c r="Z1291" i="27"/>
  <c r="Z1293" i="27"/>
  <c r="Z1294" i="27"/>
  <c r="Z1296" i="27"/>
  <c r="Z1297" i="27"/>
  <c r="Z1299" i="27"/>
  <c r="Z1300" i="27"/>
  <c r="Z1302" i="27"/>
  <c r="Z1303" i="27"/>
  <c r="Z1304" i="27"/>
  <c r="Z1306" i="27"/>
  <c r="Z1307" i="27"/>
  <c r="Z1308" i="27"/>
  <c r="Z1310" i="27"/>
  <c r="Z1311" i="27"/>
  <c r="Z1313" i="27"/>
  <c r="Z1314" i="27"/>
  <c r="Z1316" i="27"/>
  <c r="Z1317" i="27"/>
  <c r="Z1319" i="27"/>
  <c r="Z1320" i="27"/>
  <c r="Z1321" i="27"/>
  <c r="Z1323" i="27"/>
  <c r="Z1324" i="27"/>
  <c r="Z1326" i="27"/>
  <c r="Z1327" i="27"/>
  <c r="Z1329" i="27"/>
  <c r="Z1330" i="27"/>
  <c r="Z1332" i="27"/>
  <c r="Z1333" i="27"/>
  <c r="Z1334" i="27"/>
  <c r="Z1336" i="27"/>
  <c r="Z1337" i="27"/>
  <c r="Z1339" i="27"/>
  <c r="Z1340" i="27"/>
  <c r="Z1342" i="27"/>
  <c r="Z1343" i="27"/>
  <c r="Z1345" i="27"/>
  <c r="Z1346" i="27"/>
  <c r="Z1347" i="27"/>
  <c r="Z1349" i="27"/>
  <c r="Z1350" i="27"/>
  <c r="Z1352" i="27"/>
  <c r="Z1353" i="27"/>
  <c r="Z1355" i="27"/>
  <c r="Z1356" i="27"/>
  <c r="Z1358" i="27"/>
  <c r="Z1359" i="27"/>
  <c r="Z1360" i="27"/>
  <c r="Z1362" i="27"/>
  <c r="Z1363" i="27"/>
  <c r="Z1364" i="27"/>
  <c r="Z1366" i="27"/>
  <c r="Z1367" i="27"/>
  <c r="Z1368" i="27"/>
  <c r="Z1370" i="27"/>
  <c r="Z1371" i="27"/>
  <c r="Z1373" i="27"/>
  <c r="Z1374" i="27"/>
  <c r="Z1376" i="27"/>
  <c r="Z1377" i="27"/>
  <c r="Z1379" i="27"/>
  <c r="Z1380" i="27"/>
  <c r="Z1381" i="27"/>
  <c r="Z1383" i="27"/>
  <c r="Z1384" i="27"/>
  <c r="Z1386" i="27"/>
  <c r="Z1387" i="27"/>
  <c r="Z1389" i="27"/>
  <c r="Z1390" i="27"/>
  <c r="Z1392" i="27"/>
  <c r="Z1393" i="27"/>
  <c r="Z1394" i="27"/>
  <c r="Z1396" i="27"/>
  <c r="Z1397" i="27"/>
  <c r="Z1399" i="27"/>
  <c r="Z1400" i="27"/>
  <c r="Z1402" i="27"/>
  <c r="Z1403" i="27"/>
  <c r="Z1405" i="27"/>
  <c r="Z1406" i="27"/>
  <c r="Z1407" i="27"/>
  <c r="Z1409" i="27"/>
  <c r="Z1410" i="27"/>
  <c r="Z1412" i="27"/>
  <c r="Z1413" i="27"/>
  <c r="Z1415" i="27"/>
  <c r="Z1416" i="27"/>
  <c r="Z1418" i="27"/>
  <c r="Z1419" i="27"/>
  <c r="Z1420" i="27"/>
  <c r="Z1422" i="27"/>
  <c r="Z1423" i="27"/>
  <c r="Z1424" i="27"/>
  <c r="Z1426" i="27"/>
  <c r="Z1427" i="27"/>
  <c r="Z1429" i="27"/>
  <c r="Z1430" i="27"/>
  <c r="Z1432" i="27"/>
  <c r="Z1433" i="27"/>
  <c r="Z1435" i="27"/>
  <c r="Z1436" i="27"/>
  <c r="Z1437" i="27"/>
  <c r="Z1439" i="27"/>
  <c r="Z1440" i="27"/>
  <c r="Z1442" i="27"/>
  <c r="Z1443" i="27"/>
  <c r="Z1445" i="27"/>
  <c r="Z1446" i="27"/>
  <c r="Z1448" i="27"/>
  <c r="Z1449" i="27"/>
  <c r="Z1450" i="27"/>
  <c r="Z1452" i="27"/>
  <c r="Z1453" i="27"/>
  <c r="Z1455" i="27"/>
  <c r="Z1456" i="27"/>
  <c r="Z1458" i="27"/>
  <c r="Z1459" i="27"/>
  <c r="Z1461" i="27"/>
  <c r="Z1462" i="27"/>
  <c r="Z1463" i="27"/>
  <c r="Z1465" i="27"/>
  <c r="Z1466" i="27"/>
  <c r="Z1468" i="27"/>
  <c r="Z1469" i="27"/>
  <c r="Z1471" i="27"/>
  <c r="Z1472" i="27"/>
  <c r="Z1474" i="27"/>
  <c r="Z1475" i="27"/>
  <c r="Z1476" i="27"/>
  <c r="Z1478" i="27"/>
  <c r="Z1479" i="27"/>
  <c r="Z1480" i="27"/>
  <c r="Z1482" i="27"/>
  <c r="Z1483" i="27"/>
  <c r="Z1485" i="27"/>
  <c r="Z1486" i="27"/>
  <c r="Z1488" i="27"/>
  <c r="Z1489" i="27"/>
  <c r="Z1491" i="27"/>
  <c r="Z1492" i="27"/>
  <c r="Z1493" i="27"/>
  <c r="Z1495" i="27"/>
  <c r="Z1496" i="27"/>
  <c r="Z1498" i="27"/>
  <c r="Z1499" i="27"/>
  <c r="Z1501" i="27"/>
  <c r="Z1502" i="27"/>
  <c r="Z1504" i="27"/>
  <c r="Z1505" i="27"/>
  <c r="Z1506" i="27"/>
  <c r="Z1508" i="27"/>
  <c r="Z1509" i="27"/>
  <c r="Z1511" i="27"/>
  <c r="Z1512" i="27"/>
  <c r="Z1514" i="27"/>
  <c r="Z1515" i="27"/>
  <c r="Z1517" i="27"/>
  <c r="Z1518" i="27"/>
  <c r="Z1519" i="27"/>
  <c r="Z1521" i="27"/>
  <c r="Z1522" i="27"/>
  <c r="Z1524" i="27"/>
  <c r="Z1525" i="27"/>
  <c r="Z1527" i="27"/>
  <c r="Z1528" i="27"/>
  <c r="Z1530" i="27"/>
  <c r="Z1531" i="27"/>
  <c r="Z1532" i="27"/>
  <c r="Z1534" i="27"/>
  <c r="Z1535" i="27"/>
  <c r="Z1536" i="27"/>
  <c r="Z1538" i="27"/>
  <c r="Z1539" i="27"/>
  <c r="Z1541" i="27"/>
  <c r="Z1542" i="27"/>
  <c r="Z1544" i="27"/>
  <c r="Z1545" i="27"/>
  <c r="Z1547" i="27"/>
  <c r="Z1548" i="27"/>
  <c r="Z1549" i="27"/>
  <c r="Z1551" i="27"/>
  <c r="Z1552" i="27"/>
  <c r="Z1554" i="27"/>
  <c r="Z1555" i="27"/>
  <c r="Z1557" i="27"/>
  <c r="Z1558" i="27"/>
  <c r="Z1560" i="27"/>
  <c r="Z1561" i="27"/>
  <c r="Z1562" i="27"/>
  <c r="Z1564" i="27"/>
  <c r="Z1565" i="27"/>
  <c r="Z1567" i="27"/>
  <c r="Z1568" i="27"/>
  <c r="Z1570" i="27"/>
  <c r="Z1571" i="27"/>
  <c r="Z1573" i="27"/>
  <c r="Z1574" i="27"/>
  <c r="Z1575" i="27"/>
  <c r="Z1577" i="27"/>
  <c r="Z1578" i="27"/>
  <c r="Z1580" i="27"/>
  <c r="Z1581" i="27"/>
  <c r="Z1583" i="27"/>
  <c r="Z1584" i="27"/>
  <c r="Z1586" i="27"/>
  <c r="Z1587" i="27"/>
  <c r="Z1588" i="27"/>
  <c r="Z1590" i="27"/>
  <c r="Z1591" i="27"/>
  <c r="Z1592" i="27"/>
  <c r="Z1594" i="27"/>
  <c r="Z1595" i="27"/>
  <c r="Z1597" i="27"/>
  <c r="Z1598" i="27"/>
  <c r="Z1600" i="27"/>
  <c r="Z1601" i="27"/>
  <c r="Z1603" i="27"/>
  <c r="Z1604" i="27"/>
  <c r="Z1605" i="27"/>
  <c r="Z1607" i="27"/>
  <c r="Z1608" i="27"/>
  <c r="Z1610" i="27"/>
  <c r="Z1611" i="27"/>
  <c r="Z1613" i="27"/>
  <c r="Z1614" i="27"/>
  <c r="Z1616" i="27"/>
  <c r="Z1617" i="27"/>
  <c r="Z1618" i="27"/>
  <c r="Z1620" i="27"/>
  <c r="Z1621" i="27"/>
  <c r="Z1623" i="27"/>
  <c r="Z1624" i="27"/>
  <c r="Z1626" i="27"/>
  <c r="Z1627" i="27"/>
  <c r="Z1629" i="27"/>
  <c r="Z1630" i="27"/>
  <c r="Z1631" i="27"/>
  <c r="Z1633" i="27"/>
  <c r="Z1634" i="27"/>
  <c r="Z1636" i="27"/>
  <c r="Z1637" i="27"/>
  <c r="Z1639" i="27"/>
  <c r="Z1640" i="27"/>
  <c r="Z1642" i="27"/>
  <c r="Z1643" i="27"/>
  <c r="Z1644" i="27"/>
  <c r="Z1646" i="27"/>
  <c r="Z1647" i="27"/>
  <c r="Z1648" i="27"/>
  <c r="Z1650" i="27"/>
  <c r="Z1651" i="27"/>
  <c r="Z1653" i="27"/>
  <c r="Z1654" i="27"/>
  <c r="Z1656" i="27"/>
  <c r="Z1657" i="27"/>
  <c r="Z1659" i="27"/>
  <c r="Z1660" i="27"/>
  <c r="Z1661" i="27"/>
  <c r="Z1663" i="27"/>
  <c r="Z1664" i="27"/>
  <c r="Z1666" i="27"/>
  <c r="Z1667" i="27"/>
  <c r="Z1669" i="27"/>
  <c r="Z1670" i="27"/>
  <c r="Z1672" i="27"/>
  <c r="Z1673" i="27"/>
  <c r="Z1674" i="27"/>
  <c r="Z1676" i="27"/>
  <c r="Z1677" i="27"/>
  <c r="Z1679" i="27"/>
  <c r="Z1680" i="27"/>
  <c r="Z1682" i="27"/>
  <c r="Z1683" i="27"/>
  <c r="Z1685" i="27"/>
  <c r="Z1686" i="27"/>
  <c r="Z1687" i="27"/>
  <c r="Z1689" i="27"/>
  <c r="Z1690" i="27"/>
  <c r="Z1692" i="27"/>
  <c r="Z1693" i="27"/>
  <c r="Z1695" i="27"/>
  <c r="Z1696" i="27"/>
  <c r="Z1698" i="27"/>
  <c r="Z1699" i="27"/>
  <c r="Z1700" i="27"/>
  <c r="Z1702" i="27"/>
  <c r="Z1703" i="27"/>
  <c r="Z1704" i="27"/>
  <c r="Z1706" i="27"/>
  <c r="Z1707" i="27"/>
  <c r="Z1709" i="27"/>
  <c r="Z1710" i="27"/>
  <c r="Z1712" i="27"/>
  <c r="Z1713" i="27"/>
  <c r="Z1715" i="27"/>
  <c r="Z1716" i="27"/>
  <c r="Z1717" i="27"/>
  <c r="Z1719" i="27"/>
  <c r="Z1720" i="27"/>
  <c r="Z1722" i="27"/>
  <c r="Z1723" i="27"/>
  <c r="Z1725" i="27"/>
  <c r="Z1726" i="27"/>
  <c r="Z1728" i="27"/>
  <c r="Z1729" i="27"/>
  <c r="Z1730" i="27"/>
  <c r="Z1732" i="27"/>
  <c r="Z1733" i="27"/>
  <c r="Z1735" i="27"/>
  <c r="Z1736" i="27"/>
  <c r="Z1738" i="27"/>
  <c r="Z1739" i="27"/>
  <c r="Z1741" i="27"/>
  <c r="Z1742" i="27"/>
  <c r="Z1743" i="27"/>
  <c r="Z1745" i="27"/>
  <c r="Z1746" i="27"/>
  <c r="Z1748" i="27"/>
  <c r="Z1749" i="27"/>
  <c r="Z1751" i="27"/>
  <c r="Z1752" i="27"/>
  <c r="Z1754" i="27"/>
  <c r="Z1755" i="27"/>
  <c r="Z1756" i="27"/>
  <c r="Z1758" i="27"/>
  <c r="Z1759" i="27"/>
  <c r="Z1760" i="27"/>
  <c r="Z1762" i="27"/>
  <c r="Z1763" i="27"/>
  <c r="Z1765" i="27"/>
  <c r="Z1766" i="27"/>
  <c r="Z1768" i="27"/>
  <c r="Z1769" i="27"/>
  <c r="Z1771" i="27"/>
  <c r="Z1772" i="27"/>
  <c r="Z1773" i="27"/>
  <c r="Z1775" i="27"/>
  <c r="Z1776" i="27"/>
  <c r="Z1778" i="27"/>
  <c r="Z1779" i="27"/>
  <c r="Z1781" i="27"/>
  <c r="Z1782" i="27"/>
  <c r="Z1784" i="27"/>
  <c r="Z1785" i="27"/>
  <c r="Z1786" i="27"/>
  <c r="Z1788" i="27"/>
  <c r="Z1789" i="27"/>
  <c r="Z1791" i="27"/>
  <c r="Z1792" i="27"/>
  <c r="Z1794" i="27"/>
  <c r="Z1795" i="27"/>
  <c r="Z1797" i="27"/>
  <c r="Z1798" i="27"/>
  <c r="Z1799" i="27"/>
  <c r="Z1801" i="27"/>
  <c r="Z1802" i="27"/>
  <c r="Z1804" i="27"/>
  <c r="Z1805" i="27"/>
  <c r="Z1807" i="27"/>
  <c r="Z1808" i="27"/>
  <c r="X1809" i="27"/>
  <c r="X1796" i="27"/>
  <c r="X1783" i="27"/>
  <c r="X1770" i="27"/>
  <c r="X1757" i="27"/>
  <c r="X1753" i="27"/>
  <c r="X1740" i="27"/>
  <c r="X1727" i="27"/>
  <c r="X1714" i="27"/>
  <c r="X1701" i="27"/>
  <c r="X1697" i="27"/>
  <c r="X1684" i="27"/>
  <c r="X1671" i="27"/>
  <c r="X1658" i="27"/>
  <c r="X1645" i="27"/>
  <c r="X1641" i="27"/>
  <c r="X1628" i="27"/>
  <c r="X1615" i="27"/>
  <c r="X1602" i="27"/>
  <c r="X1589" i="27"/>
  <c r="X1585" i="27"/>
  <c r="X1572" i="27"/>
  <c r="X1559" i="27"/>
  <c r="X1546" i="27"/>
  <c r="X1533" i="27"/>
  <c r="X1529" i="27"/>
  <c r="X1516" i="27"/>
  <c r="X1503" i="27"/>
  <c r="X1490" i="27"/>
  <c r="X1477" i="27"/>
  <c r="X1473" i="27"/>
  <c r="X1460" i="27"/>
  <c r="X1447" i="27"/>
  <c r="X1434" i="27"/>
  <c r="X1421" i="27"/>
  <c r="X1417" i="27"/>
  <c r="X1404" i="27"/>
  <c r="X1391" i="27"/>
  <c r="X1378" i="27"/>
  <c r="X1365" i="27"/>
  <c r="X1361" i="27"/>
  <c r="X1357" i="27"/>
  <c r="X1344" i="27"/>
  <c r="X1331" i="27"/>
  <c r="X1318" i="27"/>
  <c r="X1305" i="27"/>
  <c r="X1301" i="27"/>
  <c r="X1288" i="27"/>
  <c r="X1275" i="27"/>
  <c r="X1262" i="27"/>
  <c r="X1249" i="27"/>
  <c r="X1245" i="27"/>
  <c r="X1232" i="27"/>
  <c r="X1219" i="27"/>
  <c r="X1206" i="27"/>
  <c r="X1193" i="27"/>
  <c r="X1189" i="27"/>
  <c r="X1176" i="27"/>
  <c r="X1163" i="27"/>
  <c r="X1150" i="27"/>
  <c r="X1137" i="27"/>
  <c r="X1133" i="27"/>
  <c r="X1120" i="27"/>
  <c r="X1107" i="27"/>
  <c r="X1094" i="27"/>
  <c r="X1081" i="27"/>
  <c r="X1077" i="27"/>
  <c r="X1064" i="27"/>
  <c r="X1051" i="27"/>
  <c r="X1038" i="27"/>
  <c r="X1025" i="27"/>
  <c r="X1021" i="27"/>
  <c r="X1008" i="27"/>
  <c r="X995" i="27"/>
  <c r="X982" i="27"/>
  <c r="X969" i="27"/>
  <c r="X965" i="27"/>
  <c r="X952" i="27"/>
  <c r="X939" i="27"/>
  <c r="X909" i="27"/>
  <c r="X913" i="27"/>
  <c r="X926" i="27"/>
  <c r="X904" i="27"/>
  <c r="X891" i="27"/>
  <c r="X878" i="27"/>
  <c r="X865" i="27"/>
  <c r="X852" i="27"/>
  <c r="X848" i="27"/>
  <c r="X835" i="27"/>
  <c r="X822" i="27"/>
  <c r="X809" i="27"/>
  <c r="X796" i="27"/>
  <c r="X792" i="27"/>
  <c r="X779" i="27"/>
  <c r="X766" i="27"/>
  <c r="X740" i="27"/>
  <c r="X753" i="27"/>
  <c r="X736" i="27"/>
  <c r="X723" i="27"/>
  <c r="X710" i="27"/>
  <c r="X697" i="27"/>
  <c r="X684" i="27"/>
  <c r="X680" i="27"/>
  <c r="X667" i="27"/>
  <c r="X654" i="27"/>
  <c r="X641" i="27"/>
  <c r="X628" i="27"/>
  <c r="X624" i="27"/>
  <c r="X611" i="27"/>
  <c r="X598" i="27"/>
  <c r="CK598" i="27" s="1"/>
  <c r="X585" i="27"/>
  <c r="CK585" i="27" s="1"/>
  <c r="X572" i="27"/>
  <c r="CK572" i="27" s="1"/>
  <c r="X568" i="27"/>
  <c r="CK568" i="27" s="1"/>
  <c r="X555" i="27"/>
  <c r="CK555" i="27" s="1"/>
  <c r="X542" i="27"/>
  <c r="CK542" i="27" s="1"/>
  <c r="X529" i="27"/>
  <c r="X516" i="27"/>
  <c r="X512" i="27"/>
  <c r="X499" i="27"/>
  <c r="X486" i="27"/>
  <c r="X473" i="27"/>
  <c r="X460" i="27"/>
  <c r="X456" i="27"/>
  <c r="X452" i="27"/>
  <c r="X439" i="27"/>
  <c r="X426" i="27"/>
  <c r="X400" i="27"/>
  <c r="X344" i="27"/>
  <c r="X288" i="27"/>
  <c r="X232" i="27"/>
  <c r="B22" i="5" l="1"/>
  <c r="B78" i="5"/>
  <c r="B76" i="5"/>
  <c r="B77" i="5" s="1"/>
  <c r="I637" i="27" s="1"/>
  <c r="B24" i="5"/>
  <c r="B25" i="5" s="1"/>
  <c r="I297" i="27" s="1"/>
  <c r="B109" i="5"/>
  <c r="B108" i="5"/>
  <c r="B106" i="5"/>
  <c r="B104" i="5"/>
  <c r="B103" i="5"/>
  <c r="B99" i="5"/>
  <c r="O717" i="27" s="1"/>
  <c r="B97" i="5"/>
  <c r="B95" i="5"/>
  <c r="M775" i="27" s="1"/>
  <c r="B94" i="5"/>
  <c r="M699" i="27" s="1"/>
  <c r="B55" i="5"/>
  <c r="B54" i="5"/>
  <c r="B52" i="5"/>
  <c r="B50" i="5"/>
  <c r="O308" i="27" s="1"/>
  <c r="B49" i="5"/>
  <c r="O298" i="27" s="1"/>
  <c r="B163" i="5"/>
  <c r="B162" i="5"/>
  <c r="B45" i="5"/>
  <c r="O377" i="27" s="1"/>
  <c r="B43" i="5"/>
  <c r="O605" i="27" s="1"/>
  <c r="B41" i="5"/>
  <c r="B40" i="5"/>
  <c r="M415" i="27" s="1"/>
  <c r="B168" i="5"/>
  <c r="B167" i="5"/>
  <c r="B222" i="5"/>
  <c r="B221" i="5"/>
  <c r="B219" i="5"/>
  <c r="B217" i="5"/>
  <c r="B216" i="5"/>
  <c r="B212" i="5"/>
  <c r="B210" i="5"/>
  <c r="B208" i="5"/>
  <c r="B207" i="5"/>
  <c r="B192" i="5"/>
  <c r="I1654" i="27" s="1"/>
  <c r="B191" i="5"/>
  <c r="I1598" i="27" s="1"/>
  <c r="B190" i="5"/>
  <c r="I1542" i="27" s="1"/>
  <c r="B189" i="5"/>
  <c r="I1486" i="27" s="1"/>
  <c r="B160" i="5"/>
  <c r="O1002" i="27" s="1"/>
  <c r="D165" i="5" l="1"/>
  <c r="O17" i="27"/>
  <c r="O130" i="27"/>
  <c r="O582" i="27"/>
  <c r="BY582" i="27" s="1"/>
  <c r="O1091" i="27"/>
  <c r="O242" i="27"/>
  <c r="M811" i="27"/>
  <c r="O354" i="27"/>
  <c r="M435" i="27"/>
  <c r="M267" i="27"/>
  <c r="M323" i="27"/>
  <c r="M1660" i="27"/>
  <c r="M1716" i="27"/>
  <c r="M1772" i="27"/>
  <c r="M1604" i="27"/>
  <c r="O1240" i="27"/>
  <c r="O1213" i="27"/>
  <c r="O1352" i="27"/>
  <c r="O1325" i="27"/>
  <c r="O493" i="27"/>
  <c r="O470" i="27"/>
  <c r="O1375" i="27"/>
  <c r="O1510" i="27"/>
  <c r="O1398" i="27"/>
  <c r="O1804" i="27"/>
  <c r="O1665" i="27"/>
  <c r="O1777" i="27"/>
  <c r="O1692" i="27"/>
  <c r="O447" i="27"/>
  <c r="O420" i="27"/>
  <c r="O335" i="27"/>
  <c r="O885" i="27"/>
  <c r="O773" i="27"/>
  <c r="O750" i="27"/>
  <c r="O862" i="27"/>
  <c r="B23" i="5"/>
  <c r="I185" i="27" s="1"/>
  <c r="I581" i="27"/>
  <c r="BS581" i="27" s="1"/>
  <c r="I129" i="27"/>
  <c r="M379" i="27"/>
  <c r="O1487" i="27"/>
  <c r="O1114" i="27"/>
  <c r="O979" i="27"/>
  <c r="O1711" i="27"/>
  <c r="O1599" i="27"/>
  <c r="O1734" i="27"/>
  <c r="O1622" i="27"/>
  <c r="O787" i="27"/>
  <c r="O872" i="27"/>
  <c r="O760" i="27"/>
  <c r="M303" i="27"/>
  <c r="O265" i="27"/>
  <c r="M755" i="27"/>
  <c r="M867" i="27"/>
  <c r="O1338" i="27"/>
  <c r="O1315" i="27"/>
  <c r="O1226" i="27"/>
  <c r="O1203" i="27"/>
  <c r="M887" i="27"/>
  <c r="M831" i="27"/>
  <c r="M719" i="27"/>
  <c r="O40" i="27"/>
  <c r="I241" i="27"/>
  <c r="M247" i="27"/>
  <c r="M359" i="27"/>
  <c r="O899" i="27"/>
  <c r="M1792" i="27"/>
  <c r="M1624" i="27"/>
  <c r="M1736" i="27"/>
  <c r="M1680" i="27"/>
  <c r="O1767" i="27"/>
  <c r="O1655" i="27"/>
  <c r="O1790" i="27"/>
  <c r="O1678" i="27"/>
  <c r="O410" i="27"/>
  <c r="O806" i="27"/>
  <c r="O694" i="27"/>
  <c r="O829" i="27"/>
  <c r="B79" i="5"/>
  <c r="I749" i="27" s="1"/>
  <c r="I693" i="27"/>
  <c r="O153" i="27"/>
  <c r="O321" i="27"/>
  <c r="O433" i="27"/>
  <c r="B101" i="5"/>
  <c r="B96" i="26"/>
  <c r="B47" i="5"/>
  <c r="D160" i="5" s="1"/>
  <c r="F160" i="5" s="1"/>
  <c r="B214" i="5"/>
  <c r="B165" i="5"/>
  <c r="B158" i="5"/>
  <c r="B156" i="5"/>
  <c r="B154" i="5"/>
  <c r="B153" i="5"/>
  <c r="B138" i="5"/>
  <c r="I1202" i="27" s="1"/>
  <c r="B137" i="5"/>
  <c r="I1146" i="27" s="1"/>
  <c r="B136" i="5"/>
  <c r="I1090" i="27" s="1"/>
  <c r="B135" i="5"/>
  <c r="I1034" i="27" s="1"/>
  <c r="B100" i="26"/>
  <c r="B92" i="26"/>
  <c r="G92" i="26"/>
  <c r="H77" i="26"/>
  <c r="H74" i="26"/>
  <c r="C77" i="26"/>
  <c r="C74" i="26"/>
  <c r="B70" i="26"/>
  <c r="B69" i="26"/>
  <c r="B68" i="26"/>
  <c r="B67" i="26"/>
  <c r="B66" i="26"/>
  <c r="B65" i="26"/>
  <c r="B64" i="26"/>
  <c r="B63" i="26"/>
  <c r="B52" i="26"/>
  <c r="B51" i="26"/>
  <c r="B17" i="26"/>
  <c r="B16" i="26"/>
  <c r="B14" i="26"/>
  <c r="B13" i="26"/>
  <c r="B34" i="26"/>
  <c r="B33" i="26"/>
  <c r="B31" i="26"/>
  <c r="B30" i="26"/>
  <c r="B33" i="5" l="1"/>
  <c r="B87" i="5"/>
  <c r="B31" i="5"/>
  <c r="B85" i="5"/>
  <c r="B89" i="5"/>
  <c r="F35" i="5"/>
  <c r="B35" i="5"/>
  <c r="D148" i="5" s="1"/>
  <c r="B29" i="5"/>
  <c r="B83" i="5"/>
  <c r="F165" i="5"/>
  <c r="O638" i="27"/>
  <c r="O526" i="27"/>
  <c r="O661" i="27"/>
  <c r="O549" i="27"/>
  <c r="BY549" i="27" s="1"/>
  <c r="M1152" i="27"/>
  <c r="M1320" i="27"/>
  <c r="M1264" i="27"/>
  <c r="M1208" i="27"/>
  <c r="M1340" i="27"/>
  <c r="M1228" i="27"/>
  <c r="M1172" i="27"/>
  <c r="M1284" i="27"/>
  <c r="O1035" i="27"/>
  <c r="O1058" i="27"/>
  <c r="O923" i="27"/>
  <c r="O946" i="27"/>
  <c r="O1282" i="27"/>
  <c r="O1259" i="27"/>
  <c r="O1170" i="27"/>
  <c r="O1147" i="27"/>
  <c r="O1566" i="27"/>
  <c r="O1543" i="27"/>
  <c r="O1454" i="27"/>
  <c r="O209" i="27"/>
  <c r="O186" i="27"/>
  <c r="O97" i="27"/>
  <c r="O1431" i="27"/>
  <c r="O73" i="27"/>
  <c r="BT73" i="27" s="1"/>
  <c r="B75" i="26"/>
  <c r="B196" i="5"/>
  <c r="B104" i="26"/>
  <c r="B224" i="5"/>
  <c r="B57" i="5"/>
  <c r="B111" i="5"/>
  <c r="B200" i="5"/>
  <c r="B172" i="5"/>
  <c r="Q1273" i="27" s="1"/>
  <c r="AC1271" i="27" s="1"/>
  <c r="B226" i="5"/>
  <c r="B59" i="5"/>
  <c r="B113" i="5"/>
  <c r="B198" i="5"/>
  <c r="B148" i="5"/>
  <c r="L401" i="27" s="1"/>
  <c r="B202" i="5"/>
  <c r="B151" i="5"/>
  <c r="B38" i="5"/>
  <c r="B205" i="5"/>
  <c r="B92" i="5"/>
  <c r="B130" i="5"/>
  <c r="G1170" i="27" s="1"/>
  <c r="B71" i="5"/>
  <c r="B184" i="5"/>
  <c r="G1622" i="27" s="1"/>
  <c r="B17" i="5"/>
  <c r="B166" i="5"/>
  <c r="B53" i="5"/>
  <c r="B107" i="5"/>
  <c r="B220" i="5"/>
  <c r="B129" i="5"/>
  <c r="G1055" i="27" s="1"/>
  <c r="B183" i="5"/>
  <c r="G1507" i="27" s="1"/>
  <c r="B159" i="5"/>
  <c r="B100" i="5"/>
  <c r="B46" i="5"/>
  <c r="B213" i="5"/>
  <c r="B161" i="5"/>
  <c r="B215" i="5"/>
  <c r="B48" i="5"/>
  <c r="B102" i="5"/>
  <c r="B140" i="5"/>
  <c r="B194" i="5"/>
  <c r="I1766" i="27" s="1"/>
  <c r="B128" i="5"/>
  <c r="G946" i="27" s="1"/>
  <c r="B15" i="5"/>
  <c r="G40" i="27" s="1"/>
  <c r="B69" i="5"/>
  <c r="B182" i="5"/>
  <c r="G1398" i="27" s="1"/>
  <c r="B35" i="26"/>
  <c r="B131" i="5"/>
  <c r="B185" i="5"/>
  <c r="G1731" i="27" s="1"/>
  <c r="B133" i="5"/>
  <c r="I922" i="27" s="1"/>
  <c r="B74" i="5"/>
  <c r="B187" i="5"/>
  <c r="I1374" i="27" s="1"/>
  <c r="B20" i="5"/>
  <c r="I16" i="27" s="1"/>
  <c r="B157" i="5"/>
  <c r="B98" i="5"/>
  <c r="B44" i="5"/>
  <c r="B211" i="5"/>
  <c r="G104" i="26"/>
  <c r="B146" i="5"/>
  <c r="B78" i="26"/>
  <c r="G75" i="26"/>
  <c r="B144" i="5"/>
  <c r="B170" i="5"/>
  <c r="B82" i="26"/>
  <c r="B142" i="5"/>
  <c r="B32" i="26"/>
  <c r="G78" i="26"/>
  <c r="B15" i="26"/>
  <c r="B18" i="26"/>
  <c r="B36" i="26"/>
  <c r="B19" i="26"/>
  <c r="B23" i="26"/>
  <c r="B40" i="26"/>
  <c r="C5" i="26"/>
  <c r="D5" i="26"/>
  <c r="B5" i="5"/>
  <c r="B8" i="25"/>
  <c r="E11" i="17"/>
  <c r="E10" i="17"/>
  <c r="D11" i="17"/>
  <c r="D10" i="17"/>
  <c r="C11" i="17"/>
  <c r="C10" i="17"/>
  <c r="B11" i="17"/>
  <c r="B10" i="17"/>
  <c r="E35" i="5" l="1"/>
  <c r="D118" i="5"/>
  <c r="A103" i="27"/>
  <c r="B126" i="5"/>
  <c r="F302" i="27" s="1"/>
  <c r="Q1030" i="27"/>
  <c r="AC1028" i="27" s="1"/>
  <c r="Q1148" i="27"/>
  <c r="AC1146" i="27" s="1"/>
  <c r="Q980" i="27"/>
  <c r="AC978" i="27" s="1"/>
  <c r="Q299" i="27"/>
  <c r="AC297" i="27" s="1"/>
  <c r="I1314" i="27"/>
  <c r="J409" i="27"/>
  <c r="D137" i="5"/>
  <c r="D170" i="5"/>
  <c r="F170" i="5" s="1"/>
  <c r="Q355" i="27"/>
  <c r="AC353" i="27" s="1"/>
  <c r="Q131" i="27"/>
  <c r="AC129" i="27" s="1"/>
  <c r="Q243" i="27"/>
  <c r="AC241" i="27" s="1"/>
  <c r="Q74" i="27"/>
  <c r="Q411" i="27"/>
  <c r="AC409" i="27" s="1"/>
  <c r="Q187" i="27"/>
  <c r="AC185" i="27" s="1"/>
  <c r="G1279" i="27"/>
  <c r="H374" i="27"/>
  <c r="M22" i="27"/>
  <c r="D151" i="5"/>
  <c r="F151" i="5" s="1"/>
  <c r="B6" i="5"/>
  <c r="A555" i="27" s="1"/>
  <c r="K741" i="27"/>
  <c r="B90" i="5"/>
  <c r="K853" i="27"/>
  <c r="K177" i="27"/>
  <c r="K64" i="27"/>
  <c r="BP64" i="27" s="1"/>
  <c r="B32" i="5"/>
  <c r="D145" i="5" s="1"/>
  <c r="K289" i="27"/>
  <c r="K401" i="27"/>
  <c r="M401" i="27" s="1"/>
  <c r="K629" i="27"/>
  <c r="K517" i="27"/>
  <c r="B86" i="5"/>
  <c r="B37" i="26"/>
  <c r="B180" i="5" s="1"/>
  <c r="E1659" i="27" s="1"/>
  <c r="K461" i="27"/>
  <c r="B84" i="5"/>
  <c r="K480" i="27" s="1"/>
  <c r="K573" i="27"/>
  <c r="BU573" i="27" s="1"/>
  <c r="B30" i="5"/>
  <c r="K121" i="27"/>
  <c r="K8" i="27"/>
  <c r="K233" i="27"/>
  <c r="B34" i="5"/>
  <c r="K345" i="27"/>
  <c r="B6" i="29"/>
  <c r="B6" i="28"/>
  <c r="K797" i="27"/>
  <c r="K685" i="27"/>
  <c r="B88" i="5"/>
  <c r="Q1310" i="27"/>
  <c r="AC1308" i="27" s="1"/>
  <c r="Q987" i="27"/>
  <c r="AC985" i="27" s="1"/>
  <c r="Q1161" i="27"/>
  <c r="AC1159" i="27" s="1"/>
  <c r="K1422" i="27"/>
  <c r="K1534" i="27"/>
  <c r="O507" i="27"/>
  <c r="O480" i="27"/>
  <c r="O1553" i="27"/>
  <c r="O1468" i="27"/>
  <c r="O1441" i="27"/>
  <c r="O223" i="27"/>
  <c r="O196" i="27"/>
  <c r="O111" i="27"/>
  <c r="O1580" i="27"/>
  <c r="O83" i="27"/>
  <c r="BT83" i="27" s="1"/>
  <c r="Q873" i="27"/>
  <c r="AC871" i="27" s="1"/>
  <c r="Q761" i="27"/>
  <c r="AC759" i="27" s="1"/>
  <c r="Q649" i="27"/>
  <c r="AC647" i="27" s="1"/>
  <c r="Q537" i="27"/>
  <c r="Q899" i="27"/>
  <c r="AC897" i="27" s="1"/>
  <c r="Q787" i="27"/>
  <c r="AC785" i="27" s="1"/>
  <c r="Q675" i="27"/>
  <c r="AC673" i="27" s="1"/>
  <c r="Q563" i="27"/>
  <c r="Q817" i="27"/>
  <c r="AC815" i="27" s="1"/>
  <c r="Q705" i="27"/>
  <c r="AC703" i="27" s="1"/>
  <c r="Q593" i="27"/>
  <c r="Q843" i="27"/>
  <c r="AC841" i="27" s="1"/>
  <c r="Q731" i="27"/>
  <c r="AC729" i="27" s="1"/>
  <c r="Q619" i="27"/>
  <c r="AC617" i="27" s="1"/>
  <c r="Q507" i="27"/>
  <c r="AC505" i="27" s="1"/>
  <c r="Q481" i="27"/>
  <c r="AC479" i="27" s="1"/>
  <c r="Q678" i="27"/>
  <c r="AC676" i="27" s="1"/>
  <c r="Q708" i="27"/>
  <c r="AC706" i="27" s="1"/>
  <c r="Q560" i="27"/>
  <c r="Q540" i="27"/>
  <c r="Q616" i="27"/>
  <c r="AC614" i="27" s="1"/>
  <c r="Q646" i="27"/>
  <c r="AC644" i="27" s="1"/>
  <c r="Q510" i="27"/>
  <c r="AC508" i="27" s="1"/>
  <c r="Q566" i="27"/>
  <c r="Q596" i="27"/>
  <c r="Q896" i="27"/>
  <c r="AC894" i="27" s="1"/>
  <c r="Q876" i="27"/>
  <c r="AC874" i="27" s="1"/>
  <c r="Q652" i="27"/>
  <c r="AC650" i="27" s="1"/>
  <c r="Q504" i="27"/>
  <c r="AC502" i="27" s="1"/>
  <c r="Q534" i="27"/>
  <c r="Q846" i="27"/>
  <c r="AC844" i="27" s="1"/>
  <c r="Q814" i="27"/>
  <c r="AC812" i="27" s="1"/>
  <c r="Q902" i="27"/>
  <c r="AC900" i="27" s="1"/>
  <c r="Q484" i="27"/>
  <c r="AC482" i="27" s="1"/>
  <c r="Q478" i="27"/>
  <c r="AC476" i="27" s="1"/>
  <c r="Q784" i="27"/>
  <c r="AC782" i="27" s="1"/>
  <c r="Q764" i="27"/>
  <c r="AC762" i="27" s="1"/>
  <c r="Q790" i="27"/>
  <c r="AC788" i="27" s="1"/>
  <c r="Q672" i="27"/>
  <c r="AC670" i="27" s="1"/>
  <c r="Q728" i="27"/>
  <c r="AC726" i="27" s="1"/>
  <c r="Q622" i="27"/>
  <c r="AC620" i="27" s="1"/>
  <c r="Q590" i="27"/>
  <c r="Q840" i="27"/>
  <c r="AC838" i="27" s="1"/>
  <c r="Q870" i="27"/>
  <c r="AC868" i="27" s="1"/>
  <c r="Q734" i="27"/>
  <c r="AC732" i="27" s="1"/>
  <c r="Q702" i="27"/>
  <c r="AC700" i="27" s="1"/>
  <c r="Q820" i="27"/>
  <c r="AC818" i="27" s="1"/>
  <c r="Q758" i="27"/>
  <c r="AC756" i="27" s="1"/>
  <c r="Q1049" i="27"/>
  <c r="AC1047" i="27" s="1"/>
  <c r="Q1099" i="27"/>
  <c r="AC1097" i="27" s="1"/>
  <c r="Q1329" i="27"/>
  <c r="AC1327" i="27" s="1"/>
  <c r="O592" i="27"/>
  <c r="BY592" i="27" s="1"/>
  <c r="O619" i="27"/>
  <c r="O140" i="27"/>
  <c r="O54" i="27"/>
  <c r="O27" i="27"/>
  <c r="O167" i="27"/>
  <c r="K1082" i="27"/>
  <c r="K970" i="27"/>
  <c r="O933" i="27"/>
  <c r="O960" i="27"/>
  <c r="O1045" i="27"/>
  <c r="O1072" i="27"/>
  <c r="M475" i="27"/>
  <c r="M643" i="27"/>
  <c r="M531" i="27"/>
  <c r="BW531" i="27" s="1"/>
  <c r="Q447" i="27"/>
  <c r="AC445" i="27" s="1"/>
  <c r="Q421" i="27"/>
  <c r="AC419" i="27" s="1"/>
  <c r="Q365" i="27"/>
  <c r="AC363" i="27" s="1"/>
  <c r="Q279" i="27"/>
  <c r="AC277" i="27" s="1"/>
  <c r="Q111" i="27"/>
  <c r="AC109" i="27" s="1"/>
  <c r="Q54" i="27"/>
  <c r="AC52" i="27" s="1"/>
  <c r="Q200" i="27"/>
  <c r="AC198" i="27" s="1"/>
  <c r="Q167" i="27"/>
  <c r="AC165" i="27" s="1"/>
  <c r="Q309" i="27"/>
  <c r="AC307" i="27" s="1"/>
  <c r="Q197" i="27"/>
  <c r="AC195" i="27" s="1"/>
  <c r="Q306" i="27"/>
  <c r="AC304" i="27" s="1"/>
  <c r="Q223" i="27"/>
  <c r="AC221" i="27" s="1"/>
  <c r="Q194" i="27"/>
  <c r="AC192" i="27" s="1"/>
  <c r="Q87" i="27"/>
  <c r="AC85" i="27" s="1"/>
  <c r="Q28" i="27"/>
  <c r="AC26" i="27" s="1"/>
  <c r="Q368" i="27"/>
  <c r="AC366" i="27" s="1"/>
  <c r="Q335" i="27"/>
  <c r="AC333" i="27" s="1"/>
  <c r="Q84" i="27"/>
  <c r="AC82" i="27" s="1"/>
  <c r="Q391" i="27"/>
  <c r="AC389" i="27" s="1"/>
  <c r="Q362" i="27"/>
  <c r="AC360" i="27" s="1"/>
  <c r="Q256" i="27"/>
  <c r="AC254" i="27" s="1"/>
  <c r="Q144" i="27"/>
  <c r="AC142" i="27" s="1"/>
  <c r="Q253" i="27"/>
  <c r="AC251" i="27" s="1"/>
  <c r="Q141" i="27"/>
  <c r="AC139" i="27" s="1"/>
  <c r="Q220" i="27"/>
  <c r="AC218" i="27" s="1"/>
  <c r="Q31" i="27"/>
  <c r="AC29" i="27" s="1"/>
  <c r="Q450" i="27"/>
  <c r="AC448" i="27" s="1"/>
  <c r="Q25" i="27"/>
  <c r="AC23" i="27" s="1"/>
  <c r="Q81" i="27"/>
  <c r="Q394" i="27"/>
  <c r="AC392" i="27" s="1"/>
  <c r="Q170" i="27"/>
  <c r="AC168" i="27" s="1"/>
  <c r="Q51" i="27"/>
  <c r="AC49" i="27" s="1"/>
  <c r="Q424" i="27"/>
  <c r="AC422" i="27" s="1"/>
  <c r="Q138" i="27"/>
  <c r="AC136" i="27" s="1"/>
  <c r="Q338" i="27"/>
  <c r="AC336" i="27" s="1"/>
  <c r="Q226" i="27"/>
  <c r="AC224" i="27" s="1"/>
  <c r="Q418" i="27"/>
  <c r="AC416" i="27" s="1"/>
  <c r="Q250" i="27"/>
  <c r="AC248" i="27" s="1"/>
  <c r="Q388" i="27"/>
  <c r="AC386" i="27" s="1"/>
  <c r="Q332" i="27"/>
  <c r="AC330" i="27" s="1"/>
  <c r="Q164" i="27"/>
  <c r="AC162" i="27" s="1"/>
  <c r="Q444" i="27"/>
  <c r="AC442" i="27" s="1"/>
  <c r="Q108" i="27"/>
  <c r="AC106" i="27" s="1"/>
  <c r="Q57" i="27"/>
  <c r="AC55" i="27" s="1"/>
  <c r="Q282" i="27"/>
  <c r="AC280" i="27" s="1"/>
  <c r="Q312" i="27"/>
  <c r="AC310" i="27" s="1"/>
  <c r="Q114" i="27"/>
  <c r="AC112" i="27" s="1"/>
  <c r="Q276" i="27"/>
  <c r="AC274" i="27" s="1"/>
  <c r="K1478" i="27"/>
  <c r="K1366" i="27"/>
  <c r="Q1211" i="27"/>
  <c r="AC1209" i="27" s="1"/>
  <c r="Q1267" i="27"/>
  <c r="AC1265" i="27" s="1"/>
  <c r="Q1791" i="27"/>
  <c r="AC1789" i="27" s="1"/>
  <c r="Q1712" i="27"/>
  <c r="AC1710" i="27" s="1"/>
  <c r="Q1679" i="27"/>
  <c r="AC1677" i="27" s="1"/>
  <c r="Q1600" i="27"/>
  <c r="AC1598" i="27" s="1"/>
  <c r="Q1567" i="27"/>
  <c r="AC1565" i="27" s="1"/>
  <c r="Q1488" i="27"/>
  <c r="AC1486" i="27" s="1"/>
  <c r="Q1455" i="27"/>
  <c r="AC1453" i="27" s="1"/>
  <c r="Q1738" i="27"/>
  <c r="AC1736" i="27" s="1"/>
  <c r="Q1709" i="27"/>
  <c r="AC1707" i="27" s="1"/>
  <c r="Q1626" i="27"/>
  <c r="AC1624" i="27" s="1"/>
  <c r="Q1597" i="27"/>
  <c r="AC1595" i="27" s="1"/>
  <c r="Q1514" i="27"/>
  <c r="AC1512" i="27" s="1"/>
  <c r="Q1485" i="27"/>
  <c r="AC1483" i="27" s="1"/>
  <c r="Q1376" i="27"/>
  <c r="AC1374" i="27" s="1"/>
  <c r="Q1373" i="27"/>
  <c r="AC1371" i="27" s="1"/>
  <c r="Q1768" i="27"/>
  <c r="AC1766" i="27" s="1"/>
  <c r="Q1735" i="27"/>
  <c r="AC1733" i="27" s="1"/>
  <c r="Q1656" i="27"/>
  <c r="AC1654" i="27" s="1"/>
  <c r="Q1623" i="27"/>
  <c r="AC1621" i="27" s="1"/>
  <c r="Q1544" i="27"/>
  <c r="AC1542" i="27" s="1"/>
  <c r="Q1511" i="27"/>
  <c r="AC1509" i="27" s="1"/>
  <c r="Q1432" i="27"/>
  <c r="AC1430" i="27" s="1"/>
  <c r="Q1402" i="27"/>
  <c r="AC1400" i="27" s="1"/>
  <c r="Q1794" i="27"/>
  <c r="AC1792" i="27" s="1"/>
  <c r="Q1765" i="27"/>
  <c r="AC1763" i="27" s="1"/>
  <c r="Q1682" i="27"/>
  <c r="AC1680" i="27" s="1"/>
  <c r="Q1653" i="27"/>
  <c r="AC1651" i="27" s="1"/>
  <c r="Q1570" i="27"/>
  <c r="AC1568" i="27" s="1"/>
  <c r="Q1541" i="27"/>
  <c r="AC1539" i="27" s="1"/>
  <c r="Q1458" i="27"/>
  <c r="AC1456" i="27" s="1"/>
  <c r="Q1429" i="27"/>
  <c r="AC1427" i="27" s="1"/>
  <c r="Q1399" i="27"/>
  <c r="AC1397" i="27" s="1"/>
  <c r="Q1538" i="27"/>
  <c r="AC1536" i="27" s="1"/>
  <c r="Q1482" i="27"/>
  <c r="AC1480" i="27" s="1"/>
  <c r="Q1426" i="27"/>
  <c r="AC1424" i="27" s="1"/>
  <c r="Q1370" i="27"/>
  <c r="AC1368" i="27" s="1"/>
  <c r="Q1788" i="27"/>
  <c r="AC1786" i="27" s="1"/>
  <c r="Q1732" i="27"/>
  <c r="AC1730" i="27" s="1"/>
  <c r="Q1762" i="27"/>
  <c r="AC1760" i="27" s="1"/>
  <c r="Q1676" i="27"/>
  <c r="AC1674" i="27" s="1"/>
  <c r="Q1620" i="27"/>
  <c r="AC1618" i="27" s="1"/>
  <c r="Q1650" i="27"/>
  <c r="AC1648" i="27" s="1"/>
  <c r="Q1564" i="27"/>
  <c r="AC1562" i="27" s="1"/>
  <c r="Q1508" i="27"/>
  <c r="AC1506" i="27" s="1"/>
  <c r="Q1594" i="27"/>
  <c r="AC1592" i="27" s="1"/>
  <c r="Q1452" i="27"/>
  <c r="AC1450" i="27" s="1"/>
  <c r="Q1396" i="27"/>
  <c r="AC1394" i="27" s="1"/>
  <c r="Q1706" i="27"/>
  <c r="AC1704" i="27" s="1"/>
  <c r="Q1339" i="27"/>
  <c r="AC1337" i="27" s="1"/>
  <c r="Q1260" i="27"/>
  <c r="AC1258" i="27" s="1"/>
  <c r="Q1227" i="27"/>
  <c r="AC1225" i="27" s="1"/>
  <c r="Q1115" i="27"/>
  <c r="AC1113" i="27" s="1"/>
  <c r="Q1036" i="27"/>
  <c r="AC1034" i="27" s="1"/>
  <c r="Q1003" i="27"/>
  <c r="AC1001" i="27" s="1"/>
  <c r="Q921" i="27"/>
  <c r="AC919" i="27" s="1"/>
  <c r="Q1257" i="27"/>
  <c r="AC1255" i="27" s="1"/>
  <c r="Q1145" i="27"/>
  <c r="AC1143" i="27" s="1"/>
  <c r="Q1033" i="27"/>
  <c r="AC1031" i="27" s="1"/>
  <c r="Q1316" i="27"/>
  <c r="AC1314" i="27" s="1"/>
  <c r="Q1283" i="27"/>
  <c r="AC1281" i="27" s="1"/>
  <c r="Q1204" i="27"/>
  <c r="AC1202" i="27" s="1"/>
  <c r="Q1171" i="27"/>
  <c r="AC1169" i="27" s="1"/>
  <c r="Q1092" i="27"/>
  <c r="AC1090" i="27" s="1"/>
  <c r="Q1059" i="27"/>
  <c r="AC1057" i="27" s="1"/>
  <c r="Q1313" i="27"/>
  <c r="AC1311" i="27" s="1"/>
  <c r="Q1201" i="27"/>
  <c r="AC1199" i="27" s="1"/>
  <c r="Q1089" i="27"/>
  <c r="AC1087" i="27" s="1"/>
  <c r="Q977" i="27"/>
  <c r="AC975" i="27" s="1"/>
  <c r="Q947" i="27"/>
  <c r="AC945" i="27" s="1"/>
  <c r="Q924" i="27"/>
  <c r="AC922" i="27" s="1"/>
  <c r="Q1062" i="27"/>
  <c r="AC1060" i="27" s="1"/>
  <c r="Q950" i="27"/>
  <c r="AC948" i="27" s="1"/>
  <c r="Q944" i="27"/>
  <c r="AC942" i="27" s="1"/>
  <c r="Q1000" i="27"/>
  <c r="AC998" i="27" s="1"/>
  <c r="Q1342" i="27"/>
  <c r="AC1340" i="27" s="1"/>
  <c r="Q1280" i="27"/>
  <c r="AC1278" i="27" s="1"/>
  <c r="Q1174" i="27"/>
  <c r="AC1172" i="27" s="1"/>
  <c r="Q1112" i="27"/>
  <c r="AC1110" i="27" s="1"/>
  <c r="Q1336" i="27"/>
  <c r="AC1334" i="27" s="1"/>
  <c r="Q1230" i="27"/>
  <c r="AC1228" i="27" s="1"/>
  <c r="Q1286" i="27"/>
  <c r="AC1284" i="27" s="1"/>
  <c r="Q1168" i="27"/>
  <c r="AC1166" i="27" s="1"/>
  <c r="Q1056" i="27"/>
  <c r="AC1054" i="27" s="1"/>
  <c r="Q1006" i="27"/>
  <c r="AC1004" i="27" s="1"/>
  <c r="Q1224" i="27"/>
  <c r="AC1222" i="27" s="1"/>
  <c r="Q1118" i="27"/>
  <c r="AC1116" i="27" s="1"/>
  <c r="B70" i="5"/>
  <c r="G493" i="27"/>
  <c r="O989" i="27"/>
  <c r="O1128" i="27"/>
  <c r="O1101" i="27"/>
  <c r="O1016" i="27"/>
  <c r="M1380" i="27"/>
  <c r="M1548" i="27"/>
  <c r="M1436" i="27"/>
  <c r="M1492" i="27"/>
  <c r="Q1386" i="27"/>
  <c r="AC1384" i="27" s="1"/>
  <c r="Q1412" i="27"/>
  <c r="AC1410" i="27" s="1"/>
  <c r="Q1722" i="27"/>
  <c r="AC1720" i="27" s="1"/>
  <c r="Q1610" i="27"/>
  <c r="AC1608" i="27" s="1"/>
  <c r="Q1498" i="27"/>
  <c r="AC1496" i="27" s="1"/>
  <c r="Q1778" i="27"/>
  <c r="AC1776" i="27" s="1"/>
  <c r="Q1692" i="27"/>
  <c r="AC1690" i="27" s="1"/>
  <c r="Q1636" i="27"/>
  <c r="AC1634" i="27" s="1"/>
  <c r="Q1554" i="27"/>
  <c r="AC1552" i="27" s="1"/>
  <c r="Q1468" i="27"/>
  <c r="AC1466" i="27" s="1"/>
  <c r="Q1804" i="27"/>
  <c r="AC1802" i="27" s="1"/>
  <c r="Q1580" i="27"/>
  <c r="AC1578" i="27" s="1"/>
  <c r="Q1666" i="27"/>
  <c r="AC1664" i="27" s="1"/>
  <c r="Q1442" i="27"/>
  <c r="AC1440" i="27" s="1"/>
  <c r="Q1748" i="27"/>
  <c r="AC1746" i="27" s="1"/>
  <c r="Q1524" i="27"/>
  <c r="AC1522" i="27" s="1"/>
  <c r="Q1689" i="27"/>
  <c r="AC1687" i="27" s="1"/>
  <c r="Q1445" i="27"/>
  <c r="AC1443" i="27" s="1"/>
  <c r="Q1807" i="27"/>
  <c r="AC1805" i="27" s="1"/>
  <c r="Q1639" i="27"/>
  <c r="AC1637" i="27" s="1"/>
  <c r="Q1383" i="27"/>
  <c r="AC1381" i="27" s="1"/>
  <c r="Q1725" i="27"/>
  <c r="AC1723" i="27" s="1"/>
  <c r="Q1577" i="27"/>
  <c r="AC1575" i="27" s="1"/>
  <c r="Q1607" i="27"/>
  <c r="AC1605" i="27" s="1"/>
  <c r="Q1669" i="27"/>
  <c r="AC1667" i="27" s="1"/>
  <c r="Q1633" i="27"/>
  <c r="AC1631" i="27" s="1"/>
  <c r="Q1751" i="27"/>
  <c r="AC1749" i="27" s="1"/>
  <c r="Q1527" i="27"/>
  <c r="AC1525" i="27" s="1"/>
  <c r="Q1521" i="27"/>
  <c r="AC1519" i="27" s="1"/>
  <c r="Q1583" i="27"/>
  <c r="AC1581" i="27" s="1"/>
  <c r="Q1465" i="27"/>
  <c r="AC1463" i="27" s="1"/>
  <c r="Q1439" i="27"/>
  <c r="AC1437" i="27" s="1"/>
  <c r="Q1501" i="27"/>
  <c r="AC1499" i="27" s="1"/>
  <c r="Q1695" i="27"/>
  <c r="AC1693" i="27" s="1"/>
  <c r="Q1613" i="27"/>
  <c r="AC1611" i="27" s="1"/>
  <c r="Q1801" i="27"/>
  <c r="AC1799" i="27" s="1"/>
  <c r="Q1745" i="27"/>
  <c r="AC1743" i="27" s="1"/>
  <c r="Q1415" i="27"/>
  <c r="AC1413" i="27" s="1"/>
  <c r="Q1781" i="27"/>
  <c r="AC1779" i="27" s="1"/>
  <c r="Q1471" i="27"/>
  <c r="AC1469" i="27" s="1"/>
  <c r="Q1495" i="27"/>
  <c r="AC1493" i="27" s="1"/>
  <c r="Q1389" i="27"/>
  <c r="AC1387" i="27" s="1"/>
  <c r="Q1409" i="27"/>
  <c r="AC1407" i="27" s="1"/>
  <c r="Q1775" i="27"/>
  <c r="AC1773" i="27" s="1"/>
  <c r="Q1551" i="27"/>
  <c r="AC1549" i="27" s="1"/>
  <c r="Q1557" i="27"/>
  <c r="AC1555" i="27" s="1"/>
  <c r="Q1719" i="27"/>
  <c r="AC1717" i="27" s="1"/>
  <c r="Q1663" i="27"/>
  <c r="AC1661" i="27" s="1"/>
  <c r="Q1217" i="27"/>
  <c r="AC1215" i="27" s="1"/>
  <c r="Q1142" i="27"/>
  <c r="AC1140" i="27" s="1"/>
  <c r="O648" i="27"/>
  <c r="O563" i="27"/>
  <c r="BY563" i="27" s="1"/>
  <c r="O536" i="27"/>
  <c r="BY536" i="27" s="1"/>
  <c r="O675" i="27"/>
  <c r="Q934" i="27"/>
  <c r="AC932" i="27" s="1"/>
  <c r="Q960" i="27"/>
  <c r="AC958" i="27" s="1"/>
  <c r="Q1270" i="27"/>
  <c r="AC1268" i="27" s="1"/>
  <c r="Q1158" i="27"/>
  <c r="AC1156" i="27" s="1"/>
  <c r="Q1046" i="27"/>
  <c r="AC1044" i="27" s="1"/>
  <c r="Q1072" i="27"/>
  <c r="AC1070" i="27" s="1"/>
  <c r="Q1184" i="27"/>
  <c r="AC1182" i="27" s="1"/>
  <c r="Q1102" i="27"/>
  <c r="AC1100" i="27" s="1"/>
  <c r="Q990" i="27"/>
  <c r="AC988" i="27" s="1"/>
  <c r="Q1352" i="27"/>
  <c r="AC1350" i="27" s="1"/>
  <c r="Q1016" i="27"/>
  <c r="AC1014" i="27" s="1"/>
  <c r="Q1296" i="27"/>
  <c r="AC1294" i="27" s="1"/>
  <c r="Q1214" i="27"/>
  <c r="AC1212" i="27" s="1"/>
  <c r="Q1128" i="27"/>
  <c r="AC1126" i="27" s="1"/>
  <c r="Q1131" i="27"/>
  <c r="AC1129" i="27" s="1"/>
  <c r="Q1240" i="27"/>
  <c r="AC1238" i="27" s="1"/>
  <c r="Q1326" i="27"/>
  <c r="AC1324" i="27" s="1"/>
  <c r="Q957" i="27"/>
  <c r="AC955" i="27" s="1"/>
  <c r="Q1243" i="27"/>
  <c r="AC1241" i="27" s="1"/>
  <c r="Q1349" i="27"/>
  <c r="AC1347" i="27" s="1"/>
  <c r="Q963" i="27"/>
  <c r="AC961" i="27" s="1"/>
  <c r="Q1069" i="27"/>
  <c r="AC1067" i="27" s="1"/>
  <c r="Q1299" i="27"/>
  <c r="AC1297" i="27" s="1"/>
  <c r="Q1355" i="27"/>
  <c r="AC1353" i="27" s="1"/>
  <c r="Q1125" i="27"/>
  <c r="AC1123" i="27" s="1"/>
  <c r="Q1075" i="27"/>
  <c r="AC1073" i="27" s="1"/>
  <c r="Q1293" i="27"/>
  <c r="AC1291" i="27" s="1"/>
  <c r="Q1237" i="27"/>
  <c r="AC1235" i="27" s="1"/>
  <c r="Q1019" i="27"/>
  <c r="AC1017" i="27" s="1"/>
  <c r="Q1187" i="27"/>
  <c r="AC1185" i="27" s="1"/>
  <c r="Q1181" i="27"/>
  <c r="AC1179" i="27" s="1"/>
  <c r="Q1013" i="27"/>
  <c r="AC1011" i="27" s="1"/>
  <c r="Q937" i="27"/>
  <c r="AC935" i="27" s="1"/>
  <c r="Q993" i="27"/>
  <c r="AC991" i="27" s="1"/>
  <c r="Q1254" i="27"/>
  <c r="AC1252" i="27" s="1"/>
  <c r="O1636" i="27"/>
  <c r="O1609" i="27"/>
  <c r="O1748" i="27"/>
  <c r="O1721" i="27"/>
  <c r="K1138" i="27"/>
  <c r="K1250" i="27"/>
  <c r="B75" i="5"/>
  <c r="I525" i="27" s="1"/>
  <c r="I469" i="27"/>
  <c r="O391" i="27"/>
  <c r="O279" i="27"/>
  <c r="O364" i="27"/>
  <c r="O252" i="27"/>
  <c r="M1040" i="27"/>
  <c r="M984" i="27"/>
  <c r="M1096" i="27"/>
  <c r="M928" i="27"/>
  <c r="K1590" i="27"/>
  <c r="K1702" i="27"/>
  <c r="Q1155" i="27"/>
  <c r="AC1153" i="27" s="1"/>
  <c r="Q1105" i="27"/>
  <c r="AC1103" i="27" s="1"/>
  <c r="Q974" i="27"/>
  <c r="AC972" i="27" s="1"/>
  <c r="M587" i="27"/>
  <c r="BW587" i="27" s="1"/>
  <c r="M191" i="27"/>
  <c r="M78" i="27"/>
  <c r="BR78" i="27" s="1"/>
  <c r="M135" i="27"/>
  <c r="K1026" i="27"/>
  <c r="K914" i="27"/>
  <c r="O843" i="27"/>
  <c r="O731" i="27"/>
  <c r="O816" i="27"/>
  <c r="O704" i="27"/>
  <c r="B18" i="5"/>
  <c r="G265" i="27"/>
  <c r="K1758" i="27"/>
  <c r="K1646" i="27"/>
  <c r="Q471" i="27"/>
  <c r="AC469" i="27" s="1"/>
  <c r="Q833" i="27"/>
  <c r="AC831" i="27" s="1"/>
  <c r="Q804" i="27"/>
  <c r="AC802" i="27" s="1"/>
  <c r="Q721" i="27"/>
  <c r="AC719" i="27" s="1"/>
  <c r="Q692" i="27"/>
  <c r="AC690" i="27" s="1"/>
  <c r="Q609" i="27"/>
  <c r="AC607" i="27" s="1"/>
  <c r="Q580" i="27"/>
  <c r="Q497" i="27"/>
  <c r="AC495" i="27" s="1"/>
  <c r="Q639" i="27"/>
  <c r="AC637" i="27" s="1"/>
  <c r="Q553" i="27"/>
  <c r="Q468" i="27"/>
  <c r="AC466" i="27" s="1"/>
  <c r="Q886" i="27"/>
  <c r="AC884" i="27" s="1"/>
  <c r="Q751" i="27"/>
  <c r="AC749" i="27" s="1"/>
  <c r="Q665" i="27"/>
  <c r="AC663" i="27" s="1"/>
  <c r="Q583" i="27"/>
  <c r="Q494" i="27"/>
  <c r="AC492" i="27" s="1"/>
  <c r="Q830" i="27"/>
  <c r="AC828" i="27" s="1"/>
  <c r="Q748" i="27"/>
  <c r="AC746" i="27" s="1"/>
  <c r="Q662" i="27"/>
  <c r="AC660" i="27" s="1"/>
  <c r="Q863" i="27"/>
  <c r="AC861" i="27" s="1"/>
  <c r="Q777" i="27"/>
  <c r="AC775" i="27" s="1"/>
  <c r="Q695" i="27"/>
  <c r="AC693" i="27" s="1"/>
  <c r="Q606" i="27"/>
  <c r="AC604" i="27" s="1"/>
  <c r="Q524" i="27"/>
  <c r="AC522" i="27" s="1"/>
  <c r="Q860" i="27"/>
  <c r="AC858" i="27" s="1"/>
  <c r="Q889" i="27"/>
  <c r="AC887" i="27" s="1"/>
  <c r="Q636" i="27"/>
  <c r="AC634" i="27" s="1"/>
  <c r="Q718" i="27"/>
  <c r="AC716" i="27" s="1"/>
  <c r="Q807" i="27"/>
  <c r="AC805" i="27" s="1"/>
  <c r="Q774" i="27"/>
  <c r="AC772" i="27" s="1"/>
  <c r="Q550" i="27"/>
  <c r="Q527" i="27"/>
  <c r="AC525" i="27" s="1"/>
  <c r="Q689" i="27"/>
  <c r="AC687" i="27" s="1"/>
  <c r="Q659" i="27"/>
  <c r="AC657" i="27" s="1"/>
  <c r="Q603" i="27"/>
  <c r="AC601" i="27" s="1"/>
  <c r="Q547" i="27"/>
  <c r="Q857" i="27"/>
  <c r="AC855" i="27" s="1"/>
  <c r="Q801" i="27"/>
  <c r="AC799" i="27" s="1"/>
  <c r="Q521" i="27"/>
  <c r="AC519" i="27" s="1"/>
  <c r="Q771" i="27"/>
  <c r="AC769" i="27" s="1"/>
  <c r="Q715" i="27"/>
  <c r="AC713" i="27" s="1"/>
  <c r="Q745" i="27"/>
  <c r="AC743" i="27" s="1"/>
  <c r="Q491" i="27"/>
  <c r="AC489" i="27" s="1"/>
  <c r="Q633" i="27"/>
  <c r="AC631" i="27" s="1"/>
  <c r="Q883" i="27"/>
  <c r="AC881" i="27" s="1"/>
  <c r="Q465" i="27"/>
  <c r="AC463" i="27" s="1"/>
  <c r="Q577" i="27"/>
  <c r="AC575" i="27" s="1"/>
  <c r="Q827" i="27"/>
  <c r="AC825" i="27" s="1"/>
  <c r="Q1043" i="27"/>
  <c r="AC1041" i="27" s="1"/>
  <c r="Q1323" i="27"/>
  <c r="AC1321" i="27" s="1"/>
  <c r="Q1086" i="27"/>
  <c r="AC1084" i="27" s="1"/>
  <c r="B72" i="5"/>
  <c r="G826" i="27" s="1"/>
  <c r="G717" i="27"/>
  <c r="O1524" i="27"/>
  <c r="O1497" i="27"/>
  <c r="O1385" i="27"/>
  <c r="O1412" i="27"/>
  <c r="O1269" i="27"/>
  <c r="O1184" i="27"/>
  <c r="O1157" i="27"/>
  <c r="O1296" i="27"/>
  <c r="K1194" i="27"/>
  <c r="K1306" i="27"/>
  <c r="Q408" i="27"/>
  <c r="AC406" i="27" s="1"/>
  <c r="Q210" i="27"/>
  <c r="AC208" i="27" s="1"/>
  <c r="Q378" i="27"/>
  <c r="AC376" i="27" s="1"/>
  <c r="Q266" i="27"/>
  <c r="AC264" i="27" s="1"/>
  <c r="Q98" i="27"/>
  <c r="AC96" i="27" s="1"/>
  <c r="Q296" i="27"/>
  <c r="AC294" i="27" s="1"/>
  <c r="Q128" i="27"/>
  <c r="AC126" i="27" s="1"/>
  <c r="Q41" i="27"/>
  <c r="AC39" i="27" s="1"/>
  <c r="Q322" i="27"/>
  <c r="AC320" i="27" s="1"/>
  <c r="Q154" i="27"/>
  <c r="AC152" i="27" s="1"/>
  <c r="Q352" i="27"/>
  <c r="AC350" i="27" s="1"/>
  <c r="Q240" i="27"/>
  <c r="AC238" i="27" s="1"/>
  <c r="Q349" i="27"/>
  <c r="AC347" i="27" s="1"/>
  <c r="Q237" i="27"/>
  <c r="Q18" i="27"/>
  <c r="AC16" i="27" s="1"/>
  <c r="Q184" i="27"/>
  <c r="AC182" i="27" s="1"/>
  <c r="Q293" i="27"/>
  <c r="AC291" i="27" s="1"/>
  <c r="Q125" i="27"/>
  <c r="AC123" i="27" s="1"/>
  <c r="Q15" i="27"/>
  <c r="AC13" i="27" s="1"/>
  <c r="Q181" i="27"/>
  <c r="AC179" i="27" s="1"/>
  <c r="Q71" i="27"/>
  <c r="Q434" i="27"/>
  <c r="AC432" i="27" s="1"/>
  <c r="Q68" i="27"/>
  <c r="Q263" i="27"/>
  <c r="AC261" i="27" s="1"/>
  <c r="Q381" i="27"/>
  <c r="AC379" i="27" s="1"/>
  <c r="Q151" i="27"/>
  <c r="AC149" i="27" s="1"/>
  <c r="Q207" i="27"/>
  <c r="AC205" i="27" s="1"/>
  <c r="Q431" i="27"/>
  <c r="AC429" i="27" s="1"/>
  <c r="Q437" i="27"/>
  <c r="AC435" i="27" s="1"/>
  <c r="Q38" i="27"/>
  <c r="AC36" i="27" s="1"/>
  <c r="Q95" i="27"/>
  <c r="AC93" i="27" s="1"/>
  <c r="Q12" i="27"/>
  <c r="Q319" i="27"/>
  <c r="AC317" i="27" s="1"/>
  <c r="Q213" i="27"/>
  <c r="AC211" i="27" s="1"/>
  <c r="Q325" i="27"/>
  <c r="AC323" i="27" s="1"/>
  <c r="Q269" i="27"/>
  <c r="AC267" i="27" s="1"/>
  <c r="Q157" i="27"/>
  <c r="AC155" i="27" s="1"/>
  <c r="Q375" i="27"/>
  <c r="AC373" i="27" s="1"/>
  <c r="Q405" i="27"/>
  <c r="AC403" i="27" s="1"/>
  <c r="Q101" i="27"/>
  <c r="AC99" i="27" s="1"/>
  <c r="Q44" i="27"/>
  <c r="AC42" i="27" s="1"/>
  <c r="Q918" i="27"/>
  <c r="AC916" i="27" s="1"/>
  <c r="Q931" i="27"/>
  <c r="AC929" i="27" s="1"/>
  <c r="Q1198" i="27"/>
  <c r="AC1196" i="27" s="1"/>
  <c r="X1744" i="27"/>
  <c r="X1718" i="27"/>
  <c r="X1507" i="27"/>
  <c r="X1481" i="27"/>
  <c r="X1348" i="27"/>
  <c r="X1322" i="27"/>
  <c r="X1111" i="27"/>
  <c r="X1085" i="27"/>
  <c r="X744" i="27"/>
  <c r="X714" i="27"/>
  <c r="X688" i="27"/>
  <c r="X503" i="27"/>
  <c r="X477" i="27"/>
  <c r="X219" i="27"/>
  <c r="X1688" i="27"/>
  <c r="X1662" i="27"/>
  <c r="X1632" i="27"/>
  <c r="X1606" i="27"/>
  <c r="X1395" i="27"/>
  <c r="X1369" i="27"/>
  <c r="X1236" i="27"/>
  <c r="X1210" i="27"/>
  <c r="X999" i="27"/>
  <c r="X973" i="27"/>
  <c r="X839" i="27"/>
  <c r="X813" i="27"/>
  <c r="X602" i="27"/>
  <c r="X576" i="27"/>
  <c r="CK576" i="27" s="1"/>
  <c r="X443" i="27"/>
  <c r="X417" i="27"/>
  <c r="X348" i="27"/>
  <c r="X1787" i="27"/>
  <c r="X1761" i="27"/>
  <c r="X1576" i="27"/>
  <c r="X1550" i="27"/>
  <c r="X1180" i="27"/>
  <c r="X1154" i="27"/>
  <c r="X943" i="27"/>
  <c r="X783" i="27"/>
  <c r="X757" i="27"/>
  <c r="X546" i="27"/>
  <c r="CK546" i="27" s="1"/>
  <c r="X520" i="27"/>
  <c r="X275" i="27"/>
  <c r="X206" i="27"/>
  <c r="X1675" i="27"/>
  <c r="X1649" i="27"/>
  <c r="X1464" i="27"/>
  <c r="X1438" i="27"/>
  <c r="X1279" i="27"/>
  <c r="X1253" i="27"/>
  <c r="X1068" i="27"/>
  <c r="X1042" i="27"/>
  <c r="X917" i="27"/>
  <c r="X882" i="27"/>
  <c r="X856" i="27"/>
  <c r="X671" i="27"/>
  <c r="X645" i="27"/>
  <c r="X404" i="27"/>
  <c r="X1619" i="27"/>
  <c r="X1593" i="27"/>
  <c r="X1408" i="27"/>
  <c r="X1382" i="27"/>
  <c r="X1223" i="27"/>
  <c r="X1197" i="27"/>
  <c r="X1012" i="27"/>
  <c r="X986" i="27"/>
  <c r="X826" i="27"/>
  <c r="X800" i="27"/>
  <c r="X615" i="27"/>
  <c r="X589" i="27"/>
  <c r="CK589" i="27" s="1"/>
  <c r="X430" i="27"/>
  <c r="X331" i="27"/>
  <c r="X262" i="27"/>
  <c r="X124" i="27"/>
  <c r="X11" i="27"/>
  <c r="X318" i="27"/>
  <c r="X249" i="27"/>
  <c r="X193" i="27"/>
  <c r="X80" i="27"/>
  <c r="X1705" i="27"/>
  <c r="X1266" i="27"/>
  <c r="X1800" i="27"/>
  <c r="X1520" i="27"/>
  <c r="X1335" i="27"/>
  <c r="X1292" i="27"/>
  <c r="X1098" i="27"/>
  <c r="X1055" i="27"/>
  <c r="X727" i="27"/>
  <c r="X490" i="27"/>
  <c r="X387" i="27"/>
  <c r="X305" i="27"/>
  <c r="X150" i="27"/>
  <c r="X37" i="27"/>
  <c r="X1537" i="27"/>
  <c r="X50" i="27"/>
  <c r="X1731" i="27"/>
  <c r="X1563" i="27"/>
  <c r="X1425" i="27"/>
  <c r="X1141" i="27"/>
  <c r="X956" i="27"/>
  <c r="X869" i="27"/>
  <c r="X770" i="27"/>
  <c r="X632" i="27"/>
  <c r="X533" i="27"/>
  <c r="CK533" i="27" s="1"/>
  <c r="X374" i="27"/>
  <c r="X292" i="27"/>
  <c r="X236" i="27"/>
  <c r="X107" i="27"/>
  <c r="X361" i="27"/>
  <c r="X180" i="27"/>
  <c r="X67" i="27"/>
  <c r="X1774" i="27"/>
  <c r="X137" i="27"/>
  <c r="X24" i="27"/>
  <c r="X1494" i="27"/>
  <c r="X1451" i="27"/>
  <c r="X1309" i="27"/>
  <c r="X1124" i="27"/>
  <c r="X895" i="27"/>
  <c r="X701" i="27"/>
  <c r="X658" i="27"/>
  <c r="X464" i="27"/>
  <c r="X94" i="27"/>
  <c r="X1167" i="27"/>
  <c r="X1029" i="27"/>
  <c r="X930" i="27"/>
  <c r="X559" i="27"/>
  <c r="CK559" i="27" s="1"/>
  <c r="X163" i="27"/>
  <c r="B16" i="5"/>
  <c r="B21" i="5"/>
  <c r="D134" i="5" s="1"/>
  <c r="B149" i="5"/>
  <c r="B203" i="5"/>
  <c r="B147" i="5"/>
  <c r="B201" i="5"/>
  <c r="B173" i="5"/>
  <c r="B227" i="5"/>
  <c r="B60" i="5"/>
  <c r="B114" i="5"/>
  <c r="B122" i="5"/>
  <c r="C910" i="27" s="1"/>
  <c r="B9" i="5"/>
  <c r="C4" i="27" s="1"/>
  <c r="B139" i="5"/>
  <c r="I1258" i="27" s="1"/>
  <c r="B26" i="5"/>
  <c r="B80" i="5"/>
  <c r="B193" i="5"/>
  <c r="I1710" i="27" s="1"/>
  <c r="B171" i="5"/>
  <c r="B225" i="5"/>
  <c r="B58" i="5"/>
  <c r="B112" i="5"/>
  <c r="B152" i="5"/>
  <c r="B206" i="5"/>
  <c r="B39" i="5"/>
  <c r="D152" i="5" s="1"/>
  <c r="B93" i="5"/>
  <c r="B134" i="5"/>
  <c r="I978" i="27" s="1"/>
  <c r="B188" i="5"/>
  <c r="I1430" i="27" s="1"/>
  <c r="B145" i="5"/>
  <c r="B199" i="5"/>
  <c r="B143" i="5"/>
  <c r="B197" i="5"/>
  <c r="B20" i="26"/>
  <c r="G9" i="26" s="1"/>
  <c r="B6" i="26"/>
  <c r="B118" i="5"/>
  <c r="B26" i="26"/>
  <c r="B125" i="5" s="1"/>
  <c r="CA566" i="27" l="1"/>
  <c r="AC564" i="27"/>
  <c r="CA563" i="27"/>
  <c r="AC561" i="27"/>
  <c r="BV74" i="27"/>
  <c r="AC72" i="27"/>
  <c r="BV81" i="27"/>
  <c r="AC79" i="27"/>
  <c r="BV68" i="27"/>
  <c r="AC66" i="27"/>
  <c r="BV71" i="27"/>
  <c r="AC69" i="27"/>
  <c r="CA547" i="27"/>
  <c r="AC545" i="27"/>
  <c r="CA534" i="27"/>
  <c r="AC532" i="27"/>
  <c r="CA553" i="27"/>
  <c r="AC551" i="27"/>
  <c r="CA540" i="27"/>
  <c r="AC538" i="27"/>
  <c r="CA537" i="27"/>
  <c r="AC535" i="27"/>
  <c r="CA560" i="27"/>
  <c r="AC558" i="27"/>
  <c r="CA593" i="27"/>
  <c r="AC591" i="27"/>
  <c r="CA590" i="27"/>
  <c r="AC588" i="27"/>
  <c r="CA550" i="27"/>
  <c r="AC548" i="27"/>
  <c r="CA583" i="27"/>
  <c r="AC581" i="27"/>
  <c r="CA580" i="27"/>
  <c r="AC578" i="27"/>
  <c r="CA596" i="27"/>
  <c r="AC594" i="27"/>
  <c r="AR4" i="27"/>
  <c r="AN4" i="27"/>
  <c r="AM4" i="27"/>
  <c r="BK555" i="27"/>
  <c r="CJ555" i="27" s="1"/>
  <c r="F152" i="5"/>
  <c r="E1207" i="27"/>
  <c r="F134" i="5"/>
  <c r="A1008" i="27"/>
  <c r="B103" i="27"/>
  <c r="C103" i="27" s="1"/>
  <c r="F118" i="5"/>
  <c r="F145" i="5"/>
  <c r="D143" i="5"/>
  <c r="F143" i="5" s="1"/>
  <c r="K27" i="27"/>
  <c r="Q586" i="27"/>
  <c r="CA577" i="27"/>
  <c r="Q927" i="27"/>
  <c r="AC925" i="27" s="1"/>
  <c r="G374" i="27"/>
  <c r="D131" i="5"/>
  <c r="F131" i="5" s="1"/>
  <c r="Q302" i="27"/>
  <c r="AC300" i="27" s="1"/>
  <c r="Q1276" i="27"/>
  <c r="AC1274" i="27" s="1"/>
  <c r="Q1177" i="27"/>
  <c r="AC1175" i="27" s="1"/>
  <c r="Q1319" i="27"/>
  <c r="AC1317" i="27" s="1"/>
  <c r="Q1207" i="27"/>
  <c r="AC1205" i="27" s="1"/>
  <c r="Q1246" i="27"/>
  <c r="AC1244" i="27" s="1"/>
  <c r="Q754" i="27"/>
  <c r="AC752" i="27" s="1"/>
  <c r="Q285" i="27"/>
  <c r="AC283" i="27" s="1"/>
  <c r="U3" i="27"/>
  <c r="Q341" i="27"/>
  <c r="AC339" i="27" s="1"/>
  <c r="B4" i="29"/>
  <c r="B5" i="29"/>
  <c r="K196" i="27"/>
  <c r="K83" i="27"/>
  <c r="Q1461" i="27"/>
  <c r="AC1459" i="27" s="1"/>
  <c r="K536" i="27"/>
  <c r="K648" i="27"/>
  <c r="G26" i="26"/>
  <c r="B179" i="5" s="1"/>
  <c r="E1436" i="27" s="1"/>
  <c r="Q1039" i="27"/>
  <c r="AC1037" i="27" s="1"/>
  <c r="Q1573" i="27"/>
  <c r="AC1571" i="27" s="1"/>
  <c r="Q625" i="27"/>
  <c r="AC623" i="27" s="1"/>
  <c r="Q905" i="27"/>
  <c r="AC903" i="27" s="1"/>
  <c r="K816" i="27"/>
  <c r="K704" i="27"/>
  <c r="K760" i="27"/>
  <c r="K872" i="27"/>
  <c r="Q1095" i="27"/>
  <c r="AC1093" i="27" s="1"/>
  <c r="Q500" i="27"/>
  <c r="AC498" i="27" s="1"/>
  <c r="Q1491" i="27"/>
  <c r="AC1489" i="27" s="1"/>
  <c r="Q315" i="27"/>
  <c r="AC313" i="27" s="1"/>
  <c r="Q1065" i="27"/>
  <c r="AC1063" i="27" s="1"/>
  <c r="K140" i="27"/>
  <c r="K592" i="27"/>
  <c r="BU592" i="27" s="1"/>
  <c r="K364" i="27"/>
  <c r="K252" i="27"/>
  <c r="Q1121" i="27"/>
  <c r="AC1119" i="27" s="1"/>
  <c r="Q229" i="27"/>
  <c r="AC227" i="27" s="1"/>
  <c r="Q134" i="27"/>
  <c r="AC132" i="27" s="1"/>
  <c r="Q698" i="27"/>
  <c r="AC696" i="27" s="1"/>
  <c r="Q780" i="27"/>
  <c r="AC778" i="27" s="1"/>
  <c r="Q1009" i="27"/>
  <c r="AC1007" i="27" s="1"/>
  <c r="Q440" i="27"/>
  <c r="AC438" i="27" s="1"/>
  <c r="Q642" i="27"/>
  <c r="AC640" i="27" s="1"/>
  <c r="Q1220" i="27"/>
  <c r="AC1218" i="27" s="1"/>
  <c r="Q599" i="27"/>
  <c r="Q668" i="27"/>
  <c r="AC666" i="27" s="1"/>
  <c r="Q1547" i="27"/>
  <c r="AC1545" i="27" s="1"/>
  <c r="Q983" i="27"/>
  <c r="AC981" i="27" s="1"/>
  <c r="Q1358" i="27"/>
  <c r="AC1356" i="27" s="1"/>
  <c r="Q1418" i="27"/>
  <c r="AC1416" i="27" s="1"/>
  <c r="Q793" i="27"/>
  <c r="AC791" i="27" s="1"/>
  <c r="Q530" i="27"/>
  <c r="Q1190" i="27"/>
  <c r="AC1188" i="27" s="1"/>
  <c r="Q1530" i="27"/>
  <c r="AC1528" i="27" s="1"/>
  <c r="Q1642" i="27"/>
  <c r="AC1640" i="27" s="1"/>
  <c r="Q1151" i="27"/>
  <c r="AC1149" i="27" s="1"/>
  <c r="Q1517" i="27"/>
  <c r="AC1515" i="27" s="1"/>
  <c r="Q1164" i="27"/>
  <c r="AC1162" i="27" s="1"/>
  <c r="Q1659" i="27"/>
  <c r="AC1657" i="27" s="1"/>
  <c r="Q397" i="27"/>
  <c r="AC395" i="27" s="1"/>
  <c r="Q328" i="27"/>
  <c r="AC326" i="27" s="1"/>
  <c r="Q1784" i="27"/>
  <c r="AC1782" i="27" s="1"/>
  <c r="Q1629" i="27"/>
  <c r="AC1627" i="27" s="1"/>
  <c r="Q259" i="27"/>
  <c r="AC257" i="27" s="1"/>
  <c r="Q849" i="27"/>
  <c r="AC847" i="27" s="1"/>
  <c r="Q724" i="27"/>
  <c r="AC722" i="27" s="1"/>
  <c r="Q1560" i="27"/>
  <c r="AC1558" i="27" s="1"/>
  <c r="Q1685" i="27"/>
  <c r="AC1683" i="27" s="1"/>
  <c r="Q1108" i="27"/>
  <c r="AC1106" i="27" s="1"/>
  <c r="Q1405" i="27"/>
  <c r="AC1403" i="27" s="1"/>
  <c r="Q104" i="27"/>
  <c r="AC102" i="27" s="1"/>
  <c r="Q1603" i="27"/>
  <c r="AC1601" i="27" s="1"/>
  <c r="K1213" i="27"/>
  <c r="K1325" i="27"/>
  <c r="Q569" i="27"/>
  <c r="K1441" i="27"/>
  <c r="K1553" i="27"/>
  <c r="K1665" i="27"/>
  <c r="K1777" i="27"/>
  <c r="Q272" i="27"/>
  <c r="AC270" i="27" s="1"/>
  <c r="Q190" i="27"/>
  <c r="AC188" i="27" s="1"/>
  <c r="Q612" i="27"/>
  <c r="AC610" i="27" s="1"/>
  <c r="Q996" i="27"/>
  <c r="AC994" i="27" s="1"/>
  <c r="Q1078" i="27"/>
  <c r="AC1076" i="27" s="1"/>
  <c r="Q1474" i="27"/>
  <c r="AC1472" i="27" s="1"/>
  <c r="Q1233" i="27"/>
  <c r="AC1231" i="27" s="1"/>
  <c r="Q953" i="27"/>
  <c r="AC951" i="27" s="1"/>
  <c r="Q147" i="27"/>
  <c r="AC145" i="27" s="1"/>
  <c r="Q90" i="27"/>
  <c r="AC88" i="27" s="1"/>
  <c r="Q1052" i="27"/>
  <c r="AC1050" i="27" s="1"/>
  <c r="Q681" i="27"/>
  <c r="AC679" i="27" s="1"/>
  <c r="K1101" i="27"/>
  <c r="K989" i="27"/>
  <c r="Q216" i="27"/>
  <c r="AC214" i="27" s="1"/>
  <c r="Q1586" i="27"/>
  <c r="AC1584" i="27" s="1"/>
  <c r="Q1728" i="27"/>
  <c r="AC1726" i="27" s="1"/>
  <c r="Q1715" i="27"/>
  <c r="AC1713" i="27" s="1"/>
  <c r="Q60" i="27"/>
  <c r="AC58" i="27" s="1"/>
  <c r="Q823" i="27"/>
  <c r="AC821" i="27" s="1"/>
  <c r="Q513" i="27"/>
  <c r="AC511" i="27" s="1"/>
  <c r="Q47" i="27"/>
  <c r="AC45" i="27" s="1"/>
  <c r="Q384" i="27"/>
  <c r="AC382" i="27" s="1"/>
  <c r="Q836" i="27"/>
  <c r="AC834" i="27" s="1"/>
  <c r="Q1302" i="27"/>
  <c r="AC1300" i="27" s="1"/>
  <c r="Q1134" i="27"/>
  <c r="AC1132" i="27" s="1"/>
  <c r="Q1771" i="27"/>
  <c r="AC1769" i="27" s="1"/>
  <c r="Q453" i="27"/>
  <c r="AC451" i="27" s="1"/>
  <c r="Q1741" i="27"/>
  <c r="AC1739" i="27" s="1"/>
  <c r="Q34" i="27"/>
  <c r="AC32" i="27" s="1"/>
  <c r="Q737" i="27"/>
  <c r="AC735" i="27" s="1"/>
  <c r="Q767" i="27"/>
  <c r="AC765" i="27" s="1"/>
  <c r="M551" i="27"/>
  <c r="BW551" i="27" s="1"/>
  <c r="M663" i="27"/>
  <c r="M495" i="27"/>
  <c r="M607" i="27"/>
  <c r="M99" i="27"/>
  <c r="M42" i="27"/>
  <c r="M155" i="27"/>
  <c r="M211" i="27"/>
  <c r="B81" i="5"/>
  <c r="I861" i="27" s="1"/>
  <c r="I805" i="27"/>
  <c r="Q414" i="27"/>
  <c r="AC412" i="27" s="1"/>
  <c r="Q77" i="27"/>
  <c r="Q474" i="27"/>
  <c r="AC472" i="27" s="1"/>
  <c r="Q810" i="27"/>
  <c r="AC808" i="27" s="1"/>
  <c r="Q1022" i="27"/>
  <c r="AC1020" i="27" s="1"/>
  <c r="Q966" i="27"/>
  <c r="AC964" i="27" s="1"/>
  <c r="Q1616" i="27"/>
  <c r="AC1614" i="27" s="1"/>
  <c r="Q1754" i="27"/>
  <c r="AC1752" i="27" s="1"/>
  <c r="Q1810" i="27"/>
  <c r="AC1808" i="27" s="1"/>
  <c r="Q1345" i="27"/>
  <c r="AC1343" i="27" s="1"/>
  <c r="Q1797" i="27"/>
  <c r="AC1795" i="27" s="1"/>
  <c r="Q427" i="27"/>
  <c r="AC425" i="27" s="1"/>
  <c r="Q655" i="27"/>
  <c r="AC653" i="27" s="1"/>
  <c r="Q543" i="27"/>
  <c r="G602" i="27"/>
  <c r="G150" i="27"/>
  <c r="K1497" i="27"/>
  <c r="K1385" i="27"/>
  <c r="M1456" i="27"/>
  <c r="M1512" i="27"/>
  <c r="M1568" i="27"/>
  <c r="M1400" i="27"/>
  <c r="B27" i="5"/>
  <c r="I409" i="27" s="1"/>
  <c r="K409" i="27" s="1"/>
  <c r="I353" i="27"/>
  <c r="K1721" i="27"/>
  <c r="K1609" i="27"/>
  <c r="Q246" i="27"/>
  <c r="AC244" i="27" s="1"/>
  <c r="Q892" i="27"/>
  <c r="AC890" i="27" s="1"/>
  <c r="Q866" i="27"/>
  <c r="AC864" i="27" s="1"/>
  <c r="Q1392" i="27"/>
  <c r="AC1390" i="27" s="1"/>
  <c r="Q1698" i="27"/>
  <c r="AC1696" i="27" s="1"/>
  <c r="Q1448" i="27"/>
  <c r="AC1446" i="27" s="1"/>
  <c r="Q1379" i="27"/>
  <c r="AC1377" i="27" s="1"/>
  <c r="Q371" i="27"/>
  <c r="AC369" i="27" s="1"/>
  <c r="Q1332" i="27"/>
  <c r="AC1330" i="27" s="1"/>
  <c r="Q879" i="27"/>
  <c r="AC877" i="27" s="1"/>
  <c r="Q940" i="27"/>
  <c r="AC938" i="27" s="1"/>
  <c r="K1045" i="27"/>
  <c r="K933" i="27"/>
  <c r="M1116" i="27"/>
  <c r="M948" i="27"/>
  <c r="M1004" i="27"/>
  <c r="M1060" i="27"/>
  <c r="K1269" i="27"/>
  <c r="K1157" i="27"/>
  <c r="Q160" i="27"/>
  <c r="AC158" i="27" s="1"/>
  <c r="Q358" i="27"/>
  <c r="AC356" i="27" s="1"/>
  <c r="Q556" i="27"/>
  <c r="Q1263" i="27"/>
  <c r="AC1261" i="27" s="1"/>
  <c r="Q1504" i="27"/>
  <c r="AC1502" i="27" s="1"/>
  <c r="Q1672" i="27"/>
  <c r="AC1670" i="27" s="1"/>
  <c r="Q1289" i="27"/>
  <c r="AC1287" i="27" s="1"/>
  <c r="Q1435" i="27"/>
  <c r="AC1433" i="27" s="1"/>
  <c r="Q117" i="27"/>
  <c r="AC115" i="27" s="1"/>
  <c r="Q173" i="27"/>
  <c r="AC171" i="27" s="1"/>
  <c r="Q203" i="27"/>
  <c r="AC201" i="27" s="1"/>
  <c r="Q487" i="27"/>
  <c r="AC485" i="27" s="1"/>
  <c r="Q711" i="27"/>
  <c r="AC709" i="27" s="1"/>
  <c r="I72" i="27"/>
  <c r="BN72" i="27" s="1"/>
  <c r="B119" i="5"/>
  <c r="A1460" i="27" s="1"/>
  <c r="B66" i="5"/>
  <c r="B123" i="5"/>
  <c r="B10" i="5"/>
  <c r="B63" i="5"/>
  <c r="C457" i="27" s="1"/>
  <c r="U456" i="27" s="1"/>
  <c r="B176" i="5"/>
  <c r="C1362" i="27" s="1"/>
  <c r="E984" i="27"/>
  <c r="B12" i="5"/>
  <c r="E78" i="27" s="1"/>
  <c r="D13" i="11"/>
  <c r="K462" i="27" s="1"/>
  <c r="CA556" i="27" l="1"/>
  <c r="AC554" i="27"/>
  <c r="CA543" i="27"/>
  <c r="AC541" i="27"/>
  <c r="CA599" i="27"/>
  <c r="AC597" i="27"/>
  <c r="CA530" i="27"/>
  <c r="AC528" i="27"/>
  <c r="CA586" i="27"/>
  <c r="AC584" i="27"/>
  <c r="BV77" i="27"/>
  <c r="AC75" i="27"/>
  <c r="CA569" i="27"/>
  <c r="AC567" i="27"/>
  <c r="BU536" i="27"/>
  <c r="BP83" i="27"/>
  <c r="AR10" i="27"/>
  <c r="AR11" i="27"/>
  <c r="AR5" i="27"/>
  <c r="U909" i="27"/>
  <c r="C148" i="27"/>
  <c r="AU4" i="27" s="1"/>
  <c r="D123" i="5"/>
  <c r="F123" i="5" s="1"/>
  <c r="C1053" i="27"/>
  <c r="D148" i="27"/>
  <c r="AA3" i="27"/>
  <c r="AA456" i="27"/>
  <c r="I374" i="27"/>
  <c r="U1361" i="27"/>
  <c r="K915" i="27"/>
  <c r="K1759" i="27"/>
  <c r="W1757" i="27" s="1"/>
  <c r="K1307" i="27"/>
  <c r="K854" i="27"/>
  <c r="K402" i="27"/>
  <c r="K1703" i="27"/>
  <c r="W1701" i="27" s="1"/>
  <c r="K1251" i="27"/>
  <c r="K798" i="27"/>
  <c r="K346" i="27"/>
  <c r="K1647" i="27"/>
  <c r="K1195" i="27"/>
  <c r="K742" i="27"/>
  <c r="K290" i="27"/>
  <c r="K1535" i="27"/>
  <c r="K630" i="27"/>
  <c r="K1027" i="27"/>
  <c r="K122" i="27"/>
  <c r="K1591" i="27"/>
  <c r="K1139" i="27"/>
  <c r="K686" i="27"/>
  <c r="K234" i="27"/>
  <c r="K1083" i="27"/>
  <c r="K178" i="27"/>
  <c r="K1479" i="27"/>
  <c r="K574" i="27"/>
  <c r="BU574" i="27" s="1"/>
  <c r="K1423" i="27"/>
  <c r="K971" i="27"/>
  <c r="K518" i="27"/>
  <c r="K65" i="27"/>
  <c r="BP65" i="27" s="1"/>
  <c r="K1367" i="27"/>
  <c r="C459" i="27"/>
  <c r="K9" i="27"/>
  <c r="B67" i="5"/>
  <c r="E754" i="27" s="1"/>
  <c r="E531" i="27"/>
  <c r="C5" i="27"/>
  <c r="C1363" i="27"/>
  <c r="W1361" i="27" s="1"/>
  <c r="C458" i="27"/>
  <c r="C911" i="27"/>
  <c r="B13" i="5"/>
  <c r="B177" i="5"/>
  <c r="C1505" i="27" s="1"/>
  <c r="AU36" i="27" s="1"/>
  <c r="B64" i="5"/>
  <c r="C600" i="27" s="1"/>
  <c r="AA909" i="27" l="1"/>
  <c r="AU37" i="27"/>
  <c r="AU34" i="27"/>
  <c r="AU35" i="27"/>
  <c r="AU32" i="27"/>
  <c r="AU33" i="27"/>
  <c r="AT21" i="27"/>
  <c r="AU31" i="27"/>
  <c r="AU30" i="27"/>
  <c r="AU28" i="27"/>
  <c r="AU29" i="27"/>
  <c r="AU26" i="27"/>
  <c r="AU27" i="27"/>
  <c r="AU24" i="27"/>
  <c r="AU25" i="27"/>
  <c r="AT17" i="27"/>
  <c r="AU23" i="27"/>
  <c r="AU22" i="27"/>
  <c r="AU19" i="27"/>
  <c r="AU18" i="27"/>
  <c r="AU17" i="27"/>
  <c r="AU16" i="27"/>
  <c r="AU15" i="27"/>
  <c r="AU14" i="27"/>
  <c r="AU13" i="27"/>
  <c r="AU12" i="27"/>
  <c r="AT4" i="27"/>
  <c r="AU5" i="27"/>
  <c r="AU9" i="27"/>
  <c r="AU8" i="27"/>
  <c r="AU7" i="27"/>
  <c r="AU6" i="27"/>
  <c r="AT18" i="27"/>
  <c r="AT20" i="27"/>
  <c r="AT19" i="27"/>
  <c r="AT15" i="27"/>
  <c r="AT16" i="27"/>
  <c r="AS26" i="27"/>
  <c r="AT14" i="27"/>
  <c r="AT11" i="27"/>
  <c r="AT10" i="27"/>
  <c r="AT9" i="27"/>
  <c r="AT8" i="27"/>
  <c r="AT7" i="27"/>
  <c r="AT6" i="27"/>
  <c r="AT5" i="27"/>
  <c r="AS36" i="27"/>
  <c r="AS37" i="27"/>
  <c r="AS34" i="27"/>
  <c r="AS35" i="27"/>
  <c r="AS32" i="27"/>
  <c r="AS33" i="27"/>
  <c r="AS30" i="27"/>
  <c r="AS31" i="27"/>
  <c r="AS29" i="27"/>
  <c r="AS28" i="27"/>
  <c r="AS27" i="27"/>
  <c r="AS24" i="27"/>
  <c r="AS25" i="27"/>
  <c r="AR12" i="27"/>
  <c r="AP10" i="27"/>
  <c r="AS23" i="27"/>
  <c r="AS22" i="27"/>
  <c r="AS19" i="27"/>
  <c r="AS18" i="27"/>
  <c r="AS17" i="27"/>
  <c r="AS16" i="27"/>
  <c r="AS15" i="27"/>
  <c r="AS14" i="27"/>
  <c r="AS13" i="27"/>
  <c r="AS12" i="27"/>
  <c r="AS5" i="27"/>
  <c r="AS7" i="27"/>
  <c r="AS6" i="27"/>
  <c r="AQ4" i="27"/>
  <c r="AS4" i="27"/>
  <c r="AP13" i="27"/>
  <c r="AQ13" i="27"/>
  <c r="AQ12" i="27"/>
  <c r="AQ11" i="27"/>
  <c r="AQ10" i="27"/>
  <c r="AQ6" i="27"/>
  <c r="AQ7" i="27"/>
  <c r="U1569" i="27"/>
  <c r="AB1569" i="27" s="1"/>
  <c r="AP12" i="27"/>
  <c r="AP11" i="27"/>
  <c r="AP7" i="27"/>
  <c r="AP6" i="27"/>
  <c r="AO4" i="27"/>
  <c r="AP4" i="27"/>
  <c r="AO11" i="27"/>
  <c r="U1305" i="27"/>
  <c r="AO10" i="27"/>
  <c r="AO5" i="27"/>
  <c r="BM600" i="27"/>
  <c r="CL600" i="27" s="1"/>
  <c r="AE3" i="27"/>
  <c r="U1213" i="27"/>
  <c r="AB1213" i="27" s="1"/>
  <c r="U1338" i="27"/>
  <c r="AB1338" i="27" s="1"/>
  <c r="U1262" i="27"/>
  <c r="U1226" i="27"/>
  <c r="AB1226" i="27" s="1"/>
  <c r="U1351" i="27"/>
  <c r="AB1351" i="27" s="1"/>
  <c r="U1130" i="27"/>
  <c r="AB1130" i="27" s="1"/>
  <c r="U1282" i="27"/>
  <c r="AB1282" i="27" s="1"/>
  <c r="U1242" i="27"/>
  <c r="AB1242" i="27" s="1"/>
  <c r="U1279" i="27"/>
  <c r="U1328" i="27"/>
  <c r="AB1328" i="27" s="1"/>
  <c r="U1147" i="27"/>
  <c r="AB1147" i="27" s="1"/>
  <c r="U1229" i="27"/>
  <c r="AB1229" i="27" s="1"/>
  <c r="U1295" i="27"/>
  <c r="AB1295" i="27" s="1"/>
  <c r="U1318" i="27"/>
  <c r="U1071" i="27"/>
  <c r="AB1071" i="27" s="1"/>
  <c r="U1245" i="27"/>
  <c r="U1331" i="27"/>
  <c r="U1206" i="27"/>
  <c r="U1256" i="27"/>
  <c r="AB1256" i="27" s="1"/>
  <c r="U1292" i="27"/>
  <c r="U1344" i="27"/>
  <c r="U1186" i="27"/>
  <c r="AB1186" i="27" s="1"/>
  <c r="U1038" i="27"/>
  <c r="U1200" i="27"/>
  <c r="AB1200" i="27" s="1"/>
  <c r="U1236" i="27"/>
  <c r="U1259" i="27"/>
  <c r="AB1259" i="27" s="1"/>
  <c r="U1298" i="27"/>
  <c r="AB1298" i="27" s="1"/>
  <c r="U1312" i="27"/>
  <c r="AB1312" i="27" s="1"/>
  <c r="U1357" i="27"/>
  <c r="U1107" i="27"/>
  <c r="U1183" i="27"/>
  <c r="AB1183" i="27" s="1"/>
  <c r="U1098" i="27"/>
  <c r="U1058" i="27"/>
  <c r="AB1058" i="27" s="1"/>
  <c r="U1144" i="27"/>
  <c r="AB1144" i="27" s="1"/>
  <c r="U1104" i="27"/>
  <c r="AB1104" i="27" s="1"/>
  <c r="U1061" i="27"/>
  <c r="AB1061" i="27" s="1"/>
  <c r="U973" i="27"/>
  <c r="U989" i="27"/>
  <c r="AB989" i="27" s="1"/>
  <c r="U1219" i="27"/>
  <c r="U1197" i="27"/>
  <c r="U1232" i="27"/>
  <c r="U1239" i="27"/>
  <c r="AB1239" i="27" s="1"/>
  <c r="U1275" i="27"/>
  <c r="U1266" i="27"/>
  <c r="U1288" i="27"/>
  <c r="U1285" i="27"/>
  <c r="AB1285" i="27" s="1"/>
  <c r="U1309" i="27"/>
  <c r="U1315" i="27"/>
  <c r="AB1315" i="27" s="1"/>
  <c r="U1322" i="27"/>
  <c r="U1354" i="27"/>
  <c r="AB1354" i="27" s="1"/>
  <c r="U1154" i="27"/>
  <c r="U1189" i="27"/>
  <c r="U1101" i="27"/>
  <c r="AB1101" i="27" s="1"/>
  <c r="U1091" i="27"/>
  <c r="AB1091" i="27" s="1"/>
  <c r="U1048" i="27"/>
  <c r="AB1048" i="27" s="1"/>
  <c r="U1051" i="27"/>
  <c r="U982" i="27"/>
  <c r="U1216" i="27"/>
  <c r="AB1216" i="27" s="1"/>
  <c r="U1223" i="27"/>
  <c r="U1203" i="27"/>
  <c r="AB1203" i="27" s="1"/>
  <c r="U1210" i="27"/>
  <c r="U1272" i="27"/>
  <c r="AB1272" i="27" s="1"/>
  <c r="U1253" i="27"/>
  <c r="U1269" i="27"/>
  <c r="AB1269" i="27" s="1"/>
  <c r="U1301" i="27"/>
  <c r="U1325" i="27"/>
  <c r="AB1325" i="27" s="1"/>
  <c r="U1335" i="27"/>
  <c r="U1341" i="27"/>
  <c r="AB1341" i="27" s="1"/>
  <c r="U1348" i="27"/>
  <c r="U1167" i="27"/>
  <c r="U1157" i="27"/>
  <c r="AB1157" i="27" s="1"/>
  <c r="U1176" i="27"/>
  <c r="U1085" i="27"/>
  <c r="U1117" i="27"/>
  <c r="AB1117" i="27" s="1"/>
  <c r="U1055" i="27"/>
  <c r="U1068" i="27"/>
  <c r="U1005" i="27"/>
  <c r="AB1005" i="27" s="1"/>
  <c r="U933" i="27"/>
  <c r="AB933" i="27" s="1"/>
  <c r="U986" i="27"/>
  <c r="U979" i="27"/>
  <c r="AB979" i="27" s="1"/>
  <c r="U949" i="27"/>
  <c r="AB949" i="27" s="1"/>
  <c r="U1002" i="27"/>
  <c r="AB1002" i="27" s="1"/>
  <c r="U995" i="27"/>
  <c r="U920" i="27"/>
  <c r="AB920" i="27" s="1"/>
  <c r="U917" i="27"/>
  <c r="AB917" i="27" s="1"/>
  <c r="U946" i="27"/>
  <c r="AB946" i="27" s="1"/>
  <c r="U939" i="27"/>
  <c r="U969" i="27"/>
  <c r="U1141" i="27"/>
  <c r="U1150" i="27"/>
  <c r="U1160" i="27"/>
  <c r="AB1160" i="27" s="1"/>
  <c r="U1170" i="27"/>
  <c r="AB1170" i="27" s="1"/>
  <c r="U1094" i="27"/>
  <c r="U1133" i="27"/>
  <c r="U1111" i="27"/>
  <c r="U1088" i="27"/>
  <c r="AB1088" i="27" s="1"/>
  <c r="U1249" i="27"/>
  <c r="U1029" i="27"/>
  <c r="U1074" i="27"/>
  <c r="AB1074" i="27" s="1"/>
  <c r="U1032" i="27"/>
  <c r="AB1032" i="27" s="1"/>
  <c r="U1077" i="27"/>
  <c r="U999" i="27"/>
  <c r="U1018" i="27"/>
  <c r="AB1018" i="27" s="1"/>
  <c r="U1012" i="27"/>
  <c r="U1008" i="27"/>
  <c r="U962" i="27"/>
  <c r="AB962" i="27" s="1"/>
  <c r="U943" i="27"/>
  <c r="U930" i="27"/>
  <c r="U1025" i="27"/>
  <c r="U1173" i="27"/>
  <c r="AB1173" i="27" s="1"/>
  <c r="U1163" i="27"/>
  <c r="U1180" i="27"/>
  <c r="U1127" i="27"/>
  <c r="AB1127" i="27" s="1"/>
  <c r="U1124" i="27"/>
  <c r="U1120" i="27"/>
  <c r="U1114" i="27"/>
  <c r="AB1114" i="27" s="1"/>
  <c r="U1035" i="27"/>
  <c r="AB1035" i="27" s="1"/>
  <c r="U1045" i="27"/>
  <c r="AB1045" i="27" s="1"/>
  <c r="U1064" i="27"/>
  <c r="U1042" i="27"/>
  <c r="U992" i="27"/>
  <c r="AB992" i="27" s="1"/>
  <c r="U976" i="27"/>
  <c r="AB976" i="27" s="1"/>
  <c r="U1021" i="27"/>
  <c r="U1015" i="27"/>
  <c r="AB1015" i="27" s="1"/>
  <c r="U1081" i="27"/>
  <c r="U965" i="27"/>
  <c r="U936" i="27"/>
  <c r="AB936" i="27" s="1"/>
  <c r="U923" i="27"/>
  <c r="AB923" i="27" s="1"/>
  <c r="U1193" i="27"/>
  <c r="U952" i="27"/>
  <c r="U956" i="27"/>
  <c r="U959" i="27"/>
  <c r="AB959" i="27" s="1"/>
  <c r="U1137" i="27"/>
  <c r="U913" i="27"/>
  <c r="U926" i="27"/>
  <c r="E148" i="27"/>
  <c r="U1457" i="27"/>
  <c r="AB1457" i="27" s="1"/>
  <c r="BO531" i="27"/>
  <c r="CN531" i="27" s="1"/>
  <c r="U552" i="27"/>
  <c r="U565" i="27"/>
  <c r="E302" i="27"/>
  <c r="D126" i="5"/>
  <c r="F126" i="5" s="1"/>
  <c r="U67" i="27"/>
  <c r="BJ78" i="27"/>
  <c r="AA1361" i="27"/>
  <c r="Z1361" i="27"/>
  <c r="U602" i="27"/>
  <c r="U133" i="27"/>
  <c r="U658" i="27"/>
  <c r="U635" i="27"/>
  <c r="U1582" i="27"/>
  <c r="AB1582" i="27" s="1"/>
  <c r="U1770" i="27"/>
  <c r="AB1770" i="27" s="1"/>
  <c r="U1454" i="27"/>
  <c r="AB1454" i="27" s="1"/>
  <c r="U1780" i="27"/>
  <c r="AB1780" i="27" s="1"/>
  <c r="U608" i="27"/>
  <c r="U611" i="27"/>
  <c r="U1470" i="27"/>
  <c r="AB1470" i="27" s="1"/>
  <c r="U1526" i="27"/>
  <c r="AB1526" i="27" s="1"/>
  <c r="U1675" i="27"/>
  <c r="AB1675" i="27" s="1"/>
  <c r="U1507" i="27"/>
  <c r="AB1507" i="27" s="1"/>
  <c r="U1408" i="27"/>
  <c r="AB1408" i="27" s="1"/>
  <c r="U225" i="27"/>
  <c r="U100" i="27"/>
  <c r="U1411" i="27"/>
  <c r="AB1411" i="27" s="1"/>
  <c r="U1662" i="27"/>
  <c r="AB1662" i="27" s="1"/>
  <c r="U1718" i="27"/>
  <c r="AB1718" i="27" s="1"/>
  <c r="U1602" i="27"/>
  <c r="AB1602" i="27" s="1"/>
  <c r="U180" i="27"/>
  <c r="U110" i="27"/>
  <c r="U1744" i="27"/>
  <c r="AB1744" i="27" s="1"/>
  <c r="U1622" i="27"/>
  <c r="AB1622" i="27" s="1"/>
  <c r="U130" i="27"/>
  <c r="U1559" i="27"/>
  <c r="AB1559" i="27" s="1"/>
  <c r="U704" i="27"/>
  <c r="U730" i="27"/>
  <c r="U723" i="27"/>
  <c r="U701" i="27"/>
  <c r="U707" i="27"/>
  <c r="U747" i="27"/>
  <c r="U744" i="27"/>
  <c r="U717" i="27"/>
  <c r="U727" i="27"/>
  <c r="U733" i="27"/>
  <c r="U779" i="27"/>
  <c r="U760" i="27"/>
  <c r="U684" i="27"/>
  <c r="U792" i="27"/>
  <c r="U773" i="27"/>
  <c r="U753" i="27"/>
  <c r="U740" i="27"/>
  <c r="U766" i="27"/>
  <c r="U776" i="27"/>
  <c r="U710" i="27"/>
  <c r="U763" i="27"/>
  <c r="U688" i="27"/>
  <c r="U694" i="27"/>
  <c r="U750" i="27"/>
  <c r="U789" i="27"/>
  <c r="U714" i="27"/>
  <c r="U720" i="27"/>
  <c r="U757" i="27"/>
  <c r="U691" i="27"/>
  <c r="U736" i="27"/>
  <c r="U697" i="27"/>
  <c r="U770" i="27"/>
  <c r="U786" i="27"/>
  <c r="U783" i="27"/>
  <c r="U813" i="27"/>
  <c r="U806" i="27"/>
  <c r="U1477" i="27"/>
  <c r="U1649" i="27"/>
  <c r="AB1649" i="27" s="1"/>
  <c r="U1688" i="27"/>
  <c r="AB1688" i="27" s="1"/>
  <c r="U1783" i="27"/>
  <c r="AB1783" i="27" s="1"/>
  <c r="U1796" i="27"/>
  <c r="AB1796" i="27" s="1"/>
  <c r="U1490" i="27"/>
  <c r="AB1490" i="27" s="1"/>
  <c r="U1494" i="27"/>
  <c r="AB1494" i="27" s="1"/>
  <c r="U1724" i="27"/>
  <c r="AB1724" i="27" s="1"/>
  <c r="U1721" i="27"/>
  <c r="AB1721" i="27" s="1"/>
  <c r="U59" i="27"/>
  <c r="U677" i="27"/>
  <c r="U595" i="27"/>
  <c r="U605" i="27"/>
  <c r="U579" i="27"/>
  <c r="U1375" i="27"/>
  <c r="AB1375" i="27" s="1"/>
  <c r="U1382" i="27"/>
  <c r="AB1382" i="27" s="1"/>
  <c r="U1606" i="27"/>
  <c r="AB1606" i="27" s="1"/>
  <c r="U1632" i="27"/>
  <c r="AB1632" i="27" s="1"/>
  <c r="U215" i="27"/>
  <c r="U212" i="27"/>
  <c r="U163" i="27"/>
  <c r="U166" i="27"/>
  <c r="U143" i="27"/>
  <c r="U888" i="27"/>
  <c r="U856" i="27"/>
  <c r="U1425" i="27"/>
  <c r="AB1425" i="27" s="1"/>
  <c r="U1428" i="27"/>
  <c r="AB1428" i="27" s="1"/>
  <c r="U107" i="27"/>
  <c r="U86" i="27"/>
  <c r="U1572" i="27"/>
  <c r="AB1572" i="27" s="1"/>
  <c r="U1537" i="27"/>
  <c r="AB1537" i="27" s="1"/>
  <c r="U829" i="27"/>
  <c r="U1652" i="27"/>
  <c r="AB1652" i="27" s="1"/>
  <c r="U1665" i="27"/>
  <c r="AB1665" i="27" s="1"/>
  <c r="U1761" i="27"/>
  <c r="AB1761" i="27" s="1"/>
  <c r="U1774" i="27"/>
  <c r="AB1774" i="27" s="1"/>
  <c r="U1500" i="27"/>
  <c r="AB1500" i="27" s="1"/>
  <c r="U1503" i="27"/>
  <c r="AB1503" i="27" s="1"/>
  <c r="U1727" i="27"/>
  <c r="AB1727" i="27" s="1"/>
  <c r="U1731" i="27"/>
  <c r="AB1731" i="27" s="1"/>
  <c r="U671" i="27"/>
  <c r="U674" i="27"/>
  <c r="U592" i="27"/>
  <c r="U615" i="27"/>
  <c r="U628" i="27"/>
  <c r="U1372" i="27"/>
  <c r="AB1372" i="27" s="1"/>
  <c r="U1417" i="27"/>
  <c r="AB1417" i="27" s="1"/>
  <c r="U1609" i="27"/>
  <c r="AB1609" i="27" s="1"/>
  <c r="U1641" i="27"/>
  <c r="AB1641" i="27" s="1"/>
  <c r="U189" i="27"/>
  <c r="U186" i="27"/>
  <c r="U124" i="27"/>
  <c r="U127" i="27"/>
  <c r="U140" i="27"/>
  <c r="U865" i="27"/>
  <c r="U878" i="27"/>
  <c r="U1447" i="27"/>
  <c r="AB1447" i="27" s="1"/>
  <c r="U1464" i="27"/>
  <c r="AB1464" i="27" s="1"/>
  <c r="U70" i="27"/>
  <c r="U89" i="27"/>
  <c r="U1556" i="27"/>
  <c r="AB1556" i="27" s="1"/>
  <c r="U1546" i="27"/>
  <c r="AB1546" i="27" s="1"/>
  <c r="U842" i="27"/>
  <c r="U1579" i="27"/>
  <c r="AB1579" i="27" s="1"/>
  <c r="U43" i="27"/>
  <c r="U819" i="27"/>
  <c r="U816" i="27"/>
  <c r="U46" i="27"/>
  <c r="U1678" i="27"/>
  <c r="AB1678" i="27" s="1"/>
  <c r="U1691" i="27"/>
  <c r="AB1691" i="27" s="1"/>
  <c r="U1787" i="27"/>
  <c r="AB1787" i="27" s="1"/>
  <c r="U1800" i="27"/>
  <c r="AB1800" i="27" s="1"/>
  <c r="U1516" i="27"/>
  <c r="AB1516" i="27" s="1"/>
  <c r="U1487" i="27"/>
  <c r="AB1487" i="27" s="1"/>
  <c r="U1753" i="27"/>
  <c r="AB1753" i="27" s="1"/>
  <c r="U1734" i="27"/>
  <c r="AB1734" i="27" s="1"/>
  <c r="U638" i="27"/>
  <c r="U621" i="27"/>
  <c r="U589" i="27"/>
  <c r="U641" i="27"/>
  <c r="U572" i="27"/>
  <c r="U1385" i="27"/>
  <c r="AB1385" i="27" s="1"/>
  <c r="U1401" i="27"/>
  <c r="AB1401" i="27" s="1"/>
  <c r="U1612" i="27"/>
  <c r="AB1612" i="27" s="1"/>
  <c r="U1635" i="27"/>
  <c r="AB1635" i="27" s="1"/>
  <c r="U202" i="27"/>
  <c r="U193" i="27"/>
  <c r="U150" i="27"/>
  <c r="U169" i="27"/>
  <c r="U895" i="27"/>
  <c r="U904" i="27"/>
  <c r="U1460" i="27"/>
  <c r="AB1460" i="27" s="1"/>
  <c r="U1444" i="27"/>
  <c r="AB1444" i="27" s="1"/>
  <c r="U94" i="27"/>
  <c r="U80" i="27"/>
  <c r="U1540" i="27"/>
  <c r="AB1540" i="27" s="1"/>
  <c r="U1566" i="27"/>
  <c r="AB1566" i="27" s="1"/>
  <c r="U885" i="27"/>
  <c r="U845" i="27"/>
  <c r="U1668" i="27"/>
  <c r="AB1668" i="27" s="1"/>
  <c r="U1655" i="27"/>
  <c r="AB1655" i="27" s="1"/>
  <c r="U40" i="27"/>
  <c r="U1764" i="27"/>
  <c r="AB1764" i="27" s="1"/>
  <c r="U1803" i="27"/>
  <c r="AB1803" i="27" s="1"/>
  <c r="U1484" i="27"/>
  <c r="AB1484" i="27" s="1"/>
  <c r="U1497" i="27"/>
  <c r="AB1497" i="27" s="1"/>
  <c r="U1708" i="27"/>
  <c r="AB1708" i="27" s="1"/>
  <c r="U1737" i="27"/>
  <c r="AB1737" i="27" s="1"/>
  <c r="U624" i="27"/>
  <c r="U598" i="27"/>
  <c r="U645" i="27"/>
  <c r="U664" i="27"/>
  <c r="U1391" i="27"/>
  <c r="AB1391" i="27" s="1"/>
  <c r="U1404" i="27"/>
  <c r="AB1404" i="27" s="1"/>
  <c r="U1615" i="27"/>
  <c r="AB1615" i="27" s="1"/>
  <c r="U1638" i="27"/>
  <c r="AB1638" i="27" s="1"/>
  <c r="U206" i="27"/>
  <c r="U199" i="27"/>
  <c r="U159" i="27"/>
  <c r="U137" i="27"/>
  <c r="U872" i="27"/>
  <c r="U875" i="27"/>
  <c r="U852" i="27"/>
  <c r="U1441" i="27"/>
  <c r="AB1441" i="27" s="1"/>
  <c r="U76" i="27"/>
  <c r="U1585" i="27"/>
  <c r="AB1585" i="27" s="1"/>
  <c r="U1553" i="27"/>
  <c r="AB1553" i="27" s="1"/>
  <c r="U835" i="27"/>
  <c r="U1365" i="27"/>
  <c r="U7" i="27"/>
  <c r="U27" i="27"/>
  <c r="U11" i="27"/>
  <c r="U30" i="27"/>
  <c r="U50" i="27"/>
  <c r="U37" i="27"/>
  <c r="U24" i="27"/>
  <c r="U14" i="27"/>
  <c r="U17" i="27"/>
  <c r="U800" i="27"/>
  <c r="U822" i="27"/>
  <c r="U796" i="27"/>
  <c r="U1694" i="27"/>
  <c r="AB1694" i="27" s="1"/>
  <c r="U1681" i="27"/>
  <c r="AB1681" i="27" s="1"/>
  <c r="U33" i="27"/>
  <c r="U1790" i="27"/>
  <c r="AB1790" i="27" s="1"/>
  <c r="U1806" i="27"/>
  <c r="AB1806" i="27" s="1"/>
  <c r="U1510" i="27"/>
  <c r="AB1510" i="27" s="1"/>
  <c r="U1481" i="27"/>
  <c r="AB1481" i="27" s="1"/>
  <c r="U1705" i="27"/>
  <c r="AB1705" i="27" s="1"/>
  <c r="U1747" i="27"/>
  <c r="AB1747" i="27" s="1"/>
  <c r="U648" i="27"/>
  <c r="U680" i="27"/>
  <c r="U661" i="27"/>
  <c r="U654" i="27"/>
  <c r="U1398" i="27"/>
  <c r="AB1398" i="27" s="1"/>
  <c r="U1395" i="27"/>
  <c r="AB1395" i="27" s="1"/>
  <c r="U1593" i="27"/>
  <c r="AB1593" i="27" s="1"/>
  <c r="U1619" i="27"/>
  <c r="AB1619" i="27" s="1"/>
  <c r="U196" i="27"/>
  <c r="U222" i="27"/>
  <c r="U146" i="27"/>
  <c r="U156" i="27"/>
  <c r="U869" i="27"/>
  <c r="U862" i="27"/>
  <c r="U1467" i="27"/>
  <c r="AB1467" i="27" s="1"/>
  <c r="U1473" i="27"/>
  <c r="AB1473" i="27" s="1"/>
  <c r="U116" i="27"/>
  <c r="U83" i="27"/>
  <c r="U1543" i="27"/>
  <c r="AB1543" i="27" s="1"/>
  <c r="U1550" i="27"/>
  <c r="AB1550" i="27" s="1"/>
  <c r="U891" i="27"/>
  <c r="U826" i="27"/>
  <c r="U1421" i="27"/>
  <c r="U1671" i="27"/>
  <c r="AB1671" i="27" s="1"/>
  <c r="U1658" i="27"/>
  <c r="AB1658" i="27" s="1"/>
  <c r="U1767" i="27"/>
  <c r="AB1767" i="27" s="1"/>
  <c r="U1809" i="27"/>
  <c r="AB1809" i="27" s="1"/>
  <c r="U1520" i="27"/>
  <c r="AB1520" i="27" s="1"/>
  <c r="U1513" i="27"/>
  <c r="AB1513" i="27" s="1"/>
  <c r="U1711" i="27"/>
  <c r="AB1711" i="27" s="1"/>
  <c r="U1750" i="27"/>
  <c r="AB1750" i="27" s="1"/>
  <c r="U632" i="27"/>
  <c r="U582" i="27"/>
  <c r="U585" i="27"/>
  <c r="U1414" i="27"/>
  <c r="AB1414" i="27" s="1"/>
  <c r="U1369" i="27"/>
  <c r="AB1369" i="27" s="1"/>
  <c r="U1599" i="27"/>
  <c r="AB1599" i="27" s="1"/>
  <c r="U1625" i="27"/>
  <c r="AB1625" i="27" s="1"/>
  <c r="U219" i="27"/>
  <c r="U228" i="27"/>
  <c r="U176" i="27"/>
  <c r="U120" i="27"/>
  <c r="U901" i="27"/>
  <c r="U859" i="27"/>
  <c r="U1451" i="27"/>
  <c r="AB1451" i="27" s="1"/>
  <c r="U1434" i="27"/>
  <c r="AB1434" i="27" s="1"/>
  <c r="U113" i="27"/>
  <c r="U97" i="27"/>
  <c r="U63" i="27"/>
  <c r="U53" i="27"/>
  <c r="U839" i="27"/>
  <c r="U1701" i="27"/>
  <c r="U1589" i="27"/>
  <c r="U1645" i="27"/>
  <c r="U1757" i="27"/>
  <c r="U832" i="27"/>
  <c r="U803" i="27"/>
  <c r="U809" i="27"/>
  <c r="U848" i="27"/>
  <c r="U529" i="27"/>
  <c r="U568" i="27"/>
  <c r="U496" i="27"/>
  <c r="U506" i="27"/>
  <c r="U533" i="27"/>
  <c r="U549" i="27"/>
  <c r="U542" i="27"/>
  <c r="U464" i="27"/>
  <c r="U480" i="27"/>
  <c r="U460" i="27"/>
  <c r="U523" i="27"/>
  <c r="U516" i="27"/>
  <c r="U470" i="27"/>
  <c r="U467" i="27"/>
  <c r="U536" i="27"/>
  <c r="U559" i="27"/>
  <c r="U486" i="27"/>
  <c r="U503" i="27"/>
  <c r="U555" i="27"/>
  <c r="U526" i="27"/>
  <c r="U546" i="27"/>
  <c r="U483" i="27"/>
  <c r="U493" i="27"/>
  <c r="U539" i="27"/>
  <c r="U520" i="27"/>
  <c r="U473" i="27"/>
  <c r="U512" i="27"/>
  <c r="U509" i="27"/>
  <c r="U499" i="27"/>
  <c r="U562" i="27"/>
  <c r="U490" i="27"/>
  <c r="U477" i="27"/>
  <c r="U1697" i="27"/>
  <c r="AB1697" i="27" s="1"/>
  <c r="U1684" i="27"/>
  <c r="AB1684" i="27" s="1"/>
  <c r="U1777" i="27"/>
  <c r="AB1777" i="27" s="1"/>
  <c r="U1793" i="27"/>
  <c r="AB1793" i="27" s="1"/>
  <c r="U56" i="27"/>
  <c r="U1529" i="27"/>
  <c r="AB1529" i="27" s="1"/>
  <c r="U1523" i="27"/>
  <c r="AB1523" i="27" s="1"/>
  <c r="U1714" i="27"/>
  <c r="AB1714" i="27" s="1"/>
  <c r="U1740" i="27"/>
  <c r="AB1740" i="27" s="1"/>
  <c r="U651" i="27"/>
  <c r="U667" i="27"/>
  <c r="U618" i="27"/>
  <c r="U576" i="27"/>
  <c r="U1388" i="27"/>
  <c r="AB1388" i="27" s="1"/>
  <c r="U1378" i="27"/>
  <c r="AB1378" i="27" s="1"/>
  <c r="U1596" i="27"/>
  <c r="AB1596" i="27" s="1"/>
  <c r="U1628" i="27"/>
  <c r="AB1628" i="27" s="1"/>
  <c r="U183" i="27"/>
  <c r="U209" i="27"/>
  <c r="U172" i="27"/>
  <c r="U153" i="27"/>
  <c r="U898" i="27"/>
  <c r="U882" i="27"/>
  <c r="U1438" i="27"/>
  <c r="AB1438" i="27" s="1"/>
  <c r="U1431" i="27"/>
  <c r="AB1431" i="27" s="1"/>
  <c r="U73" i="27"/>
  <c r="U103" i="27"/>
  <c r="U1563" i="27"/>
  <c r="U1576" i="27"/>
  <c r="AB1576" i="27" s="1"/>
  <c r="U1533" i="27"/>
  <c r="AB1563" i="27" l="1"/>
  <c r="AB153" i="27"/>
  <c r="AB56" i="27"/>
  <c r="AB499" i="27"/>
  <c r="AB546" i="27"/>
  <c r="AB470" i="27"/>
  <c r="AB533" i="27"/>
  <c r="AB832" i="27"/>
  <c r="AB97" i="27"/>
  <c r="AB228" i="27"/>
  <c r="AB632" i="27"/>
  <c r="AB50" i="27"/>
  <c r="AB199" i="27"/>
  <c r="AB598" i="27"/>
  <c r="AB40" i="27"/>
  <c r="AB94" i="27"/>
  <c r="AB202" i="27"/>
  <c r="AB621" i="27"/>
  <c r="AB140" i="27"/>
  <c r="AB166" i="27"/>
  <c r="AB579" i="27"/>
  <c r="AB783" i="27"/>
  <c r="AB714" i="27"/>
  <c r="AB766" i="27"/>
  <c r="AB733" i="27"/>
  <c r="AB730" i="27"/>
  <c r="AB67" i="27"/>
  <c r="AB576" i="27"/>
  <c r="AB618" i="27"/>
  <c r="AB506" i="27"/>
  <c r="AB113" i="27"/>
  <c r="AB219" i="27"/>
  <c r="AB30" i="27"/>
  <c r="AB76" i="27"/>
  <c r="AB206" i="27"/>
  <c r="AB624" i="27"/>
  <c r="AB638" i="27"/>
  <c r="AB127" i="27"/>
  <c r="AB86" i="27"/>
  <c r="AB163" i="27"/>
  <c r="AB605" i="27"/>
  <c r="AB786" i="27"/>
  <c r="AB789" i="27"/>
  <c r="AB727" i="27"/>
  <c r="AB704" i="27"/>
  <c r="AB635" i="27"/>
  <c r="AB172" i="27"/>
  <c r="AB509" i="27"/>
  <c r="AB526" i="27"/>
  <c r="AB103" i="27"/>
  <c r="AB209" i="27"/>
  <c r="AB667" i="27"/>
  <c r="AB512" i="27"/>
  <c r="AB555" i="27"/>
  <c r="AB523" i="27"/>
  <c r="AB496" i="27"/>
  <c r="AB826" i="27"/>
  <c r="AB862" i="27"/>
  <c r="AB822" i="27"/>
  <c r="AB46" i="27"/>
  <c r="AB89" i="27"/>
  <c r="AB124" i="27"/>
  <c r="AB615" i="27"/>
  <c r="AB107" i="27"/>
  <c r="AB212" i="27"/>
  <c r="AB595" i="27"/>
  <c r="AB770" i="27"/>
  <c r="AB750" i="27"/>
  <c r="AB753" i="27"/>
  <c r="AB717" i="27"/>
  <c r="AB658" i="27"/>
  <c r="AB183" i="27"/>
  <c r="AB651" i="27"/>
  <c r="AB473" i="27"/>
  <c r="AB503" i="27"/>
  <c r="AB568" i="27"/>
  <c r="AB891" i="27"/>
  <c r="AB869" i="27"/>
  <c r="AB800" i="27"/>
  <c r="AB27" i="27"/>
  <c r="AB845" i="27"/>
  <c r="AB904" i="27"/>
  <c r="AB816" i="27"/>
  <c r="AB70" i="27"/>
  <c r="AB186" i="27"/>
  <c r="AB592" i="27"/>
  <c r="AB215" i="27"/>
  <c r="AB677" i="27"/>
  <c r="AB697" i="27"/>
  <c r="AB694" i="27"/>
  <c r="AB773" i="27"/>
  <c r="AB744" i="27"/>
  <c r="AB130" i="27"/>
  <c r="AB611" i="27"/>
  <c r="AB133" i="27"/>
  <c r="AB565" i="27"/>
  <c r="AB73" i="27"/>
  <c r="AB520" i="27"/>
  <c r="AB486" i="27"/>
  <c r="AB480" i="27"/>
  <c r="AB529" i="27"/>
  <c r="AB859" i="27"/>
  <c r="AB156" i="27"/>
  <c r="AB654" i="27"/>
  <c r="AB17" i="27"/>
  <c r="AB875" i="27"/>
  <c r="AB885" i="27"/>
  <c r="AB895" i="27"/>
  <c r="AB819" i="27"/>
  <c r="AB189" i="27"/>
  <c r="AB674" i="27"/>
  <c r="AB59" i="27"/>
  <c r="AB736" i="27"/>
  <c r="AB688" i="27"/>
  <c r="AB792" i="27"/>
  <c r="AB747" i="27"/>
  <c r="AB100" i="27"/>
  <c r="AB608" i="27"/>
  <c r="AB602" i="27"/>
  <c r="AB552" i="27"/>
  <c r="AB539" i="27"/>
  <c r="AB464" i="27"/>
  <c r="AB848" i="27"/>
  <c r="AB839" i="27"/>
  <c r="AB901" i="27"/>
  <c r="AB146" i="27"/>
  <c r="AB661" i="27"/>
  <c r="AB14" i="27"/>
  <c r="AB872" i="27"/>
  <c r="AB169" i="27"/>
  <c r="AB43" i="27"/>
  <c r="AB671" i="27"/>
  <c r="AB856" i="27"/>
  <c r="AB691" i="27"/>
  <c r="AB763" i="27"/>
  <c r="AB707" i="27"/>
  <c r="AB225" i="27"/>
  <c r="AB898" i="27"/>
  <c r="AB477" i="27"/>
  <c r="AB559" i="27"/>
  <c r="AB882" i="27"/>
  <c r="AB490" i="27"/>
  <c r="AB493" i="27"/>
  <c r="AB536" i="27"/>
  <c r="AB542" i="27"/>
  <c r="AB809" i="27"/>
  <c r="AB53" i="27"/>
  <c r="AB585" i="27"/>
  <c r="AB83" i="27"/>
  <c r="AB222" i="27"/>
  <c r="AB680" i="27"/>
  <c r="AB33" i="27"/>
  <c r="AB24" i="27"/>
  <c r="AB835" i="27"/>
  <c r="AB137" i="27"/>
  <c r="AB664" i="27"/>
  <c r="AB150" i="27"/>
  <c r="AB641" i="27"/>
  <c r="AB878" i="27"/>
  <c r="AB829" i="27"/>
  <c r="AB888" i="27"/>
  <c r="AB806" i="27"/>
  <c r="AB757" i="27"/>
  <c r="AB710" i="27"/>
  <c r="AB760" i="27"/>
  <c r="AB701" i="27"/>
  <c r="AB110" i="27"/>
  <c r="AB562" i="27"/>
  <c r="AB483" i="27"/>
  <c r="AB467" i="27"/>
  <c r="AB549" i="27"/>
  <c r="AB803" i="27"/>
  <c r="AB582" i="27"/>
  <c r="AB116" i="27"/>
  <c r="AB196" i="27"/>
  <c r="AB648" i="27"/>
  <c r="AB37" i="27"/>
  <c r="AB159" i="27"/>
  <c r="AB645" i="27"/>
  <c r="AB80" i="27"/>
  <c r="AB193" i="27"/>
  <c r="AB589" i="27"/>
  <c r="AB842" i="27"/>
  <c r="AB865" i="27"/>
  <c r="AB143" i="27"/>
  <c r="AB813" i="27"/>
  <c r="AB720" i="27"/>
  <c r="AB776" i="27"/>
  <c r="AB779" i="27"/>
  <c r="AB723" i="27"/>
  <c r="AB180" i="27"/>
  <c r="AB11" i="27"/>
  <c r="AE4" i="27"/>
  <c r="AA926" i="27"/>
  <c r="AB926" i="27"/>
  <c r="AA1064" i="27"/>
  <c r="AB1064" i="27"/>
  <c r="AA1163" i="27"/>
  <c r="AB1163" i="27"/>
  <c r="AA1111" i="27"/>
  <c r="AB1111" i="27"/>
  <c r="AA939" i="27"/>
  <c r="AB939" i="27"/>
  <c r="AA986" i="27"/>
  <c r="AB986" i="27"/>
  <c r="AA1253" i="27"/>
  <c r="AB1253" i="27"/>
  <c r="AA1309" i="27"/>
  <c r="AB1309" i="27"/>
  <c r="AA1219" i="27"/>
  <c r="AB1219" i="27"/>
  <c r="AA1038" i="27"/>
  <c r="AB1038" i="27"/>
  <c r="AA965" i="27"/>
  <c r="AB965" i="27"/>
  <c r="AA999" i="27"/>
  <c r="AB999" i="27"/>
  <c r="AA1133" i="27"/>
  <c r="AB1133" i="27"/>
  <c r="AA1167" i="27"/>
  <c r="AB1167" i="27"/>
  <c r="AA1107" i="27"/>
  <c r="AB1107" i="27"/>
  <c r="AA1318" i="27"/>
  <c r="AB1318" i="27"/>
  <c r="AA1137" i="27"/>
  <c r="AA1081" i="27"/>
  <c r="AA1025" i="27"/>
  <c r="AA1077" i="27"/>
  <c r="AB1077" i="27"/>
  <c r="AA1094" i="27"/>
  <c r="AB1094" i="27"/>
  <c r="AA1348" i="27"/>
  <c r="AB1348" i="27"/>
  <c r="AA1210" i="27"/>
  <c r="AB1210" i="27"/>
  <c r="AA1288" i="27"/>
  <c r="AB1288" i="27"/>
  <c r="AA973" i="27"/>
  <c r="AB973" i="27"/>
  <c r="AA1357" i="27"/>
  <c r="AB1357" i="27"/>
  <c r="AA1344" i="27"/>
  <c r="AB1344" i="27"/>
  <c r="AA930" i="27"/>
  <c r="AB930" i="27"/>
  <c r="AA1068" i="27"/>
  <c r="AB1068" i="27"/>
  <c r="AA1189" i="27"/>
  <c r="AB1189" i="27"/>
  <c r="AA1266" i="27"/>
  <c r="AB1266" i="27"/>
  <c r="AA1292" i="27"/>
  <c r="AB1292" i="27"/>
  <c r="AA1305" i="27"/>
  <c r="AA956" i="27"/>
  <c r="AB956" i="27"/>
  <c r="AA1021" i="27"/>
  <c r="AB1021" i="27"/>
  <c r="AA1120" i="27"/>
  <c r="AB1120" i="27"/>
  <c r="AA943" i="27"/>
  <c r="AB943" i="27"/>
  <c r="AA995" i="27"/>
  <c r="AB995" i="27"/>
  <c r="AA1055" i="27"/>
  <c r="AB1055" i="27"/>
  <c r="AA1335" i="27"/>
  <c r="AB1335" i="27"/>
  <c r="AA1223" i="27"/>
  <c r="AB1223" i="27"/>
  <c r="AA1154" i="27"/>
  <c r="AB1154" i="27"/>
  <c r="AA1275" i="27"/>
  <c r="AB1275" i="27"/>
  <c r="AA1262" i="27"/>
  <c r="AB1262" i="27"/>
  <c r="AA952" i="27"/>
  <c r="AB952" i="27"/>
  <c r="AA1124" i="27"/>
  <c r="AB1124" i="27"/>
  <c r="AA1029" i="27"/>
  <c r="AB1029" i="27"/>
  <c r="AA1150" i="27"/>
  <c r="AB1150" i="27"/>
  <c r="AA1206" i="27"/>
  <c r="AB1206" i="27"/>
  <c r="AA1193" i="27"/>
  <c r="AA1008" i="27"/>
  <c r="AB1008" i="27"/>
  <c r="AA1249" i="27"/>
  <c r="AA1141" i="27"/>
  <c r="AB1141" i="27"/>
  <c r="AA1085" i="27"/>
  <c r="AB1085" i="27"/>
  <c r="AA1301" i="27"/>
  <c r="AB1301" i="27"/>
  <c r="AA982" i="27"/>
  <c r="AB982" i="27"/>
  <c r="AA1322" i="27"/>
  <c r="AB1322" i="27"/>
  <c r="AA1232" i="27"/>
  <c r="AB1232" i="27"/>
  <c r="AA1236" i="27"/>
  <c r="AB1236" i="27"/>
  <c r="AA1331" i="27"/>
  <c r="AB1331" i="27"/>
  <c r="AA1279" i="27"/>
  <c r="AB1279" i="27"/>
  <c r="AA1042" i="27"/>
  <c r="AB1042" i="27"/>
  <c r="AA1180" i="27"/>
  <c r="AB1180" i="27"/>
  <c r="AA1012" i="27"/>
  <c r="AB1012" i="27"/>
  <c r="AA969" i="27"/>
  <c r="AA1176" i="27"/>
  <c r="AB1176" i="27"/>
  <c r="AA1051" i="27"/>
  <c r="AB1051" i="27"/>
  <c r="AA1197" i="27"/>
  <c r="AB1197" i="27"/>
  <c r="AA1098" i="27"/>
  <c r="AB1098" i="27"/>
  <c r="AA1245" i="27"/>
  <c r="AB1245" i="27"/>
  <c r="AA913" i="27"/>
  <c r="AA917" i="27"/>
  <c r="AU38" i="27"/>
  <c r="AU10" i="27"/>
  <c r="AU11" i="27"/>
  <c r="AT22" i="27"/>
  <c r="AT12" i="27"/>
  <c r="AS38" i="27"/>
  <c r="AS10" i="27"/>
  <c r="AS11" i="27"/>
  <c r="AS8" i="27"/>
  <c r="AS9" i="27"/>
  <c r="AQ14" i="27"/>
  <c r="U255" i="27"/>
  <c r="AQ5" i="27"/>
  <c r="AP14" i="27"/>
  <c r="AO6" i="27"/>
  <c r="AP5" i="27"/>
  <c r="AP8" i="27" s="1"/>
  <c r="AO12" i="27"/>
  <c r="V908" i="27"/>
  <c r="U239" i="27"/>
  <c r="U278" i="27"/>
  <c r="U242" i="27"/>
  <c r="U262" i="27"/>
  <c r="CD555" i="27"/>
  <c r="CF555" i="27"/>
  <c r="CD576" i="27"/>
  <c r="CF576" i="27"/>
  <c r="CD546" i="27"/>
  <c r="CF546" i="27"/>
  <c r="CD533" i="27"/>
  <c r="CF533" i="27"/>
  <c r="CD585" i="27"/>
  <c r="CF585" i="27"/>
  <c r="AA33" i="27"/>
  <c r="AA24" i="27"/>
  <c r="AA11" i="27"/>
  <c r="AA658" i="27"/>
  <c r="AA67" i="27"/>
  <c r="CD565" i="27"/>
  <c r="CF565" i="27"/>
  <c r="AA103" i="27"/>
  <c r="CD539" i="27"/>
  <c r="CF539" i="27"/>
  <c r="CD559" i="27"/>
  <c r="CF559" i="27"/>
  <c r="CD582" i="27"/>
  <c r="CF582" i="27"/>
  <c r="BY83" i="27"/>
  <c r="AA37" i="27"/>
  <c r="BY76" i="27"/>
  <c r="CD589" i="27"/>
  <c r="CF589" i="27"/>
  <c r="AA46" i="27"/>
  <c r="CD592" i="27"/>
  <c r="CF592" i="27"/>
  <c r="CD579" i="27"/>
  <c r="CF579" i="27"/>
  <c r="AA59" i="27"/>
  <c r="AA180" i="27"/>
  <c r="AA611" i="27"/>
  <c r="CD552" i="27"/>
  <c r="CF552" i="27"/>
  <c r="CD598" i="27"/>
  <c r="CF598" i="27"/>
  <c r="AA89" i="27"/>
  <c r="AA107" i="27"/>
  <c r="AA602" i="27"/>
  <c r="BY73" i="27"/>
  <c r="CD536" i="27"/>
  <c r="CF536" i="27"/>
  <c r="CD542" i="27"/>
  <c r="CF542" i="27"/>
  <c r="AA116" i="27"/>
  <c r="CD562" i="27"/>
  <c r="CF562" i="27"/>
  <c r="CD549" i="27"/>
  <c r="CF549" i="27"/>
  <c r="CD568" i="27"/>
  <c r="CF568" i="27"/>
  <c r="AA94" i="27"/>
  <c r="CD572" i="27"/>
  <c r="CF572" i="27"/>
  <c r="BY70" i="27"/>
  <c r="CD595" i="27"/>
  <c r="CF595" i="27"/>
  <c r="AA133" i="27"/>
  <c r="U232" i="27"/>
  <c r="U271" i="27"/>
  <c r="U258" i="27"/>
  <c r="U357" i="27"/>
  <c r="U265" i="27"/>
  <c r="U252" i="27"/>
  <c r="U249" i="27"/>
  <c r="U281" i="27"/>
  <c r="U236" i="27"/>
  <c r="U268" i="27"/>
  <c r="U396" i="27"/>
  <c r="U288" i="27"/>
  <c r="U284" i="27"/>
  <c r="U245" i="27"/>
  <c r="AA1662" i="27"/>
  <c r="U380" i="27"/>
  <c r="U275" i="27"/>
  <c r="U364" i="27"/>
  <c r="U387" i="27"/>
  <c r="U361" i="27"/>
  <c r="U377" i="27"/>
  <c r="U351" i="27"/>
  <c r="U367" i="27"/>
  <c r="BY67" i="27"/>
  <c r="U348" i="27"/>
  <c r="U393" i="27"/>
  <c r="U383" i="27"/>
  <c r="U354" i="27"/>
  <c r="U390" i="27"/>
  <c r="U374" i="27"/>
  <c r="U370" i="27"/>
  <c r="G302" i="27"/>
  <c r="U400" i="27"/>
  <c r="U344" i="27"/>
  <c r="AA63" i="27"/>
  <c r="BY63" i="27"/>
  <c r="AA80" i="27"/>
  <c r="BY80" i="27"/>
  <c r="AA1408" i="27"/>
  <c r="AA1645" i="27"/>
  <c r="AA1589" i="27"/>
  <c r="AA1365" i="27"/>
  <c r="AA1718" i="27"/>
  <c r="AA1507" i="27"/>
  <c r="AA1770" i="27"/>
  <c r="AA1701" i="27"/>
  <c r="AA1421" i="27"/>
  <c r="AA1559" i="27"/>
  <c r="AA1744" i="27"/>
  <c r="AA1602" i="27"/>
  <c r="AA1675" i="27"/>
  <c r="AA76" i="27"/>
  <c r="AA1671" i="27"/>
  <c r="AA172" i="27"/>
  <c r="AA1438" i="27"/>
  <c r="AA499" i="27"/>
  <c r="AA546" i="27"/>
  <c r="CM546" i="27" s="1"/>
  <c r="AA176" i="27"/>
  <c r="AA1658" i="27"/>
  <c r="AA146" i="27"/>
  <c r="AA796" i="27"/>
  <c r="AA1391" i="27"/>
  <c r="AA193" i="27"/>
  <c r="AA1516" i="27"/>
  <c r="AA124" i="27"/>
  <c r="AA1425" i="27"/>
  <c r="AA1649" i="27"/>
  <c r="AA736" i="27"/>
  <c r="AA688" i="27"/>
  <c r="AA792" i="27"/>
  <c r="AA533" i="27"/>
  <c r="CM533" i="27" s="1"/>
  <c r="AA228" i="27"/>
  <c r="AA654" i="27"/>
  <c r="AA852" i="27"/>
  <c r="AA684" i="27"/>
  <c r="AA1533" i="27"/>
  <c r="AA1740" i="27"/>
  <c r="AA1684" i="27"/>
  <c r="AA512" i="27"/>
  <c r="AA555" i="27"/>
  <c r="CM555" i="27" s="1"/>
  <c r="AA516" i="27"/>
  <c r="AA219" i="27"/>
  <c r="AA891" i="27"/>
  <c r="AA800" i="27"/>
  <c r="AA645" i="27"/>
  <c r="AA904" i="27"/>
  <c r="AA572" i="27"/>
  <c r="CM572" i="27" s="1"/>
  <c r="AA1464" i="27"/>
  <c r="AA189" i="27"/>
  <c r="AA1783" i="27"/>
  <c r="AA757" i="27"/>
  <c r="AA710" i="27"/>
  <c r="AA701" i="27"/>
  <c r="AA822" i="27"/>
  <c r="AA1417" i="27"/>
  <c r="AA1576" i="27"/>
  <c r="AA1628" i="27"/>
  <c r="AA1714" i="27"/>
  <c r="AA1697" i="27"/>
  <c r="AA473" i="27"/>
  <c r="AA503" i="27"/>
  <c r="AA1434" i="27"/>
  <c r="AA632" i="27"/>
  <c r="AA1473" i="27"/>
  <c r="AA680" i="27"/>
  <c r="AA1705" i="27"/>
  <c r="AA7" i="27"/>
  <c r="AA835" i="27"/>
  <c r="AA598" i="27"/>
  <c r="CM598" i="27" s="1"/>
  <c r="AA895" i="27"/>
  <c r="AA641" i="27"/>
  <c r="AA1447" i="27"/>
  <c r="AA628" i="27"/>
  <c r="AA1537" i="27"/>
  <c r="AA1632" i="27"/>
  <c r="AA779" i="27"/>
  <c r="AA723" i="27"/>
  <c r="Z1757" i="27"/>
  <c r="AA1757" i="27"/>
  <c r="AA202" i="27"/>
  <c r="AA477" i="27"/>
  <c r="AA520" i="27"/>
  <c r="AA486" i="27"/>
  <c r="AA460" i="27"/>
  <c r="AA568" i="27"/>
  <c r="CM568" i="27" s="1"/>
  <c r="AA1451" i="27"/>
  <c r="AA1481" i="27"/>
  <c r="AA137" i="27"/>
  <c r="AA624" i="27"/>
  <c r="AA589" i="27"/>
  <c r="CM589" i="27" s="1"/>
  <c r="AA1800" i="27"/>
  <c r="AA878" i="27"/>
  <c r="AA615" i="27"/>
  <c r="AA1774" i="27"/>
  <c r="AA1572" i="27"/>
  <c r="AA1606" i="27"/>
  <c r="AA1494" i="27"/>
  <c r="AA1477" i="27"/>
  <c r="AA783" i="27"/>
  <c r="AA714" i="27"/>
  <c r="AA766" i="27"/>
  <c r="AA882" i="27"/>
  <c r="AA856" i="27"/>
  <c r="AA1378" i="27"/>
  <c r="AA1529" i="27"/>
  <c r="AA490" i="27"/>
  <c r="AA559" i="27"/>
  <c r="CM559" i="27" s="1"/>
  <c r="AA529" i="27"/>
  <c r="AA1520" i="27"/>
  <c r="AA1619" i="27"/>
  <c r="AA1585" i="27"/>
  <c r="AA159" i="27"/>
  <c r="AA1787" i="27"/>
  <c r="AA865" i="27"/>
  <c r="AA1731" i="27"/>
  <c r="AA1761" i="27"/>
  <c r="AA163" i="27"/>
  <c r="AA1382" i="27"/>
  <c r="AA1490" i="27"/>
  <c r="AA740" i="27"/>
  <c r="AA727" i="27"/>
  <c r="AA585" i="27"/>
  <c r="CM585" i="27" s="1"/>
  <c r="AA1796" i="27"/>
  <c r="AA1563" i="27"/>
  <c r="AA464" i="27"/>
  <c r="AA848" i="27"/>
  <c r="AA839" i="27"/>
  <c r="Z1701" i="27"/>
  <c r="AA869" i="27"/>
  <c r="AA1593" i="27"/>
  <c r="AA1615" i="27"/>
  <c r="AA1753" i="27"/>
  <c r="AA1546" i="27"/>
  <c r="AA1727" i="27"/>
  <c r="AA813" i="27"/>
  <c r="AA770" i="27"/>
  <c r="AA753" i="27"/>
  <c r="AA667" i="27"/>
  <c r="AA1809" i="27"/>
  <c r="AA1460" i="27"/>
  <c r="U1813" i="27"/>
  <c r="AA576" i="27"/>
  <c r="CM576" i="27" s="1"/>
  <c r="AA542" i="27"/>
  <c r="CM542" i="27" s="1"/>
  <c r="AA809" i="27"/>
  <c r="AA120" i="27"/>
  <c r="AA1369" i="27"/>
  <c r="AA826" i="27"/>
  <c r="AA1550" i="27"/>
  <c r="AA1395" i="27"/>
  <c r="AA50" i="27"/>
  <c r="AA206" i="27"/>
  <c r="AA1404" i="27"/>
  <c r="AA150" i="27"/>
  <c r="AA1641" i="27"/>
  <c r="AA671" i="27"/>
  <c r="AA1503" i="27"/>
  <c r="AA215" i="27"/>
  <c r="AA1688" i="27"/>
  <c r="AA697" i="27"/>
  <c r="AA744" i="27"/>
  <c r="D76" i="11"/>
  <c r="B252" i="5" s="1"/>
  <c r="D77" i="11"/>
  <c r="B253" i="5" s="1"/>
  <c r="AT41" i="27" l="1"/>
  <c r="AP18" i="27"/>
  <c r="AO14" i="27"/>
  <c r="AB374" i="27"/>
  <c r="AB351" i="27"/>
  <c r="AB245" i="27"/>
  <c r="AB252" i="27"/>
  <c r="AB239" i="27"/>
  <c r="AB390" i="27"/>
  <c r="AB377" i="27"/>
  <c r="AB284" i="27"/>
  <c r="AB265" i="27"/>
  <c r="AB354" i="27"/>
  <c r="AB361" i="27"/>
  <c r="AB357" i="27"/>
  <c r="AB383" i="27"/>
  <c r="AB387" i="27"/>
  <c r="AB396" i="27"/>
  <c r="AB258" i="27"/>
  <c r="AB393" i="27"/>
  <c r="AB364" i="27"/>
  <c r="AB268" i="27"/>
  <c r="AB271" i="27"/>
  <c r="AB348" i="27"/>
  <c r="AB275" i="27"/>
  <c r="AB236" i="27"/>
  <c r="AB380" i="27"/>
  <c r="AB281" i="27"/>
  <c r="AB242" i="27"/>
  <c r="AB370" i="27"/>
  <c r="AB367" i="27"/>
  <c r="AB249" i="27"/>
  <c r="AB278" i="27"/>
  <c r="AB255" i="27"/>
  <c r="AV22" i="27"/>
  <c r="AA262" i="27"/>
  <c r="AB262" i="27"/>
  <c r="AU20" i="27"/>
  <c r="AU41" i="27" s="1"/>
  <c r="AS20" i="27"/>
  <c r="AS41" i="27" s="1"/>
  <c r="AQ8" i="27"/>
  <c r="AQ18" i="27" s="1"/>
  <c r="AR6" i="27"/>
  <c r="AR18" i="27" s="1"/>
  <c r="AI12" i="27"/>
  <c r="AI3" i="27"/>
  <c r="AF4" i="27"/>
  <c r="AE10" i="27" s="1"/>
  <c r="AA271" i="27"/>
  <c r="AA400" i="27"/>
  <c r="AA348" i="27"/>
  <c r="AA275" i="27"/>
  <c r="AA361" i="27"/>
  <c r="AA284" i="27"/>
  <c r="AA236" i="27"/>
  <c r="AA232" i="27"/>
  <c r="AA370" i="27"/>
  <c r="AA383" i="27"/>
  <c r="AA387" i="27"/>
  <c r="AA288" i="27"/>
  <c r="AA344" i="27"/>
  <c r="AA374" i="27"/>
  <c r="AA396" i="27"/>
  <c r="AA249" i="27"/>
  <c r="AA258" i="27"/>
  <c r="AA357" i="27"/>
  <c r="AA245" i="27"/>
  <c r="E12" i="17"/>
  <c r="C12" i="17"/>
  <c r="D12" i="17"/>
  <c r="B12" i="17"/>
  <c r="D57" i="11"/>
  <c r="D59" i="11"/>
  <c r="D60" i="11"/>
  <c r="D61" i="11"/>
  <c r="D62" i="11"/>
  <c r="D58" i="11"/>
  <c r="D66" i="11"/>
  <c r="D71" i="11"/>
  <c r="D45" i="11"/>
  <c r="D17" i="11"/>
  <c r="AF3" i="27" l="1"/>
  <c r="AE9" i="27" s="1"/>
  <c r="AF9" i="27" s="1"/>
  <c r="X1691" i="27"/>
  <c r="AA1691" i="27" s="1"/>
  <c r="X1665" i="27"/>
  <c r="AA1665" i="27" s="1"/>
  <c r="X1454" i="27"/>
  <c r="AA1454" i="27" s="1"/>
  <c r="X1428" i="27"/>
  <c r="AA1428" i="27" s="1"/>
  <c r="X1295" i="27"/>
  <c r="AA1295" i="27" s="1"/>
  <c r="X1269" i="27"/>
  <c r="AA1269" i="27" s="1"/>
  <c r="X1058" i="27"/>
  <c r="AA1058" i="27" s="1"/>
  <c r="X1032" i="27"/>
  <c r="AA1032" i="27" s="1"/>
  <c r="X898" i="27"/>
  <c r="AA898" i="27" s="1"/>
  <c r="X872" i="27"/>
  <c r="AA872" i="27" s="1"/>
  <c r="X661" i="27"/>
  <c r="AA661" i="27" s="1"/>
  <c r="X635" i="27"/>
  <c r="AA635" i="27" s="1"/>
  <c r="X390" i="27"/>
  <c r="AA390" i="27" s="1"/>
  <c r="X321" i="27"/>
  <c r="X252" i="27"/>
  <c r="AA252" i="27" s="1"/>
  <c r="X1635" i="27"/>
  <c r="AA1635" i="27" s="1"/>
  <c r="X1609" i="27"/>
  <c r="AA1609" i="27" s="1"/>
  <c r="X1790" i="27"/>
  <c r="AA1790" i="27" s="1"/>
  <c r="X1764" i="27"/>
  <c r="AA1764" i="27" s="1"/>
  <c r="X1579" i="27"/>
  <c r="AA1579" i="27" s="1"/>
  <c r="X1553" i="27"/>
  <c r="AA1553" i="27" s="1"/>
  <c r="X1183" i="27"/>
  <c r="AA1183" i="27" s="1"/>
  <c r="X1157" i="27"/>
  <c r="AA1157" i="27" s="1"/>
  <c r="X946" i="27"/>
  <c r="AA946" i="27" s="1"/>
  <c r="X786" i="27"/>
  <c r="AA786" i="27" s="1"/>
  <c r="X760" i="27"/>
  <c r="AA760" i="27" s="1"/>
  <c r="X549" i="27"/>
  <c r="X523" i="27"/>
  <c r="AA523" i="27" s="1"/>
  <c r="X1734" i="27"/>
  <c r="AA1734" i="27" s="1"/>
  <c r="X1708" i="27"/>
  <c r="AA1708" i="27" s="1"/>
  <c r="X1523" i="27"/>
  <c r="AA1523" i="27" s="1"/>
  <c r="X1497" i="27"/>
  <c r="AA1497" i="27" s="1"/>
  <c r="X1338" i="27"/>
  <c r="AA1338" i="27" s="1"/>
  <c r="X1312" i="27"/>
  <c r="AA1312" i="27" s="1"/>
  <c r="X1127" i="27"/>
  <c r="AA1127" i="27" s="1"/>
  <c r="X1101" i="27"/>
  <c r="AA1101" i="27" s="1"/>
  <c r="X730" i="27"/>
  <c r="AA730" i="27" s="1"/>
  <c r="X704" i="27"/>
  <c r="AA704" i="27" s="1"/>
  <c r="X493" i="27"/>
  <c r="AA493" i="27" s="1"/>
  <c r="X467" i="27"/>
  <c r="AA467" i="27" s="1"/>
  <c r="X377" i="27"/>
  <c r="AA377" i="27" s="1"/>
  <c r="X308" i="27"/>
  <c r="X239" i="27"/>
  <c r="AA239" i="27" s="1"/>
  <c r="X1622" i="27"/>
  <c r="AA1622" i="27" s="1"/>
  <c r="X1596" i="27"/>
  <c r="AA1596" i="27" s="1"/>
  <c r="X1411" i="27"/>
  <c r="AA1411" i="27" s="1"/>
  <c r="X1385" i="27"/>
  <c r="AA1385" i="27" s="1"/>
  <c r="X1226" i="27"/>
  <c r="AA1226" i="27" s="1"/>
  <c r="X1200" i="27"/>
  <c r="AA1200" i="27" s="1"/>
  <c r="X1015" i="27"/>
  <c r="AA1015" i="27" s="1"/>
  <c r="X989" i="27"/>
  <c r="AA989" i="27" s="1"/>
  <c r="X829" i="27"/>
  <c r="AA829" i="27" s="1"/>
  <c r="X803" i="27"/>
  <c r="AA803" i="27" s="1"/>
  <c r="X618" i="27"/>
  <c r="AA618" i="27" s="1"/>
  <c r="X592" i="27"/>
  <c r="X433" i="27"/>
  <c r="X334" i="27"/>
  <c r="X265" i="27"/>
  <c r="AA265" i="27" s="1"/>
  <c r="X196" i="27"/>
  <c r="AA196" i="27" s="1"/>
  <c r="X1803" i="27"/>
  <c r="AA1803" i="27" s="1"/>
  <c r="X1777" i="27"/>
  <c r="AA1777" i="27" s="1"/>
  <c r="X1566" i="27"/>
  <c r="AA1566" i="27" s="1"/>
  <c r="X1540" i="27"/>
  <c r="AA1540" i="27" s="1"/>
  <c r="X1170" i="27"/>
  <c r="AA1170" i="27" s="1"/>
  <c r="X1144" i="27"/>
  <c r="AA1144" i="27" s="1"/>
  <c r="X959" i="27"/>
  <c r="AA959" i="27" s="1"/>
  <c r="X933" i="27"/>
  <c r="AA933" i="27" s="1"/>
  <c r="X773" i="27"/>
  <c r="AA773" i="27" s="1"/>
  <c r="X562" i="27"/>
  <c r="X536" i="27"/>
  <c r="X364" i="27"/>
  <c r="AA364" i="27" s="1"/>
  <c r="X295" i="27"/>
  <c r="X1652" i="27"/>
  <c r="AA1652" i="27" s="1"/>
  <c r="X1484" i="27"/>
  <c r="AA1484" i="27" s="1"/>
  <c r="X1441" i="27"/>
  <c r="AA1441" i="27" s="1"/>
  <c r="X1398" i="27"/>
  <c r="AA1398" i="27" s="1"/>
  <c r="X1351" i="27"/>
  <c r="AA1351" i="27" s="1"/>
  <c r="X1213" i="27"/>
  <c r="AA1213" i="27" s="1"/>
  <c r="X1114" i="27"/>
  <c r="AA1114" i="27" s="1"/>
  <c r="X976" i="27"/>
  <c r="AA976" i="27" s="1"/>
  <c r="X885" i="27"/>
  <c r="AA885" i="27" s="1"/>
  <c r="X842" i="27"/>
  <c r="AA842" i="27" s="1"/>
  <c r="X747" i="27"/>
  <c r="AA747" i="27" s="1"/>
  <c r="X691" i="27"/>
  <c r="AA691" i="27" s="1"/>
  <c r="X648" i="27"/>
  <c r="AA648" i="27" s="1"/>
  <c r="X605" i="27"/>
  <c r="AA605" i="27" s="1"/>
  <c r="X506" i="27"/>
  <c r="AA506" i="27" s="1"/>
  <c r="X83" i="27"/>
  <c r="AA83" i="27" s="1"/>
  <c r="X1747" i="27"/>
  <c r="AA1747" i="27" s="1"/>
  <c r="X1256" i="27"/>
  <c r="AA1256" i="27" s="1"/>
  <c r="X153" i="27"/>
  <c r="AA153" i="27" s="1"/>
  <c r="X40" i="27"/>
  <c r="AA40" i="27" s="1"/>
  <c r="X1071" i="27"/>
  <c r="AA1071" i="27" s="1"/>
  <c r="X127" i="27"/>
  <c r="AA127" i="27" s="1"/>
  <c r="X14" i="27"/>
  <c r="X446" i="27"/>
  <c r="X110" i="27"/>
  <c r="AA110" i="27" s="1"/>
  <c r="X183" i="27"/>
  <c r="AA183" i="27" s="1"/>
  <c r="X1467" i="27"/>
  <c r="AA1467" i="27" s="1"/>
  <c r="X920" i="27"/>
  <c r="X674" i="27"/>
  <c r="AA674" i="27" s="1"/>
  <c r="X70" i="27"/>
  <c r="AA70" i="27" s="1"/>
  <c r="X209" i="27"/>
  <c r="AA209" i="27" s="1"/>
  <c r="X1678" i="27"/>
  <c r="AA1678" i="27" s="1"/>
  <c r="X1510" i="27"/>
  <c r="AA1510" i="27" s="1"/>
  <c r="X1372" i="27"/>
  <c r="AA1372" i="27" s="1"/>
  <c r="X1325" i="27"/>
  <c r="AA1325" i="27" s="1"/>
  <c r="X1282" i="27"/>
  <c r="AA1282" i="27" s="1"/>
  <c r="X1239" i="27"/>
  <c r="AA1239" i="27" s="1"/>
  <c r="X1088" i="27"/>
  <c r="AA1088" i="27" s="1"/>
  <c r="X1045" i="27"/>
  <c r="AA1045" i="27" s="1"/>
  <c r="X1002" i="27"/>
  <c r="AA1002" i="27" s="1"/>
  <c r="X816" i="27"/>
  <c r="AA816" i="27" s="1"/>
  <c r="X717" i="27"/>
  <c r="AA717" i="27" s="1"/>
  <c r="X579" i="27"/>
  <c r="X480" i="27"/>
  <c r="AA480" i="27" s="1"/>
  <c r="X140" i="27"/>
  <c r="AA140" i="27" s="1"/>
  <c r="X27" i="27"/>
  <c r="AA27" i="27" s="1"/>
  <c r="X1721" i="27"/>
  <c r="AA1721" i="27" s="1"/>
  <c r="X859" i="27"/>
  <c r="AA859" i="27" s="1"/>
  <c r="X351" i="27"/>
  <c r="AA351" i="27" s="1"/>
  <c r="X222" i="27"/>
  <c r="AA222" i="27" s="1"/>
  <c r="X97" i="27"/>
  <c r="AA97" i="27" s="1"/>
  <c r="X420" i="27"/>
  <c r="X278" i="27"/>
  <c r="AA278" i="27" s="1"/>
  <c r="X166" i="27"/>
  <c r="AA166" i="27" s="1"/>
  <c r="X53" i="27"/>
  <c r="AA53" i="27" s="1"/>
  <c r="X407" i="27"/>
  <c r="X962" i="27"/>
  <c r="AA962" i="27" s="1"/>
  <c r="X1556" i="27"/>
  <c r="AA1556" i="27" s="1"/>
  <c r="X17" i="27"/>
  <c r="AA17" i="27" s="1"/>
  <c r="X819" i="27"/>
  <c r="AA819" i="27" s="1"/>
  <c r="X1582" i="27"/>
  <c r="AA1582" i="27" s="1"/>
  <c r="X1681" i="27"/>
  <c r="AA1681" i="27" s="1"/>
  <c r="X539" i="27"/>
  <c r="X1117" i="27"/>
  <c r="AA1117" i="27" s="1"/>
  <c r="X694" i="27"/>
  <c r="AA694" i="27" s="1"/>
  <c r="X1625" i="27"/>
  <c r="AA1625" i="27" s="1"/>
  <c r="X1091" i="27"/>
  <c r="AA1091" i="27" s="1"/>
  <c r="X1186" i="27"/>
  <c r="AA1186" i="27" s="1"/>
  <c r="X1612" i="27"/>
  <c r="AA1612" i="27" s="1"/>
  <c r="X1216" i="27"/>
  <c r="AA1216" i="27" s="1"/>
  <c r="X354" i="27"/>
  <c r="AA354" i="27" s="1"/>
  <c r="X1711" i="27"/>
  <c r="AA1711" i="27" s="1"/>
  <c r="X1315" i="27"/>
  <c r="AA1315" i="27" s="1"/>
  <c r="X1074" i="27"/>
  <c r="AA1074" i="27" s="1"/>
  <c r="X677" i="27"/>
  <c r="AA677" i="27" s="1"/>
  <c r="X1780" i="27"/>
  <c r="AA1780" i="27" s="1"/>
  <c r="X367" i="27"/>
  <c r="AA367" i="27" s="1"/>
  <c r="X255" i="27"/>
  <c r="AA255" i="27" s="1"/>
  <c r="X1160" i="27"/>
  <c r="AA1160" i="27" s="1"/>
  <c r="X113" i="27"/>
  <c r="AA113" i="27" s="1"/>
  <c r="X1431" i="27"/>
  <c r="AA1431" i="27" s="1"/>
  <c r="X875" i="27"/>
  <c r="AA875" i="27" s="1"/>
  <c r="X242" i="27"/>
  <c r="AA242" i="27" s="1"/>
  <c r="X949" i="27"/>
  <c r="AA949" i="27" s="1"/>
  <c r="X56" i="27"/>
  <c r="AA56" i="27" s="1"/>
  <c r="X1229" i="27"/>
  <c r="AA1229" i="27" s="1"/>
  <c r="X621" i="27"/>
  <c r="AA621" i="27" s="1"/>
  <c r="X608" i="27"/>
  <c r="AA608" i="27" s="1"/>
  <c r="X1793" i="27"/>
  <c r="AA1793" i="27" s="1"/>
  <c r="X707" i="27"/>
  <c r="AA707" i="27" s="1"/>
  <c r="X1470" i="27"/>
  <c r="AA1470" i="27" s="1"/>
  <c r="X1147" i="27"/>
  <c r="AA1147" i="27" s="1"/>
  <c r="X1750" i="27"/>
  <c r="AA1750" i="27" s="1"/>
  <c r="X100" i="27"/>
  <c r="AA100" i="27" s="1"/>
  <c r="X1668" i="27"/>
  <c r="AA1668" i="27" s="1"/>
  <c r="X1005" i="27"/>
  <c r="AA1005" i="27" s="1"/>
  <c r="X582" i="27"/>
  <c r="X1767" i="27"/>
  <c r="AA1767" i="27" s="1"/>
  <c r="X923" i="27"/>
  <c r="AA923" i="27" s="1"/>
  <c r="X1569" i="27"/>
  <c r="AA1569" i="27" s="1"/>
  <c r="X638" i="27"/>
  <c r="AA638" i="27" s="1"/>
  <c r="X664" i="27"/>
  <c r="AA664" i="27" s="1"/>
  <c r="X992" i="27"/>
  <c r="AA992" i="27" s="1"/>
  <c r="X337" i="27"/>
  <c r="X1242" i="27"/>
  <c r="AA1242" i="27" s="1"/>
  <c r="X733" i="27"/>
  <c r="AA733" i="27" s="1"/>
  <c r="X380" i="27"/>
  <c r="AA380" i="27" s="1"/>
  <c r="X1048" i="27"/>
  <c r="AA1048" i="27" s="1"/>
  <c r="X651" i="27"/>
  <c r="AA651" i="27" s="1"/>
  <c r="X1173" i="27"/>
  <c r="AA1173" i="27" s="1"/>
  <c r="X298" i="27"/>
  <c r="X509" i="27"/>
  <c r="AA509" i="27" s="1"/>
  <c r="X199" i="27"/>
  <c r="AA199" i="27" s="1"/>
  <c r="X1061" i="27"/>
  <c r="AA1061" i="27" s="1"/>
  <c r="X1388" i="27"/>
  <c r="AA1388" i="27" s="1"/>
  <c r="X832" i="27"/>
  <c r="AA832" i="27" s="1"/>
  <c r="X186" i="27"/>
  <c r="AA186" i="27" s="1"/>
  <c r="X901" i="27"/>
  <c r="AA901" i="27" s="1"/>
  <c r="X776" i="27"/>
  <c r="AA776" i="27" s="1"/>
  <c r="X1354" i="27"/>
  <c r="AA1354" i="27" s="1"/>
  <c r="X156" i="27"/>
  <c r="AA156" i="27" s="1"/>
  <c r="X789" i="27"/>
  <c r="AA789" i="27" s="1"/>
  <c r="X763" i="27"/>
  <c r="AA763" i="27" s="1"/>
  <c r="X212" i="27"/>
  <c r="AA212" i="27" s="1"/>
  <c r="X1401" i="27"/>
  <c r="AA1401" i="27" s="1"/>
  <c r="X1130" i="27"/>
  <c r="AA1130" i="27" s="1"/>
  <c r="X311" i="27"/>
  <c r="X1444" i="27"/>
  <c r="AA1444" i="27" s="1"/>
  <c r="X1724" i="27"/>
  <c r="AA1724" i="27" s="1"/>
  <c r="X1328" i="27"/>
  <c r="AA1328" i="27" s="1"/>
  <c r="X73" i="27"/>
  <c r="AA73" i="27" s="1"/>
  <c r="X1457" i="27"/>
  <c r="AA1457" i="27" s="1"/>
  <c r="X1599" i="27"/>
  <c r="AA1599" i="27" s="1"/>
  <c r="X1638" i="27"/>
  <c r="AA1638" i="27" s="1"/>
  <c r="X1806" i="27"/>
  <c r="AA1806" i="27" s="1"/>
  <c r="X1487" i="27"/>
  <c r="AA1487" i="27" s="1"/>
  <c r="X1298" i="27"/>
  <c r="AA1298" i="27" s="1"/>
  <c r="X1018" i="27"/>
  <c r="AA1018" i="27" s="1"/>
  <c r="X436" i="27"/>
  <c r="X1272" i="27"/>
  <c r="AA1272" i="27" s="1"/>
  <c r="X483" i="27"/>
  <c r="AA483" i="27" s="1"/>
  <c r="X1035" i="27"/>
  <c r="AA1035" i="27" s="1"/>
  <c r="X1526" i="27"/>
  <c r="AA1526" i="27" s="1"/>
  <c r="X552" i="27"/>
  <c r="X143" i="27"/>
  <c r="AA143" i="27" s="1"/>
  <c r="X130" i="27"/>
  <c r="AA130" i="27" s="1"/>
  <c r="X1694" i="27"/>
  <c r="AA1694" i="27" s="1"/>
  <c r="X169" i="27"/>
  <c r="AA169" i="27" s="1"/>
  <c r="X423" i="27"/>
  <c r="X324" i="27"/>
  <c r="X1375" i="27"/>
  <c r="AA1375" i="27" s="1"/>
  <c r="X979" i="27"/>
  <c r="AA979" i="27" s="1"/>
  <c r="X1500" i="27"/>
  <c r="AA1500" i="27" s="1"/>
  <c r="X1104" i="27"/>
  <c r="AA1104" i="27" s="1"/>
  <c r="X1285" i="27"/>
  <c r="AA1285" i="27" s="1"/>
  <c r="X888" i="27"/>
  <c r="AA888" i="27" s="1"/>
  <c r="X410" i="27"/>
  <c r="X1543" i="27"/>
  <c r="AA1543" i="27" s="1"/>
  <c r="X750" i="27"/>
  <c r="AA750" i="27" s="1"/>
  <c r="X43" i="27"/>
  <c r="AA43" i="27" s="1"/>
  <c r="X393" i="27"/>
  <c r="AA393" i="27" s="1"/>
  <c r="X268" i="27"/>
  <c r="AA268" i="27" s="1"/>
  <c r="X1203" i="27"/>
  <c r="AA1203" i="27" s="1"/>
  <c r="X595" i="27"/>
  <c r="X526" i="27"/>
  <c r="AA526" i="27" s="1"/>
  <c r="X86" i="27"/>
  <c r="AA86" i="27" s="1"/>
  <c r="X845" i="27"/>
  <c r="AA845" i="27" s="1"/>
  <c r="X496" i="27"/>
  <c r="AA496" i="27" s="1"/>
  <c r="X1259" i="27"/>
  <c r="AA1259" i="27" s="1"/>
  <c r="X862" i="27"/>
  <c r="AA862" i="27" s="1"/>
  <c r="X565" i="27"/>
  <c r="X720" i="27"/>
  <c r="AA720" i="27" s="1"/>
  <c r="X30" i="27"/>
  <c r="AA30" i="27" s="1"/>
  <c r="X281" i="27"/>
  <c r="AA281" i="27" s="1"/>
  <c r="X1414" i="27"/>
  <c r="AA1414" i="27" s="1"/>
  <c r="X806" i="27"/>
  <c r="AA806" i="27" s="1"/>
  <c r="X449" i="27"/>
  <c r="X470" i="27"/>
  <c r="AA470" i="27" s="1"/>
  <c r="X936" i="27"/>
  <c r="AA936" i="27" s="1"/>
  <c r="X1513" i="27"/>
  <c r="AA1513" i="27" s="1"/>
  <c r="X225" i="27"/>
  <c r="AA225" i="27" s="1"/>
  <c r="X1737" i="27"/>
  <c r="AA1737" i="27" s="1"/>
  <c r="X1341" i="27"/>
  <c r="AA1341" i="27" s="1"/>
  <c r="X1655" i="27"/>
  <c r="AA1655" i="27" s="1"/>
  <c r="O115" i="15"/>
  <c r="O100" i="15"/>
  <c r="O85" i="15"/>
  <c r="O70" i="15"/>
  <c r="O52" i="15"/>
  <c r="O37" i="15"/>
  <c r="O22" i="15"/>
  <c r="O7" i="15"/>
  <c r="J21" i="15"/>
  <c r="J20" i="15"/>
  <c r="J23" i="15" s="1"/>
  <c r="J51" i="15"/>
  <c r="J50" i="15"/>
  <c r="J53" i="15" s="1"/>
  <c r="J114" i="15"/>
  <c r="J113" i="15"/>
  <c r="J116" i="15" s="1"/>
  <c r="J35" i="15"/>
  <c r="J38" i="15" s="1"/>
  <c r="J5" i="15"/>
  <c r="J8" i="15" s="1"/>
  <c r="J98" i="15"/>
  <c r="J101" i="15" s="1"/>
  <c r="J84" i="15"/>
  <c r="J83" i="15"/>
  <c r="J86" i="15" s="1"/>
  <c r="J68" i="15"/>
  <c r="J71" i="15" s="1"/>
  <c r="H4" i="13"/>
  <c r="G7" i="13" s="1"/>
  <c r="AI9" i="27" l="1"/>
  <c r="J6" i="15"/>
  <c r="J69" i="15"/>
  <c r="J99" i="15"/>
  <c r="J36" i="15"/>
  <c r="AA552" i="27"/>
  <c r="CM552" i="27" s="1"/>
  <c r="CK552" i="27"/>
  <c r="AA565" i="27"/>
  <c r="CM565" i="27" s="1"/>
  <c r="CK565" i="27"/>
  <c r="AA539" i="27"/>
  <c r="CM539" i="27" s="1"/>
  <c r="CK539" i="27"/>
  <c r="AA579" i="27"/>
  <c r="CM579" i="27" s="1"/>
  <c r="CK579" i="27"/>
  <c r="AA592" i="27"/>
  <c r="CM592" i="27" s="1"/>
  <c r="CK592" i="27"/>
  <c r="AA549" i="27"/>
  <c r="CM549" i="27" s="1"/>
  <c r="CK549" i="27"/>
  <c r="AA595" i="27"/>
  <c r="CM595" i="27" s="1"/>
  <c r="CK595" i="27"/>
  <c r="AA536" i="27"/>
  <c r="CM536" i="27" s="1"/>
  <c r="CK536" i="27"/>
  <c r="AA582" i="27"/>
  <c r="CM582" i="27" s="1"/>
  <c r="CK582" i="27"/>
  <c r="AA562" i="27"/>
  <c r="CM562" i="27" s="1"/>
  <c r="CK562" i="27"/>
  <c r="AA920" i="27"/>
  <c r="AA1813" i="27" s="1"/>
  <c r="X1813" i="27"/>
  <c r="AA14" i="27"/>
  <c r="X908" i="27"/>
  <c r="G69" i="13"/>
  <c r="G68" i="13"/>
  <c r="G60" i="13"/>
  <c r="G52" i="13"/>
  <c r="G44" i="13"/>
  <c r="G36" i="13"/>
  <c r="G28" i="13"/>
  <c r="G20" i="13"/>
  <c r="G12" i="13"/>
  <c r="G67" i="13"/>
  <c r="G59" i="13"/>
  <c r="G51" i="13"/>
  <c r="G43" i="13"/>
  <c r="G35" i="13"/>
  <c r="G27" i="13"/>
  <c r="G19" i="13"/>
  <c r="G11" i="13"/>
  <c r="G54" i="13"/>
  <c r="G30" i="13"/>
  <c r="G14" i="13"/>
  <c r="G5" i="13"/>
  <c r="G45" i="13"/>
  <c r="G29" i="13"/>
  <c r="G13" i="13"/>
  <c r="G58" i="13"/>
  <c r="G34" i="13"/>
  <c r="G10" i="13"/>
  <c r="G57" i="13"/>
  <c r="G33" i="13"/>
  <c r="G8" i="13"/>
  <c r="G62" i="13"/>
  <c r="G46" i="13"/>
  <c r="G38" i="13"/>
  <c r="G22" i="13"/>
  <c r="G6" i="13"/>
  <c r="G61" i="13"/>
  <c r="G53" i="13"/>
  <c r="G37" i="13"/>
  <c r="G21" i="13"/>
  <c r="G66" i="13"/>
  <c r="G50" i="13"/>
  <c r="G42" i="13"/>
  <c r="G26" i="13"/>
  <c r="G18" i="13"/>
  <c r="G65" i="13"/>
  <c r="G49" i="13"/>
  <c r="G41" i="13"/>
  <c r="G25" i="13"/>
  <c r="G17" i="13"/>
  <c r="G9" i="13"/>
  <c r="G64" i="13"/>
  <c r="G56" i="13"/>
  <c r="G48" i="13"/>
  <c r="G40" i="13"/>
  <c r="G32" i="13"/>
  <c r="G24" i="13"/>
  <c r="G16" i="13"/>
  <c r="G63" i="13"/>
  <c r="G55" i="13"/>
  <c r="G47" i="13"/>
  <c r="G39" i="13"/>
  <c r="G31" i="13"/>
  <c r="G23" i="13"/>
  <c r="G15" i="13"/>
  <c r="O124" i="15"/>
  <c r="O121" i="15"/>
  <c r="O118" i="15"/>
  <c r="O109" i="15"/>
  <c r="O106" i="15"/>
  <c r="O103" i="15"/>
  <c r="O94" i="15"/>
  <c r="O91" i="15"/>
  <c r="O88" i="15"/>
  <c r="O79" i="15"/>
  <c r="O76" i="15"/>
  <c r="O73" i="15"/>
  <c r="O61" i="15"/>
  <c r="O58" i="15"/>
  <c r="O55" i="15"/>
  <c r="O46" i="15"/>
  <c r="O43" i="15"/>
  <c r="O40" i="15"/>
  <c r="O31" i="15"/>
  <c r="O28" i="15"/>
  <c r="O25" i="15"/>
  <c r="O16" i="15"/>
  <c r="O13" i="15"/>
  <c r="O10" i="15"/>
  <c r="D9" i="11"/>
  <c r="H86" i="15"/>
  <c r="H89" i="15" s="1"/>
  <c r="H116" i="15"/>
  <c r="H119" i="15" s="1"/>
  <c r="H53" i="15"/>
  <c r="H56" i="15" s="1"/>
  <c r="F119" i="15"/>
  <c r="F104" i="15"/>
  <c r="F110" i="15" s="1"/>
  <c r="F89" i="15"/>
  <c r="F74" i="15"/>
  <c r="F80" i="15" s="1"/>
  <c r="D110" i="15"/>
  <c r="D123" i="15" s="1"/>
  <c r="H107" i="15"/>
  <c r="H101" i="15"/>
  <c r="H77" i="15"/>
  <c r="H71" i="15"/>
  <c r="H44" i="15"/>
  <c r="H38" i="15"/>
  <c r="H14" i="15"/>
  <c r="H23" i="15"/>
  <c r="H26" i="15" s="1"/>
  <c r="H8" i="15"/>
  <c r="D14" i="15"/>
  <c r="D77" i="15"/>
  <c r="B22" i="15"/>
  <c r="F56" i="15"/>
  <c r="D44" i="15"/>
  <c r="D60" i="15" s="1"/>
  <c r="F41" i="15"/>
  <c r="F47" i="15" s="1"/>
  <c r="B86" i="15"/>
  <c r="G4" i="16" l="1"/>
  <c r="H4" i="16" s="1"/>
  <c r="J4" i="37"/>
  <c r="AI6" i="27"/>
  <c r="O97" i="15"/>
  <c r="O34" i="15"/>
  <c r="O4" i="15"/>
  <c r="O67" i="15"/>
  <c r="B119" i="15"/>
  <c r="M109" i="15" s="1"/>
  <c r="M70" i="15"/>
  <c r="M67" i="15"/>
  <c r="B10" i="13"/>
  <c r="G70" i="13"/>
  <c r="B5" i="13" s="1"/>
  <c r="G71" i="13"/>
  <c r="B6" i="13" s="1"/>
  <c r="B15" i="13"/>
  <c r="F11" i="15"/>
  <c r="F17" i="15" s="1"/>
  <c r="M16" i="15" s="1"/>
  <c r="B52" i="15"/>
  <c r="D93" i="15"/>
  <c r="M82" i="15" s="1"/>
  <c r="M79" i="15"/>
  <c r="F95" i="15"/>
  <c r="F92" i="15" s="1"/>
  <c r="M76" i="15"/>
  <c r="F32" i="15"/>
  <c r="F26" i="15"/>
  <c r="F62" i="15"/>
  <c r="F59" i="15" s="1"/>
  <c r="F125" i="15"/>
  <c r="H41" i="15"/>
  <c r="H74" i="15"/>
  <c r="M73" i="15" s="1"/>
  <c r="H104" i="15"/>
  <c r="H11" i="15"/>
  <c r="D28" i="15"/>
  <c r="D19" i="11"/>
  <c r="N4" i="37" l="1"/>
  <c r="O4" i="37"/>
  <c r="L4" i="37"/>
  <c r="M4" i="37"/>
  <c r="K4" i="37"/>
  <c r="A1009" i="27"/>
  <c r="AN10" i="27" s="1"/>
  <c r="AN14" i="27" s="1"/>
  <c r="B87" i="15"/>
  <c r="N94" i="15" s="1"/>
  <c r="B23" i="15"/>
  <c r="M118" i="15"/>
  <c r="Q118" i="15" s="1"/>
  <c r="M22" i="15"/>
  <c r="M85" i="15"/>
  <c r="M7" i="15"/>
  <c r="M4" i="15"/>
  <c r="M112" i="15"/>
  <c r="M97" i="15"/>
  <c r="Q97" i="15" s="1"/>
  <c r="M100" i="15"/>
  <c r="Q100" i="15" s="1"/>
  <c r="M115" i="15"/>
  <c r="M103" i="15"/>
  <c r="Q103" i="15" s="1"/>
  <c r="M106" i="15"/>
  <c r="Q106" i="15" s="1"/>
  <c r="M19" i="15"/>
  <c r="M49" i="15"/>
  <c r="M34" i="15"/>
  <c r="Q34" i="15" s="1"/>
  <c r="M37" i="15"/>
  <c r="M52" i="15"/>
  <c r="M124" i="15"/>
  <c r="P124" i="15" s="1"/>
  <c r="Q67" i="15"/>
  <c r="Q70" i="15"/>
  <c r="M10" i="15"/>
  <c r="Q10" i="15" s="1"/>
  <c r="M13" i="15"/>
  <c r="Q13" i="15" s="1"/>
  <c r="Q79" i="15"/>
  <c r="Q109" i="15"/>
  <c r="Q73" i="15"/>
  <c r="M31" i="15"/>
  <c r="Q31" i="15" s="1"/>
  <c r="M88" i="15"/>
  <c r="F122" i="15"/>
  <c r="M121" i="15" s="1"/>
  <c r="Q76" i="15"/>
  <c r="M25" i="15"/>
  <c r="M91" i="15"/>
  <c r="F29" i="15"/>
  <c r="M28" i="15" s="1"/>
  <c r="M58" i="15"/>
  <c r="M46" i="15"/>
  <c r="M43" i="15"/>
  <c r="M55" i="15"/>
  <c r="M40" i="15"/>
  <c r="M61" i="15"/>
  <c r="M94" i="15"/>
  <c r="Q16" i="15"/>
  <c r="D48" i="11"/>
  <c r="D46" i="11"/>
  <c r="D20" i="11"/>
  <c r="D39" i="11"/>
  <c r="D40" i="11"/>
  <c r="D41" i="11"/>
  <c r="D47" i="11"/>
  <c r="D52" i="11"/>
  <c r="D53" i="11"/>
  <c r="D70" i="11"/>
  <c r="D72" i="11"/>
  <c r="D4" i="11"/>
  <c r="Q1798" i="27" l="1"/>
  <c r="AC1796" i="27" s="1"/>
  <c r="Q1772" i="27"/>
  <c r="AC1770" i="27" s="1"/>
  <c r="Q1742" i="27"/>
  <c r="AC1740" i="27" s="1"/>
  <c r="Q1716" i="27"/>
  <c r="AC1714" i="27" s="1"/>
  <c r="Q1686" i="27"/>
  <c r="AC1684" i="27" s="1"/>
  <c r="Q1660" i="27"/>
  <c r="AC1658" i="27" s="1"/>
  <c r="Q1630" i="27"/>
  <c r="AC1628" i="27" s="1"/>
  <c r="Q1604" i="27"/>
  <c r="AC1602" i="27" s="1"/>
  <c r="Q1574" i="27"/>
  <c r="AC1572" i="27" s="1"/>
  <c r="Q1548" i="27"/>
  <c r="AC1546" i="27" s="1"/>
  <c r="Q1518" i="27"/>
  <c r="AC1516" i="27" s="1"/>
  <c r="Q1492" i="27"/>
  <c r="AC1490" i="27" s="1"/>
  <c r="Q1462" i="27"/>
  <c r="AC1460" i="27" s="1"/>
  <c r="Q1436" i="27"/>
  <c r="AC1434" i="27" s="1"/>
  <c r="Q1406" i="27"/>
  <c r="AC1404" i="27" s="1"/>
  <c r="Q1380" i="27"/>
  <c r="AC1378" i="27" s="1"/>
  <c r="Q1346" i="27"/>
  <c r="AC1344" i="27" s="1"/>
  <c r="Q1320" i="27"/>
  <c r="AC1318" i="27" s="1"/>
  <c r="Q1290" i="27"/>
  <c r="AC1288" i="27" s="1"/>
  <c r="Q1264" i="27"/>
  <c r="AC1262" i="27" s="1"/>
  <c r="Q1234" i="27"/>
  <c r="AC1232" i="27" s="1"/>
  <c r="Q1208" i="27"/>
  <c r="AC1206" i="27" s="1"/>
  <c r="Q1178" i="27"/>
  <c r="AC1176" i="27" s="1"/>
  <c r="Q1152" i="27"/>
  <c r="AC1150" i="27" s="1"/>
  <c r="Q1122" i="27"/>
  <c r="AC1120" i="27" s="1"/>
  <c r="Q1096" i="27"/>
  <c r="AC1094" i="27" s="1"/>
  <c r="Q1066" i="27"/>
  <c r="AC1064" i="27" s="1"/>
  <c r="Q1040" i="27"/>
  <c r="AC1038" i="27" s="1"/>
  <c r="Q1010" i="27"/>
  <c r="AC1008" i="27" s="1"/>
  <c r="Q984" i="27"/>
  <c r="AC982" i="27" s="1"/>
  <c r="Q954" i="27"/>
  <c r="AC952" i="27" s="1"/>
  <c r="Q928" i="27"/>
  <c r="AC926" i="27" s="1"/>
  <c r="Q893" i="27"/>
  <c r="AC891" i="27" s="1"/>
  <c r="Q867" i="27"/>
  <c r="AC865" i="27" s="1"/>
  <c r="Q837" i="27"/>
  <c r="AC835" i="27" s="1"/>
  <c r="Q811" i="27"/>
  <c r="AC809" i="27" s="1"/>
  <c r="Q781" i="27"/>
  <c r="AC779" i="27" s="1"/>
  <c r="Q755" i="27"/>
  <c r="AC753" i="27" s="1"/>
  <c r="Q725" i="27"/>
  <c r="AC723" i="27" s="1"/>
  <c r="Q699" i="27"/>
  <c r="AC697" i="27" s="1"/>
  <c r="Q669" i="27"/>
  <c r="AC667" i="27" s="1"/>
  <c r="Q643" i="27"/>
  <c r="AC641" i="27" s="1"/>
  <c r="Q613" i="27"/>
  <c r="AC611" i="27" s="1"/>
  <c r="Q587" i="27"/>
  <c r="Q557" i="27"/>
  <c r="Q531" i="27"/>
  <c r="Q501" i="27"/>
  <c r="AC499" i="27" s="1"/>
  <c r="Q475" i="27"/>
  <c r="AC473" i="27" s="1"/>
  <c r="Q441" i="27"/>
  <c r="Q415" i="27"/>
  <c r="Q385" i="27"/>
  <c r="AC383" i="27" s="1"/>
  <c r="Q359" i="27"/>
  <c r="AC357" i="27" s="1"/>
  <c r="Q329" i="27"/>
  <c r="Q303" i="27"/>
  <c r="Q273" i="27"/>
  <c r="AC271" i="27" s="1"/>
  <c r="Q247" i="27"/>
  <c r="AC245" i="27" s="1"/>
  <c r="Q217" i="27"/>
  <c r="AC215" i="27" s="1"/>
  <c r="Q191" i="27"/>
  <c r="AC189" i="27" s="1"/>
  <c r="Q161" i="27"/>
  <c r="AC159" i="27" s="1"/>
  <c r="Q135" i="27"/>
  <c r="AC133" i="27" s="1"/>
  <c r="Q105" i="27"/>
  <c r="AC103" i="27" s="1"/>
  <c r="Q78" i="27"/>
  <c r="Q48" i="27"/>
  <c r="AC46" i="27" s="1"/>
  <c r="Q22" i="27"/>
  <c r="Q1811" i="27"/>
  <c r="AC1809" i="27" s="1"/>
  <c r="Q1785" i="27"/>
  <c r="AC1783" i="27" s="1"/>
  <c r="Q1755" i="27"/>
  <c r="AC1753" i="27" s="1"/>
  <c r="Q1729" i="27"/>
  <c r="AC1727" i="27" s="1"/>
  <c r="Q1699" i="27"/>
  <c r="AC1697" i="27" s="1"/>
  <c r="Q1673" i="27"/>
  <c r="AC1671" i="27" s="1"/>
  <c r="Q1643" i="27"/>
  <c r="AC1641" i="27" s="1"/>
  <c r="Q1617" i="27"/>
  <c r="AC1615" i="27" s="1"/>
  <c r="Q1587" i="27"/>
  <c r="AC1585" i="27" s="1"/>
  <c r="Q1561" i="27"/>
  <c r="AC1559" i="27" s="1"/>
  <c r="Q1531" i="27"/>
  <c r="AC1529" i="27" s="1"/>
  <c r="Q1505" i="27"/>
  <c r="AC1503" i="27" s="1"/>
  <c r="Q1475" i="27"/>
  <c r="AC1473" i="27" s="1"/>
  <c r="Q1449" i="27"/>
  <c r="AC1447" i="27" s="1"/>
  <c r="Q1419" i="27"/>
  <c r="AC1417" i="27" s="1"/>
  <c r="Q1393" i="27"/>
  <c r="AC1391" i="27" s="1"/>
  <c r="Q1359" i="27"/>
  <c r="AC1357" i="27" s="1"/>
  <c r="Q1333" i="27"/>
  <c r="AC1331" i="27" s="1"/>
  <c r="Q1303" i="27"/>
  <c r="AC1301" i="27" s="1"/>
  <c r="Q1277" i="27"/>
  <c r="AC1275" i="27" s="1"/>
  <c r="Q1247" i="27"/>
  <c r="AC1245" i="27" s="1"/>
  <c r="Q1221" i="27"/>
  <c r="AC1219" i="27" s="1"/>
  <c r="Q1191" i="27"/>
  <c r="AC1189" i="27" s="1"/>
  <c r="Q1165" i="27"/>
  <c r="AC1163" i="27" s="1"/>
  <c r="Q1135" i="27"/>
  <c r="AC1133" i="27" s="1"/>
  <c r="Q1109" i="27"/>
  <c r="AC1107" i="27" s="1"/>
  <c r="Q1079" i="27"/>
  <c r="AC1077" i="27" s="1"/>
  <c r="Q1053" i="27"/>
  <c r="AC1051" i="27" s="1"/>
  <c r="Q1023" i="27"/>
  <c r="AC1021" i="27" s="1"/>
  <c r="Q997" i="27"/>
  <c r="AC995" i="27" s="1"/>
  <c r="Q967" i="27"/>
  <c r="AC965" i="27" s="1"/>
  <c r="Q941" i="27"/>
  <c r="AC939" i="27" s="1"/>
  <c r="Q906" i="27"/>
  <c r="AC904" i="27" s="1"/>
  <c r="Q880" i="27"/>
  <c r="AC878" i="27" s="1"/>
  <c r="Q850" i="27"/>
  <c r="AC848" i="27" s="1"/>
  <c r="Q824" i="27"/>
  <c r="AC822" i="27" s="1"/>
  <c r="Q794" i="27"/>
  <c r="AC792" i="27" s="1"/>
  <c r="Q768" i="27"/>
  <c r="AC766" i="27" s="1"/>
  <c r="Q738" i="27"/>
  <c r="AC736" i="27" s="1"/>
  <c r="Q712" i="27"/>
  <c r="AC710" i="27" s="1"/>
  <c r="Q682" i="27"/>
  <c r="AC680" i="27" s="1"/>
  <c r="Q656" i="27"/>
  <c r="AC654" i="27" s="1"/>
  <c r="Q626" i="27"/>
  <c r="AC624" i="27" s="1"/>
  <c r="Q600" i="27"/>
  <c r="Q570" i="27"/>
  <c r="Q544" i="27"/>
  <c r="Q514" i="27"/>
  <c r="AC512" i="27" s="1"/>
  <c r="Q488" i="27"/>
  <c r="AC486" i="27" s="1"/>
  <c r="Q454" i="27"/>
  <c r="Q428" i="27"/>
  <c r="Q398" i="27"/>
  <c r="AC396" i="27" s="1"/>
  <c r="Q372" i="27"/>
  <c r="AC370" i="27" s="1"/>
  <c r="Q342" i="27"/>
  <c r="Q316" i="27"/>
  <c r="Q286" i="27"/>
  <c r="AC284" i="27" s="1"/>
  <c r="Q260" i="27"/>
  <c r="AC258" i="27" s="1"/>
  <c r="Q230" i="27"/>
  <c r="AC228" i="27" s="1"/>
  <c r="Q204" i="27"/>
  <c r="AC202" i="27" s="1"/>
  <c r="Q174" i="27"/>
  <c r="AC172" i="27" s="1"/>
  <c r="Q148" i="27"/>
  <c r="AC146" i="27" s="1"/>
  <c r="Q118" i="27"/>
  <c r="AC116" i="27" s="1"/>
  <c r="Q91" i="27"/>
  <c r="AC89" i="27" s="1"/>
  <c r="Q61" i="27"/>
  <c r="AC59" i="27" s="1"/>
  <c r="Q35" i="27"/>
  <c r="AC33" i="27" s="1"/>
  <c r="Q1792" i="27"/>
  <c r="AC1790" i="27" s="1"/>
  <c r="Q1568" i="27"/>
  <c r="AC1566" i="27" s="1"/>
  <c r="Q1340" i="27"/>
  <c r="AC1338" i="27" s="1"/>
  <c r="Q1116" i="27"/>
  <c r="AC1114" i="27" s="1"/>
  <c r="Q887" i="27"/>
  <c r="AC885" i="27" s="1"/>
  <c r="Q663" i="27"/>
  <c r="AC661" i="27" s="1"/>
  <c r="Q435" i="27"/>
  <c r="Q211" i="27"/>
  <c r="AC209" i="27" s="1"/>
  <c r="Q818" i="27"/>
  <c r="AC816" i="27" s="1"/>
  <c r="Q85" i="27"/>
  <c r="AC83" i="27" s="1"/>
  <c r="Q900" i="27"/>
  <c r="AC898" i="27" s="1"/>
  <c r="Q1443" i="27"/>
  <c r="AC1441" i="27" s="1"/>
  <c r="Q1185" i="27"/>
  <c r="AC1183" i="27" s="1"/>
  <c r="Q538" i="27"/>
  <c r="Q1766" i="27"/>
  <c r="AC1764" i="27" s="1"/>
  <c r="Q1542" i="27"/>
  <c r="AC1540" i="27" s="1"/>
  <c r="Q1314" i="27"/>
  <c r="AC1312" i="27" s="1"/>
  <c r="Q1090" i="27"/>
  <c r="AC1088" i="27" s="1"/>
  <c r="Q861" i="27"/>
  <c r="AC859" i="27" s="1"/>
  <c r="Q637" i="27"/>
  <c r="AC635" i="27" s="1"/>
  <c r="Q409" i="27"/>
  <c r="Q185" i="27"/>
  <c r="AC183" i="27" s="1"/>
  <c r="Q280" i="27"/>
  <c r="AC278" i="27" s="1"/>
  <c r="Q650" i="27"/>
  <c r="AC648" i="27" s="1"/>
  <c r="Q1581" i="27"/>
  <c r="AC1579" i="27" s="1"/>
  <c r="Q336" i="27"/>
  <c r="Q1215" i="27"/>
  <c r="AC1213" i="27" s="1"/>
  <c r="Q1805" i="27"/>
  <c r="AC1803" i="27" s="1"/>
  <c r="Q961" i="27"/>
  <c r="AC959" i="27" s="1"/>
  <c r="Q1327" i="27"/>
  <c r="AC1325" i="27" s="1"/>
  <c r="Q1736" i="27"/>
  <c r="AC1734" i="27" s="1"/>
  <c r="Q1512" i="27"/>
  <c r="AC1510" i="27" s="1"/>
  <c r="Q1284" i="27"/>
  <c r="AC1282" i="27" s="1"/>
  <c r="Q1060" i="27"/>
  <c r="AC1058" i="27" s="1"/>
  <c r="Q831" i="27"/>
  <c r="AC829" i="27" s="1"/>
  <c r="Q607" i="27"/>
  <c r="AC605" i="27" s="1"/>
  <c r="Q379" i="27"/>
  <c r="AC377" i="27" s="1"/>
  <c r="Q155" i="27"/>
  <c r="AC153" i="27" s="1"/>
  <c r="Q1749" i="27"/>
  <c r="AC1747" i="27" s="1"/>
  <c r="Q1693" i="27"/>
  <c r="AC1691" i="27" s="1"/>
  <c r="Q448" i="27"/>
  <c r="Q991" i="27"/>
  <c r="AC989" i="27" s="1"/>
  <c r="Q1103" i="27"/>
  <c r="AC1101" i="27" s="1"/>
  <c r="Q732" i="27"/>
  <c r="AC730" i="27" s="1"/>
  <c r="Q310" i="27"/>
  <c r="Q1400" i="27"/>
  <c r="AC1398" i="27" s="1"/>
  <c r="Q495" i="27"/>
  <c r="AC493" i="27" s="1"/>
  <c r="Q42" i="27"/>
  <c r="AC40" i="27" s="1"/>
  <c r="Q1271" i="27"/>
  <c r="AC1269" i="27" s="1"/>
  <c r="Q29" i="27"/>
  <c r="AC27" i="27" s="1"/>
  <c r="Q168" i="27"/>
  <c r="AC166" i="27" s="1"/>
  <c r="Q676" i="27"/>
  <c r="AC674" i="27" s="1"/>
  <c r="Q1146" i="27"/>
  <c r="AC1144" i="27" s="1"/>
  <c r="Q16" i="27"/>
  <c r="AC14" i="27" s="1"/>
  <c r="Q765" i="27"/>
  <c r="AC763" i="27" s="1"/>
  <c r="Q254" i="27"/>
  <c r="AC252" i="27" s="1"/>
  <c r="Q1413" i="27"/>
  <c r="AC1411" i="27" s="1"/>
  <c r="Q1710" i="27"/>
  <c r="AC1708" i="27" s="1"/>
  <c r="Q1486" i="27"/>
  <c r="AC1484" i="27" s="1"/>
  <c r="Q1258" i="27"/>
  <c r="AC1256" i="27" s="1"/>
  <c r="Q1034" i="27"/>
  <c r="AC1032" i="27" s="1"/>
  <c r="Q805" i="27"/>
  <c r="AC803" i="27" s="1"/>
  <c r="Q581" i="27"/>
  <c r="Q353" i="27"/>
  <c r="AC351" i="27" s="1"/>
  <c r="Q129" i="27"/>
  <c r="AC127" i="27" s="1"/>
  <c r="Q1525" i="27"/>
  <c r="AC1523" i="27" s="1"/>
  <c r="Q55" i="27"/>
  <c r="AC53" i="27" s="1"/>
  <c r="Q422" i="27"/>
  <c r="Q1469" i="27"/>
  <c r="AC1467" i="27" s="1"/>
  <c r="Q112" i="27"/>
  <c r="AC110" i="27" s="1"/>
  <c r="Q224" i="27"/>
  <c r="AC222" i="27" s="1"/>
  <c r="Q594" i="27"/>
  <c r="Q620" i="27"/>
  <c r="AC618" i="27" s="1"/>
  <c r="Q1611" i="27"/>
  <c r="AC1609" i="27" s="1"/>
  <c r="Q1353" i="27"/>
  <c r="AC1351" i="27" s="1"/>
  <c r="Q948" i="27"/>
  <c r="AC946" i="27" s="1"/>
  <c r="Q788" i="27"/>
  <c r="AC786" i="27" s="1"/>
  <c r="Q1374" i="27"/>
  <c r="AC1372" i="27" s="1"/>
  <c r="Q1218" i="27"/>
  <c r="AC1216" i="27" s="1"/>
  <c r="Q564" i="27"/>
  <c r="Q706" i="27"/>
  <c r="AC704" i="27" s="1"/>
  <c r="Q1680" i="27"/>
  <c r="AC1678" i="27" s="1"/>
  <c r="Q1456" i="27"/>
  <c r="AC1454" i="27" s="1"/>
  <c r="Q1228" i="27"/>
  <c r="AC1226" i="27" s="1"/>
  <c r="Q1004" i="27"/>
  <c r="AC1002" i="27" s="1"/>
  <c r="Q775" i="27"/>
  <c r="AC773" i="27" s="1"/>
  <c r="Q551" i="27"/>
  <c r="Q323" i="27"/>
  <c r="Q99" i="27"/>
  <c r="AC97" i="27" s="1"/>
  <c r="Q1297" i="27"/>
  <c r="AC1295" i="27" s="1"/>
  <c r="Q1723" i="27"/>
  <c r="AC1721" i="27" s="1"/>
  <c r="Q1241" i="27"/>
  <c r="AC1239" i="27" s="1"/>
  <c r="Q1779" i="27"/>
  <c r="AC1777" i="27" s="1"/>
  <c r="Q482" i="27"/>
  <c r="AC480" i="27" s="1"/>
  <c r="Q366" i="27"/>
  <c r="AC364" i="27" s="1"/>
  <c r="Q1387" i="27"/>
  <c r="AC1385" i="27" s="1"/>
  <c r="Q1172" i="27"/>
  <c r="AC1170" i="27" s="1"/>
  <c r="Q719" i="27"/>
  <c r="AC717" i="27" s="1"/>
  <c r="Q267" i="27"/>
  <c r="AC265" i="27" s="1"/>
  <c r="Q844" i="27"/>
  <c r="AC842" i="27" s="1"/>
  <c r="Q1637" i="27"/>
  <c r="AC1635" i="27" s="1"/>
  <c r="Q935" i="27"/>
  <c r="AC933" i="27" s="1"/>
  <c r="Q693" i="27"/>
  <c r="AC691" i="27" s="1"/>
  <c r="Q469" i="27"/>
  <c r="AC467" i="27" s="1"/>
  <c r="Q1330" i="27"/>
  <c r="AC1328" i="27" s="1"/>
  <c r="Q508" i="27"/>
  <c r="AC506" i="27" s="1"/>
  <c r="Q1667" i="27"/>
  <c r="AC1665" i="27" s="1"/>
  <c r="Q1129" i="27"/>
  <c r="AC1127" i="27" s="1"/>
  <c r="Q1654" i="27"/>
  <c r="AC1652" i="27" s="1"/>
  <c r="Q1430" i="27"/>
  <c r="AC1428" i="27" s="1"/>
  <c r="Q1202" i="27"/>
  <c r="AC1200" i="27" s="1"/>
  <c r="Q978" i="27"/>
  <c r="AC976" i="27" s="1"/>
  <c r="Q749" i="27"/>
  <c r="AC747" i="27" s="1"/>
  <c r="Q525" i="27"/>
  <c r="AC523" i="27" s="1"/>
  <c r="Q297" i="27"/>
  <c r="Q72" i="27"/>
  <c r="Q1073" i="27"/>
  <c r="AC1071" i="27" s="1"/>
  <c r="Q1499" i="27"/>
  <c r="AC1497" i="27" s="1"/>
  <c r="Q198" i="27"/>
  <c r="AC196" i="27" s="1"/>
  <c r="Q1017" i="27"/>
  <c r="AC1015" i="27" s="1"/>
  <c r="Q762" i="27"/>
  <c r="AC760" i="27" s="1"/>
  <c r="Q874" i="27"/>
  <c r="AC872" i="27" s="1"/>
  <c r="Q142" i="27"/>
  <c r="AC140" i="27" s="1"/>
  <c r="Q392" i="27"/>
  <c r="AC390" i="27" s="1"/>
  <c r="Q1159" i="27"/>
  <c r="AC1157" i="27" s="1"/>
  <c r="Q1555" i="27"/>
  <c r="AC1553" i="27" s="1"/>
  <c r="Q1624" i="27"/>
  <c r="AC1622" i="27" s="1"/>
  <c r="Q922" i="27"/>
  <c r="AC920" i="27" s="1"/>
  <c r="Q241" i="27"/>
  <c r="AC239" i="27" s="1"/>
  <c r="Q821" i="27"/>
  <c r="AC819" i="27" s="1"/>
  <c r="Q1047" i="27"/>
  <c r="AC1045" i="27" s="1"/>
  <c r="Q313" i="27"/>
  <c r="Q1598" i="27"/>
  <c r="AC1596" i="27" s="1"/>
  <c r="Q1696" i="27"/>
  <c r="AC1694" i="27" s="1"/>
  <c r="Q227" i="27"/>
  <c r="AC225" i="27" s="1"/>
  <c r="Q283" i="27"/>
  <c r="AC281" i="27" s="1"/>
  <c r="Q1614" i="27"/>
  <c r="AC1612" i="27" s="1"/>
  <c r="Q58" i="27"/>
  <c r="AC56" i="27" s="1"/>
  <c r="Q1106" i="27"/>
  <c r="AC1104" i="27" s="1"/>
  <c r="Q1528" i="27"/>
  <c r="AC1526" i="27" s="1"/>
  <c r="Q567" i="27"/>
  <c r="Q597" i="27"/>
  <c r="Q1776" i="27"/>
  <c r="AC1774" i="27" s="1"/>
  <c r="Q1552" i="27"/>
  <c r="AC1550" i="27" s="1"/>
  <c r="Q1324" i="27"/>
  <c r="AC1322" i="27" s="1"/>
  <c r="Q1100" i="27"/>
  <c r="AC1098" i="27" s="1"/>
  <c r="Q871" i="27"/>
  <c r="AC869" i="27" s="1"/>
  <c r="Q647" i="27"/>
  <c r="AC645" i="27" s="1"/>
  <c r="Q419" i="27"/>
  <c r="Q195" i="27"/>
  <c r="AC193" i="27" s="1"/>
  <c r="Q1739" i="27"/>
  <c r="AC1737" i="27" s="1"/>
  <c r="Q1317" i="27"/>
  <c r="AC1315" i="27" s="1"/>
  <c r="Q890" i="27"/>
  <c r="AC888" i="27" s="1"/>
  <c r="Q1515" i="27"/>
  <c r="AC1513" i="27" s="1"/>
  <c r="Q1037" i="27"/>
  <c r="AC1035" i="27" s="1"/>
  <c r="Q1733" i="27"/>
  <c r="AC1731" i="27" s="1"/>
  <c r="Q1509" i="27"/>
  <c r="AC1507" i="27" s="1"/>
  <c r="Q1281" i="27"/>
  <c r="AC1279" i="27" s="1"/>
  <c r="Q1057" i="27"/>
  <c r="AC1055" i="27" s="1"/>
  <c r="Q828" i="27"/>
  <c r="AC826" i="27" s="1"/>
  <c r="Q604" i="27"/>
  <c r="AC602" i="27" s="1"/>
  <c r="Q376" i="27"/>
  <c r="AC374" i="27" s="1"/>
  <c r="Q152" i="27"/>
  <c r="AC150" i="27" s="1"/>
  <c r="Q696" i="27"/>
  <c r="AC694" i="27" s="1"/>
  <c r="Q1752" i="27"/>
  <c r="AC1750" i="27" s="1"/>
  <c r="Q847" i="27"/>
  <c r="AC845" i="27" s="1"/>
  <c r="Q115" i="27"/>
  <c r="AC113" i="27" s="1"/>
  <c r="Q1020" i="27"/>
  <c r="AC1018" i="27" s="1"/>
  <c r="Q877" i="27"/>
  <c r="AC875" i="27" s="1"/>
  <c r="Q201" i="27"/>
  <c r="AC199" i="27" s="1"/>
  <c r="Q1808" i="27"/>
  <c r="AC1806" i="27" s="1"/>
  <c r="Q1746" i="27"/>
  <c r="AC1744" i="27" s="1"/>
  <c r="Q1522" i="27"/>
  <c r="AC1520" i="27" s="1"/>
  <c r="Q841" i="27"/>
  <c r="AC839" i="27" s="1"/>
  <c r="Q617" i="27"/>
  <c r="AC615" i="27" s="1"/>
  <c r="Q1683" i="27"/>
  <c r="AC1681" i="27" s="1"/>
  <c r="Q1261" i="27"/>
  <c r="AC1259" i="27" s="1"/>
  <c r="Q834" i="27"/>
  <c r="AC832" i="27" s="1"/>
  <c r="Q1459" i="27"/>
  <c r="AC1457" i="27" s="1"/>
  <c r="Q981" i="27"/>
  <c r="AC979" i="27" s="1"/>
  <c r="Q1707" i="27"/>
  <c r="AC1705" i="27" s="1"/>
  <c r="Q1483" i="27"/>
  <c r="AC1481" i="27" s="1"/>
  <c r="Q1255" i="27"/>
  <c r="AC1253" i="27" s="1"/>
  <c r="Q1031" i="27"/>
  <c r="AC1029" i="27" s="1"/>
  <c r="Q802" i="27"/>
  <c r="AC800" i="27" s="1"/>
  <c r="Q578" i="27"/>
  <c r="Q350" i="27"/>
  <c r="AC348" i="27" s="1"/>
  <c r="Q126" i="27"/>
  <c r="AC124" i="27" s="1"/>
  <c r="Q132" i="27"/>
  <c r="AC130" i="27" s="1"/>
  <c r="Q188" i="27"/>
  <c r="AC186" i="27" s="1"/>
  <c r="Q75" i="27"/>
  <c r="Q485" i="27"/>
  <c r="AC483" i="27" s="1"/>
  <c r="Q554" i="27"/>
  <c r="Q171" i="27"/>
  <c r="AC169" i="27" s="1"/>
  <c r="Q1390" i="27"/>
  <c r="AC1388" i="27" s="1"/>
  <c r="Q1472" i="27"/>
  <c r="AC1470" i="27" s="1"/>
  <c r="Q1502" i="27"/>
  <c r="AC1500" i="27" s="1"/>
  <c r="Q1726" i="27"/>
  <c r="AC1724" i="27" s="1"/>
  <c r="Q653" i="27"/>
  <c r="AC651" i="27" s="1"/>
  <c r="Q1720" i="27"/>
  <c r="AC1718" i="27" s="1"/>
  <c r="Q1496" i="27"/>
  <c r="AC1494" i="27" s="1"/>
  <c r="Q1268" i="27"/>
  <c r="AC1266" i="27" s="1"/>
  <c r="Q1044" i="27"/>
  <c r="AC1042" i="27" s="1"/>
  <c r="Q815" i="27"/>
  <c r="AC813" i="27" s="1"/>
  <c r="Q591" i="27"/>
  <c r="Q363" i="27"/>
  <c r="AC361" i="27" s="1"/>
  <c r="Q139" i="27"/>
  <c r="AC137" i="27" s="1"/>
  <c r="Q1657" i="27"/>
  <c r="AC1655" i="27" s="1"/>
  <c r="Q1205" i="27"/>
  <c r="AC1203" i="27" s="1"/>
  <c r="Q778" i="27"/>
  <c r="AC776" i="27" s="1"/>
  <c r="Q1403" i="27"/>
  <c r="AC1401" i="27" s="1"/>
  <c r="Q925" i="27"/>
  <c r="AC923" i="27" s="1"/>
  <c r="Q1677" i="27"/>
  <c r="AC1675" i="27" s="1"/>
  <c r="Q1453" i="27"/>
  <c r="AC1451" i="27" s="1"/>
  <c r="Q1225" i="27"/>
  <c r="AC1223" i="27" s="1"/>
  <c r="Q1001" i="27"/>
  <c r="AC999" i="27" s="1"/>
  <c r="Q772" i="27"/>
  <c r="AC770" i="27" s="1"/>
  <c r="Q548" i="27"/>
  <c r="Q320" i="27"/>
  <c r="Q96" i="27"/>
  <c r="AC94" i="27" s="1"/>
  <c r="Q244" i="27"/>
  <c r="AC242" i="27" s="1"/>
  <c r="Q214" i="27"/>
  <c r="AC212" i="27" s="1"/>
  <c r="Q425" i="27"/>
  <c r="Q964" i="27"/>
  <c r="AC962" i="27" s="1"/>
  <c r="Q1274" i="27"/>
  <c r="AC1272" i="27" s="1"/>
  <c r="Q791" i="27"/>
  <c r="AC789" i="27" s="1"/>
  <c r="Q395" i="27"/>
  <c r="AC393" i="27" s="1"/>
  <c r="Q1132" i="27"/>
  <c r="AC1130" i="27" s="1"/>
  <c r="Q1188" i="27"/>
  <c r="AC1186" i="27" s="1"/>
  <c r="Q1690" i="27"/>
  <c r="AC1688" i="27" s="1"/>
  <c r="Q1466" i="27"/>
  <c r="AC1464" i="27" s="1"/>
  <c r="Q785" i="27"/>
  <c r="AC783" i="27" s="1"/>
  <c r="Q561" i="27"/>
  <c r="Q1601" i="27"/>
  <c r="AC1599" i="27" s="1"/>
  <c r="Q1149" i="27"/>
  <c r="AC1147" i="27" s="1"/>
  <c r="Q722" i="27"/>
  <c r="AC720" i="27" s="1"/>
  <c r="Q1343" i="27"/>
  <c r="AC1341" i="27" s="1"/>
  <c r="Q864" i="27"/>
  <c r="AC862" i="27" s="1"/>
  <c r="Q1651" i="27"/>
  <c r="AC1649" i="27" s="1"/>
  <c r="Q1427" i="27"/>
  <c r="AC1425" i="27" s="1"/>
  <c r="Q1199" i="27"/>
  <c r="AC1197" i="27" s="1"/>
  <c r="Q975" i="27"/>
  <c r="AC973" i="27" s="1"/>
  <c r="Q746" i="27"/>
  <c r="AC744" i="27" s="1"/>
  <c r="Q522" i="27"/>
  <c r="AC520" i="27" s="1"/>
  <c r="Q294" i="27"/>
  <c r="Q69" i="27"/>
  <c r="Q498" i="27"/>
  <c r="AC496" i="27" s="1"/>
  <c r="Q102" i="27"/>
  <c r="AC100" i="27" s="1"/>
  <c r="Q610" i="27"/>
  <c r="AC608" i="27" s="1"/>
  <c r="Q679" i="27"/>
  <c r="AC677" i="27" s="1"/>
  <c r="Q938" i="27"/>
  <c r="AC936" i="27" s="1"/>
  <c r="Q145" i="27"/>
  <c r="AC143" i="27" s="1"/>
  <c r="Q1446" i="27"/>
  <c r="AC1444" i="27" s="1"/>
  <c r="Q903" i="27"/>
  <c r="AC901" i="27" s="1"/>
  <c r="Q1584" i="27"/>
  <c r="AC1582" i="27" s="1"/>
  <c r="Q1640" i="27"/>
  <c r="AC1638" i="27" s="1"/>
  <c r="Q1664" i="27"/>
  <c r="AC1662" i="27" s="1"/>
  <c r="Q1440" i="27"/>
  <c r="AC1438" i="27" s="1"/>
  <c r="Q1212" i="27"/>
  <c r="AC1210" i="27" s="1"/>
  <c r="Q988" i="27"/>
  <c r="AC986" i="27" s="1"/>
  <c r="Q759" i="27"/>
  <c r="AC757" i="27" s="1"/>
  <c r="Q535" i="27"/>
  <c r="Q307" i="27"/>
  <c r="Q82" i="27"/>
  <c r="Q1545" i="27"/>
  <c r="AC1543" i="27" s="1"/>
  <c r="Q1119" i="27"/>
  <c r="AC1117" i="27" s="1"/>
  <c r="Q1769" i="27"/>
  <c r="AC1767" i="27" s="1"/>
  <c r="Q1287" i="27"/>
  <c r="AC1285" i="27" s="1"/>
  <c r="Q808" i="27"/>
  <c r="AC806" i="27" s="1"/>
  <c r="Q1621" i="27"/>
  <c r="AC1619" i="27" s="1"/>
  <c r="Q1397" i="27"/>
  <c r="AC1395" i="27" s="1"/>
  <c r="Q1169" i="27"/>
  <c r="AC1167" i="27" s="1"/>
  <c r="Q945" i="27"/>
  <c r="AC943" i="27" s="1"/>
  <c r="Q716" i="27"/>
  <c r="AC714" i="27" s="1"/>
  <c r="Q492" i="27"/>
  <c r="AC490" i="27" s="1"/>
  <c r="Q264" i="27"/>
  <c r="AC262" i="27" s="1"/>
  <c r="Q39" i="27"/>
  <c r="AC37" i="27" s="1"/>
  <c r="Q270" i="27"/>
  <c r="AC268" i="27" s="1"/>
  <c r="Q472" i="27"/>
  <c r="AC470" i="27" s="1"/>
  <c r="Q382" i="27"/>
  <c r="AC380" i="27" s="1"/>
  <c r="Q735" i="27"/>
  <c r="AC733" i="27" s="1"/>
  <c r="Q1050" i="27"/>
  <c r="AC1048" i="27" s="1"/>
  <c r="Q257" i="27"/>
  <c r="AC255" i="27" s="1"/>
  <c r="Q1802" i="27"/>
  <c r="AC1800" i="27" s="1"/>
  <c r="Q1795" i="27"/>
  <c r="AC1793" i="27" s="1"/>
  <c r="Q1571" i="27"/>
  <c r="AC1569" i="27" s="1"/>
  <c r="Q1311" i="27"/>
  <c r="AC1309" i="27" s="1"/>
  <c r="Q634" i="27"/>
  <c r="AC632" i="27" s="1"/>
  <c r="Q584" i="27"/>
  <c r="Q369" i="27"/>
  <c r="AC367" i="27" s="1"/>
  <c r="Q412" i="27"/>
  <c r="Q1416" i="27"/>
  <c r="AC1414" i="27" s="1"/>
  <c r="Q541" i="27"/>
  <c r="Q623" i="27"/>
  <c r="AC621" i="27" s="1"/>
  <c r="Q1782" i="27"/>
  <c r="AC1780" i="27" s="1"/>
  <c r="Q994" i="27"/>
  <c r="AC992" i="27" s="1"/>
  <c r="Q1076" i="27"/>
  <c r="AC1074" i="27" s="1"/>
  <c r="Q1634" i="27"/>
  <c r="AC1632" i="27" s="1"/>
  <c r="Q1410" i="27"/>
  <c r="AC1408" i="27" s="1"/>
  <c r="Q729" i="27"/>
  <c r="AC727" i="27" s="1"/>
  <c r="Q505" i="27"/>
  <c r="AC503" i="27" s="1"/>
  <c r="Q1489" i="27"/>
  <c r="AC1487" i="27" s="1"/>
  <c r="Q1063" i="27"/>
  <c r="AC1061" i="27" s="1"/>
  <c r="Q1713" i="27"/>
  <c r="AC1711" i="27" s="1"/>
  <c r="Q1231" i="27"/>
  <c r="AC1229" i="27" s="1"/>
  <c r="Q752" i="27"/>
  <c r="AC750" i="27" s="1"/>
  <c r="Q1595" i="27"/>
  <c r="AC1593" i="27" s="1"/>
  <c r="Q1371" i="27"/>
  <c r="AC1369" i="27" s="1"/>
  <c r="Q1143" i="27"/>
  <c r="AC1141" i="27" s="1"/>
  <c r="Q919" i="27"/>
  <c r="AC917" i="27" s="1"/>
  <c r="Q690" i="27"/>
  <c r="AC688" i="27" s="1"/>
  <c r="Q466" i="27"/>
  <c r="AC464" i="27" s="1"/>
  <c r="Q238" i="27"/>
  <c r="AC236" i="27" s="1"/>
  <c r="Q13" i="27"/>
  <c r="AC11" i="27" s="1"/>
  <c r="Q45" i="27"/>
  <c r="AC43" i="27" s="1"/>
  <c r="Q19" i="27"/>
  <c r="AC17" i="27" s="1"/>
  <c r="Q158" i="27"/>
  <c r="AC156" i="27" s="1"/>
  <c r="Q1244" i="27"/>
  <c r="AC1242" i="27" s="1"/>
  <c r="Q1356" i="27"/>
  <c r="AC1354" i="27" s="1"/>
  <c r="Q451" i="27"/>
  <c r="Q897" i="27"/>
  <c r="AC895" i="27" s="1"/>
  <c r="Q951" i="27"/>
  <c r="AC949" i="27" s="1"/>
  <c r="Q1093" i="27"/>
  <c r="AC1091" i="27" s="1"/>
  <c r="Q1539" i="27"/>
  <c r="AC1537" i="27" s="1"/>
  <c r="Q858" i="27"/>
  <c r="AC856" i="27" s="1"/>
  <c r="Q406" i="27"/>
  <c r="Q640" i="27"/>
  <c r="AC638" i="27" s="1"/>
  <c r="Q1162" i="27"/>
  <c r="AC1160" i="27" s="1"/>
  <c r="Q356" i="27"/>
  <c r="AC354" i="27" s="1"/>
  <c r="Q709" i="27"/>
  <c r="AC707" i="27" s="1"/>
  <c r="Q32" i="27"/>
  <c r="AC30" i="27" s="1"/>
  <c r="Q1300" i="27"/>
  <c r="AC1298" i="27" s="1"/>
  <c r="Q511" i="27"/>
  <c r="AC509" i="27" s="1"/>
  <c r="Q1558" i="27"/>
  <c r="AC1556" i="27" s="1"/>
  <c r="Q1608" i="27"/>
  <c r="AC1606" i="27" s="1"/>
  <c r="Q1384" i="27"/>
  <c r="AC1382" i="27" s="1"/>
  <c r="Q1156" i="27"/>
  <c r="AC1154" i="27" s="1"/>
  <c r="Q932" i="27"/>
  <c r="AC930" i="27" s="1"/>
  <c r="Q703" i="27"/>
  <c r="AC701" i="27" s="1"/>
  <c r="Q479" i="27"/>
  <c r="AC477" i="27" s="1"/>
  <c r="Q251" i="27"/>
  <c r="AC249" i="27" s="1"/>
  <c r="Q26" i="27"/>
  <c r="AC24" i="27" s="1"/>
  <c r="Q1433" i="27"/>
  <c r="AC1431" i="27" s="1"/>
  <c r="Q1007" i="27"/>
  <c r="AC1005" i="27" s="1"/>
  <c r="Q1627" i="27"/>
  <c r="AC1625" i="27" s="1"/>
  <c r="Q1175" i="27"/>
  <c r="AC1173" i="27" s="1"/>
  <c r="Q1789" i="27"/>
  <c r="AC1787" i="27" s="1"/>
  <c r="Q1565" i="27"/>
  <c r="AC1563" i="27" s="1"/>
  <c r="Q1337" i="27"/>
  <c r="AC1335" i="27" s="1"/>
  <c r="Q1113" i="27"/>
  <c r="AC1111" i="27" s="1"/>
  <c r="Q884" i="27"/>
  <c r="AC882" i="27" s="1"/>
  <c r="Q660" i="27"/>
  <c r="AC658" i="27" s="1"/>
  <c r="Q432" i="27"/>
  <c r="Q208" i="27"/>
  <c r="AC206" i="27" s="1"/>
  <c r="Q666" i="27"/>
  <c r="AC664" i="27" s="1"/>
  <c r="Q300" i="27"/>
  <c r="Q438" i="27"/>
  <c r="Q528" i="27"/>
  <c r="AC526" i="27" s="1"/>
  <c r="Q1670" i="27"/>
  <c r="AC1668" i="27" s="1"/>
  <c r="Q339" i="27"/>
  <c r="Q1578" i="27"/>
  <c r="AC1576" i="27" s="1"/>
  <c r="Q673" i="27"/>
  <c r="AC671" i="27" s="1"/>
  <c r="Q1377" i="27"/>
  <c r="AC1375" i="27" s="1"/>
  <c r="Q1763" i="27"/>
  <c r="AC1761" i="27" s="1"/>
  <c r="Q1087" i="27"/>
  <c r="AC1085" i="27" s="1"/>
  <c r="Q182" i="27"/>
  <c r="AC180" i="27" s="1"/>
  <c r="Q326" i="27"/>
  <c r="Q88" i="27"/>
  <c r="AC86" i="27" s="1"/>
  <c r="G718" i="27"/>
  <c r="E79" i="27"/>
  <c r="E1437" i="27"/>
  <c r="E532" i="27"/>
  <c r="BO532" i="27" s="1"/>
  <c r="CN532" i="27" s="1"/>
  <c r="E985" i="27"/>
  <c r="G1623" i="27"/>
  <c r="G947" i="27"/>
  <c r="G1171" i="27"/>
  <c r="G494" i="27"/>
  <c r="W1249" i="27"/>
  <c r="W1305" i="27"/>
  <c r="W909" i="27"/>
  <c r="G266" i="27"/>
  <c r="B16" i="13"/>
  <c r="B11" i="13"/>
  <c r="Q124" i="15"/>
  <c r="O112" i="15"/>
  <c r="Q112" i="15" s="1"/>
  <c r="O49" i="15"/>
  <c r="Q49" i="15" s="1"/>
  <c r="O82" i="15"/>
  <c r="O19" i="15"/>
  <c r="M127" i="15"/>
  <c r="M64" i="15"/>
  <c r="Q4" i="15"/>
  <c r="F81" i="15"/>
  <c r="F18" i="15"/>
  <c r="Q7" i="15"/>
  <c r="Q61" i="15"/>
  <c r="D15" i="15"/>
  <c r="F123" i="15"/>
  <c r="N121" i="15" s="1"/>
  <c r="P121" i="15" s="1"/>
  <c r="F93" i="15"/>
  <c r="N91" i="15" s="1"/>
  <c r="P91" i="15" s="1"/>
  <c r="H27" i="15"/>
  <c r="H120" i="15"/>
  <c r="N118" i="15" s="1"/>
  <c r="P118" i="15" s="1"/>
  <c r="H90" i="15"/>
  <c r="N88" i="15" s="1"/>
  <c r="P88" i="15" s="1"/>
  <c r="F60" i="15"/>
  <c r="F111" i="15"/>
  <c r="H57" i="15"/>
  <c r="F48" i="15"/>
  <c r="F30" i="15"/>
  <c r="H12" i="15"/>
  <c r="H42" i="15"/>
  <c r="H105" i="15"/>
  <c r="H75" i="15"/>
  <c r="Q88" i="15"/>
  <c r="Q121" i="15"/>
  <c r="Q55" i="15"/>
  <c r="Q43" i="15"/>
  <c r="Q46" i="15"/>
  <c r="P94" i="15"/>
  <c r="Q94" i="15"/>
  <c r="Q58" i="15"/>
  <c r="Q91" i="15"/>
  <c r="Q28" i="15"/>
  <c r="Q37" i="15"/>
  <c r="Q25" i="15"/>
  <c r="Q40" i="15"/>
  <c r="AY9" i="27" l="1"/>
  <c r="AY12" i="27"/>
  <c r="AY6" i="27"/>
  <c r="BV82" i="27"/>
  <c r="AC80" i="27"/>
  <c r="CA564" i="27"/>
  <c r="AC562" i="27"/>
  <c r="CA594" i="27"/>
  <c r="AC592" i="27"/>
  <c r="BV75" i="27"/>
  <c r="AC73" i="27"/>
  <c r="CA551" i="27"/>
  <c r="AC549" i="27"/>
  <c r="CA581" i="27"/>
  <c r="AC579" i="27"/>
  <c r="CA535" i="27"/>
  <c r="AC533" i="27"/>
  <c r="BV69" i="27"/>
  <c r="AC67" i="27"/>
  <c r="CA597" i="27"/>
  <c r="AC595" i="27"/>
  <c r="CA538" i="27"/>
  <c r="AC536" i="27"/>
  <c r="CA544" i="27"/>
  <c r="AC542" i="27"/>
  <c r="BV78" i="27"/>
  <c r="AC76" i="27"/>
  <c r="CA531" i="27"/>
  <c r="AC529" i="27"/>
  <c r="CA541" i="27"/>
  <c r="AC539" i="27"/>
  <c r="CA591" i="27"/>
  <c r="AC589" i="27"/>
  <c r="CA567" i="27"/>
  <c r="AC565" i="27"/>
  <c r="CA570" i="27"/>
  <c r="AC568" i="27"/>
  <c r="CA557" i="27"/>
  <c r="AC555" i="27"/>
  <c r="BV72" i="27"/>
  <c r="AC70" i="27"/>
  <c r="CA600" i="27"/>
  <c r="AC598" i="27"/>
  <c r="CA587" i="27"/>
  <c r="AC585" i="27"/>
  <c r="CA548" i="27"/>
  <c r="AC546" i="27"/>
  <c r="CA578" i="27"/>
  <c r="AC576" i="27"/>
  <c r="CA584" i="27"/>
  <c r="AC582" i="27"/>
  <c r="CA561" i="27"/>
  <c r="AC559" i="27"/>
  <c r="CA554" i="27"/>
  <c r="AC552" i="27"/>
  <c r="O18" i="27"/>
  <c r="Q1294" i="27"/>
  <c r="AC1292" i="27" s="1"/>
  <c r="Q1070" i="27"/>
  <c r="AC1068" i="27" s="1"/>
  <c r="Q389" i="27"/>
  <c r="AC387" i="27" s="1"/>
  <c r="Q165" i="27"/>
  <c r="AC163" i="27" s="1"/>
  <c r="Q1238" i="27"/>
  <c r="AC1236" i="27" s="1"/>
  <c r="Q1014" i="27"/>
  <c r="AC1012" i="27" s="1"/>
  <c r="Q333" i="27"/>
  <c r="Q109" i="27"/>
  <c r="AC107" i="27" s="1"/>
  <c r="Q1126" i="27"/>
  <c r="AC1124" i="27" s="1"/>
  <c r="Q445" i="27"/>
  <c r="Q1182" i="27"/>
  <c r="AC1180" i="27" s="1"/>
  <c r="Q958" i="27"/>
  <c r="AC956" i="27" s="1"/>
  <c r="Q277" i="27"/>
  <c r="AC275" i="27" s="1"/>
  <c r="Q52" i="27"/>
  <c r="AC50" i="27" s="1"/>
  <c r="Q1350" i="27"/>
  <c r="AC1348" i="27" s="1"/>
  <c r="Q221" i="27"/>
  <c r="AC219" i="27" s="1"/>
  <c r="G41" i="27"/>
  <c r="G1399" i="27"/>
  <c r="W1411" i="27" s="1"/>
  <c r="W1351" i="27"/>
  <c r="Z1351" i="27" s="1"/>
  <c r="W1806" i="27"/>
  <c r="Z1806" i="27" s="1"/>
  <c r="W1800" i="27"/>
  <c r="Z1800" i="27" s="1"/>
  <c r="W1357" i="27"/>
  <c r="Z1357" i="27" s="1"/>
  <c r="W1747" i="27"/>
  <c r="Z1747" i="27" s="1"/>
  <c r="W1750" i="27"/>
  <c r="Z1750" i="27" s="1"/>
  <c r="W1301" i="27"/>
  <c r="Z1301" i="27" s="1"/>
  <c r="W1744" i="27"/>
  <c r="Z1744" i="27" s="1"/>
  <c r="W1298" i="27"/>
  <c r="Z1298" i="27" s="1"/>
  <c r="W1753" i="27"/>
  <c r="Z1753" i="27" s="1"/>
  <c r="W1809" i="27"/>
  <c r="Z1809" i="27" s="1"/>
  <c r="W1295" i="27"/>
  <c r="Z1295" i="27" s="1"/>
  <c r="W1354" i="27"/>
  <c r="Z1354" i="27" s="1"/>
  <c r="W1803" i="27"/>
  <c r="Z1803" i="27" s="1"/>
  <c r="W1189" i="27"/>
  <c r="W1183" i="27"/>
  <c r="W1186" i="27"/>
  <c r="Z1305" i="27"/>
  <c r="Z1249" i="27"/>
  <c r="BJ79" i="27"/>
  <c r="W1239" i="27"/>
  <c r="W1245" i="27"/>
  <c r="W1242" i="27"/>
  <c r="W1137" i="27"/>
  <c r="W1193" i="27"/>
  <c r="W1021" i="27"/>
  <c r="W1018" i="27"/>
  <c r="W959" i="27"/>
  <c r="W965" i="27"/>
  <c r="W962" i="27"/>
  <c r="W1015" i="27"/>
  <c r="W969" i="27"/>
  <c r="W913" i="27"/>
  <c r="W1694" i="27"/>
  <c r="W1638" i="27"/>
  <c r="W1688" i="27"/>
  <c r="W1635" i="27"/>
  <c r="W1632" i="27"/>
  <c r="W1691" i="27"/>
  <c r="W1641" i="27"/>
  <c r="W1697" i="27"/>
  <c r="W1589" i="27"/>
  <c r="W1645" i="27"/>
  <c r="H117" i="15"/>
  <c r="N112" i="15" s="1"/>
  <c r="P112" i="15" s="1"/>
  <c r="O1735" i="27"/>
  <c r="O1455" i="27"/>
  <c r="O1712" i="27"/>
  <c r="O1567" i="27"/>
  <c r="W1569" i="27" s="1"/>
  <c r="O1544" i="27"/>
  <c r="O1623" i="27"/>
  <c r="W1625" i="27" s="1"/>
  <c r="O1283" i="27"/>
  <c r="O807" i="27"/>
  <c r="O662" i="27"/>
  <c r="O550" i="27"/>
  <c r="O1656" i="27"/>
  <c r="O1260" i="27"/>
  <c r="O1115" i="27"/>
  <c r="W1120" i="27" s="1"/>
  <c r="O639" i="27"/>
  <c r="O434" i="27"/>
  <c r="O1376" i="27"/>
  <c r="O1227" i="27"/>
  <c r="W1232" i="27" s="1"/>
  <c r="O886" i="27"/>
  <c r="O751" i="27"/>
  <c r="O1600" i="27"/>
  <c r="O1092" i="27"/>
  <c r="O980" i="27"/>
  <c r="O718" i="27"/>
  <c r="O583" i="27"/>
  <c r="BY583" i="27" s="1"/>
  <c r="O494" i="27"/>
  <c r="O1791" i="27"/>
  <c r="O1511" i="27"/>
  <c r="W1507" i="27" s="1"/>
  <c r="O1171" i="27"/>
  <c r="O924" i="27"/>
  <c r="O830" i="27"/>
  <c r="O1432" i="27"/>
  <c r="O131" i="27"/>
  <c r="O1399" i="27"/>
  <c r="O1148" i="27"/>
  <c r="O1059" i="27"/>
  <c r="W1064" i="27" s="1"/>
  <c r="O299" i="27"/>
  <c r="O187" i="27"/>
  <c r="O1036" i="27"/>
  <c r="O695" i="27"/>
  <c r="O378" i="27"/>
  <c r="O266" i="27"/>
  <c r="O98" i="27"/>
  <c r="O1768" i="27"/>
  <c r="O1339" i="27"/>
  <c r="O1003" i="27"/>
  <c r="W1005" i="27" s="1"/>
  <c r="O527" i="27"/>
  <c r="O355" i="27"/>
  <c r="O243" i="27"/>
  <c r="O74" i="27"/>
  <c r="BT74" i="27" s="1"/>
  <c r="O1488" i="27"/>
  <c r="O1204" i="27"/>
  <c r="O1316" i="27"/>
  <c r="O606" i="27"/>
  <c r="O947" i="27"/>
  <c r="W946" i="27" s="1"/>
  <c r="O322" i="27"/>
  <c r="O411" i="27"/>
  <c r="O471" i="27"/>
  <c r="O154" i="27"/>
  <c r="O863" i="27"/>
  <c r="O210" i="27"/>
  <c r="O41" i="27"/>
  <c r="O1679" i="27"/>
  <c r="W1681" i="27" s="1"/>
  <c r="O774" i="27"/>
  <c r="W1133" i="27"/>
  <c r="W1130" i="27"/>
  <c r="W1077" i="27"/>
  <c r="W1127" i="27"/>
  <c r="W1074" i="27"/>
  <c r="W1071" i="27"/>
  <c r="W1025" i="27"/>
  <c r="W1081" i="27"/>
  <c r="Z909" i="27"/>
  <c r="W1585" i="27"/>
  <c r="W1582" i="27"/>
  <c r="W1529" i="27"/>
  <c r="W1579" i="27"/>
  <c r="W1526" i="27"/>
  <c r="W1576" i="27"/>
  <c r="W1523" i="27"/>
  <c r="W1520" i="27"/>
  <c r="W1533" i="27"/>
  <c r="W1477" i="27"/>
  <c r="M1605" i="27"/>
  <c r="W1615" i="27" s="1"/>
  <c r="M1381" i="27"/>
  <c r="M1661" i="27"/>
  <c r="W1671" i="27" s="1"/>
  <c r="M1773" i="27"/>
  <c r="M1493" i="27"/>
  <c r="M1717" i="27"/>
  <c r="M1437" i="27"/>
  <c r="M1153" i="27"/>
  <c r="W1163" i="27" s="1"/>
  <c r="M985" i="27"/>
  <c r="W995" i="27" s="1"/>
  <c r="M756" i="27"/>
  <c r="M588" i="27"/>
  <c r="BW588" i="27" s="1"/>
  <c r="M1097" i="27"/>
  <c r="M929" i="27"/>
  <c r="W930" i="27" s="1"/>
  <c r="M1209" i="27"/>
  <c r="W1213" i="27" s="1"/>
  <c r="M868" i="27"/>
  <c r="M1321" i="27"/>
  <c r="M1041" i="27"/>
  <c r="W1051" i="27" s="1"/>
  <c r="M700" i="27"/>
  <c r="M476" i="27"/>
  <c r="M812" i="27"/>
  <c r="M360" i="27"/>
  <c r="M532" i="27"/>
  <c r="BW532" i="27" s="1"/>
  <c r="M79" i="27"/>
  <c r="M644" i="27"/>
  <c r="M136" i="27"/>
  <c r="M1549" i="27"/>
  <c r="W1556" i="27" s="1"/>
  <c r="M1265" i="27"/>
  <c r="M416" i="27"/>
  <c r="M192" i="27"/>
  <c r="M23" i="27"/>
  <c r="M248" i="27"/>
  <c r="M304" i="27"/>
  <c r="O64" i="15"/>
  <c r="Q19" i="15"/>
  <c r="O127" i="15"/>
  <c r="Q82" i="15"/>
  <c r="Q115" i="15"/>
  <c r="Q52" i="15"/>
  <c r="H54" i="15"/>
  <c r="H24" i="15"/>
  <c r="D78" i="15"/>
  <c r="H87" i="15"/>
  <c r="D45" i="15"/>
  <c r="D111" i="15"/>
  <c r="H72" i="15"/>
  <c r="H9" i="15"/>
  <c r="H39" i="15"/>
  <c r="H102" i="15"/>
  <c r="F12" i="15"/>
  <c r="F105" i="15"/>
  <c r="F75" i="15"/>
  <c r="F42" i="15"/>
  <c r="AY3" i="27" l="1"/>
  <c r="AZ19" i="27" s="1"/>
  <c r="W1473" i="27"/>
  <c r="Z1473" i="27" s="1"/>
  <c r="W1055" i="27"/>
  <c r="Z1055" i="27" s="1"/>
  <c r="W1417" i="27"/>
  <c r="Z1417" i="27" s="1"/>
  <c r="W1365" i="27"/>
  <c r="Z1365" i="27" s="1"/>
  <c r="W1464" i="27"/>
  <c r="Z1464" i="27" s="1"/>
  <c r="W1421" i="27"/>
  <c r="Z1421" i="27" s="1"/>
  <c r="W1470" i="27"/>
  <c r="Z1470" i="27" s="1"/>
  <c r="W1401" i="27"/>
  <c r="Z1401" i="27" s="1"/>
  <c r="W1467" i="27"/>
  <c r="Z1467" i="27" s="1"/>
  <c r="W1408" i="27"/>
  <c r="Z1408" i="27" s="1"/>
  <c r="W1414" i="27"/>
  <c r="Z1414" i="27" s="1"/>
  <c r="W1460" i="27"/>
  <c r="Z1460" i="27" s="1"/>
  <c r="W1012" i="27"/>
  <c r="Z1012" i="27" s="1"/>
  <c r="W1292" i="27"/>
  <c r="W1180" i="27"/>
  <c r="W1124" i="27"/>
  <c r="W1236" i="27"/>
  <c r="Z1236" i="27" s="1"/>
  <c r="W1068" i="27"/>
  <c r="W956" i="27"/>
  <c r="Z956" i="27" s="1"/>
  <c r="W1348" i="27"/>
  <c r="BY550" i="27"/>
  <c r="W1513" i="27"/>
  <c r="Z1513" i="27" s="1"/>
  <c r="W1058" i="27"/>
  <c r="Z1058" i="27" s="1"/>
  <c r="W1516" i="27"/>
  <c r="Z1516" i="27" s="1"/>
  <c r="W1510" i="27"/>
  <c r="Z1510" i="27" s="1"/>
  <c r="Z1556" i="27"/>
  <c r="Z1213" i="27"/>
  <c r="Z1523" i="27"/>
  <c r="Z1529" i="27"/>
  <c r="Z1127" i="27"/>
  <c r="Z1133" i="27"/>
  <c r="Z1681" i="27"/>
  <c r="Z946" i="27"/>
  <c r="Z1625" i="27"/>
  <c r="Z1589" i="27"/>
  <c r="Z1632" i="27"/>
  <c r="Z1694" i="27"/>
  <c r="Z962" i="27"/>
  <c r="Z1021" i="27"/>
  <c r="Z1245" i="27"/>
  <c r="Z1051" i="27"/>
  <c r="Z930" i="27"/>
  <c r="Z995" i="27"/>
  <c r="W1481" i="27"/>
  <c r="Z1615" i="27"/>
  <c r="Z1576" i="27"/>
  <c r="Z1582" i="27"/>
  <c r="Z1071" i="27"/>
  <c r="Z1077" i="27"/>
  <c r="Z1005" i="27"/>
  <c r="Z1232" i="27"/>
  <c r="Z1120" i="27"/>
  <c r="Z1697" i="27"/>
  <c r="Z1635" i="27"/>
  <c r="Z913" i="27"/>
  <c r="Z965" i="27"/>
  <c r="Z1193" i="27"/>
  <c r="Z1239" i="27"/>
  <c r="Z1163" i="27"/>
  <c r="Z1477" i="27"/>
  <c r="Z1520" i="27"/>
  <c r="Z1526" i="27"/>
  <c r="Z1585" i="27"/>
  <c r="Z1081" i="27"/>
  <c r="Z1130" i="27"/>
  <c r="Z1411" i="27"/>
  <c r="Z1186" i="27"/>
  <c r="Z1569" i="27"/>
  <c r="Z1641" i="27"/>
  <c r="Z1688" i="27"/>
  <c r="Z969" i="27"/>
  <c r="Z959" i="27"/>
  <c r="Z1137" i="27"/>
  <c r="Z1671" i="27"/>
  <c r="Z1533" i="27"/>
  <c r="Z1579" i="27"/>
  <c r="Z1025" i="27"/>
  <c r="Z1074" i="27"/>
  <c r="Z1064" i="27"/>
  <c r="Z1507" i="27"/>
  <c r="Z1645" i="27"/>
  <c r="Z1691" i="27"/>
  <c r="Z1638" i="27"/>
  <c r="Z1015" i="27"/>
  <c r="Z1018" i="27"/>
  <c r="Z1242" i="27"/>
  <c r="W1061" i="27"/>
  <c r="BR79" i="27"/>
  <c r="W1451" i="27"/>
  <c r="W1111" i="27"/>
  <c r="W1114" i="27"/>
  <c r="W1454" i="27"/>
  <c r="W1457" i="27"/>
  <c r="W1378" i="27"/>
  <c r="W1563" i="27"/>
  <c r="W1566" i="27"/>
  <c r="W1572" i="27"/>
  <c r="W1546" i="27"/>
  <c r="W1088" i="27"/>
  <c r="W1117" i="27"/>
  <c r="N115" i="15"/>
  <c r="P115" i="15" s="1"/>
  <c r="W1428" i="27"/>
  <c r="W1494" i="27"/>
  <c r="W1540" i="27"/>
  <c r="W1537" i="27"/>
  <c r="W933" i="27"/>
  <c r="W1167" i="27"/>
  <c r="W1150" i="27"/>
  <c r="W1094" i="27"/>
  <c r="W939" i="27"/>
  <c r="W1157" i="27"/>
  <c r="W1441" i="27"/>
  <c r="W923" i="27"/>
  <c r="W1606" i="27"/>
  <c r="W1612" i="27"/>
  <c r="W1322" i="27"/>
  <c r="W1331" i="27"/>
  <c r="W1315" i="27"/>
  <c r="W1309" i="27"/>
  <c r="W1325" i="27"/>
  <c r="W1318" i="27"/>
  <c r="W1312" i="27"/>
  <c r="W1328" i="27"/>
  <c r="W1543" i="27"/>
  <c r="W1553" i="27"/>
  <c r="W1559" i="27"/>
  <c r="W1035" i="27"/>
  <c r="W1098" i="27"/>
  <c r="W1104" i="27"/>
  <c r="W1382" i="27"/>
  <c r="W1391" i="27"/>
  <c r="W1372" i="27"/>
  <c r="W1622" i="27"/>
  <c r="W982" i="27"/>
  <c r="W952" i="27"/>
  <c r="W973" i="27"/>
  <c r="W1200" i="27"/>
  <c r="W1176" i="27"/>
  <c r="W1740" i="27"/>
  <c r="W1737" i="27"/>
  <c r="W1734" i="27"/>
  <c r="W1731" i="27"/>
  <c r="W1404" i="27"/>
  <c r="W1398" i="27"/>
  <c r="W1285" i="27"/>
  <c r="W1288" i="27"/>
  <c r="W1282" i="27"/>
  <c r="W1279" i="27"/>
  <c r="W1678" i="27"/>
  <c r="W1649" i="27"/>
  <c r="W1658" i="27"/>
  <c r="W1665" i="27"/>
  <c r="W917" i="27"/>
  <c r="W1008" i="27"/>
  <c r="W999" i="27"/>
  <c r="W1141" i="27"/>
  <c r="W1173" i="27"/>
  <c r="W1203" i="27"/>
  <c r="W1210" i="27"/>
  <c r="W1718" i="27"/>
  <c r="W1714" i="27"/>
  <c r="W1711" i="27"/>
  <c r="W1708" i="27"/>
  <c r="W1727" i="27"/>
  <c r="W1705" i="27"/>
  <c r="W1724" i="27"/>
  <c r="W1721" i="27"/>
  <c r="W1484" i="27"/>
  <c r="W1497" i="27"/>
  <c r="W1503" i="27"/>
  <c r="W1038" i="27"/>
  <c r="W1048" i="27"/>
  <c r="W1029" i="27"/>
  <c r="W1388" i="27"/>
  <c r="W1444" i="27"/>
  <c r="W1425" i="27"/>
  <c r="W1652" i="27"/>
  <c r="W1675" i="27"/>
  <c r="W1684" i="27"/>
  <c r="W943" i="27"/>
  <c r="W926" i="27"/>
  <c r="W986" i="27"/>
  <c r="W949" i="27"/>
  <c r="W1216" i="27"/>
  <c r="W1229" i="27"/>
  <c r="W1341" i="27"/>
  <c r="W1335" i="27"/>
  <c r="W1344" i="27"/>
  <c r="W1338" i="27"/>
  <c r="W1619" i="27"/>
  <c r="W1593" i="27"/>
  <c r="W1602" i="27"/>
  <c r="W1609" i="27"/>
  <c r="W989" i="27"/>
  <c r="W976" i="27"/>
  <c r="W1147" i="27"/>
  <c r="W1144" i="27"/>
  <c r="W1154" i="27"/>
  <c r="W1160" i="27"/>
  <c r="W1596" i="27"/>
  <c r="W1770" i="27"/>
  <c r="W1767" i="27"/>
  <c r="W1764" i="27"/>
  <c r="W1761" i="27"/>
  <c r="W1780" i="27"/>
  <c r="W1783" i="27"/>
  <c r="W1777" i="27"/>
  <c r="W1774" i="27"/>
  <c r="W1550" i="27"/>
  <c r="W1085" i="27"/>
  <c r="W1091" i="27"/>
  <c r="W1101" i="27"/>
  <c r="W1107" i="27"/>
  <c r="W1431" i="27"/>
  <c r="W1385" i="27"/>
  <c r="W1369" i="27"/>
  <c r="W1375" i="27"/>
  <c r="W1668" i="27"/>
  <c r="W1628" i="27"/>
  <c r="W920" i="27"/>
  <c r="W992" i="27"/>
  <c r="W1002" i="27"/>
  <c r="W1219" i="27"/>
  <c r="W1170" i="27"/>
  <c r="W1266" i="27"/>
  <c r="W1259" i="27"/>
  <c r="W1275" i="27"/>
  <c r="W1272" i="27"/>
  <c r="W1269" i="27"/>
  <c r="W1262" i="27"/>
  <c r="W1256" i="27"/>
  <c r="W1253" i="27"/>
  <c r="W1487" i="27"/>
  <c r="W1434" i="27"/>
  <c r="W1395" i="27"/>
  <c r="W1599" i="27"/>
  <c r="W1655" i="27"/>
  <c r="W1662" i="27"/>
  <c r="W936" i="27"/>
  <c r="W1197" i="27"/>
  <c r="W1206" i="27"/>
  <c r="W1490" i="27"/>
  <c r="W1500" i="27"/>
  <c r="W1042" i="27"/>
  <c r="W1032" i="27"/>
  <c r="W1045" i="27"/>
  <c r="W1438" i="27"/>
  <c r="W1447" i="27"/>
  <c r="W1796" i="27"/>
  <c r="W1793" i="27"/>
  <c r="W1790" i="27"/>
  <c r="W1787" i="27"/>
  <c r="W979" i="27"/>
  <c r="W1226" i="27"/>
  <c r="W1223" i="27"/>
  <c r="N70" i="15"/>
  <c r="N67" i="15"/>
  <c r="N100" i="15"/>
  <c r="P100" i="15" s="1"/>
  <c r="N97" i="15"/>
  <c r="P97" i="15" s="1"/>
  <c r="N85" i="15"/>
  <c r="P85" i="15" s="1"/>
  <c r="N82" i="15"/>
  <c r="P82" i="15" s="1"/>
  <c r="Q22" i="15"/>
  <c r="Q85" i="15"/>
  <c r="N109" i="15"/>
  <c r="P109" i="15" s="1"/>
  <c r="N106" i="15"/>
  <c r="P106" i="15" s="1"/>
  <c r="N103" i="15"/>
  <c r="P103" i="15" s="1"/>
  <c r="N73" i="15"/>
  <c r="P73" i="15" s="1"/>
  <c r="N76" i="15"/>
  <c r="P76" i="15" s="1"/>
  <c r="N79" i="15"/>
  <c r="P79" i="15" s="1"/>
  <c r="Z1292" i="27" l="1"/>
  <c r="Z1068" i="27"/>
  <c r="Z1348" i="27"/>
  <c r="Z1124" i="27"/>
  <c r="Z1780" i="27"/>
  <c r="Z989" i="27"/>
  <c r="Z1341" i="27"/>
  <c r="Z926" i="27"/>
  <c r="Z1652" i="27"/>
  <c r="Z1029" i="27"/>
  <c r="Z1484" i="27"/>
  <c r="Z1718" i="27"/>
  <c r="Z1203" i="27"/>
  <c r="Z1649" i="27"/>
  <c r="Z1734" i="27"/>
  <c r="Z982" i="27"/>
  <c r="Z1312" i="27"/>
  <c r="Z992" i="27"/>
  <c r="Z1774" i="27"/>
  <c r="Z1609" i="27"/>
  <c r="Z943" i="27"/>
  <c r="Z1425" i="27"/>
  <c r="Z1048" i="27"/>
  <c r="Z1708" i="27"/>
  <c r="Z1173" i="27"/>
  <c r="Z1678" i="27"/>
  <c r="Z1737" i="27"/>
  <c r="Z1200" i="27"/>
  <c r="Z1104" i="27"/>
  <c r="Z1318" i="27"/>
  <c r="Z1157" i="27"/>
  <c r="Z1428" i="27"/>
  <c r="Z1117" i="27"/>
  <c r="Z1572" i="27"/>
  <c r="Z1111" i="27"/>
  <c r="Z1223" i="27"/>
  <c r="Z1790" i="27"/>
  <c r="Z1438" i="27"/>
  <c r="Z1490" i="27"/>
  <c r="Z1662" i="27"/>
  <c r="Z1434" i="27"/>
  <c r="Z1262" i="27"/>
  <c r="Z1259" i="27"/>
  <c r="Z1170" i="27"/>
  <c r="Z920" i="27"/>
  <c r="Z1369" i="27"/>
  <c r="Z1101" i="27"/>
  <c r="Z1777" i="27"/>
  <c r="Z1764" i="27"/>
  <c r="Z1596" i="27"/>
  <c r="Z1147" i="27"/>
  <c r="Z1602" i="27"/>
  <c r="Z1344" i="27"/>
  <c r="Z949" i="27"/>
  <c r="Z1684" i="27"/>
  <c r="Z1444" i="27"/>
  <c r="Z1038" i="27"/>
  <c r="Z1503" i="27"/>
  <c r="Z1724" i="27"/>
  <c r="Z1711" i="27"/>
  <c r="Z1141" i="27"/>
  <c r="Z1665" i="27"/>
  <c r="Z1279" i="27"/>
  <c r="Z1398" i="27"/>
  <c r="Z1740" i="27"/>
  <c r="Z973" i="27"/>
  <c r="Z1372" i="27"/>
  <c r="Z1098" i="27"/>
  <c r="Z1543" i="27"/>
  <c r="Z1325" i="27"/>
  <c r="Z1322" i="27"/>
  <c r="Z923" i="27"/>
  <c r="Z939" i="27"/>
  <c r="Z1150" i="27"/>
  <c r="Z933" i="27"/>
  <c r="Z1537" i="27"/>
  <c r="Z1546" i="27"/>
  <c r="Z1457" i="27"/>
  <c r="Z1481" i="27"/>
  <c r="Z979" i="27"/>
  <c r="Z1796" i="27"/>
  <c r="Z1032" i="27"/>
  <c r="Z1197" i="27"/>
  <c r="Z1599" i="27"/>
  <c r="Z1253" i="27"/>
  <c r="Z1272" i="27"/>
  <c r="Z1002" i="27"/>
  <c r="Z1668" i="27"/>
  <c r="Z1431" i="27"/>
  <c r="Z1085" i="27"/>
  <c r="Z1550" i="27"/>
  <c r="Z1770" i="27"/>
  <c r="Z1154" i="27"/>
  <c r="Z1619" i="27"/>
  <c r="Z1229" i="27"/>
  <c r="Z1727" i="27"/>
  <c r="Z1008" i="27"/>
  <c r="Z1288" i="27"/>
  <c r="Z1176" i="27"/>
  <c r="Z1382" i="27"/>
  <c r="Z1559" i="27"/>
  <c r="Z1315" i="27"/>
  <c r="Z1612" i="27"/>
  <c r="Z1378" i="27"/>
  <c r="Z1114" i="27"/>
  <c r="Z1787" i="27"/>
  <c r="Z1447" i="27"/>
  <c r="Z1042" i="27"/>
  <c r="Z1500" i="27"/>
  <c r="Z936" i="27"/>
  <c r="Z1395" i="27"/>
  <c r="Z1256" i="27"/>
  <c r="Z1275" i="27"/>
  <c r="Z1180" i="27"/>
  <c r="Z1375" i="27"/>
  <c r="Z1107" i="27"/>
  <c r="Z1761" i="27"/>
  <c r="Z1144" i="27"/>
  <c r="Z1338" i="27"/>
  <c r="Z1216" i="27"/>
  <c r="Z1721" i="27"/>
  <c r="Z1285" i="27"/>
  <c r="Z1622" i="27"/>
  <c r="Z1553" i="27"/>
  <c r="Z1331" i="27"/>
  <c r="Z1606" i="27"/>
  <c r="Z1167" i="27"/>
  <c r="Z1566" i="27"/>
  <c r="Z1226" i="27"/>
  <c r="Z1793" i="27"/>
  <c r="Z1045" i="27"/>
  <c r="Z1206" i="27"/>
  <c r="Z1655" i="27"/>
  <c r="Z1487" i="27"/>
  <c r="Z1269" i="27"/>
  <c r="Z1266" i="27"/>
  <c r="Z1219" i="27"/>
  <c r="Z1628" i="27"/>
  <c r="Z1385" i="27"/>
  <c r="Z1091" i="27"/>
  <c r="Z1783" i="27"/>
  <c r="Z1767" i="27"/>
  <c r="Z1160" i="27"/>
  <c r="Z976" i="27"/>
  <c r="Z1593" i="27"/>
  <c r="Z1335" i="27"/>
  <c r="Z986" i="27"/>
  <c r="Z1675" i="27"/>
  <c r="Z1388" i="27"/>
  <c r="Z1497" i="27"/>
  <c r="Z1705" i="27"/>
  <c r="Z1714" i="27"/>
  <c r="Z1210" i="27"/>
  <c r="Z999" i="27"/>
  <c r="Z1658" i="27"/>
  <c r="Z1282" i="27"/>
  <c r="Z1404" i="27"/>
  <c r="Z1731" i="27"/>
  <c r="Z1183" i="27"/>
  <c r="Z952" i="27"/>
  <c r="Z1391" i="27"/>
  <c r="Z1035" i="27"/>
  <c r="Z1328" i="27"/>
  <c r="Z1309" i="27"/>
  <c r="Z1441" i="27"/>
  <c r="Z1094" i="27"/>
  <c r="Z1189" i="27"/>
  <c r="Z1540" i="27"/>
  <c r="Z1494" i="27"/>
  <c r="Z1088" i="27"/>
  <c r="Z1563" i="27"/>
  <c r="Z1454" i="27"/>
  <c r="Z1451" i="27"/>
  <c r="Z1061" i="27"/>
  <c r="Z917" i="27"/>
  <c r="W1813" i="27"/>
  <c r="P67" i="15"/>
  <c r="N127" i="15"/>
  <c r="Q127" i="15"/>
  <c r="Q64" i="15"/>
  <c r="P70" i="15"/>
  <c r="Z1813" i="27" l="1"/>
  <c r="P127" i="15"/>
  <c r="B4" i="16" l="1"/>
  <c r="C4" i="16" s="1"/>
  <c r="B4" i="37"/>
  <c r="B36" i="5"/>
  <c r="F4" i="37" l="1"/>
  <c r="G4" i="37"/>
  <c r="D4" i="37"/>
  <c r="E4" i="37"/>
  <c r="C4" i="37"/>
  <c r="F4" i="16"/>
  <c r="K420" i="27"/>
  <c r="K308" i="27"/>
  <c r="U446" i="27" l="1"/>
  <c r="U410" i="27"/>
  <c r="U417" i="27"/>
  <c r="U426" i="27"/>
  <c r="U404" i="27"/>
  <c r="U439" i="27"/>
  <c r="U423" i="27"/>
  <c r="U420" i="27"/>
  <c r="U433" i="27"/>
  <c r="U430" i="27"/>
  <c r="U443" i="27"/>
  <c r="U436" i="27"/>
  <c r="U407" i="27"/>
  <c r="U413" i="27"/>
  <c r="U327" i="27"/>
  <c r="U340" i="27"/>
  <c r="U321" i="27"/>
  <c r="U334" i="27"/>
  <c r="U292" i="27"/>
  <c r="U305" i="27"/>
  <c r="U331" i="27"/>
  <c r="U318" i="27"/>
  <c r="U295" i="27"/>
  <c r="U324" i="27"/>
  <c r="U314" i="27"/>
  <c r="U311" i="27"/>
  <c r="U301" i="27"/>
  <c r="U298" i="27"/>
  <c r="U337" i="27"/>
  <c r="U308" i="27"/>
  <c r="U452" i="27"/>
  <c r="U449" i="27"/>
  <c r="Q21" i="27"/>
  <c r="AC19" i="27" s="1"/>
  <c r="AB340" i="27" l="1"/>
  <c r="AC340" i="27"/>
  <c r="AB420" i="27"/>
  <c r="AC420" i="27"/>
  <c r="AB423" i="27"/>
  <c r="AC423" i="27"/>
  <c r="AB413" i="27"/>
  <c r="AC413" i="27"/>
  <c r="AB439" i="27"/>
  <c r="AC439" i="27"/>
  <c r="AB452" i="27"/>
  <c r="AC452" i="27"/>
  <c r="AB337" i="27"/>
  <c r="AC337" i="27"/>
  <c r="AB407" i="27"/>
  <c r="AC407" i="27"/>
  <c r="AB404" i="27"/>
  <c r="AC404" i="27"/>
  <c r="AB295" i="27"/>
  <c r="AC295" i="27"/>
  <c r="AB305" i="27"/>
  <c r="AC305" i="27"/>
  <c r="AB436" i="27"/>
  <c r="AC436" i="27"/>
  <c r="AB426" i="27"/>
  <c r="AC426" i="27"/>
  <c r="AB449" i="27"/>
  <c r="AC449" i="27"/>
  <c r="AB318" i="27"/>
  <c r="AC318" i="27"/>
  <c r="AB292" i="27"/>
  <c r="AC292" i="27"/>
  <c r="AB443" i="27"/>
  <c r="AC443" i="27"/>
  <c r="AB417" i="27"/>
  <c r="AC417" i="27"/>
  <c r="AB327" i="27"/>
  <c r="AC327" i="27"/>
  <c r="AB331" i="27"/>
  <c r="AC331" i="27"/>
  <c r="AB301" i="27"/>
  <c r="AC301" i="27"/>
  <c r="AB334" i="27"/>
  <c r="AC334" i="27"/>
  <c r="AB430" i="27"/>
  <c r="AC430" i="27"/>
  <c r="AB410" i="27"/>
  <c r="AC410" i="27"/>
  <c r="AB324" i="27"/>
  <c r="AC324" i="27"/>
  <c r="AB308" i="27"/>
  <c r="AC308" i="27"/>
  <c r="AB298" i="27"/>
  <c r="AC298" i="27"/>
  <c r="AB311" i="27"/>
  <c r="AC311" i="27"/>
  <c r="AB314" i="27"/>
  <c r="AC314" i="27"/>
  <c r="AB321" i="27"/>
  <c r="AC321" i="27"/>
  <c r="AB433" i="27"/>
  <c r="AC433" i="27"/>
  <c r="AB446" i="27"/>
  <c r="AC446" i="27"/>
  <c r="U20" i="27"/>
  <c r="AA337" i="27"/>
  <c r="AA439" i="27"/>
  <c r="AA410" i="27"/>
  <c r="AA308" i="27"/>
  <c r="AA318" i="27"/>
  <c r="AA407" i="27"/>
  <c r="AA305" i="27"/>
  <c r="AA443" i="27"/>
  <c r="AA301" i="27"/>
  <c r="AA292" i="27"/>
  <c r="AA331" i="27"/>
  <c r="AA426" i="27"/>
  <c r="AA311" i="27"/>
  <c r="AA334" i="27"/>
  <c r="AA446" i="27"/>
  <c r="AA298" i="27"/>
  <c r="AA417" i="27"/>
  <c r="AA413" i="27"/>
  <c r="AA314" i="27"/>
  <c r="AA321" i="27"/>
  <c r="AA430" i="27"/>
  <c r="AA423" i="27"/>
  <c r="AA449" i="27"/>
  <c r="AA452" i="27"/>
  <c r="AA433" i="27"/>
  <c r="AA324" i="27"/>
  <c r="AA340" i="27"/>
  <c r="AA436" i="27"/>
  <c r="AA420" i="27"/>
  <c r="AA404" i="27"/>
  <c r="AA295" i="27"/>
  <c r="AA327" i="27"/>
  <c r="AX3" i="27" l="1"/>
  <c r="AX9" i="27"/>
  <c r="AZ9" i="27" s="1"/>
  <c r="AX6" i="27"/>
  <c r="AZ6" i="27" s="1"/>
  <c r="AB20" i="27"/>
  <c r="AV4" i="27" s="1"/>
  <c r="AV41" i="27" s="1"/>
  <c r="AC20" i="27"/>
  <c r="AX12" i="27" s="1"/>
  <c r="AZ12" i="27" s="1"/>
  <c r="U908" i="27"/>
  <c r="AA20" i="27"/>
  <c r="AH12" i="27" s="1"/>
  <c r="AJ12" i="27" s="1"/>
  <c r="AH9" i="27"/>
  <c r="AJ9" i="27" s="1"/>
  <c r="AH6" i="27"/>
  <c r="AJ6" i="27" s="1"/>
  <c r="AH3" i="27"/>
  <c r="AJ3" i="27" s="1"/>
  <c r="E10" i="32"/>
  <c r="A29" i="15"/>
  <c r="N25" i="15" s="1"/>
  <c r="P25" i="15" s="1"/>
  <c r="A556" i="27"/>
  <c r="A104" i="27"/>
  <c r="AZ18" i="27" l="1"/>
  <c r="AZ3" i="27"/>
  <c r="AA908" i="27"/>
  <c r="W806" i="27"/>
  <c r="Z806" i="27" s="1"/>
  <c r="W150" i="27"/>
  <c r="Z150" i="27" s="1"/>
  <c r="N10" i="15"/>
  <c r="P10" i="15" s="1"/>
  <c r="W598" i="27"/>
  <c r="N13" i="15"/>
  <c r="P13" i="15" s="1"/>
  <c r="W533" i="27"/>
  <c r="W852" i="27"/>
  <c r="Z852" i="27" s="1"/>
  <c r="W245" i="27"/>
  <c r="Z245" i="27" s="1"/>
  <c r="W295" i="27"/>
  <c r="Z295" i="27" s="1"/>
  <c r="W674" i="27"/>
  <c r="Z674" i="27" s="1"/>
  <c r="W875" i="27"/>
  <c r="Z875" i="27" s="1"/>
  <c r="W710" i="27"/>
  <c r="Z710" i="27" s="1"/>
  <c r="W753" i="27"/>
  <c r="Z753" i="27" s="1"/>
  <c r="W878" i="27"/>
  <c r="Z878" i="27" s="1"/>
  <c r="W645" i="27"/>
  <c r="Z645" i="27" s="1"/>
  <c r="W667" i="27"/>
  <c r="Z667" i="27" s="1"/>
  <c r="W872" i="27"/>
  <c r="Z872" i="27" s="1"/>
  <c r="W552" i="27"/>
  <c r="W661" i="27"/>
  <c r="Z661" i="27" s="1"/>
  <c r="W615" i="27"/>
  <c r="Z615" i="27" s="1"/>
  <c r="W736" i="27"/>
  <c r="Z736" i="27" s="1"/>
  <c r="W723" i="27"/>
  <c r="Z723" i="27" s="1"/>
  <c r="W496" i="27"/>
  <c r="Z496" i="27" s="1"/>
  <c r="W888" i="27"/>
  <c r="Z888" i="27" s="1"/>
  <c r="W559" i="27"/>
  <c r="W658" i="27"/>
  <c r="Z658" i="27" s="1"/>
  <c r="W638" i="27"/>
  <c r="Z638" i="27" s="1"/>
  <c r="W904" i="27"/>
  <c r="Z904" i="27" s="1"/>
  <c r="W856" i="27"/>
  <c r="Z856" i="27" s="1"/>
  <c r="W717" i="27"/>
  <c r="Z717" i="27" s="1"/>
  <c r="W506" i="27"/>
  <c r="Z506" i="27" s="1"/>
  <c r="W589" i="27"/>
  <c r="W803" i="27"/>
  <c r="Z803" i="27" s="1"/>
  <c r="W835" i="27"/>
  <c r="Z835" i="27" s="1"/>
  <c r="W750" i="27"/>
  <c r="Z750" i="27" s="1"/>
  <c r="W730" i="27"/>
  <c r="Z730" i="27" s="1"/>
  <c r="W618" i="27"/>
  <c r="Z618" i="27" s="1"/>
  <c r="W760" i="27"/>
  <c r="Z760" i="27" s="1"/>
  <c r="W605" i="27"/>
  <c r="Z605" i="27" s="1"/>
  <c r="W701" i="27"/>
  <c r="Z701" i="27" s="1"/>
  <c r="W470" i="27"/>
  <c r="Z470" i="27" s="1"/>
  <c r="BK556" i="27"/>
  <c r="CJ556" i="27" s="1"/>
  <c r="W704" i="27"/>
  <c r="Z704" i="27" s="1"/>
  <c r="W460" i="27"/>
  <c r="Z460" i="27" s="1"/>
  <c r="W562" i="27"/>
  <c r="W829" i="27"/>
  <c r="Z829" i="27" s="1"/>
  <c r="W733" i="27"/>
  <c r="Z733" i="27" s="1"/>
  <c r="W740" i="27"/>
  <c r="Z740" i="27" s="1"/>
  <c r="W648" i="27"/>
  <c r="Z648" i="27" s="1"/>
  <c r="W891" i="27"/>
  <c r="Z891" i="27" s="1"/>
  <c r="W882" i="27"/>
  <c r="Z882" i="27" s="1"/>
  <c r="W654" i="27"/>
  <c r="Z654" i="27" s="1"/>
  <c r="W869" i="27"/>
  <c r="Z869" i="27" s="1"/>
  <c r="W536" i="27"/>
  <c r="W809" i="27"/>
  <c r="Z809" i="27" s="1"/>
  <c r="W766" i="27"/>
  <c r="Z766" i="27" s="1"/>
  <c r="W582" i="27"/>
  <c r="W845" i="27"/>
  <c r="Z845" i="27" s="1"/>
  <c r="W848" i="27"/>
  <c r="Z848" i="27" s="1"/>
  <c r="W773" i="27"/>
  <c r="Z773" i="27" s="1"/>
  <c r="W898" i="27"/>
  <c r="Z898" i="27" s="1"/>
  <c r="W691" i="27"/>
  <c r="Z691" i="27" s="1"/>
  <c r="W826" i="27"/>
  <c r="Z826" i="27" s="1"/>
  <c r="W480" i="27"/>
  <c r="Z480" i="27" s="1"/>
  <c r="W684" i="27"/>
  <c r="Z684" i="27" s="1"/>
  <c r="W744" i="27"/>
  <c r="Z744" i="27" s="1"/>
  <c r="W859" i="27"/>
  <c r="Z859" i="27" s="1"/>
  <c r="W632" i="27"/>
  <c r="Z632" i="27" s="1"/>
  <c r="W707" i="27"/>
  <c r="Z707" i="27" s="1"/>
  <c r="W499" i="27"/>
  <c r="Z499" i="27" s="1"/>
  <c r="W694" i="27"/>
  <c r="Z694" i="27" s="1"/>
  <c r="W664" i="27"/>
  <c r="Z664" i="27" s="1"/>
  <c r="W529" i="27"/>
  <c r="Z529" i="27" s="1"/>
  <c r="W635" i="27"/>
  <c r="Z635" i="27" s="1"/>
  <c r="W509" i="27"/>
  <c r="Z509" i="27" s="1"/>
  <c r="W568" i="27"/>
  <c r="W832" i="27"/>
  <c r="Z832" i="27" s="1"/>
  <c r="W895" i="27"/>
  <c r="Z895" i="27" s="1"/>
  <c r="W779" i="27"/>
  <c r="Z779" i="27" s="1"/>
  <c r="W770" i="27"/>
  <c r="Z770" i="27" s="1"/>
  <c r="W585" i="27"/>
  <c r="W516" i="27"/>
  <c r="Z516" i="27" s="1"/>
  <c r="W789" i="27"/>
  <c r="Z789" i="27" s="1"/>
  <c r="W520" i="27"/>
  <c r="Z520" i="27" s="1"/>
  <c r="W641" i="27"/>
  <c r="Z641" i="27" s="1"/>
  <c r="W483" i="27"/>
  <c r="Z483" i="27" s="1"/>
  <c r="W565" i="27"/>
  <c r="W464" i="27"/>
  <c r="Z464" i="27" s="1"/>
  <c r="W671" i="27"/>
  <c r="Z671" i="27" s="1"/>
  <c r="W456" i="27"/>
  <c r="Z456" i="27" s="1"/>
  <c r="W467" i="27"/>
  <c r="Z467" i="27" s="1"/>
  <c r="W546" i="27"/>
  <c r="W608" i="27"/>
  <c r="Z608" i="27" s="1"/>
  <c r="W816" i="27"/>
  <c r="Z816" i="27" s="1"/>
  <c r="W493" i="27"/>
  <c r="Z493" i="27" s="1"/>
  <c r="W621" i="27"/>
  <c r="Z621" i="27" s="1"/>
  <c r="W549" i="27"/>
  <c r="W727" i="27"/>
  <c r="Z727" i="27" s="1"/>
  <c r="W579" i="27"/>
  <c r="W885" i="27"/>
  <c r="Z885" i="27" s="1"/>
  <c r="W757" i="27"/>
  <c r="Z757" i="27" s="1"/>
  <c r="W800" i="27"/>
  <c r="Z800" i="27" s="1"/>
  <c r="W611" i="27"/>
  <c r="Z611" i="27" s="1"/>
  <c r="W714" i="27"/>
  <c r="Z714" i="27" s="1"/>
  <c r="W486" i="27"/>
  <c r="Z486" i="27" s="1"/>
  <c r="W813" i="27"/>
  <c r="Z813" i="27" s="1"/>
  <c r="W901" i="27"/>
  <c r="Z901" i="27" s="1"/>
  <c r="W512" i="27"/>
  <c r="Z512" i="27" s="1"/>
  <c r="W776" i="27"/>
  <c r="Z776" i="27" s="1"/>
  <c r="W792" i="27"/>
  <c r="Z792" i="27" s="1"/>
  <c r="W526" i="27"/>
  <c r="Z526" i="27" s="1"/>
  <c r="W555" i="27"/>
  <c r="W602" i="27"/>
  <c r="Z602" i="27" s="1"/>
  <c r="W697" i="27"/>
  <c r="Z697" i="27" s="1"/>
  <c r="W542" i="27"/>
  <c r="W680" i="27"/>
  <c r="Z680" i="27" s="1"/>
  <c r="W763" i="27"/>
  <c r="Z763" i="27" s="1"/>
  <c r="W720" i="27"/>
  <c r="Z720" i="27" s="1"/>
  <c r="W865" i="27"/>
  <c r="Z865" i="27" s="1"/>
  <c r="W819" i="27"/>
  <c r="Z819" i="27" s="1"/>
  <c r="W783" i="27"/>
  <c r="Z783" i="27" s="1"/>
  <c r="W473" i="27"/>
  <c r="Z473" i="27" s="1"/>
  <c r="W503" i="27"/>
  <c r="Z503" i="27" s="1"/>
  <c r="W592" i="27"/>
  <c r="W862" i="27"/>
  <c r="Z862" i="27" s="1"/>
  <c r="W677" i="27"/>
  <c r="Z677" i="27" s="1"/>
  <c r="W490" i="27"/>
  <c r="Z490" i="27" s="1"/>
  <c r="W688" i="27"/>
  <c r="Z688" i="27" s="1"/>
  <c r="W572" i="27"/>
  <c r="W839" i="27"/>
  <c r="Z839" i="27" s="1"/>
  <c r="W539" i="27"/>
  <c r="W796" i="27"/>
  <c r="Z796" i="27" s="1"/>
  <c r="W822" i="27"/>
  <c r="Z822" i="27" s="1"/>
  <c r="W595" i="27"/>
  <c r="W624" i="27"/>
  <c r="Z624" i="27" s="1"/>
  <c r="W628" i="27"/>
  <c r="Z628" i="27" s="1"/>
  <c r="W523" i="27"/>
  <c r="Z523" i="27" s="1"/>
  <c r="W340" i="27"/>
  <c r="Z340" i="27" s="1"/>
  <c r="N49" i="15"/>
  <c r="P49" i="15" s="1"/>
  <c r="W477" i="27"/>
  <c r="Z477" i="27" s="1"/>
  <c r="W576" i="27"/>
  <c r="N28" i="15"/>
  <c r="P28" i="15" s="1"/>
  <c r="N46" i="15"/>
  <c r="P46" i="15" s="1"/>
  <c r="N22" i="15"/>
  <c r="P22" i="15" s="1"/>
  <c r="N31" i="15"/>
  <c r="P31" i="15" s="1"/>
  <c r="N7" i="15"/>
  <c r="P7" i="15" s="1"/>
  <c r="N19" i="15"/>
  <c r="P19" i="15" s="1"/>
  <c r="N55" i="15"/>
  <c r="P55" i="15" s="1"/>
  <c r="N43" i="15"/>
  <c r="P43" i="15" s="1"/>
  <c r="N16" i="15"/>
  <c r="P16" i="15" s="1"/>
  <c r="N52" i="15"/>
  <c r="P52" i="15" s="1"/>
  <c r="N40" i="15"/>
  <c r="P40" i="15" s="1"/>
  <c r="N4" i="15"/>
  <c r="N37" i="15"/>
  <c r="P37" i="15" s="1"/>
  <c r="N34" i="15"/>
  <c r="P34" i="15" s="1"/>
  <c r="N61" i="15"/>
  <c r="P61" i="15" s="1"/>
  <c r="N58" i="15"/>
  <c r="P58" i="15" s="1"/>
  <c r="W305" i="27"/>
  <c r="Z305" i="27" s="1"/>
  <c r="W80" i="27"/>
  <c r="Z80" i="27" s="1"/>
  <c r="W278" i="27"/>
  <c r="Z278" i="27" s="1"/>
  <c r="W14" i="27"/>
  <c r="Z14" i="27" s="1"/>
  <c r="W107" i="27"/>
  <c r="Z107" i="27" s="1"/>
  <c r="W423" i="27"/>
  <c r="Z423" i="27" s="1"/>
  <c r="W301" i="27"/>
  <c r="Z301" i="27" s="1"/>
  <c r="W7" i="27"/>
  <c r="Z7" i="27" s="1"/>
  <c r="W103" i="27"/>
  <c r="Z103" i="27" s="1"/>
  <c r="W380" i="27"/>
  <c r="Z380" i="27" s="1"/>
  <c r="W153" i="27"/>
  <c r="Z153" i="27" s="1"/>
  <c r="W146" i="27"/>
  <c r="Z146" i="27" s="1"/>
  <c r="W410" i="27"/>
  <c r="Z410" i="27" s="1"/>
  <c r="W439" i="27"/>
  <c r="Z439" i="27" s="1"/>
  <c r="W133" i="27"/>
  <c r="Z133" i="27" s="1"/>
  <c r="W436" i="27"/>
  <c r="Z436" i="27" s="1"/>
  <c r="W393" i="27"/>
  <c r="Z393" i="27" s="1"/>
  <c r="W308" i="27"/>
  <c r="Z308" i="27" s="1"/>
  <c r="W430" i="27"/>
  <c r="Z430" i="27" s="1"/>
  <c r="W324" i="27"/>
  <c r="Z324" i="27" s="1"/>
  <c r="W292" i="27"/>
  <c r="Z292" i="27" s="1"/>
  <c r="W17" i="27"/>
  <c r="Z17" i="27" s="1"/>
  <c r="W124" i="27"/>
  <c r="Z124" i="27" s="1"/>
  <c r="W334" i="27"/>
  <c r="Z334" i="27" s="1"/>
  <c r="W417" i="27"/>
  <c r="Z417" i="27" s="1"/>
  <c r="W46" i="27"/>
  <c r="Z46" i="27" s="1"/>
  <c r="W314" i="27"/>
  <c r="Z314" i="27" s="1"/>
  <c r="W100" i="27"/>
  <c r="Z100" i="27" s="1"/>
  <c r="W193" i="27"/>
  <c r="Z193" i="27" s="1"/>
  <c r="W420" i="27"/>
  <c r="Z420" i="27" s="1"/>
  <c r="W318" i="27"/>
  <c r="Z318" i="27" s="1"/>
  <c r="W50" i="27"/>
  <c r="Z50" i="27" s="1"/>
  <c r="W156" i="27"/>
  <c r="Z156" i="27" s="1"/>
  <c r="W228" i="27"/>
  <c r="Z228" i="27" s="1"/>
  <c r="W163" i="27"/>
  <c r="Z163" i="27" s="1"/>
  <c r="W43" i="27"/>
  <c r="Z43" i="27" s="1"/>
  <c r="W258" i="27"/>
  <c r="Z258" i="27" s="1"/>
  <c r="W196" i="27"/>
  <c r="Z196" i="27" s="1"/>
  <c r="W351" i="27"/>
  <c r="Z351" i="27" s="1"/>
  <c r="W361" i="27"/>
  <c r="Z361" i="27" s="1"/>
  <c r="W120" i="27"/>
  <c r="Z120" i="27" s="1"/>
  <c r="W344" i="27"/>
  <c r="Z344" i="27" s="1"/>
  <c r="W97" i="27"/>
  <c r="Z97" i="27" s="1"/>
  <c r="W76" i="27"/>
  <c r="Z76" i="27" s="1"/>
  <c r="W176" i="27"/>
  <c r="Z176" i="27" s="1"/>
  <c r="W212" i="27"/>
  <c r="Z212" i="27" s="1"/>
  <c r="W271" i="27"/>
  <c r="Z271" i="27" s="1"/>
  <c r="W53" i="27"/>
  <c r="Z53" i="27" s="1"/>
  <c r="W27" i="27"/>
  <c r="Z27" i="27" s="1"/>
  <c r="W255" i="27"/>
  <c r="Z255" i="27" s="1"/>
  <c r="W357" i="27"/>
  <c r="Z357" i="27" s="1"/>
  <c r="W281" i="27"/>
  <c r="Z281" i="27" s="1"/>
  <c r="W225" i="27"/>
  <c r="Z225" i="27" s="1"/>
  <c r="W206" i="27"/>
  <c r="Z206" i="27" s="1"/>
  <c r="W413" i="27"/>
  <c r="Z413" i="27" s="1"/>
  <c r="W426" i="27"/>
  <c r="Z426" i="27" s="1"/>
  <c r="W262" i="27"/>
  <c r="Z262" i="27" s="1"/>
  <c r="W396" i="27"/>
  <c r="Z396" i="27" s="1"/>
  <c r="W265" i="27"/>
  <c r="Z265" i="27" s="1"/>
  <c r="W169" i="27"/>
  <c r="Z169" i="27" s="1"/>
  <c r="W321" i="27"/>
  <c r="Z321" i="27" s="1"/>
  <c r="W20" i="27"/>
  <c r="Z20" i="27" s="1"/>
  <c r="W364" i="27"/>
  <c r="Z364" i="27" s="1"/>
  <c r="W219" i="27"/>
  <c r="Z219" i="27" s="1"/>
  <c r="W443" i="27"/>
  <c r="Z443" i="27" s="1"/>
  <c r="W370" i="27"/>
  <c r="Z370" i="27" s="1"/>
  <c r="W140" i="27"/>
  <c r="Z140" i="27" s="1"/>
  <c r="W268" i="27"/>
  <c r="Z268" i="27" s="1"/>
  <c r="W215" i="27"/>
  <c r="Z215" i="27" s="1"/>
  <c r="W252" i="27"/>
  <c r="Z252" i="27" s="1"/>
  <c r="W83" i="27"/>
  <c r="Z83" i="27" s="1"/>
  <c r="W63" i="27"/>
  <c r="Z63" i="27" s="1"/>
  <c r="W239" i="27"/>
  <c r="Z239" i="27" s="1"/>
  <c r="W249" i="27"/>
  <c r="Z249" i="27" s="1"/>
  <c r="W40" i="27"/>
  <c r="Z40" i="27" s="1"/>
  <c r="W407" i="27"/>
  <c r="Z407" i="27" s="1"/>
  <c r="W172" i="27"/>
  <c r="Z172" i="27" s="1"/>
  <c r="W116" i="27"/>
  <c r="Z116" i="27" s="1"/>
  <c r="W166" i="27"/>
  <c r="Z166" i="27" s="1"/>
  <c r="W377" i="27"/>
  <c r="Z377" i="27" s="1"/>
  <c r="W298" i="27"/>
  <c r="Z298" i="27" s="1"/>
  <c r="W70" i="27"/>
  <c r="Z70" i="27" s="1"/>
  <c r="W367" i="27"/>
  <c r="Z367" i="27" s="1"/>
  <c r="W137" i="27"/>
  <c r="Z137" i="27" s="1"/>
  <c r="W159" i="27"/>
  <c r="Z159" i="27" s="1"/>
  <c r="W94" i="27"/>
  <c r="Z94" i="27" s="1"/>
  <c r="W113" i="27"/>
  <c r="Z113" i="27" s="1"/>
  <c r="W242" i="27"/>
  <c r="Z242" i="27" s="1"/>
  <c r="W86" i="27"/>
  <c r="Z86" i="27" s="1"/>
  <c r="W404" i="27"/>
  <c r="Z404" i="27" s="1"/>
  <c r="W449" i="27"/>
  <c r="Z449" i="27" s="1"/>
  <c r="W331" i="27"/>
  <c r="Z331" i="27" s="1"/>
  <c r="W383" i="27"/>
  <c r="Z383" i="27" s="1"/>
  <c r="W202" i="27"/>
  <c r="Z202" i="27" s="1"/>
  <c r="W327" i="27"/>
  <c r="Z327" i="27" s="1"/>
  <c r="W59" i="27"/>
  <c r="Z59" i="27" s="1"/>
  <c r="W236" i="27"/>
  <c r="Z236" i="27" s="1"/>
  <c r="W354" i="27"/>
  <c r="Z354" i="27" s="1"/>
  <c r="W232" i="27"/>
  <c r="Z232" i="27" s="1"/>
  <c r="W222" i="27"/>
  <c r="Z222" i="27" s="1"/>
  <c r="W127" i="27"/>
  <c r="Z127" i="27" s="1"/>
  <c r="W288" i="27"/>
  <c r="Z288" i="27" s="1"/>
  <c r="W209" i="27"/>
  <c r="Z209" i="27" s="1"/>
  <c r="W37" i="27"/>
  <c r="Z37" i="27" s="1"/>
  <c r="W374" i="27"/>
  <c r="Z374" i="27" s="1"/>
  <c r="W275" i="27"/>
  <c r="Z275" i="27" s="1"/>
  <c r="W446" i="27"/>
  <c r="Z446" i="27" s="1"/>
  <c r="W110" i="27"/>
  <c r="Z110" i="27" s="1"/>
  <c r="W33" i="27"/>
  <c r="Z33" i="27" s="1"/>
  <c r="W89" i="27"/>
  <c r="Z89" i="27" s="1"/>
  <c r="W400" i="27"/>
  <c r="Z400" i="27" s="1"/>
  <c r="W67" i="27"/>
  <c r="Z67" i="27" s="1"/>
  <c r="W3" i="27"/>
  <c r="W199" i="27"/>
  <c r="Z199" i="27" s="1"/>
  <c r="W183" i="27"/>
  <c r="Z183" i="27" s="1"/>
  <c r="W130" i="27"/>
  <c r="Z130" i="27" s="1"/>
  <c r="W11" i="27"/>
  <c r="Z11" i="27" s="1"/>
  <c r="W24" i="27"/>
  <c r="Z24" i="27" s="1"/>
  <c r="W186" i="27"/>
  <c r="Z186" i="27" s="1"/>
  <c r="W189" i="27"/>
  <c r="Z189" i="27" s="1"/>
  <c r="W390" i="27"/>
  <c r="Z390" i="27" s="1"/>
  <c r="W30" i="27"/>
  <c r="Z30" i="27" s="1"/>
  <c r="W433" i="27"/>
  <c r="Z433" i="27" s="1"/>
  <c r="W73" i="27"/>
  <c r="Z73" i="27" s="1"/>
  <c r="W143" i="27"/>
  <c r="Z143" i="27" s="1"/>
  <c r="W284" i="27"/>
  <c r="Z284" i="27" s="1"/>
  <c r="W452" i="27"/>
  <c r="Z452" i="27" s="1"/>
  <c r="W387" i="27"/>
  <c r="Z387" i="27" s="1"/>
  <c r="W348" i="27"/>
  <c r="Z348" i="27" s="1"/>
  <c r="W311" i="27"/>
  <c r="Z311" i="27" s="1"/>
  <c r="W651" i="27"/>
  <c r="Z651" i="27" s="1"/>
  <c r="W747" i="27"/>
  <c r="Z747" i="27" s="1"/>
  <c r="W337" i="27"/>
  <c r="Z337" i="27" s="1"/>
  <c r="W180" i="27"/>
  <c r="Z180" i="27" s="1"/>
  <c r="W56" i="27"/>
  <c r="Z56" i="27" s="1"/>
  <c r="W786" i="27"/>
  <c r="Z786" i="27" s="1"/>
  <c r="W842" i="27"/>
  <c r="Z842" i="27" s="1"/>
  <c r="G3" i="16" l="1"/>
  <c r="G6" i="16" s="1"/>
  <c r="J3" i="37"/>
  <c r="J6" i="37" s="1"/>
  <c r="Z539" i="27"/>
  <c r="CL539" i="27" s="1"/>
  <c r="CG539" i="27"/>
  <c r="Z542" i="27"/>
  <c r="CL542" i="27" s="1"/>
  <c r="CG542" i="27"/>
  <c r="Z579" i="27"/>
  <c r="CL579" i="27" s="1"/>
  <c r="CG579" i="27"/>
  <c r="Z552" i="27"/>
  <c r="CL552" i="27" s="1"/>
  <c r="CG552" i="27"/>
  <c r="N64" i="15"/>
  <c r="P4" i="15"/>
  <c r="P64" i="15" s="1"/>
  <c r="Z572" i="27"/>
  <c r="CL572" i="27" s="1"/>
  <c r="CG572" i="27"/>
  <c r="CG549" i="27"/>
  <c r="Z549" i="27"/>
  <c r="CL549" i="27" s="1"/>
  <c r="Z585" i="27"/>
  <c r="CL585" i="27" s="1"/>
  <c r="CG585" i="27"/>
  <c r="Z582" i="27"/>
  <c r="CL582" i="27" s="1"/>
  <c r="CG582" i="27"/>
  <c r="CG559" i="27"/>
  <c r="Z559" i="27"/>
  <c r="CL559" i="27" s="1"/>
  <c r="Z555" i="27"/>
  <c r="CL555" i="27" s="1"/>
  <c r="CG555" i="27"/>
  <c r="CG589" i="27"/>
  <c r="Z589" i="27"/>
  <c r="CL589" i="27" s="1"/>
  <c r="Z565" i="27"/>
  <c r="CL565" i="27" s="1"/>
  <c r="CG565" i="27"/>
  <c r="W908" i="27"/>
  <c r="Z3" i="27"/>
  <c r="CG595" i="27"/>
  <c r="Z595" i="27"/>
  <c r="CL595" i="27" s="1"/>
  <c r="Z536" i="27"/>
  <c r="CL536" i="27" s="1"/>
  <c r="CG536" i="27"/>
  <c r="CG533" i="27"/>
  <c r="Z533" i="27"/>
  <c r="CL533" i="27" s="1"/>
  <c r="E165" i="31"/>
  <c r="CG576" i="27"/>
  <c r="Z576" i="27"/>
  <c r="CL576" i="27" s="1"/>
  <c r="Z562" i="27"/>
  <c r="CL562" i="27" s="1"/>
  <c r="CG562" i="27"/>
  <c r="B61" i="31"/>
  <c r="C165" i="31"/>
  <c r="CG592" i="27"/>
  <c r="Z592" i="27"/>
  <c r="CL592" i="27" s="1"/>
  <c r="CG546" i="27"/>
  <c r="Z546" i="27"/>
  <c r="CL546" i="27" s="1"/>
  <c r="CG568" i="27"/>
  <c r="Z568" i="27"/>
  <c r="CL568" i="27" s="1"/>
  <c r="CG598" i="27"/>
  <c r="Z598" i="27"/>
  <c r="CL598" i="27" s="1"/>
  <c r="N3" i="37" l="1"/>
  <c r="N6" i="37" s="1"/>
  <c r="O3" i="37"/>
  <c r="O6" i="37" s="1"/>
  <c r="L3" i="37"/>
  <c r="L6" i="37" s="1"/>
  <c r="M3" i="37"/>
  <c r="M6" i="37" s="1"/>
  <c r="K3" i="37"/>
  <c r="H3" i="16"/>
  <c r="C17" i="16"/>
  <c r="H6" i="16"/>
  <c r="Z908" i="27"/>
  <c r="C209" i="31"/>
  <c r="B62" i="31"/>
  <c r="B63" i="31" s="1"/>
  <c r="B64" i="31" s="1"/>
  <c r="B65" i="31" s="1"/>
  <c r="B66" i="31" s="1"/>
  <c r="B67" i="31" s="1"/>
  <c r="B68" i="31" s="1"/>
  <c r="B69" i="31" s="1"/>
  <c r="B70" i="31" s="1"/>
  <c r="B71" i="31" s="1"/>
  <c r="B72" i="31" s="1"/>
  <c r="B73" i="31" s="1"/>
  <c r="B74" i="31" s="1"/>
  <c r="B75" i="31" s="1"/>
  <c r="D165" i="31" s="1"/>
  <c r="B3" i="16" l="1"/>
  <c r="C3" i="16" s="1"/>
  <c r="B3" i="37"/>
  <c r="B6" i="37" s="1"/>
  <c r="C19" i="37"/>
  <c r="K6" i="37"/>
  <c r="G165" i="31"/>
  <c r="B76" i="31"/>
  <c r="B77" i="31" s="1"/>
  <c r="B78" i="31" s="1"/>
  <c r="B79" i="31" s="1"/>
  <c r="B80" i="31" s="1"/>
  <c r="B81" i="31" s="1"/>
  <c r="B82" i="31" s="1"/>
  <c r="B83" i="31" s="1"/>
  <c r="B84" i="31" s="1"/>
  <c r="B85" i="31" s="1"/>
  <c r="B86" i="31" s="1"/>
  <c r="B87" i="31" s="1"/>
  <c r="B88" i="31" s="1"/>
  <c r="B89" i="31" s="1"/>
  <c r="B90" i="31" s="1"/>
  <c r="B91" i="31" s="1"/>
  <c r="E209" i="31" s="1"/>
  <c r="C6" i="32"/>
  <c r="D209" i="31"/>
  <c r="F3" i="37" l="1"/>
  <c r="F6" i="37" s="1"/>
  <c r="F7" i="37" s="1"/>
  <c r="G3" i="37"/>
  <c r="G6" i="37" s="1"/>
  <c r="G7" i="37" s="1"/>
  <c r="D3" i="37"/>
  <c r="D6" i="37" s="1"/>
  <c r="D7" i="37" s="1"/>
  <c r="E3" i="37"/>
  <c r="E6" i="37" s="1"/>
  <c r="E7" i="37" s="1"/>
  <c r="C3" i="37"/>
  <c r="B6" i="16"/>
  <c r="C9" i="16" s="1"/>
  <c r="C6" i="37"/>
  <c r="C7" i="37" s="1"/>
  <c r="F3" i="16"/>
  <c r="C6" i="34"/>
  <c r="C6" i="35"/>
  <c r="F209" i="31"/>
  <c r="H165" i="31"/>
  <c r="F165" i="31"/>
  <c r="F9" i="37" l="1"/>
  <c r="F10" i="37" s="1"/>
  <c r="F11" i="37"/>
  <c r="G9" i="37"/>
  <c r="G10" i="37" s="1"/>
  <c r="G11" i="37"/>
  <c r="E9" i="37"/>
  <c r="E10" i="37" s="1"/>
  <c r="E11" i="37"/>
  <c r="D9" i="37"/>
  <c r="D10" i="37" s="1"/>
  <c r="D11" i="37"/>
  <c r="C9" i="37"/>
  <c r="C10" i="37" s="1"/>
  <c r="C11" i="37"/>
  <c r="B17" i="16"/>
  <c r="D17" i="16" s="1"/>
  <c r="C6" i="16"/>
  <c r="C7" i="16" s="1"/>
  <c r="C10" i="16"/>
  <c r="F10" i="16" s="1"/>
  <c r="B19" i="37"/>
  <c r="D19" i="37" s="1"/>
  <c r="B11" i="37"/>
  <c r="B9" i="37"/>
  <c r="B10" i="37" s="1"/>
  <c r="G9" i="16"/>
  <c r="C6" i="31"/>
  <c r="C3" i="35" s="1"/>
  <c r="D6" i="34"/>
  <c r="E6" i="34" s="1"/>
  <c r="D6" i="35"/>
  <c r="E6" i="35" s="1"/>
  <c r="D6" i="32"/>
  <c r="E6" i="32" s="1"/>
  <c r="C12" i="37" l="1"/>
  <c r="I11" i="37"/>
  <c r="C5" i="31"/>
  <c r="BC128" i="31" s="1"/>
  <c r="B16" i="16"/>
  <c r="D16" i="16" s="1"/>
  <c r="D10" i="16"/>
  <c r="H10" i="16" s="1"/>
  <c r="D9" i="16"/>
  <c r="H9" i="16" s="1"/>
  <c r="G10" i="16"/>
  <c r="B18" i="37"/>
  <c r="D18" i="37" s="1"/>
  <c r="X128" i="31"/>
  <c r="T128" i="31"/>
  <c r="AV94" i="31"/>
  <c r="AZ94" i="31"/>
  <c r="AF60" i="31"/>
  <c r="L60" i="31"/>
  <c r="X60" i="31"/>
  <c r="T60" i="31"/>
  <c r="T94" i="31"/>
  <c r="AF94" i="31"/>
  <c r="H94" i="31"/>
  <c r="P94" i="31"/>
  <c r="L94" i="31"/>
  <c r="AN60" i="31"/>
  <c r="AJ60" i="31"/>
  <c r="P128" i="31"/>
  <c r="AR94" i="31"/>
  <c r="AB128" i="31"/>
  <c r="BD128" i="31"/>
  <c r="AB94" i="31"/>
  <c r="AN128" i="31"/>
  <c r="X94" i="31"/>
  <c r="P60" i="31"/>
  <c r="AJ94" i="31"/>
  <c r="H60" i="31"/>
  <c r="D60" i="31"/>
  <c r="D94" i="31"/>
  <c r="AB60" i="31"/>
  <c r="H128" i="31"/>
  <c r="C3" i="34"/>
  <c r="AZ60" i="31"/>
  <c r="D128" i="31"/>
  <c r="AJ128" i="31"/>
  <c r="AR60" i="31"/>
  <c r="AZ128" i="31"/>
  <c r="AF128" i="31"/>
  <c r="AN94" i="31"/>
  <c r="AV128" i="31"/>
  <c r="L128" i="31"/>
  <c r="AR128" i="31"/>
  <c r="AV60" i="31"/>
  <c r="BH128" i="31"/>
  <c r="AE128" i="31" l="1"/>
  <c r="S94" i="31"/>
  <c r="AM94" i="31"/>
  <c r="O94" i="31"/>
  <c r="AQ94" i="31"/>
  <c r="G128" i="31"/>
  <c r="AA60" i="31"/>
  <c r="S60" i="31"/>
  <c r="C3" i="32"/>
  <c r="AQ60" i="31"/>
  <c r="K94" i="31"/>
  <c r="AQ128" i="31"/>
  <c r="W128" i="31"/>
  <c r="O128" i="31"/>
  <c r="AI128" i="31"/>
  <c r="AA94" i="31"/>
  <c r="AY128" i="31"/>
  <c r="F5" i="31"/>
  <c r="C60" i="31"/>
  <c r="K60" i="31"/>
  <c r="W60" i="31"/>
  <c r="W94" i="31"/>
  <c r="AM128" i="31"/>
  <c r="BG128" i="31"/>
  <c r="S128" i="31"/>
  <c r="C94" i="31"/>
  <c r="G60" i="31"/>
  <c r="AU128" i="31"/>
  <c r="AU60" i="31"/>
  <c r="AE60" i="31"/>
  <c r="C128" i="31"/>
  <c r="K128" i="31"/>
  <c r="AU94" i="31"/>
  <c r="G94" i="31"/>
  <c r="AI94" i="31"/>
  <c r="AY60" i="31"/>
  <c r="AA128" i="31"/>
  <c r="AE94" i="31"/>
  <c r="AM60" i="31"/>
  <c r="AY94" i="31"/>
  <c r="O60" i="31"/>
  <c r="AI60" i="31"/>
</calcChain>
</file>

<file path=xl/sharedStrings.xml><?xml version="1.0" encoding="utf-8"?>
<sst xmlns="http://schemas.openxmlformats.org/spreadsheetml/2006/main" count="2537" uniqueCount="862">
  <si>
    <t>(A)</t>
  </si>
  <si>
    <t>Low Birth Weight</t>
  </si>
  <si>
    <t>Normal Weight</t>
  </si>
  <si>
    <t>Stillbirth</t>
  </si>
  <si>
    <t>PSG</t>
  </si>
  <si>
    <t>Comparator</t>
  </si>
  <si>
    <t>Very LBW</t>
  </si>
  <si>
    <t>Extremely LBW</t>
  </si>
  <si>
    <t>LBW</t>
  </si>
  <si>
    <t>RDS</t>
  </si>
  <si>
    <t>Preterm</t>
  </si>
  <si>
    <t>Term</t>
  </si>
  <si>
    <t>Mortality</t>
  </si>
  <si>
    <t>Search criteria</t>
  </si>
  <si>
    <t>Decision tree</t>
  </si>
  <si>
    <t>Decision tree OR decision analytical model OR decision model</t>
  </si>
  <si>
    <t>Preterm OR prematur*</t>
  </si>
  <si>
    <t>Underweight</t>
  </si>
  <si>
    <t>Neonatal mortality OR stillbirth</t>
  </si>
  <si>
    <t>Underweight OR low birth weight OR small for gestation* OR growth restrict*</t>
  </si>
  <si>
    <t>Receive grant</t>
  </si>
  <si>
    <t>No grant received</t>
  </si>
  <si>
    <t>ANC coverage</t>
  </si>
  <si>
    <t>No ANC</t>
  </si>
  <si>
    <t>Go to (B)</t>
  </si>
  <si>
    <t>(B)</t>
  </si>
  <si>
    <t>Study</t>
  </si>
  <si>
    <t>Cost effect* OR cost utility</t>
  </si>
  <si>
    <t>Exclusion</t>
  </si>
  <si>
    <t>No clear model</t>
  </si>
  <si>
    <t>terminal node is the outcome</t>
  </si>
  <si>
    <t>(C)</t>
  </si>
  <si>
    <t>Source</t>
  </si>
  <si>
    <t>Outcomes</t>
  </si>
  <si>
    <t>Go to (C)</t>
  </si>
  <si>
    <t>Go to (D)</t>
  </si>
  <si>
    <t>(D)</t>
  </si>
  <si>
    <t>Survival</t>
  </si>
  <si>
    <t>Mozurkewich EL, Naglie G, Krahn MD, Hayashi RH. Predicting preterm birth: a cost-effectiveness analysis. American journal of obstetrics and gynecology. 2000 Jun 1;182(6):1589-98.</t>
  </si>
  <si>
    <t>Sepsis</t>
  </si>
  <si>
    <t>Nec</t>
  </si>
  <si>
    <t>Rice SJ, Craig D, McCormick F, Renfrew MJ, Williams AF. Economic evaluation of enhanced staff contact for the promotion of breastfeeding for low birth weight infants. International journal of technology assessment in health care. 2010 Apr;26(2):133-40.</t>
  </si>
  <si>
    <t>See lit review</t>
  </si>
  <si>
    <t>Base Parameters</t>
  </si>
  <si>
    <t>Demographics</t>
  </si>
  <si>
    <t>StatsSA mid-year estimates 2021</t>
  </si>
  <si>
    <t xml:space="preserve">Population </t>
  </si>
  <si>
    <t xml:space="preserve">Female population </t>
  </si>
  <si>
    <t>SAHR 2020</t>
  </si>
  <si>
    <t>Total pregnancies</t>
  </si>
  <si>
    <t>Utilities</t>
  </si>
  <si>
    <t>Other parameters</t>
  </si>
  <si>
    <t>DR</t>
  </si>
  <si>
    <t>Children receiving CSG</t>
  </si>
  <si>
    <t>http://childrencount.uct.ac.za/indicator.php?domain=2&amp;indicator=10</t>
  </si>
  <si>
    <t>South African Pharmaco-economic guidelines</t>
  </si>
  <si>
    <t>Life expectancy (&lt;1yr)</t>
  </si>
  <si>
    <t>WHO life tables</t>
  </si>
  <si>
    <t>Costs</t>
  </si>
  <si>
    <t>Pathway/ Outcome #</t>
  </si>
  <si>
    <t>Probability of Outcome</t>
  </si>
  <si>
    <t>Difference (cost)</t>
  </si>
  <si>
    <t>ICER</t>
  </si>
  <si>
    <t># DALYs</t>
  </si>
  <si>
    <t>Average DALYs</t>
  </si>
  <si>
    <t>Total DALYs</t>
  </si>
  <si>
    <t>Average Cost</t>
  </si>
  <si>
    <t>Cost</t>
  </si>
  <si>
    <t>Life expectancy (1-4yr)</t>
  </si>
  <si>
    <t>Total</t>
  </si>
  <si>
    <t>Number of units</t>
  </si>
  <si>
    <t>Follow up</t>
  </si>
  <si>
    <t>ELBW/ VLBW</t>
  </si>
  <si>
    <t>i. At first visit patient should have had cranial ultrasound and ROP screen documented. ( BOOK IF NOT DONE.. Patient can be sent to 266 any Wednesday for screening)</t>
  </si>
  <si>
    <t>ii. Reinforce feeding practices and when to wean to solids.</t>
  </si>
  <si>
    <t>iii. Immunization up to date / check weight gain / HIV status.</t>
  </si>
  <si>
    <t>iv. General wellbeing including Neurodevelopment assessment, Book hearing test.</t>
  </si>
  <si>
    <t>v. Follow up 3 to 6 month interval depending on patient’s status ( assessments by OT/Speech/Dietician)</t>
  </si>
  <si>
    <t>vi. Duration of follow up 18 months earlier discharge if developing normally and no current problems.</t>
  </si>
  <si>
    <t>vii. Referrals to appropriate OUT PATIENT DEPARTMENT for follow up.</t>
  </si>
  <si>
    <t>b. LBW</t>
  </si>
  <si>
    <t>i. Patient’s admitted to ICU with complicated stays- checklist as above. ( 1-7)</t>
  </si>
  <si>
    <t>ii. Uncomplicated admissions check list (above) 2 -5.</t>
  </si>
  <si>
    <t>1. Follow Up 12 months.</t>
  </si>
  <si>
    <t>c. Term</t>
  </si>
  <si>
    <t>i. Uncomplicated admissions: checklist (above) 2-4, if no current problems discharge to local clinic</t>
  </si>
  <si>
    <t>ii. Neonatal Encephalopathy – check list 1 – 5 ( 1* Needs only cranial ultrasound )</t>
  </si>
  <si>
    <t>1. Follow up 18 months.</t>
  </si>
  <si>
    <t>2. Referral to Neurodevelopment Clinic (297) or Neurology if required.</t>
  </si>
  <si>
    <t>ROP Screening (All babies with a birth weight less than 1500 grams or gestational age below 32 weeks must be screened for ROP at 4 to 6 weeks chronological age)</t>
  </si>
  <si>
    <t>Respiratory distress</t>
  </si>
  <si>
    <t>CXR</t>
  </si>
  <si>
    <t>1. Administer oxygen. Oxygen can be administered by nasal cannula or nasal CPAP or high flow nasal canula. Nasal cannula may result in marked variations in inspired oxygen due to mixture with inspired environment air (usually a maximum of 2l/min [40%] can be delivered). Oxygen via nasal CPAP or high flow nasal canula is preferable to commence in TU in VLBW and ELBW infants with significant respiratory distress. Preterm infants started on NCPAP should be given surfactant within the first 2 hours post-delivery.Term babies with respiratory distress (probable TTN) can be observed in oxygen with monitoring of oxygen saturations for a few hours. If not weaning or very distressed, they should be admitted, bloods taken and antibiotics started. If they settle, they can be discharged back to mother.</t>
  </si>
  <si>
    <t>2. Start antibiotics. Pneumonia may mimic respiratory diseases such as HMD or meconium aspiration,both clinically and on chest X-ray. Therefore, start all infants with newly diagnosed respiratory distress on antibiotics - penicillin G and gentamicin on admission. Take bloods for blood culture and full blood count.</t>
  </si>
  <si>
    <t>3. Keep nil per mouth. Infants with respiratory distress may not tolerate feeds. Therefore, start on intravenous fluids (60 mls/kg for term infants, 60-80mls/kg for preterm infants) potassium-free neonatelyte.</t>
  </si>
  <si>
    <t>4. Indications for mechanical ventilation are recurrent apnoeas, respiratory failure as evidenced by PaCO2 &gt;55 mmHg associated with pH &lt;7.25; PaO2 &lt;50 mmHg or O2 saturations &lt;89% in &gt;70% oxygen. Where possible, nasal continuous positive airway pressure (NCPAP) should precede mechanical ventilation, followed by conventional mechanical ventilation where NCPAP is unsuccessful.</t>
  </si>
  <si>
    <t>Surfactant</t>
  </si>
  <si>
    <t>Type of surfactant: Exogenous surfactants available in SA include Curosurf (poractant) and Survanta.(beractant)</t>
  </si>
  <si>
    <t> Timing of initial dose: The natural history of HMD is to get worse in the first 48 to 72 hours. Delay in administration of surfactant may mean that the baby deteriorates and requires mechanical ventilation. Administer surfactant in babies with severe HMD as soon as possible, preferably within the first hour of life, before putting the baby on Nasal CPAP.</t>
  </si>
  <si>
    <t> Dose:</t>
  </si>
  <si>
    <t>o Survanta:4mls/ kg, can be repeated 6 hourly up to 2additional doses</t>
  </si>
  <si>
    <t>o Curosurf: 2.5 mls / kg then 1.25 mls/kg administered 12 hourly as needed (up to 2 additional doses)</t>
  </si>
  <si>
    <t> Route: Through endotracheal tube, using a catheter or feeding tube or intubate with a large bore feeding tube and administer directly These techniques of administering surfactant are termed INSURE (intubate, surfactant, extubate) and MIST (minimally invasive surfactant technique) respectively</t>
  </si>
  <si>
    <t> Procedure: Intubate and administer the warmed surfactant as a single rapid push in. It is not necessary to reposition the baby. If the baby is on NCPAP, leave the NCPAP in place and administer the surfactant</t>
  </si>
  <si>
    <t> Subsequent doses: Repeat doses may be considered at least 6 hours from the previous dose and in the first 48 hours of life may be considered. Indications for repeat dose are the same as the first dose.Consider other reasons for deterioration or failure to wean (tube problems, pneumothorax, and atelectasis). Order chest X-ray as indicated. Discuss with consultant</t>
  </si>
  <si>
    <t>Ventalation</t>
  </si>
  <si>
    <t>Nasal Continuous Positive Airways Pressure (NCPAP)</t>
  </si>
  <si>
    <t> Bubble CPAP is administered in 177 to babiesthat require surfactant therapy for HMD.</t>
  </si>
  <si>
    <t> NCPAP can also be used for neonates with apnoea in ward 177.</t>
  </si>
  <si>
    <t> Early surfactant therapy is more effective than later, so surfactant should be given as soon as possible after the baby is stabilised and within 2 hours of birth. NCPAP and surfactant are the first line of therapy for babies with HMD – mechanical ventilation would be for those who fail NCPAP.</t>
  </si>
  <si>
    <t> Please ensure correct sizing and placement of the nasal prongs or nasal mask, in order to prevent avascular necrosis of the nasal septum and nasal cartilage. Don’t over tighten the prongs or mask.</t>
  </si>
  <si>
    <t>o The nasal prongs must be sized for both the nares and nasal septum.</t>
  </si>
  <si>
    <t>o 5 mm of prongs should be visible between the nose and CPAP system</t>
  </si>
  <si>
    <t>Protective granuflex should be placed on the nose and upper lip to protect the baby’s skin.</t>
  </si>
  <si>
    <t>o The nasal prongs must be reassessed every 3 to 4 hours for signs of vascular compromise.</t>
  </si>
  <si>
    <t>o The nasal mask should comfortable cover the baby’s nose.</t>
  </si>
  <si>
    <t> NCPAP is started at 5 cm water. The bubble chamber must be filled with water to the correct level. The “stick” determines the level of CPAP. Bubbling indicates that the system is functional, there are no other alarms.</t>
  </si>
  <si>
    <t> Oxygen is delivered at 6 to 10 litres minute, through a wall blender. Oxygen levels are weaned on the blender.</t>
  </si>
  <si>
    <t> The baby is weaned according to oxygen saturations (Target 88 to 94%) and on signs of clinical respiratory distress. It is unnecessary to do frequent blood gases.</t>
  </si>
  <si>
    <t> Once the baby has weaned to less than 30% oxygen and a CPAP level of 4 cm water, the NCPAP can be discontinued and the baby placed on nasal prongs.</t>
  </si>
  <si>
    <t>Cranial ultrasound</t>
  </si>
  <si>
    <t>1. First ultrasound: Within the first 7 days of life or in the case of acute deterioration of baby’s condition especially in extremely low birth weight, cranial ultrasound can be done to rule out bleeding in the brain.</t>
  </si>
  <si>
    <t>a. Will identify &gt;90% of cases of IVH;</t>
  </si>
  <si>
    <t>b. Identify increased periventricular echodensities</t>
  </si>
  <si>
    <t>2. Second ultrasound: At 10-14 days of life</t>
  </si>
  <si>
    <t>a. Will identify progression of PVEs,</t>
  </si>
  <si>
    <t>b. Periventricular cysts may become apparent.</t>
  </si>
  <si>
    <t>c. May identify early development of post haemorrhagic hydrocephalus</t>
  </si>
  <si>
    <t>3. Last ultrasound just before discharge</t>
  </si>
  <si>
    <t>a. Periventricular cysts may become apparent</t>
  </si>
  <si>
    <t>b. PHH will be apparent by this time</t>
  </si>
  <si>
    <t>Feeds</t>
  </si>
  <si>
    <t>To promote growth of preterm infants of 10-20g/kg/day, one must provide 110-140 kcal/kg/day</t>
  </si>
  <si>
    <t>Vitamin K - 0.5 mg imi at birth</t>
  </si>
  <si>
    <t> Multivitamins- Vidaylin drops- 0.6 mls/day until 1 year of age</t>
  </si>
  <si>
    <t>0.6 mls containsVitamin A- 5000iu; Vitamin D- 400iu; Vitamin B1- 1.5mg; Vitamin B2- 1.2mg; Vitamin B6- 0.5mg; Vitamin C- 50mg; Nicotinamide- 10mg</t>
  </si>
  <si>
    <t>Abidec 0.6 mls contains Vitamin A 1333 iu, Vitamin D 400 iu, Vitamin B1 0.4 mg, Vitamin B2 0.8 mg, Vitamin B6 0.8 mg, Vitamin C 40 mg and Nicotinamide 8 mg.</t>
  </si>
  <si>
    <t> Folate- 0.1 mg/day p.o. for first 2 months of life</t>
  </si>
  <si>
    <t> Ferrous gluconate- contains 30 mg/5mL of elemental iron</t>
  </si>
  <si>
    <t>a. Start when on full feeds at an age of 2-4 weeks</t>
  </si>
  <si>
    <t>b. Dose</t>
  </si>
  <si>
    <t>i. &lt;1000g- 4mg/kg/day</t>
  </si>
  <si>
    <t>ii. 1000-1500g- 3mg/kg/day</t>
  </si>
  <si>
    <t>iii. 1500-2500g- 2mg/kg/day</t>
  </si>
  <si>
    <t>c. Duration: continue until 1 year of age</t>
  </si>
  <si>
    <t>Near term and term infants (&gt;34 weeks, or weight &gt;1800 kg)</t>
  </si>
  <si>
    <t> Start fluids at 60 to 80 mls/kg.</t>
  </si>
  <si>
    <t> If an infant has good urine output and appropriate weight loss, fluids can be gradually increased by 20 mls/kg/day aiming to reach 150 mls/kg/day by day 5-7.</t>
  </si>
  <si>
    <t>Preterm infants</t>
  </si>
  <si>
    <t> Gestational age 30-34 weeks or weight 1000-1800g:</t>
  </si>
  <si>
    <t>o Start fluids at 70-80 mls/ kg/ day.</t>
  </si>
  <si>
    <t> Gestational age &lt;30 weeks or weight &lt;1000g:</t>
  </si>
  <si>
    <t>o Start fluids at 80-100 mls/kg/day.</t>
  </si>
  <si>
    <t> The infants in the lower range of birth weight or gestational age will need fluids in the higher range.</t>
  </si>
  <si>
    <t> The changes in fluid rates should be based on urine output, weight loss and/or serum electrolytes. Therefore, these infants should have serum electrolytes done within 24 hours after birth, especially infants at the lower range of birth weight or gestational age.</t>
  </si>
  <si>
    <t> If urine output is normal, with appropriate weight loss and normal electrolytes, fluids may be increased by 15-20mls/ kg/ day to a maximum of 160 to 180 ml/kg/day.</t>
  </si>
  <si>
    <t>o The fluids and feeds need to be recalculated daily according to the increase in daily fluids.</t>
  </si>
  <si>
    <t>o Fluid requirement should be calculated on the baby’s birth weight, until the birth weight is regained. Fluids should then be increased as the baby gains weight – based on the current weight.</t>
  </si>
  <si>
    <t>If the infant has weight loss &gt;3% per day, hypernatraemia or poor urine output increase fluids by 20-40 mls/kg and repeat electrolytes within 24 hours.</t>
  </si>
  <si>
    <t> Continue monitoring HGT as you increase the fluids.</t>
  </si>
  <si>
    <t>Screening</t>
  </si>
  <si>
    <t>Hypoglycaemia</t>
  </si>
  <si>
    <t xml:space="preserve">ROP </t>
  </si>
  <si>
    <t>Follow-up</t>
  </si>
  <si>
    <t>SGA</t>
  </si>
  <si>
    <t>Death</t>
  </si>
  <si>
    <t>Assume discharged at 2 months</t>
  </si>
  <si>
    <t>Comments</t>
  </si>
  <si>
    <t>CPAP (days)</t>
  </si>
  <si>
    <t>Surfactant (doses)</t>
  </si>
  <si>
    <t>Nasal prong oxygen (days)</t>
  </si>
  <si>
    <t>Doctor 6 monthly until 18 months (consultations)</t>
  </si>
  <si>
    <t>Clinic follow up (consultations)</t>
  </si>
  <si>
    <t xml:space="preserve">Hypoglycaemia </t>
  </si>
  <si>
    <t>1. Anticipation in the high risk infant</t>
  </si>
  <si>
    <t> Do 3 hourly HGT in the first 24 hours.</t>
  </si>
  <si>
    <t> Start feeds early or use intravenous fluids if NPO</t>
  </si>
  <si>
    <t>2. Correction of hypoglycaemia</t>
  </si>
  <si>
    <t> If infant is asymptomatic, well, on feeds and glucose was done pre-prandial give feeds and measure glucose in 30 minutes.</t>
  </si>
  <si>
    <t> Otherwise give 10% dextrose 2-5 mls/kg intravenously. If 10% dextrose is unavailable, mix 50% dextrose with sterile water in a ratio of 1:4 to make 10% dextrose. Ensure that the infant is getting adequate glucose delivery (4-6 mg/kg/min in term infants and 6-8 in preterm).</t>
  </si>
  <si>
    <t> Glucose delivery can be calculated using the following equation: mg/kg/min= %dextrose x rate / weight x 6.</t>
  </si>
  <si>
    <t> RepeatHGT 30 – 60 minutes after the bolus and then hourly until HGTs have remained within a normal range for 6 hours.</t>
  </si>
  <si>
    <t> If glucose levels do not increase to normal, increase glucose delivery by 1-2mg/kg/min every 3 to 4 hours, as you give boluses in between.</t>
  </si>
  <si>
    <t> It may be necessary to increase dextrose concentration in order to increase glucose delivery. It is preferable to use a central catheter umbilical venous line) if the dextrose concentration exceeds 12.5%.</t>
  </si>
  <si>
    <t>3. Treatment of the cause of hypoglycaemia.</t>
  </si>
  <si>
    <t> For most infants intravenous 10% dextrose at daily maintenance rates will provide adequate glucose.</t>
  </si>
  <si>
    <t> If hypoglycaemia is due to decreased stores increasing basal rate of infusion should correct the problem</t>
  </si>
  <si>
    <t> Sepsis should always be considered as a possible cause of hypoglycaemia.</t>
  </si>
  <si>
    <t> If secondary to hyperinsulinaemia, may need increased glucose requirements for several days.</t>
  </si>
  <si>
    <t>Some infants with hyperinsulinaemia and infants with IUGR may require 12-15mg/kg/min of glucose to control hypoglycaemia</t>
  </si>
  <si>
    <t> If hypoglycaemia is not responding to high glucose delivery (&gt;15 mg/kg/min) a short course of steroids may be considered- hydrocortisone 5mg/kg/day 8-12 hourly, and glucagon 0.2-0.3 mg/kg intramuscularly.</t>
  </si>
  <si>
    <t> In cases of hypoglycaemianot responding to high glucose delivery or persistent (more than 3 days) secondary to hyperinsulinism, e.g. nesidioblastosis, diazoxide 10-15 mg/kg/day 8hrly iv or p.o. or somatostatin 3.5-4 ug/kg/min may be tried. Surgery may be necessary.</t>
  </si>
  <si>
    <t>Grant cost (months)</t>
  </si>
  <si>
    <t>Tocolysis (nifedipine 20mg)</t>
  </si>
  <si>
    <t>Steroids (betamethasone 4 mg dose)</t>
  </si>
  <si>
    <t>3hrly HGTs (per blood draw)</t>
  </si>
  <si>
    <t>1hrly HGTs (per blood draw)</t>
  </si>
  <si>
    <t>10% dextrose (ml)</t>
  </si>
  <si>
    <t>Utilities (DALYs)</t>
  </si>
  <si>
    <t>Life expectancy</t>
  </si>
  <si>
    <t>Deaths</t>
  </si>
  <si>
    <t>Normal weight</t>
  </si>
  <si>
    <t>ANC</t>
  </si>
  <si>
    <t>No RDS</t>
  </si>
  <si>
    <t>No complications</t>
  </si>
  <si>
    <t>Grant</t>
  </si>
  <si>
    <t>Sum</t>
  </si>
  <si>
    <t>Term stillbirth</t>
  </si>
  <si>
    <t xml:space="preserve">ANC </t>
  </si>
  <si>
    <t>ANC visit</t>
  </si>
  <si>
    <t>Total Costs</t>
  </si>
  <si>
    <t>New cases</t>
  </si>
  <si>
    <t>Disability weight</t>
  </si>
  <si>
    <t xml:space="preserve">Average time a person lives with the disease </t>
  </si>
  <si>
    <t>u_Death</t>
  </si>
  <si>
    <t>u_Healthy</t>
  </si>
  <si>
    <t>Cost per unit (including facility fee)</t>
  </si>
  <si>
    <t>per DALY averted</t>
  </si>
  <si>
    <t>Cycle</t>
  </si>
  <si>
    <t>Value</t>
  </si>
  <si>
    <t>No chronic disease</t>
  </si>
  <si>
    <t>Chronic lung disease</t>
  </si>
  <si>
    <t>cognitive</t>
  </si>
  <si>
    <t>u_CongnitiveImpairement</t>
  </si>
  <si>
    <t>u_ChronicResp</t>
  </si>
  <si>
    <t>Developmental impairement</t>
  </si>
  <si>
    <t>Cognitive impairement</t>
  </si>
  <si>
    <t>Ventalation (days)</t>
  </si>
  <si>
    <t>Spironolatone 1mg/kg/dose 12hourly</t>
  </si>
  <si>
    <t xml:space="preserve">Lasix 0.5-1mg/kg/dose 12 hourly </t>
  </si>
  <si>
    <t>Salbutamol – 0.1-0.5 mg/kg 2-6 hourly</t>
  </si>
  <si>
    <t>Dexamethasone 0.05 mg/kg/dose daily X 3 days, 0.025mg/kg/dose daily X 3 days</t>
  </si>
  <si>
    <t>Threshold</t>
  </si>
  <si>
    <t>outpatient consultation with a nurse at level 1 facility (incl facility fee)</t>
  </si>
  <si>
    <t>Facility fee</t>
  </si>
  <si>
    <t>Emergency level 1 or 2 facility fee + medical officer consultation</t>
  </si>
  <si>
    <t>12 hours apart (incl level 2 pharmacy fees)</t>
  </si>
  <si>
    <t>Over 24 hours (incl level 2 pharmacy fees)</t>
  </si>
  <si>
    <t>Facility fee and specialist fee every 12 hours</t>
  </si>
  <si>
    <t>Level 3 facility fee (not neontal specific) and medical officer fee</t>
  </si>
  <si>
    <t>Practitioner fees</t>
  </si>
  <si>
    <t>Medical officer NICU 12hrly</t>
  </si>
  <si>
    <t>Assume improvement after 6 hours (incl blood drawing feet)</t>
  </si>
  <si>
    <t>First 24 hours (incl blood drawing fee)</t>
  </si>
  <si>
    <t>Assume feeds in first 24 hours and then dextrose thereafter (incl drug fees and dispensing fee)</t>
  </si>
  <si>
    <t>7 days, 14 days, before discharge (incl facility fee and specialist in Cat B)</t>
  </si>
  <si>
    <t>At 4-6weeks old (incl specialist consultation and facility fee)</t>
  </si>
  <si>
    <t>Initial specialist follow-up</t>
  </si>
  <si>
    <t>For SGA babies based on the road to health card (incl nurse follow up and facility fee level 1)</t>
  </si>
  <si>
    <t>consultation and facility fee level 3</t>
  </si>
  <si>
    <t>hyperbaric oxygen costs used (incl facility fee and cost of oxygen)</t>
  </si>
  <si>
    <t>Allied health follow up</t>
  </si>
  <si>
    <t>Assume with every regular follow up (incl facility fee level 3 and allied consultation fee)</t>
  </si>
  <si>
    <t>incl drug cost and dispensing fee</t>
  </si>
  <si>
    <t>Consultation and facility fee</t>
  </si>
  <si>
    <t>medical officer ward care</t>
  </si>
  <si>
    <t>Category</t>
  </si>
  <si>
    <t>Other chronic respiratory conditions</t>
  </si>
  <si>
    <t>DALYs</t>
  </si>
  <si>
    <t>Rate</t>
  </si>
  <si>
    <t>Neonatal encephalopathy due to birth asphyxia and trauma</t>
  </si>
  <si>
    <t>YYL</t>
  </si>
  <si>
    <t>YLD</t>
  </si>
  <si>
    <t>Prev</t>
  </si>
  <si>
    <t>Incidence</t>
  </si>
  <si>
    <t>YLL (rate)</t>
  </si>
  <si>
    <t>YLD (rate)</t>
  </si>
  <si>
    <t>Death rate</t>
  </si>
  <si>
    <t>Prev rate</t>
  </si>
  <si>
    <t>Incidence rate</t>
  </si>
  <si>
    <t>South Africa</t>
  </si>
  <si>
    <t>Global</t>
  </si>
  <si>
    <t>INMB</t>
  </si>
  <si>
    <t>per DALY averted (From Ijeoma's study)</t>
  </si>
  <si>
    <t>Calculation</t>
  </si>
  <si>
    <t>Year 1</t>
  </si>
  <si>
    <t>Year 2</t>
  </si>
  <si>
    <t>Background costs (average healthcare costs)</t>
  </si>
  <si>
    <t>c_grant</t>
  </si>
  <si>
    <t>c_ANC</t>
  </si>
  <si>
    <t>c_prem</t>
  </si>
  <si>
    <t>c_LBW</t>
  </si>
  <si>
    <t>c_RDS</t>
  </si>
  <si>
    <t>c_hypo</t>
  </si>
  <si>
    <t xml:space="preserve">c_lung </t>
  </si>
  <si>
    <t>c_cog</t>
  </si>
  <si>
    <t>c_hosp fu</t>
  </si>
  <si>
    <t>c_clinic fu</t>
  </si>
  <si>
    <t>c_1year</t>
  </si>
  <si>
    <t>c_2years</t>
  </si>
  <si>
    <t>Intervention probabilities</t>
  </si>
  <si>
    <t>G2ANC</t>
  </si>
  <si>
    <t>G2noANC</t>
  </si>
  <si>
    <t>Arm 1</t>
  </si>
  <si>
    <t>Prem2LBW_1</t>
  </si>
  <si>
    <t>Arm 2</t>
  </si>
  <si>
    <t>Prem2LBW_2</t>
  </si>
  <si>
    <t>Comparator probabilities</t>
  </si>
  <si>
    <t>Arm 3</t>
  </si>
  <si>
    <t>Prem2LBW_3</t>
  </si>
  <si>
    <t>Arm 4</t>
  </si>
  <si>
    <t>Prem2LBW_4</t>
  </si>
  <si>
    <t>Description</t>
  </si>
  <si>
    <t>Grant to ANC</t>
  </si>
  <si>
    <t>Grant to no ANC</t>
  </si>
  <si>
    <t>Preterm to LBW</t>
  </si>
  <si>
    <t>Preterm to normal weight</t>
  </si>
  <si>
    <t>RDS to chronic lung disease</t>
  </si>
  <si>
    <t>Term to normal weight</t>
  </si>
  <si>
    <t>No grant to ANC</t>
  </si>
  <si>
    <t>No grant to no ANC</t>
  </si>
  <si>
    <t>Effects of the grant/ANC</t>
  </si>
  <si>
    <t>Risk ratio - Reduction in preterm rate</t>
  </si>
  <si>
    <t>Risk ratio - Reduction in LBW</t>
  </si>
  <si>
    <t xml:space="preserve">e_ANC </t>
  </si>
  <si>
    <t>e_LBW</t>
  </si>
  <si>
    <t>e_SGA</t>
  </si>
  <si>
    <t>Risk ratio - Reduction in SGA</t>
  </si>
  <si>
    <t>Discount rate</t>
  </si>
  <si>
    <t>u_parental</t>
  </si>
  <si>
    <t>QALY</t>
  </si>
  <si>
    <t>Gordon et al 2021</t>
  </si>
  <si>
    <t>Asthma</t>
  </si>
  <si>
    <t>YLL</t>
  </si>
  <si>
    <t>Total births</t>
  </si>
  <si>
    <t>ANC first visit coverage rate</t>
  </si>
  <si>
    <t>No ANC rate</t>
  </si>
  <si>
    <t>GBD</t>
  </si>
  <si>
    <t>every month for 8 antenatal months based on current cost of CSG</t>
  </si>
  <si>
    <t>incl drug cost and dispensing fee and paediatric mask</t>
  </si>
  <si>
    <t>2020 costs</t>
  </si>
  <si>
    <t>Stillbirth costs</t>
  </si>
  <si>
    <t>Annual USD-ZAR exchange rate 2020</t>
  </si>
  <si>
    <t>Reported by SARS</t>
  </si>
  <si>
    <t>reported for 2019, calculated the average between males and females</t>
  </si>
  <si>
    <t xml:space="preserve">https://healthcostinstitute.org/health-care-cost-and-utilization-report/annual-reports, </t>
  </si>
  <si>
    <t>Grant costs for 2020</t>
  </si>
  <si>
    <t>Statistics SA</t>
  </si>
  <si>
    <t>Medical CPI percentage change</t>
  </si>
  <si>
    <t>c_SB</t>
  </si>
  <si>
    <t>http://www.statssa.gov.za/?p=14902</t>
  </si>
  <si>
    <t>http://www.statssa.gov.za/?p=14903</t>
  </si>
  <si>
    <t>Teen births</t>
  </si>
  <si>
    <t>Adult births</t>
  </si>
  <si>
    <t>StatsSA mid-year estimates 2020</t>
  </si>
  <si>
    <t>Male life expectancy at birth</t>
  </si>
  <si>
    <t>Female life expectancy at birth</t>
  </si>
  <si>
    <t>Average life expectancy at birth</t>
  </si>
  <si>
    <t xml:space="preserve">ANC first visit </t>
  </si>
  <si>
    <t>NOT ADDED</t>
  </si>
  <si>
    <t>69-106%</t>
  </si>
  <si>
    <t>Health barometer 2020 (data error for upper limit - assume 100%)</t>
  </si>
  <si>
    <t>Base probabilities</t>
  </si>
  <si>
    <t>Range</t>
  </si>
  <si>
    <t>Complement</t>
  </si>
  <si>
    <t>5-18%</t>
  </si>
  <si>
    <t>Blencowe 2012</t>
  </si>
  <si>
    <t>Blencowe 2016</t>
  </si>
  <si>
    <t>1,66-2,10%</t>
  </si>
  <si>
    <t>SGA preterm</t>
  </si>
  <si>
    <t>Stillbirth no ANC</t>
  </si>
  <si>
    <t>Gumede 2017</t>
  </si>
  <si>
    <t>Stillbirth with ANC</t>
  </si>
  <si>
    <t>Live birth with ANC</t>
  </si>
  <si>
    <t>Live birth no ANC</t>
  </si>
  <si>
    <t>With ANC</t>
  </si>
  <si>
    <t>Without ANC</t>
  </si>
  <si>
    <t>CLD</t>
  </si>
  <si>
    <t>CLD + cognitive impairement</t>
  </si>
  <si>
    <t>No CDL or cognitive impairement</t>
  </si>
  <si>
    <t>No hypoglycaemia</t>
  </si>
  <si>
    <t>No LBW</t>
  </si>
  <si>
    <t>Live bith</t>
  </si>
  <si>
    <t>Intervention</t>
  </si>
  <si>
    <t>431/26244</t>
  </si>
  <si>
    <t>25813/26244</t>
  </si>
  <si>
    <t>104/3295</t>
  </si>
  <si>
    <t>3191/3295</t>
  </si>
  <si>
    <t>Overall Stillbirth</t>
  </si>
  <si>
    <t>Overall Live birth</t>
  </si>
  <si>
    <t>ANC and prem</t>
  </si>
  <si>
    <t>Prem</t>
  </si>
  <si>
    <t>Gumede data</t>
  </si>
  <si>
    <t>ANC and term</t>
  </si>
  <si>
    <t>Overall preterm of live births</t>
  </si>
  <si>
    <t>Overall term live births</t>
  </si>
  <si>
    <t>ANC and stillbirth</t>
  </si>
  <si>
    <t>ANC and live birth</t>
  </si>
  <si>
    <t>Live births</t>
  </si>
  <si>
    <t>No ANC and stillbirth</t>
  </si>
  <si>
    <t>No ANC and live birth</t>
  </si>
  <si>
    <t>No ANC and prem</t>
  </si>
  <si>
    <t>No ANC and term</t>
  </si>
  <si>
    <t xml:space="preserve">Preterm </t>
  </si>
  <si>
    <t>594/3426</t>
  </si>
  <si>
    <t>2832/3426</t>
  </si>
  <si>
    <t>4604/26336</t>
  </si>
  <si>
    <t>21732/26336</t>
  </si>
  <si>
    <t>Preterm and LBW</t>
  </si>
  <si>
    <t>Term and LBW</t>
  </si>
  <si>
    <t>Preterm and no LBW</t>
  </si>
  <si>
    <t>Term and no LBW</t>
  </si>
  <si>
    <t>201/295</t>
  </si>
  <si>
    <t>226/650</t>
  </si>
  <si>
    <t>69/650</t>
  </si>
  <si>
    <t>Tshotetsi 2019</t>
  </si>
  <si>
    <t>Tshotetsi 2019 data</t>
  </si>
  <si>
    <t>Term SGA</t>
  </si>
  <si>
    <t>Preterm SGA</t>
  </si>
  <si>
    <t>SGA term</t>
  </si>
  <si>
    <t>Total preterm</t>
  </si>
  <si>
    <t>Total term</t>
  </si>
  <si>
    <t>Total LBW</t>
  </si>
  <si>
    <t>Total normal weight</t>
  </si>
  <si>
    <t>AGA preterm</t>
  </si>
  <si>
    <t>AGA term</t>
  </si>
  <si>
    <t>Total SGA</t>
  </si>
  <si>
    <t>Total AGA</t>
  </si>
  <si>
    <t>Preterm LBW</t>
  </si>
  <si>
    <t>707/1592</t>
  </si>
  <si>
    <t>885/1592</t>
  </si>
  <si>
    <t>Term no LBW</t>
  </si>
  <si>
    <t>Katz data</t>
  </si>
  <si>
    <t>Katz 2013</t>
  </si>
  <si>
    <t>AGA</t>
  </si>
  <si>
    <t>Death and preterm</t>
  </si>
  <si>
    <t>Death and prem</t>
  </si>
  <si>
    <t>Death and term</t>
  </si>
  <si>
    <t>per 1000</t>
  </si>
  <si>
    <t>Survive and prem</t>
  </si>
  <si>
    <t>Survive and term</t>
  </si>
  <si>
    <t xml:space="preserve">24 weeks </t>
  </si>
  <si>
    <t>28 weeks</t>
  </si>
  <si>
    <t>32 weeks</t>
  </si>
  <si>
    <t>36 weeks</t>
  </si>
  <si>
    <t>5-80%</t>
  </si>
  <si>
    <t>Donn 2006</t>
  </si>
  <si>
    <t>0-1%</t>
  </si>
  <si>
    <t>Donn 2006, Behrman 2007</t>
  </si>
  <si>
    <t>Donn data</t>
  </si>
  <si>
    <t>No Hypoglycaemia</t>
  </si>
  <si>
    <t>0,22-0,28</t>
  </si>
  <si>
    <t>Mejri 2010</t>
  </si>
  <si>
    <t>39/181</t>
  </si>
  <si>
    <t>Lui 2019</t>
  </si>
  <si>
    <t>no CLD</t>
  </si>
  <si>
    <t>806/2233</t>
  </si>
  <si>
    <t>Colman 2013</t>
  </si>
  <si>
    <t>77/1500</t>
  </si>
  <si>
    <t>Impairement</t>
  </si>
  <si>
    <t>No impairement</t>
  </si>
  <si>
    <t>3294/99,560</t>
  </si>
  <si>
    <t>Wickstrom 2018</t>
  </si>
  <si>
    <t>ANC2SB_1</t>
  </si>
  <si>
    <t>ANC2LB_1</t>
  </si>
  <si>
    <t>ANC to stillbirth</t>
  </si>
  <si>
    <t>ANC to live birth</t>
  </si>
  <si>
    <t>LB2prem_1</t>
  </si>
  <si>
    <t>LB2term_1</t>
  </si>
  <si>
    <t>Live birth to preterm</t>
  </si>
  <si>
    <t>Live birth to term</t>
  </si>
  <si>
    <t>Term2LBW_1</t>
  </si>
  <si>
    <t>Term to LBW</t>
  </si>
  <si>
    <t>LBW(prem)2SGA_1</t>
  </si>
  <si>
    <t>LBW(prem)2SGA_2</t>
  </si>
  <si>
    <t>LBW(prem)2AGA_2</t>
  </si>
  <si>
    <t>LBW(prem)2AGA_1</t>
  </si>
  <si>
    <t>NBW(prem)2SGA_1</t>
  </si>
  <si>
    <t>NBW(prem)2AGA_1</t>
  </si>
  <si>
    <t>Prem2NBW_1</t>
  </si>
  <si>
    <t>Term2NBW_1</t>
  </si>
  <si>
    <t>LBW(term)2SGA_1</t>
  </si>
  <si>
    <t>LBW(term)2AGA_1</t>
  </si>
  <si>
    <t>NBW(term)2SGA_1</t>
  </si>
  <si>
    <t>NBW(term)2AGA_1</t>
  </si>
  <si>
    <t>LBW preterm to SGA</t>
  </si>
  <si>
    <t>Normal BW preterm to SGA</t>
  </si>
  <si>
    <t>Normal BW preterm to AGA</t>
  </si>
  <si>
    <t>LBW preterm to AGA</t>
  </si>
  <si>
    <t>LBW term to SGA</t>
  </si>
  <si>
    <t>LBW term to AGA</t>
  </si>
  <si>
    <t>Normal BW term to SGA</t>
  </si>
  <si>
    <t>Normal BW term to AGA</t>
  </si>
  <si>
    <t>SGA(prem)2d_1</t>
  </si>
  <si>
    <t>SGA(prem)2s_1</t>
  </si>
  <si>
    <t>AGA(prem)2d_1</t>
  </si>
  <si>
    <t>AGA(prem)2s_1</t>
  </si>
  <si>
    <t>SGA(term)2d_1</t>
  </si>
  <si>
    <t>SGA(term)2s_1</t>
  </si>
  <si>
    <t>AGA(term)2d_1</t>
  </si>
  <si>
    <t>AGA(term)2s_1</t>
  </si>
  <si>
    <t>SGA preterm to death</t>
  </si>
  <si>
    <t>SGA preterm to survival</t>
  </si>
  <si>
    <t>AGA preterm to death</t>
  </si>
  <si>
    <t>AGA preterm to survival</t>
  </si>
  <si>
    <t>SGA term to death</t>
  </si>
  <si>
    <t>SGA term to survival</t>
  </si>
  <si>
    <t>AGA term to death</t>
  </si>
  <si>
    <t>AGA term to survival</t>
  </si>
  <si>
    <t>S(prem)2RDS_1</t>
  </si>
  <si>
    <t>S(prem)2noRDS_1</t>
  </si>
  <si>
    <t>S(term)2RDS_1</t>
  </si>
  <si>
    <t>S(term)2noRDS_1</t>
  </si>
  <si>
    <t>Survival (preterm) to RDS</t>
  </si>
  <si>
    <t>Survival (preterm) to no RDS</t>
  </si>
  <si>
    <t>Survival (term) to RDS</t>
  </si>
  <si>
    <t>Survival (term) to no RDS</t>
  </si>
  <si>
    <t>SGA(prem)2hypoglycaemia_1</t>
  </si>
  <si>
    <t>SGA(prem)2hypoglycaemia_2</t>
  </si>
  <si>
    <t>SGA(prem)2normoglycaemia_2</t>
  </si>
  <si>
    <t>SGA(term)2hypoglycaemia_1</t>
  </si>
  <si>
    <t>SGA(term)2normoglycaemia_2</t>
  </si>
  <si>
    <t>SGA(prem)2normoglycaemia_1</t>
  </si>
  <si>
    <t>SGA(term)2normoglycaemia_1</t>
  </si>
  <si>
    <t>SGA (preterm) to hypoglycaemia</t>
  </si>
  <si>
    <t>SGA (preterm) to normoglycaemia</t>
  </si>
  <si>
    <t>SGA (term) to hypoglycaemia</t>
  </si>
  <si>
    <t>SGA (term) to normoglycaemia</t>
  </si>
  <si>
    <t>RDS2CLD_1</t>
  </si>
  <si>
    <t>noRDS2noCLD_1</t>
  </si>
  <si>
    <t>RDS2noCLD_1</t>
  </si>
  <si>
    <t>noRDS2CLD_1</t>
  </si>
  <si>
    <t>RDS to no chronic lung disease</t>
  </si>
  <si>
    <t>no RDS to chronic lung disease</t>
  </si>
  <si>
    <t>no RDS to no chronic lung disease</t>
  </si>
  <si>
    <t>Hypoglycaemia to cognitive impairement</t>
  </si>
  <si>
    <t>Hypoglycaemia to no cognitive impairement</t>
  </si>
  <si>
    <t>No hypoglycaemia to cognitive impairement</t>
  </si>
  <si>
    <t>No hypoglycaemia to no cognitive impairement</t>
  </si>
  <si>
    <t>Hypo2CI_1</t>
  </si>
  <si>
    <t>Hypo2noCI_1</t>
  </si>
  <si>
    <t>noHypo2CI_1</t>
  </si>
  <si>
    <t>noHypo2noCI_1</t>
  </si>
  <si>
    <t>NoG2ANC</t>
  </si>
  <si>
    <t>NoG2noANC</t>
  </si>
  <si>
    <t>LB2prem_2</t>
  </si>
  <si>
    <t>LB2term_2</t>
  </si>
  <si>
    <t>Prem2NBW_2</t>
  </si>
  <si>
    <t>Term2LBW_2</t>
  </si>
  <si>
    <t>Term2NBW_2</t>
  </si>
  <si>
    <t>NBW(prem)2SGA_2</t>
  </si>
  <si>
    <t>NBW(prem)2AGA_2</t>
  </si>
  <si>
    <t>LBW(term)2SGA_2</t>
  </si>
  <si>
    <t>LBW(term)2AGA_2</t>
  </si>
  <si>
    <t>NBW(term)2SGA_2</t>
  </si>
  <si>
    <t>NBW(term)2AGA_2</t>
  </si>
  <si>
    <t>SGA(prem)2d_2</t>
  </si>
  <si>
    <t>SGA(prem)2s_2</t>
  </si>
  <si>
    <t>AGA(prem)2d_2</t>
  </si>
  <si>
    <t>AGA(prem)2s_2</t>
  </si>
  <si>
    <t>SGA(term)2d_2</t>
  </si>
  <si>
    <t>SGA(term)2s_2</t>
  </si>
  <si>
    <t>AGA(term)2d_2</t>
  </si>
  <si>
    <t>AGA(term)2s_2</t>
  </si>
  <si>
    <t>S(prem)2RDS_2</t>
  </si>
  <si>
    <t>S(prem)2noRDS_2</t>
  </si>
  <si>
    <t>S(term)2RDS_2</t>
  </si>
  <si>
    <t>S(term)2noRDS_2</t>
  </si>
  <si>
    <t>SGA(term)2hypoglycaemia_2</t>
  </si>
  <si>
    <t>RDS2CLD_2</t>
  </si>
  <si>
    <t>RDS2noCLD_2</t>
  </si>
  <si>
    <t>noRDS2CLD_2</t>
  </si>
  <si>
    <t>noRDS2noCLD_2</t>
  </si>
  <si>
    <t>Hypo2CI_2</t>
  </si>
  <si>
    <t>Hypo2noCI_2</t>
  </si>
  <si>
    <t>noHypo2CI_2</t>
  </si>
  <si>
    <t>noHypo2noCI_2</t>
  </si>
  <si>
    <t>ANC2SB_3</t>
  </si>
  <si>
    <t>ANC2LB_3</t>
  </si>
  <si>
    <t>LB2prem_3</t>
  </si>
  <si>
    <t>LB2term_3</t>
  </si>
  <si>
    <t>Prem2NBW_3</t>
  </si>
  <si>
    <t>Term2LBW_3</t>
  </si>
  <si>
    <t>Term2NBW_3</t>
  </si>
  <si>
    <t>LBW(prem)2SGA_3</t>
  </si>
  <si>
    <t>LBW(prem)2AGA_3</t>
  </si>
  <si>
    <t>NBW(prem)2SGA_3</t>
  </si>
  <si>
    <t>NBW(prem)2AGA_3</t>
  </si>
  <si>
    <t>LBW(term)2SGA_3</t>
  </si>
  <si>
    <t>LBW(term)2AGA_3</t>
  </si>
  <si>
    <t>NBW(term)2SGA_3</t>
  </si>
  <si>
    <t>NBW(term)2AGA_3</t>
  </si>
  <si>
    <t>SGA(prem)2d_3</t>
  </si>
  <si>
    <t>SGA(prem)2s_3</t>
  </si>
  <si>
    <t>AGA(prem)2d_3</t>
  </si>
  <si>
    <t>AGA(prem)2s_3</t>
  </si>
  <si>
    <t>SGA(term)2d_3</t>
  </si>
  <si>
    <t>SGA(term)2s_3</t>
  </si>
  <si>
    <t>AGA(term)2d_3</t>
  </si>
  <si>
    <t>AGA(term)2s_3</t>
  </si>
  <si>
    <t>S(prem)2RDS_3</t>
  </si>
  <si>
    <t>S(prem)2noRDS_3</t>
  </si>
  <si>
    <t>S(term)2RDS_3</t>
  </si>
  <si>
    <t>S(term)2noRDS_3</t>
  </si>
  <si>
    <t>SGA(prem)2hypoglycaemia_3</t>
  </si>
  <si>
    <t>SGA(prem)2normoglycaemia_3</t>
  </si>
  <si>
    <t>SGA(term)2hypoglycaemia_3</t>
  </si>
  <si>
    <t>SGA(term)2normoglycaemia_3</t>
  </si>
  <si>
    <t>RDS2CLD_3</t>
  </si>
  <si>
    <t>RDS2noCLD_3</t>
  </si>
  <si>
    <t>noRDS2CLD_3</t>
  </si>
  <si>
    <t>noRDS2noCLD_3</t>
  </si>
  <si>
    <t>Hypo2CI_3</t>
  </si>
  <si>
    <t>Hypo2noCI_3</t>
  </si>
  <si>
    <t>noHypo2CI_3</t>
  </si>
  <si>
    <t>noHypo2noCI_3</t>
  </si>
  <si>
    <t>LB2prem_4</t>
  </si>
  <si>
    <t>LB2term_4</t>
  </si>
  <si>
    <t>Prem2NBW_4</t>
  </si>
  <si>
    <t>Term2LBW_4</t>
  </si>
  <si>
    <t>Term2NBW_4</t>
  </si>
  <si>
    <t>LBW(prem)2SGA_4</t>
  </si>
  <si>
    <t>LBW(prem)2AGA_4</t>
  </si>
  <si>
    <t>NBW(prem)2SGA_4</t>
  </si>
  <si>
    <t>NBW(prem)2AGA_4</t>
  </si>
  <si>
    <t>LBW(term)2SGA_4</t>
  </si>
  <si>
    <t>LBW(term)2AGA_4</t>
  </si>
  <si>
    <t>NBW(term)2SGA_4</t>
  </si>
  <si>
    <t>NBW(term)2AGA_4</t>
  </si>
  <si>
    <t>SGA(prem)2d_4</t>
  </si>
  <si>
    <t>SGA(prem)2s_4</t>
  </si>
  <si>
    <t>AGA(prem)2d_4</t>
  </si>
  <si>
    <t>AGA(prem)2s_4</t>
  </si>
  <si>
    <t>SGA(term)2d_4</t>
  </si>
  <si>
    <t>SGA(term)2s_4</t>
  </si>
  <si>
    <t>AGA(term)2d_4</t>
  </si>
  <si>
    <t>AGA(term)2s_4</t>
  </si>
  <si>
    <t>S(prem)2RDS_4</t>
  </si>
  <si>
    <t>S(prem)2noRDS_4</t>
  </si>
  <si>
    <t>S(term)2RDS_4</t>
  </si>
  <si>
    <t>S(term)2noRDS_4</t>
  </si>
  <si>
    <t>SGA(prem)2hypoglycaemia_4</t>
  </si>
  <si>
    <t>SGA(prem)2normoglycaemia_4</t>
  </si>
  <si>
    <t>SGA(term)2hypoglycaemia_4</t>
  </si>
  <si>
    <t>SGA(term)2normoglycaemia_4</t>
  </si>
  <si>
    <t>RDS2CLD_4</t>
  </si>
  <si>
    <t>RDS2noCLD_4</t>
  </si>
  <si>
    <t>noRDS2CLD_4</t>
  </si>
  <si>
    <t>noRDS2noCLD_4</t>
  </si>
  <si>
    <t>Hypo2CI_4</t>
  </si>
  <si>
    <t>Hypo2noCI_4</t>
  </si>
  <si>
    <t>noHypo2CI_4</t>
  </si>
  <si>
    <t>noHypo2noCI_4</t>
  </si>
  <si>
    <t>Grant effect</t>
  </si>
  <si>
    <t>Comment</t>
  </si>
  <si>
    <t>e_preterm</t>
  </si>
  <si>
    <t>NoANC2SB_2</t>
  </si>
  <si>
    <t>NoANC2LB_2</t>
  </si>
  <si>
    <t>No ANC to stillbirth</t>
  </si>
  <si>
    <t>No ANC to live birth</t>
  </si>
  <si>
    <t>NoANC2SB_4</t>
  </si>
  <si>
    <t>NoANC2LB_4</t>
  </si>
  <si>
    <t>Preterm AGA</t>
  </si>
  <si>
    <t>Term AGA</t>
  </si>
  <si>
    <t>0/100</t>
  </si>
  <si>
    <t>Araz 2006</t>
  </si>
  <si>
    <t>9/60</t>
  </si>
  <si>
    <t>Lubchenco</t>
  </si>
  <si>
    <t>AGA(prem)2normoglycaemia_4</t>
  </si>
  <si>
    <t>AGA(prem)2hypoglycaemia_4</t>
  </si>
  <si>
    <t>AGA term to hypoglycaemia</t>
  </si>
  <si>
    <t>AGA term to normoglycaemia</t>
  </si>
  <si>
    <t>AGA preterm to hypoglycaemia</t>
  </si>
  <si>
    <t>AGA preterm to normoglycaemia</t>
  </si>
  <si>
    <t>AGA(term)2hypoglycaemia_4</t>
  </si>
  <si>
    <t>AGA(term)2normoglycaemia_4</t>
  </si>
  <si>
    <t>10.1%-point more likely to take up at least one ANC service</t>
  </si>
  <si>
    <t>Rahman &amp; Pallikadavath (2018)</t>
  </si>
  <si>
    <t>Brownell et al., 2016</t>
  </si>
  <si>
    <t>95% CI 0.63–0.82</t>
  </si>
  <si>
    <t>95% CI 0.69–0.84</t>
  </si>
  <si>
    <t>95% CI 0.81–0.99</t>
  </si>
  <si>
    <t>Brownell et al., 2017</t>
  </si>
  <si>
    <t>Brownell et al., 2018</t>
  </si>
  <si>
    <t>e_mortality</t>
  </si>
  <si>
    <t>AGA(prem)2hypoglycaemia_1</t>
  </si>
  <si>
    <t>AGA(prem)2normoglycaemia_1</t>
  </si>
  <si>
    <t>AGA(term)2hypoglycaemia_1</t>
  </si>
  <si>
    <t>AGA(term)2normoglycaemia_1</t>
  </si>
  <si>
    <t>AGA(prem)2hypoglycaemia_2</t>
  </si>
  <si>
    <t>AGA(prem)2normoglycaemia_2</t>
  </si>
  <si>
    <t>AGA(term)2hypoglycaemia_2</t>
  </si>
  <si>
    <t>AGA(term)2normoglycaemia_2</t>
  </si>
  <si>
    <t>AGA(prem)2hypoglycaemia_3</t>
  </si>
  <si>
    <t>AGA(prem)2normoglycaemia_3</t>
  </si>
  <si>
    <t>AGA(term)2hypoglycaemia_3</t>
  </si>
  <si>
    <t>AGA(term)2normoglycaemia_3</t>
  </si>
  <si>
    <t>complement</t>
  </si>
  <si>
    <t>assume 1 week in mortuary + certificate</t>
  </si>
  <si>
    <t>Contribution of YLLs</t>
  </si>
  <si>
    <t>Contribution of YLDs</t>
  </si>
  <si>
    <t>DALYs motor impairement</t>
  </si>
  <si>
    <t xml:space="preserve">Life expectancy at age of premature death </t>
  </si>
  <si>
    <t>Years lived with disease</t>
  </si>
  <si>
    <t xml:space="preserve">Disability weight </t>
  </si>
  <si>
    <t>https://cevr.shinyapps.io/DALYcalculation/</t>
  </si>
  <si>
    <t>Hutton 2002</t>
  </si>
  <si>
    <t>Discounted</t>
  </si>
  <si>
    <t>DW for moderately controlled asthma</t>
  </si>
  <si>
    <t>Katwyk 2020</t>
  </si>
  <si>
    <t>DW for moderate motor impairment due to prematurity 28-32 weeks</t>
  </si>
  <si>
    <t>Year lost</t>
  </si>
  <si>
    <t>Time</t>
  </si>
  <si>
    <t>0.061
(0.04-0.089)</t>
  </si>
  <si>
    <t>Year with disease</t>
  </si>
  <si>
    <t>Year</t>
  </si>
  <si>
    <t>Disability</t>
  </si>
  <si>
    <t xml:space="preserve">Life expectancy   </t>
  </si>
  <si>
    <t>0.133
(0.086-0.192)</t>
  </si>
  <si>
    <t xml:space="preserve">Life expectancy  </t>
  </si>
  <si>
    <t>https://www.uptodate.com/contents/natural-history-of-asthma</t>
  </si>
  <si>
    <t>Motor impairment</t>
  </si>
  <si>
    <t>DALYS</t>
  </si>
  <si>
    <t>x</t>
  </si>
  <si>
    <t>Difference (DALYs)</t>
  </si>
  <si>
    <t>Usual Care</t>
  </si>
  <si>
    <t>NICU costs (mainly for LBW)</t>
  </si>
  <si>
    <t>NICU days, &lt;1500g</t>
  </si>
  <si>
    <t>NICU days, 1500-2499g</t>
  </si>
  <si>
    <t>NICU days, &gt;2500g</t>
  </si>
  <si>
    <t>High care days, &lt;1500g</t>
  </si>
  <si>
    <t>High care days, 1500-2499g</t>
  </si>
  <si>
    <t>High care days, &gt;2500g</t>
  </si>
  <si>
    <t>NICU admission rate, &lt;1500g</t>
  </si>
  <si>
    <t>na</t>
  </si>
  <si>
    <t>NICU admission rate, 1500-2500g</t>
  </si>
  <si>
    <t>NICU admission rate, &gt;2500g</t>
  </si>
  <si>
    <t>Proportion LBW (&lt;2500g) that are &lt;1500g</t>
  </si>
  <si>
    <t>Proportion LBW (&lt;2500g) that are 1500-2499g</t>
  </si>
  <si>
    <t>c_NICU_NBW</t>
  </si>
  <si>
    <t>% change Sep 2021 vs. Sep 2020</t>
  </si>
  <si>
    <t>Annual USD-ZAR exchange rate 2021</t>
  </si>
  <si>
    <t>Dispensing fee</t>
  </si>
  <si>
    <t>Source is 2020 MPC or 2021 fee schedule unless otherwise stated</t>
  </si>
  <si>
    <t>Pharmacy fees</t>
  </si>
  <si>
    <t xml:space="preserve">Incl medication cost </t>
  </si>
  <si>
    <t>Incl medication cost and pharmacy fee</t>
  </si>
  <si>
    <t>CSG</t>
  </si>
  <si>
    <t>c_CSG</t>
  </si>
  <si>
    <t>DALYs averted</t>
  </si>
  <si>
    <t>Per person</t>
  </si>
  <si>
    <t>Setting up sensitivity analysis</t>
  </si>
  <si>
    <t>Base Case</t>
  </si>
  <si>
    <t>ICER:</t>
  </si>
  <si>
    <t>/DALY</t>
  </si>
  <si>
    <t>INMB:</t>
  </si>
  <si>
    <t>List of Variables to Alternate in SA</t>
  </si>
  <si>
    <t>Lower value</t>
  </si>
  <si>
    <t>higher value</t>
  </si>
  <si>
    <t>increments</t>
  </si>
  <si>
    <t>dw_CLD</t>
  </si>
  <si>
    <t>dw_motor</t>
  </si>
  <si>
    <t>Term with ANC</t>
  </si>
  <si>
    <t>Term no ANC</t>
  </si>
  <si>
    <t>LBW prem</t>
  </si>
  <si>
    <t>LBW term</t>
  </si>
  <si>
    <t>SGA preterm lbw</t>
  </si>
  <si>
    <t>AGA term nbw</t>
  </si>
  <si>
    <t>Death and preterm sga</t>
  </si>
  <si>
    <t>Death and term sga</t>
  </si>
  <si>
    <t>Death and prem aga</t>
  </si>
  <si>
    <t>Death and term aga</t>
  </si>
  <si>
    <t>RDS prem</t>
  </si>
  <si>
    <t>Hypoglycaemia prem sga</t>
  </si>
  <si>
    <t>Hypoglycaemia term sga</t>
  </si>
  <si>
    <t>CLD rds</t>
  </si>
  <si>
    <t>Performing univariate sensitivity analysis</t>
  </si>
  <si>
    <t>NMB</t>
  </si>
  <si>
    <t>Preparing inputs for tornado diagram</t>
  </si>
  <si>
    <t>Low Value</t>
  </si>
  <si>
    <t>Low ICER</t>
  </si>
  <si>
    <t>High Value</t>
  </si>
  <si>
    <t>High ICER</t>
  </si>
  <si>
    <t>`</t>
  </si>
  <si>
    <t>Low INMB</t>
  </si>
  <si>
    <t>High INMB</t>
  </si>
  <si>
    <t>Tornado diagram</t>
  </si>
  <si>
    <t>Parameter</t>
  </si>
  <si>
    <t>Low</t>
  </si>
  <si>
    <t>High</t>
  </si>
  <si>
    <t>Output Differences</t>
  </si>
  <si>
    <t>Core value</t>
  </si>
  <si>
    <t>Hypoglycaemia prem aga</t>
  </si>
  <si>
    <t>Results for the table</t>
  </si>
  <si>
    <t>Base Case INMB</t>
  </si>
  <si>
    <t>Impairment no hypo</t>
  </si>
  <si>
    <t>Impairment hypo</t>
  </si>
  <si>
    <t>Antenatal care</t>
  </si>
  <si>
    <t>Live birth with antenatal care</t>
  </si>
  <si>
    <t>Live birth among unbooked</t>
  </si>
  <si>
    <t>Term birth with antenatal care</t>
  </si>
  <si>
    <t>Term birth in the unbooked</t>
  </si>
  <si>
    <t>LBW and preterm</t>
  </si>
  <si>
    <t>LBW term infants</t>
  </si>
  <si>
    <t>SGA among preterm LBW infants</t>
  </si>
  <si>
    <t>AGA among term normal birth weight infants</t>
  </si>
  <si>
    <t>Death among preterm SGA infants</t>
  </si>
  <si>
    <t>Death among term SGA infants</t>
  </si>
  <si>
    <t>Death among preterm AGA infants</t>
  </si>
  <si>
    <t>Death among term AGA infants</t>
  </si>
  <si>
    <t>RDS among preterm infants</t>
  </si>
  <si>
    <t>Hypoglycaemia among preterm SGA infants</t>
  </si>
  <si>
    <t>Hypoglycaemia among term SGA infants</t>
  </si>
  <si>
    <t>Chronic lung disease among infants with RDS</t>
  </si>
  <si>
    <t>Motor impairment among infants with hypoglycaemia</t>
  </si>
  <si>
    <t>Motor impairment among infants without hypoglycaemia</t>
  </si>
  <si>
    <t>Chronic lung disease DW</t>
  </si>
  <si>
    <t>Motor impairment DW</t>
  </si>
  <si>
    <t>Increase in antenatal first visit coverage with a PSG</t>
  </si>
  <si>
    <t xml:space="preserve">Reduction in preterm birth with a PSG </t>
  </si>
  <si>
    <t xml:space="preserve">Reduction in LBW with a PSG </t>
  </si>
  <si>
    <t xml:space="preserve">Reduction in SGA with a PSG </t>
  </si>
  <si>
    <t>Reduction in infant death with a PSG</t>
  </si>
  <si>
    <t>Child support grant cost</t>
  </si>
  <si>
    <t>Antenatal care cost</t>
  </si>
  <si>
    <t>Preterm birth cost</t>
  </si>
  <si>
    <t>LBW cost</t>
  </si>
  <si>
    <t>Normal birth weight cost</t>
  </si>
  <si>
    <t>Stillbirth cost</t>
  </si>
  <si>
    <t>RDS cost</t>
  </si>
  <si>
    <t>Hypoglycaemia cost</t>
  </si>
  <si>
    <t>Chronic lung disease cost</t>
  </si>
  <si>
    <t>Motor impairment cost</t>
  </si>
  <si>
    <t>Hospital follow-up cost</t>
  </si>
  <si>
    <t>Clinic follow-up cost</t>
  </si>
  <si>
    <t>PSG cost</t>
  </si>
  <si>
    <t>Low value</t>
  </si>
  <si>
    <t>High value</t>
  </si>
  <si>
    <t>Non-citizens</t>
  </si>
  <si>
    <t>South African births</t>
  </si>
  <si>
    <t>Janse van Rensburg 2021</t>
  </si>
  <si>
    <t>Disaggregated DALYS</t>
  </si>
  <si>
    <t>None</t>
  </si>
  <si>
    <t>impairment</t>
  </si>
  <si>
    <t>Both</t>
  </si>
  <si>
    <t>Disaggregated costs</t>
  </si>
  <si>
    <t>c_psg</t>
  </si>
  <si>
    <t>c_death</t>
  </si>
  <si>
    <t>c_CSG disag</t>
  </si>
  <si>
    <t>Preterm birth following ANC</t>
  </si>
  <si>
    <t>Preterm birth in the unbooked</t>
  </si>
  <si>
    <t>SGA among term LBW infants</t>
  </si>
  <si>
    <t>SGA among term normal weight infants</t>
  </si>
  <si>
    <t>USD</t>
  </si>
  <si>
    <t>Intervention (costs)</t>
  </si>
  <si>
    <t>Comparator (costs)</t>
  </si>
  <si>
    <t>Cost difference</t>
  </si>
  <si>
    <t>-</t>
  </si>
  <si>
    <t>Shei 2013</t>
  </si>
  <si>
    <t>9.3% decline in infant mortality</t>
  </si>
  <si>
    <t>Eligible for PSG</t>
  </si>
  <si>
    <t>All eligible for PSG</t>
  </si>
  <si>
    <t>Uptake</t>
  </si>
  <si>
    <t>Total PSG uptake</t>
  </si>
  <si>
    <t>Van den Heever 2016</t>
  </si>
  <si>
    <t>Unicef 2022</t>
  </si>
  <si>
    <t>High eligible</t>
  </si>
  <si>
    <t>Low eligible</t>
  </si>
  <si>
    <t>High uptake</t>
  </si>
  <si>
    <t>Low uptake</t>
  </si>
  <si>
    <t>Total pop</t>
  </si>
  <si>
    <t>USD_conversion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</si>
</sst>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1">
    <numFmt numFmtId="6" formatCode="&quot;R&quot;#,##0;[Red]\-&quot;R&quot;#,##0"/>
    <numFmt numFmtId="8" formatCode="&quot;R&quot;#,##0.00;[Red]\-&quot;R&quot;#,##0.00"/>
    <numFmt numFmtId="44" formatCode="_-&quot;R&quot;* #,##0.00_-;\-&quot;R&quot;* #,##0.00_-;_-&quot;R&quot;* &quot;-&quot;??_-;_-@_-"/>
    <numFmt numFmtId="43" formatCode="_-* #,##0.00_-;\-* #,##0.00_-;_-* &quot;-&quot;??_-;_-@_-"/>
    <numFmt numFmtId="164" formatCode="_(* #,##0.00_);_(* \(#,##0.00\);_(* &quot;-&quot;??_);_(@_)"/>
    <numFmt numFmtId="165" formatCode="0.0000"/>
    <numFmt numFmtId="166" formatCode="_(&quot;$&quot;* #,##0_);_(&quot;$&quot;* \(#,##0\);_(&quot;$&quot;* &quot;-&quot;??_);_(@_)"/>
    <numFmt numFmtId="167" formatCode="&quot;R&quot;#,##0.00"/>
    <numFmt numFmtId="168" formatCode="_-&quot;£&quot;* #,##0.00_-;\-&quot;£&quot;* #,##0.00_-;_-&quot;£&quot;* &quot;-&quot;??_-;_-@_-"/>
    <numFmt numFmtId="169" formatCode="#,##0.0"/>
    <numFmt numFmtId="170" formatCode="0.0"/>
    <numFmt numFmtId="171" formatCode="0.000"/>
    <numFmt numFmtId="172" formatCode="_(* #,##0_);_(* \(#,##0\);_(* &quot;-&quot;??_);_(@_)"/>
    <numFmt numFmtId="173" formatCode="0.0000000E+00"/>
    <numFmt numFmtId="174" formatCode="&quot;R&quot;#,##0"/>
    <numFmt numFmtId="175" formatCode="_-[$£-809]* #,##0_-;\-[$£-809]* #,##0_-;_-[$£-809]* &quot;-&quot;??_-;_-@_-"/>
    <numFmt numFmtId="176" formatCode="[$£-491]#,##0"/>
    <numFmt numFmtId="177" formatCode="[$$-1009]#,##0.00"/>
    <numFmt numFmtId="178" formatCode="[$$-409]#,##0.00_ ;[Red]\-[$$-409]#,##0.00\ "/>
    <numFmt numFmtId="179" formatCode="[$$-409]#,##0.00"/>
    <numFmt numFmtId="180" formatCode="0.000%"/>
  </numFmts>
  <fonts count="53" x14ac:knownFonts="1">
    <font>
      <sz val="11"/>
      <color theme="1"/>
      <name val="Calibri"/>
      <family val="2"/>
      <scheme val="minor"/>
    </font>
    <font>
      <b/>
      <sz val="11"/>
      <color theme="1"/>
      <name val="Calibri"/>
      <family val="2"/>
      <scheme val="minor"/>
    </font>
    <font>
      <sz val="10"/>
      <color theme="1"/>
      <name val="Calibri"/>
      <family val="2"/>
      <scheme val="minor"/>
    </font>
    <font>
      <b/>
      <sz val="10"/>
      <color theme="1"/>
      <name val="Calibri"/>
      <family val="2"/>
      <scheme val="minor"/>
    </font>
    <font>
      <sz val="11"/>
      <color theme="2" tint="-0.249977111117893"/>
      <name val="Calibri"/>
      <family val="2"/>
      <scheme val="minor"/>
    </font>
    <font>
      <sz val="10"/>
      <color theme="2" tint="-0.249977111117893"/>
      <name val="Calibri"/>
      <family val="2"/>
      <scheme val="minor"/>
    </font>
    <font>
      <sz val="11"/>
      <name val="Calibri"/>
      <family val="2"/>
      <scheme val="minor"/>
    </font>
    <font>
      <b/>
      <sz val="11"/>
      <name val="Calibri"/>
      <family val="2"/>
      <scheme val="minor"/>
    </font>
    <font>
      <sz val="10"/>
      <name val="Calibri"/>
      <family val="2"/>
      <scheme val="minor"/>
    </font>
    <font>
      <sz val="10"/>
      <color theme="2" tint="-0.499984740745262"/>
      <name val="Calibri"/>
      <family val="2"/>
      <scheme val="minor"/>
    </font>
    <font>
      <sz val="11"/>
      <color theme="2" tint="-0.499984740745262"/>
      <name val="Calibri"/>
      <family val="2"/>
      <scheme val="minor"/>
    </font>
    <font>
      <b/>
      <sz val="11"/>
      <color theme="2" tint="-0.499984740745262"/>
      <name val="Calibri"/>
      <family val="2"/>
      <scheme val="minor"/>
    </font>
    <font>
      <sz val="8"/>
      <color rgb="FF222222"/>
      <name val="Arial"/>
      <family val="2"/>
    </font>
    <font>
      <b/>
      <sz val="11"/>
      <color theme="2" tint="-0.249977111117893"/>
      <name val="Calibri"/>
      <family val="2"/>
      <scheme val="minor"/>
    </font>
    <font>
      <sz val="8"/>
      <name val="Calibri"/>
      <family val="2"/>
      <scheme val="minor"/>
    </font>
    <font>
      <sz val="12"/>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name val="Arial"/>
      <family val="2"/>
      <charset val="204"/>
    </font>
    <font>
      <i/>
      <sz val="9"/>
      <name val="Arial"/>
      <family val="2"/>
      <charset val="204"/>
    </font>
    <font>
      <sz val="10"/>
      <name val="Arial"/>
      <family val="2"/>
    </font>
    <font>
      <b/>
      <sz val="9"/>
      <name val="Arial"/>
      <family val="2"/>
    </font>
    <font>
      <b/>
      <i/>
      <sz val="9"/>
      <name val="Arial"/>
      <family val="2"/>
      <charset val="204"/>
    </font>
    <font>
      <b/>
      <sz val="11"/>
      <name val="Arial"/>
      <family val="2"/>
    </font>
    <font>
      <b/>
      <u/>
      <sz val="11"/>
      <color indexed="12"/>
      <name val="Arial"/>
      <family val="2"/>
    </font>
    <font>
      <b/>
      <sz val="10"/>
      <name val="Arial"/>
      <family val="2"/>
    </font>
    <font>
      <b/>
      <sz val="10"/>
      <name val="Courier New"/>
      <family val="3"/>
    </font>
    <font>
      <u/>
      <sz val="11"/>
      <color theme="10"/>
      <name val="Calibri"/>
      <family val="2"/>
      <scheme val="minor"/>
    </font>
    <font>
      <i/>
      <sz val="11"/>
      <name val="Calibri"/>
      <family val="2"/>
      <scheme val="minor"/>
    </font>
    <font>
      <i/>
      <sz val="11"/>
      <color theme="1"/>
      <name val="Calibri"/>
      <family val="2"/>
      <scheme val="minor"/>
    </font>
    <font>
      <sz val="8"/>
      <color rgb="FF000000"/>
      <name val="Times New Roman"/>
      <family val="1"/>
    </font>
    <font>
      <sz val="8"/>
      <color theme="1"/>
      <name val="Times New Roman"/>
      <family val="1"/>
    </font>
    <font>
      <b/>
      <sz val="10"/>
      <color theme="0"/>
      <name val="Arial"/>
      <family val="2"/>
    </font>
    <font>
      <sz val="10"/>
      <name val="Times New Roman"/>
      <family val="1"/>
    </font>
    <font>
      <b/>
      <sz val="10"/>
      <name val="Times New Roman"/>
      <family val="1"/>
    </font>
    <font>
      <sz val="12"/>
      <name val="Trebuchet MS"/>
      <family val="2"/>
    </font>
    <font>
      <u/>
      <sz val="12"/>
      <name val="Trebuchet MS"/>
      <family val="2"/>
    </font>
    <font>
      <sz val="10"/>
      <name val="Trebuchet MS"/>
      <family val="2"/>
    </font>
    <font>
      <sz val="12"/>
      <color theme="1"/>
      <name val="Arial"/>
      <family val="2"/>
    </font>
  </fonts>
  <fills count="55">
    <fill>
      <patternFill patternType="none"/>
    </fill>
    <fill>
      <patternFill patternType="gray125"/>
    </fill>
    <fill>
      <patternFill patternType="solid">
        <fgColor theme="4"/>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
      <patternFill patternType="solid">
        <fgColor indexed="41"/>
        <bgColor indexed="64"/>
      </patternFill>
    </fill>
    <fill>
      <patternFill patternType="solid">
        <fgColor theme="2" tint="-0.249977111117893"/>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1" tint="0.499984740745262"/>
        <bgColor indexed="64"/>
      </patternFill>
    </fill>
    <fill>
      <patternFill patternType="solid">
        <fgColor theme="3" tint="0.79998168889431442"/>
        <bgColor indexed="64"/>
      </patternFill>
    </fill>
    <fill>
      <patternFill patternType="solid">
        <fgColor theme="7" tint="0.79998168889431442"/>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rgb="FFEF4343"/>
        <bgColor indexed="64"/>
      </patternFill>
    </fill>
    <fill>
      <patternFill patternType="solid">
        <fgColor rgb="FFF19D9D"/>
        <bgColor indexed="64"/>
      </patternFill>
    </fill>
    <fill>
      <patternFill patternType="solid">
        <fgColor indexed="9"/>
        <bgColor indexed="64"/>
      </patternFill>
    </fill>
    <fill>
      <patternFill patternType="solid">
        <fgColor rgb="FF66FFCC"/>
        <bgColor indexed="64"/>
      </patternFill>
    </fill>
    <fill>
      <patternFill patternType="solid">
        <fgColor theme="0" tint="-0.14999847407452621"/>
        <bgColor indexed="64"/>
      </patternFill>
    </fill>
    <fill>
      <patternFill patternType="solid">
        <fgColor theme="5" tint="-0.249977111117893"/>
        <bgColor indexed="64"/>
      </patternFill>
    </fill>
    <fill>
      <patternFill patternType="solid">
        <fgColor theme="5" tint="0.39997558519241921"/>
        <bgColor indexed="64"/>
      </patternFill>
    </fill>
  </fills>
  <borders count="42">
    <border>
      <left/>
      <right/>
      <top/>
      <bottom/>
      <diagonal/>
    </border>
    <border>
      <left/>
      <right style="thin">
        <color indexed="64"/>
      </right>
      <top/>
      <bottom/>
      <diagonal/>
    </border>
    <border>
      <left/>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style="thin">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thick">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auto="1"/>
      </right>
      <top/>
      <bottom style="thin">
        <color auto="1"/>
      </bottom>
      <diagonal/>
    </border>
    <border>
      <left/>
      <right style="medium">
        <color auto="1"/>
      </right>
      <top/>
      <bottom style="medium">
        <color auto="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
      <left/>
      <right style="medium">
        <color indexed="64"/>
      </right>
      <top/>
      <bottom/>
      <diagonal/>
    </border>
    <border>
      <left/>
      <right style="thin">
        <color indexed="64"/>
      </right>
      <top style="medium">
        <color indexed="64"/>
      </top>
      <bottom/>
      <diagonal/>
    </border>
    <border>
      <left/>
      <right style="thin">
        <color indexed="64"/>
      </right>
      <top/>
      <bottom style="medium">
        <color indexed="64"/>
      </bottom>
      <diagonal/>
    </border>
    <border>
      <left/>
      <right/>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s>
  <cellStyleXfs count="56">
    <xf numFmtId="0" fontId="0" fillId="0" borderId="0"/>
    <xf numFmtId="44" fontId="16" fillId="0" borderId="0" applyFont="0" applyFill="0" applyBorder="0" applyAlignment="0" applyProtection="0"/>
    <xf numFmtId="0" fontId="17" fillId="0" borderId="0" applyNumberFormat="0" applyFill="0" applyBorder="0" applyAlignment="0" applyProtection="0"/>
    <xf numFmtId="0" fontId="18" fillId="0" borderId="3" applyNumberFormat="0" applyFill="0" applyAlignment="0" applyProtection="0"/>
    <xf numFmtId="0" fontId="19" fillId="0" borderId="4" applyNumberFormat="0" applyFill="0" applyAlignment="0" applyProtection="0"/>
    <xf numFmtId="0" fontId="20" fillId="0" borderId="5" applyNumberFormat="0" applyFill="0" applyAlignment="0" applyProtection="0"/>
    <xf numFmtId="0" fontId="20" fillId="0" borderId="0" applyNumberFormat="0" applyFill="0" applyBorder="0" applyAlignment="0" applyProtection="0"/>
    <xf numFmtId="0" fontId="21" fillId="6" borderId="0" applyNumberFormat="0" applyBorder="0" applyAlignment="0" applyProtection="0"/>
    <xf numFmtId="0" fontId="22" fillId="7" borderId="0" applyNumberFormat="0" applyBorder="0" applyAlignment="0" applyProtection="0"/>
    <xf numFmtId="0" fontId="23" fillId="8" borderId="0" applyNumberFormat="0" applyBorder="0" applyAlignment="0" applyProtection="0"/>
    <xf numFmtId="0" fontId="24" fillId="9" borderId="6" applyNumberFormat="0" applyAlignment="0" applyProtection="0"/>
    <xf numFmtId="0" fontId="25" fillId="10" borderId="7" applyNumberFormat="0" applyAlignment="0" applyProtection="0"/>
    <xf numFmtId="0" fontId="26" fillId="10" borderId="6" applyNumberFormat="0" applyAlignment="0" applyProtection="0"/>
    <xf numFmtId="0" fontId="27" fillId="0" borderId="8" applyNumberFormat="0" applyFill="0" applyAlignment="0" applyProtection="0"/>
    <xf numFmtId="0" fontId="28" fillId="11" borderId="9" applyNumberFormat="0" applyAlignment="0" applyProtection="0"/>
    <xf numFmtId="0" fontId="29" fillId="0" borderId="0" applyNumberFormat="0" applyFill="0" applyBorder="0" applyAlignment="0" applyProtection="0"/>
    <xf numFmtId="0" fontId="16" fillId="12" borderId="10" applyNumberFormat="0" applyFont="0" applyAlignment="0" applyProtection="0"/>
    <xf numFmtId="0" fontId="30" fillId="0" borderId="0" applyNumberFormat="0" applyFill="0" applyBorder="0" applyAlignment="0" applyProtection="0"/>
    <xf numFmtId="0" fontId="1" fillId="0" borderId="11" applyNumberFormat="0" applyFill="0" applyAlignment="0" applyProtection="0"/>
    <xf numFmtId="0" fontId="31" fillId="13" borderId="0" applyNumberFormat="0" applyBorder="0" applyAlignment="0" applyProtection="0"/>
    <xf numFmtId="0" fontId="16" fillId="14" borderId="0" applyNumberFormat="0" applyBorder="0" applyAlignment="0" applyProtection="0"/>
    <xf numFmtId="0" fontId="16" fillId="15" borderId="0" applyNumberFormat="0" applyBorder="0" applyAlignment="0" applyProtection="0"/>
    <xf numFmtId="0" fontId="16" fillId="16" borderId="0" applyNumberFormat="0" applyBorder="0" applyAlignment="0" applyProtection="0"/>
    <xf numFmtId="0" fontId="31" fillId="17" borderId="0" applyNumberFormat="0" applyBorder="0" applyAlignment="0" applyProtection="0"/>
    <xf numFmtId="0" fontId="16" fillId="18" borderId="0" applyNumberFormat="0" applyBorder="0" applyAlignment="0" applyProtection="0"/>
    <xf numFmtId="0" fontId="16" fillId="19" borderId="0" applyNumberFormat="0" applyBorder="0" applyAlignment="0" applyProtection="0"/>
    <xf numFmtId="0" fontId="16" fillId="20" borderId="0" applyNumberFormat="0" applyBorder="0" applyAlignment="0" applyProtection="0"/>
    <xf numFmtId="0" fontId="31" fillId="21" borderId="0" applyNumberFormat="0" applyBorder="0" applyAlignment="0" applyProtection="0"/>
    <xf numFmtId="0" fontId="16" fillId="22" borderId="0" applyNumberFormat="0" applyBorder="0" applyAlignment="0" applyProtection="0"/>
    <xf numFmtId="0" fontId="16" fillId="23" borderId="0" applyNumberFormat="0" applyBorder="0" applyAlignment="0" applyProtection="0"/>
    <xf numFmtId="0" fontId="16" fillId="24" borderId="0" applyNumberFormat="0" applyBorder="0" applyAlignment="0" applyProtection="0"/>
    <xf numFmtId="0" fontId="31" fillId="25" borderId="0" applyNumberFormat="0" applyBorder="0" applyAlignment="0" applyProtection="0"/>
    <xf numFmtId="0" fontId="16" fillId="26" borderId="0" applyNumberFormat="0" applyBorder="0" applyAlignment="0" applyProtection="0"/>
    <xf numFmtId="0" fontId="16" fillId="27" borderId="0" applyNumberFormat="0" applyBorder="0" applyAlignment="0" applyProtection="0"/>
    <xf numFmtId="0" fontId="16" fillId="28" borderId="0" applyNumberFormat="0" applyBorder="0" applyAlignment="0" applyProtection="0"/>
    <xf numFmtId="0" fontId="31" fillId="29" borderId="0" applyNumberFormat="0" applyBorder="0" applyAlignment="0" applyProtection="0"/>
    <xf numFmtId="0" fontId="16" fillId="30" borderId="0" applyNumberFormat="0" applyBorder="0" applyAlignment="0" applyProtection="0"/>
    <xf numFmtId="0" fontId="16" fillId="31" borderId="0" applyNumberFormat="0" applyBorder="0" applyAlignment="0" applyProtection="0"/>
    <xf numFmtId="0" fontId="16" fillId="32" borderId="0" applyNumberFormat="0" applyBorder="0" applyAlignment="0" applyProtection="0"/>
    <xf numFmtId="0" fontId="31" fillId="33" borderId="0" applyNumberFormat="0" applyBorder="0" applyAlignment="0" applyProtection="0"/>
    <xf numFmtId="0" fontId="16" fillId="34" borderId="0" applyNumberFormat="0" applyBorder="0" applyAlignment="0" applyProtection="0"/>
    <xf numFmtId="0" fontId="16" fillId="35" borderId="0" applyNumberFormat="0" applyBorder="0" applyAlignment="0" applyProtection="0"/>
    <xf numFmtId="0" fontId="16" fillId="36" borderId="0" applyNumberFormat="0" applyBorder="0" applyAlignment="0" applyProtection="0"/>
    <xf numFmtId="0" fontId="34" fillId="0" borderId="0">
      <alignment vertical="top"/>
    </xf>
    <xf numFmtId="0" fontId="34" fillId="0" borderId="19">
      <alignment vertical="top"/>
    </xf>
    <xf numFmtId="0" fontId="37" fillId="0" borderId="20">
      <alignment vertical="top" wrapText="1"/>
    </xf>
    <xf numFmtId="0" fontId="38" fillId="0" borderId="20">
      <alignment vertical="top" wrapText="1"/>
    </xf>
    <xf numFmtId="0" fontId="39" fillId="0" borderId="0" applyNumberFormat="0" applyFill="0" applyBorder="0" applyProtection="0">
      <alignment vertical="top"/>
    </xf>
    <xf numFmtId="0" fontId="34" fillId="0" borderId="0" applyNumberFormat="0" applyFont="0" applyFill="0" applyBorder="0" applyProtection="0">
      <alignment wrapText="1"/>
    </xf>
    <xf numFmtId="9" fontId="16" fillId="0" borderId="0" applyFont="0" applyFill="0" applyBorder="0" applyAlignment="0" applyProtection="0"/>
    <xf numFmtId="0" fontId="34" fillId="0" borderId="0"/>
    <xf numFmtId="168" fontId="34" fillId="0" borderId="0" applyFont="0" applyFill="0" applyBorder="0" applyAlignment="0" applyProtection="0"/>
    <xf numFmtId="0" fontId="40" fillId="0" borderId="0"/>
    <xf numFmtId="43" fontId="34" fillId="0" borderId="0" applyFont="0" applyFill="0" applyBorder="0" applyAlignment="0" applyProtection="0"/>
    <xf numFmtId="0" fontId="41" fillId="0" borderId="0" applyNumberFormat="0" applyFill="0" applyBorder="0" applyAlignment="0" applyProtection="0"/>
    <xf numFmtId="164" fontId="16" fillId="0" borderId="0" applyFont="0" applyFill="0" applyBorder="0" applyAlignment="0" applyProtection="0"/>
  </cellStyleXfs>
  <cellXfs count="216">
    <xf numFmtId="0" fontId="0" fillId="0" borderId="0" xfId="0"/>
    <xf numFmtId="0" fontId="1" fillId="0" borderId="0" xfId="0" applyFont="1" applyAlignment="1">
      <alignment horizontal="center"/>
    </xf>
    <xf numFmtId="0" fontId="2" fillId="0" borderId="0" xfId="0" applyFont="1"/>
    <xf numFmtId="0" fontId="3" fillId="0" borderId="0" xfId="0" applyFont="1" applyAlignment="1">
      <alignment horizontal="center"/>
    </xf>
    <xf numFmtId="0" fontId="1" fillId="0" borderId="0" xfId="0" applyFont="1"/>
    <xf numFmtId="0" fontId="0" fillId="2" borderId="0" xfId="0" applyFill="1" applyAlignment="1">
      <alignment wrapText="1"/>
    </xf>
    <xf numFmtId="0" fontId="0" fillId="0" borderId="1" xfId="0" applyBorder="1"/>
    <xf numFmtId="0" fontId="3" fillId="0" borderId="0" xfId="0" applyFont="1"/>
    <xf numFmtId="0" fontId="4" fillId="0" borderId="0" xfId="0" applyFont="1"/>
    <xf numFmtId="0" fontId="5" fillId="0" borderId="0" xfId="0" applyFont="1"/>
    <xf numFmtId="0" fontId="0" fillId="2" borderId="2" xfId="0" applyFill="1" applyBorder="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0" fillId="3" borderId="0" xfId="0" applyFill="1"/>
    <xf numFmtId="0" fontId="0" fillId="4" borderId="0" xfId="0" applyFill="1"/>
    <xf numFmtId="9" fontId="0" fillId="0" borderId="0" xfId="0" applyNumberFormat="1"/>
    <xf numFmtId="10" fontId="0" fillId="0" borderId="0" xfId="0" applyNumberFormat="1"/>
    <xf numFmtId="0" fontId="15" fillId="0" borderId="0" xfId="0" applyFont="1"/>
    <xf numFmtId="0" fontId="0" fillId="5" borderId="0" xfId="0" applyFill="1"/>
    <xf numFmtId="0" fontId="32" fillId="0" borderId="0" xfId="0" applyFont="1"/>
    <xf numFmtId="0" fontId="35" fillId="0" borderId="0" xfId="0" applyFont="1"/>
    <xf numFmtId="0" fontId="35" fillId="0" borderId="0" xfId="0" applyFont="1" applyAlignment="1">
      <alignment horizontal="center"/>
    </xf>
    <xf numFmtId="166" fontId="36" fillId="0" borderId="0" xfId="1" applyNumberFormat="1" applyFont="1" applyAlignment="1">
      <alignment horizontal="left"/>
    </xf>
    <xf numFmtId="0" fontId="32" fillId="0" borderId="14" xfId="0" applyFont="1" applyBorder="1"/>
    <xf numFmtId="0" fontId="32" fillId="0" borderId="0" xfId="0" applyFont="1" applyAlignment="1">
      <alignment horizontal="left"/>
    </xf>
    <xf numFmtId="0" fontId="32" fillId="0" borderId="15" xfId="0" applyFont="1" applyBorder="1"/>
    <xf numFmtId="0" fontId="0" fillId="37" borderId="0" xfId="0" applyFill="1"/>
    <xf numFmtId="167" fontId="33" fillId="38" borderId="13" xfId="1" applyNumberFormat="1" applyFont="1" applyFill="1" applyBorder="1" applyAlignment="1">
      <alignment horizontal="center"/>
    </xf>
    <xf numFmtId="0" fontId="1" fillId="39" borderId="0" xfId="0" applyFont="1" applyFill="1"/>
    <xf numFmtId="0" fontId="0" fillId="0" borderId="0" xfId="0" applyAlignment="1">
      <alignment wrapText="1"/>
    </xf>
    <xf numFmtId="0" fontId="0" fillId="40" borderId="0" xfId="0" applyFill="1"/>
    <xf numFmtId="0" fontId="1" fillId="37" borderId="0" xfId="0" applyFont="1" applyFill="1"/>
    <xf numFmtId="167" fontId="0" fillId="37" borderId="0" xfId="0" applyNumberFormat="1" applyFill="1"/>
    <xf numFmtId="0" fontId="0" fillId="39" borderId="0" xfId="0" applyFill="1"/>
    <xf numFmtId="2" fontId="0" fillId="0" borderId="0" xfId="0" applyNumberFormat="1"/>
    <xf numFmtId="9" fontId="0" fillId="0" borderId="0" xfId="49" applyFont="1" applyFill="1" applyBorder="1"/>
    <xf numFmtId="167" fontId="0" fillId="0" borderId="0" xfId="0" applyNumberFormat="1"/>
    <xf numFmtId="165" fontId="33" fillId="38" borderId="13" xfId="0" applyNumberFormat="1" applyFont="1" applyFill="1" applyBorder="1" applyAlignment="1">
      <alignment horizontal="center"/>
    </xf>
    <xf numFmtId="0" fontId="0" fillId="0" borderId="0" xfId="0" applyAlignment="1">
      <alignment horizontal="right"/>
    </xf>
    <xf numFmtId="0" fontId="0" fillId="41" borderId="0" xfId="0" applyFill="1"/>
    <xf numFmtId="167" fontId="0" fillId="42" borderId="0" xfId="0" applyNumberFormat="1" applyFill="1"/>
    <xf numFmtId="0" fontId="0" fillId="4" borderId="0" xfId="0" applyFill="1" applyAlignment="1">
      <alignment horizontal="right"/>
    </xf>
    <xf numFmtId="167" fontId="0" fillId="4" borderId="0" xfId="0" applyNumberFormat="1" applyFill="1"/>
    <xf numFmtId="167" fontId="0" fillId="4" borderId="0" xfId="0" applyNumberFormat="1" applyFill="1" applyAlignment="1">
      <alignment horizontal="right"/>
    </xf>
    <xf numFmtId="0" fontId="7" fillId="37" borderId="0" xfId="0" applyFont="1" applyFill="1" applyAlignment="1">
      <alignment horizontal="right"/>
    </xf>
    <xf numFmtId="0" fontId="7" fillId="37" borderId="0" xfId="0" applyFont="1" applyFill="1"/>
    <xf numFmtId="167" fontId="7" fillId="37" borderId="0" xfId="0" applyNumberFormat="1" applyFont="1" applyFill="1"/>
    <xf numFmtId="167" fontId="7" fillId="37" borderId="12" xfId="0" applyNumberFormat="1" applyFont="1" applyFill="1" applyBorder="1"/>
    <xf numFmtId="0" fontId="7" fillId="37" borderId="12" xfId="0" applyFont="1" applyFill="1" applyBorder="1" applyAlignment="1">
      <alignment horizontal="right"/>
    </xf>
    <xf numFmtId="0" fontId="7" fillId="37" borderId="12" xfId="0" applyFont="1" applyFill="1" applyBorder="1"/>
    <xf numFmtId="0" fontId="7" fillId="0" borderId="0" xfId="0" applyFont="1" applyAlignment="1">
      <alignment horizontal="right"/>
    </xf>
    <xf numFmtId="0" fontId="6" fillId="0" borderId="0" xfId="0" applyFont="1" applyAlignment="1">
      <alignment horizontal="center"/>
    </xf>
    <xf numFmtId="167" fontId="6" fillId="0" borderId="0" xfId="0" applyNumberFormat="1" applyFont="1" applyAlignment="1">
      <alignment horizontal="center"/>
    </xf>
    <xf numFmtId="0" fontId="6" fillId="0" borderId="0" xfId="0" applyFont="1" applyAlignment="1">
      <alignment horizontal="right"/>
    </xf>
    <xf numFmtId="165" fontId="6" fillId="0" borderId="0" xfId="0" applyNumberFormat="1" applyFont="1" applyAlignment="1">
      <alignment horizontal="center"/>
    </xf>
    <xf numFmtId="0" fontId="0" fillId="0" borderId="0" xfId="0" applyAlignment="1">
      <alignment horizontal="center" vertical="center"/>
    </xf>
    <xf numFmtId="0" fontId="6" fillId="43" borderId="0" xfId="0" applyFont="1" applyFill="1"/>
    <xf numFmtId="0" fontId="0" fillId="44" borderId="0" xfId="0" applyFill="1"/>
    <xf numFmtId="0" fontId="41" fillId="0" borderId="0" xfId="54"/>
    <xf numFmtId="0" fontId="42" fillId="4" borderId="0" xfId="0" applyFont="1" applyFill="1"/>
    <xf numFmtId="0" fontId="43" fillId="0" borderId="0" xfId="0" applyFont="1"/>
    <xf numFmtId="0" fontId="0" fillId="0" borderId="21" xfId="0" applyBorder="1"/>
    <xf numFmtId="6" fontId="0" fillId="0" borderId="21" xfId="0" applyNumberFormat="1" applyBorder="1"/>
    <xf numFmtId="167" fontId="1" fillId="39" borderId="0" xfId="0" applyNumberFormat="1" applyFont="1" applyFill="1" applyAlignment="1">
      <alignment wrapText="1"/>
    </xf>
    <xf numFmtId="167" fontId="0" fillId="3" borderId="0" xfId="0" applyNumberFormat="1" applyFill="1"/>
    <xf numFmtId="0" fontId="0" fillId="45" borderId="0" xfId="0" applyFill="1"/>
    <xf numFmtId="2" fontId="0" fillId="45" borderId="0" xfId="0" applyNumberFormat="1" applyFill="1"/>
    <xf numFmtId="3" fontId="0" fillId="0" borderId="0" xfId="0" applyNumberFormat="1"/>
    <xf numFmtId="169" fontId="0" fillId="0" borderId="0" xfId="0" applyNumberFormat="1"/>
    <xf numFmtId="1" fontId="0" fillId="0" borderId="0" xfId="0" applyNumberFormat="1"/>
    <xf numFmtId="167" fontId="7" fillId="4" borderId="12" xfId="0" applyNumberFormat="1" applyFont="1" applyFill="1" applyBorder="1"/>
    <xf numFmtId="0" fontId="7" fillId="4" borderId="12" xfId="0" applyFont="1" applyFill="1" applyBorder="1"/>
    <xf numFmtId="0" fontId="0" fillId="0" borderId="15" xfId="0" applyBorder="1"/>
    <xf numFmtId="0" fontId="7" fillId="4" borderId="22" xfId="0" applyFont="1" applyFill="1" applyBorder="1" applyAlignment="1">
      <alignment horizontal="right"/>
    </xf>
    <xf numFmtId="0" fontId="0" fillId="46" borderId="0" xfId="0" applyFill="1"/>
    <xf numFmtId="0" fontId="0" fillId="0" borderId="2" xfId="0" applyBorder="1"/>
    <xf numFmtId="0" fontId="43" fillId="4" borderId="0" xfId="0" applyFont="1" applyFill="1"/>
    <xf numFmtId="167" fontId="0" fillId="0" borderId="2" xfId="0" applyNumberFormat="1" applyBorder="1"/>
    <xf numFmtId="0" fontId="44" fillId="0" borderId="0" xfId="0" applyFont="1"/>
    <xf numFmtId="0" fontId="45" fillId="0" borderId="23" xfId="0" applyFont="1" applyBorder="1" applyAlignment="1">
      <alignment horizontal="center" vertical="center" wrapText="1"/>
    </xf>
    <xf numFmtId="171" fontId="0" fillId="0" borderId="0" xfId="0" applyNumberFormat="1"/>
    <xf numFmtId="165" fontId="0" fillId="0" borderId="0" xfId="0" applyNumberFormat="1"/>
    <xf numFmtId="2" fontId="0" fillId="0" borderId="0" xfId="0" quotePrefix="1" applyNumberFormat="1"/>
    <xf numFmtId="0" fontId="35" fillId="0" borderId="13" xfId="0" applyFont="1" applyBorder="1" applyAlignment="1">
      <alignment horizontal="center"/>
    </xf>
    <xf numFmtId="0" fontId="35" fillId="47" borderId="16" xfId="0" applyFont="1" applyFill="1" applyBorder="1"/>
    <xf numFmtId="167" fontId="32" fillId="47" borderId="17" xfId="0" applyNumberFormat="1" applyFont="1" applyFill="1" applyBorder="1"/>
    <xf numFmtId="0" fontId="35" fillId="47" borderId="18" xfId="0" applyFont="1" applyFill="1" applyBorder="1"/>
    <xf numFmtId="165" fontId="33" fillId="47" borderId="13" xfId="0" applyNumberFormat="1" applyFont="1" applyFill="1" applyBorder="1" applyAlignment="1">
      <alignment horizontal="center"/>
    </xf>
    <xf numFmtId="167" fontId="0" fillId="5" borderId="0" xfId="0" applyNumberFormat="1" applyFill="1"/>
    <xf numFmtId="0" fontId="0" fillId="5" borderId="2" xfId="0" applyFill="1" applyBorder="1"/>
    <xf numFmtId="0" fontId="7" fillId="4" borderId="24" xfId="0" applyFont="1" applyFill="1" applyBorder="1"/>
    <xf numFmtId="173" fontId="0" fillId="0" borderId="0" xfId="0" applyNumberFormat="1"/>
    <xf numFmtId="0" fontId="0" fillId="4" borderId="26" xfId="0" applyFill="1" applyBorder="1"/>
    <xf numFmtId="0" fontId="0" fillId="4" borderId="27" xfId="0" applyFill="1" applyBorder="1"/>
    <xf numFmtId="0" fontId="0" fillId="4" borderId="25" xfId="0" applyFill="1" applyBorder="1"/>
    <xf numFmtId="2" fontId="0" fillId="4" borderId="26" xfId="0" applyNumberFormat="1" applyFill="1" applyBorder="1"/>
    <xf numFmtId="2" fontId="0" fillId="4" borderId="27" xfId="0" applyNumberFormat="1" applyFill="1" applyBorder="1"/>
    <xf numFmtId="170" fontId="0" fillId="0" borderId="0" xfId="0" applyNumberFormat="1"/>
    <xf numFmtId="172" fontId="0" fillId="0" borderId="0" xfId="55" applyNumberFormat="1" applyFont="1" applyFill="1" applyBorder="1"/>
    <xf numFmtId="167" fontId="0" fillId="0" borderId="0" xfId="0" applyNumberFormat="1" applyAlignment="1">
      <alignment horizontal="right"/>
    </xf>
    <xf numFmtId="17" fontId="0" fillId="0" borderId="0" xfId="0" applyNumberFormat="1"/>
    <xf numFmtId="174" fontId="0" fillId="0" borderId="0" xfId="0" applyNumberFormat="1"/>
    <xf numFmtId="0" fontId="34" fillId="0" borderId="0" xfId="50"/>
    <xf numFmtId="0" fontId="39" fillId="0" borderId="0" xfId="50" applyFont="1"/>
    <xf numFmtId="0" fontId="46" fillId="48" borderId="18" xfId="50" applyFont="1" applyFill="1" applyBorder="1"/>
    <xf numFmtId="0" fontId="39" fillId="48" borderId="30" xfId="50" applyFont="1" applyFill="1" applyBorder="1"/>
    <xf numFmtId="0" fontId="39" fillId="48" borderId="29" xfId="50" applyFont="1" applyFill="1" applyBorder="1"/>
    <xf numFmtId="0" fontId="39" fillId="49" borderId="31" xfId="50" applyFont="1" applyFill="1" applyBorder="1"/>
    <xf numFmtId="167" fontId="34" fillId="0" borderId="32" xfId="50" applyNumberFormat="1" applyBorder="1"/>
    <xf numFmtId="0" fontId="34" fillId="5" borderId="33" xfId="50" applyFill="1" applyBorder="1"/>
    <xf numFmtId="0" fontId="39" fillId="49" borderId="34" xfId="50" applyFont="1" applyFill="1" applyBorder="1"/>
    <xf numFmtId="167" fontId="34" fillId="0" borderId="35" xfId="50" applyNumberFormat="1" applyBorder="1"/>
    <xf numFmtId="0" fontId="34" fillId="5" borderId="20" xfId="50" applyFill="1" applyBorder="1"/>
    <xf numFmtId="175" fontId="0" fillId="0" borderId="0" xfId="51" applyNumberFormat="1" applyFont="1"/>
    <xf numFmtId="0" fontId="39" fillId="49" borderId="21" xfId="50" applyFont="1" applyFill="1" applyBorder="1"/>
    <xf numFmtId="167" fontId="34" fillId="0" borderId="21" xfId="50" applyNumberFormat="1" applyBorder="1"/>
    <xf numFmtId="167" fontId="0" fillId="0" borderId="0" xfId="51" applyNumberFormat="1" applyFont="1"/>
    <xf numFmtId="167" fontId="34" fillId="0" borderId="0" xfId="50" applyNumberFormat="1"/>
    <xf numFmtId="10" fontId="0" fillId="0" borderId="21" xfId="0" applyNumberFormat="1" applyBorder="1"/>
    <xf numFmtId="10" fontId="0" fillId="0" borderId="0" xfId="51" applyNumberFormat="1" applyFont="1"/>
    <xf numFmtId="10" fontId="34" fillId="0" borderId="0" xfId="50" applyNumberFormat="1"/>
    <xf numFmtId="2" fontId="34" fillId="0" borderId="0" xfId="50" applyNumberFormat="1"/>
    <xf numFmtId="9" fontId="0" fillId="0" borderId="21" xfId="0" applyNumberFormat="1" applyBorder="1"/>
    <xf numFmtId="0" fontId="34" fillId="0" borderId="21" xfId="50" applyBorder="1"/>
    <xf numFmtId="171" fontId="34" fillId="0" borderId="0" xfId="50" applyNumberFormat="1"/>
    <xf numFmtId="0" fontId="39" fillId="0" borderId="0" xfId="50" applyFont="1" applyAlignment="1">
      <alignment horizontal="left" vertical="center"/>
    </xf>
    <xf numFmtId="167" fontId="46" fillId="48" borderId="16" xfId="50" applyNumberFormat="1" applyFont="1" applyFill="1" applyBorder="1" applyAlignment="1">
      <alignment horizontal="center"/>
    </xf>
    <xf numFmtId="167" fontId="46" fillId="48" borderId="29" xfId="50" applyNumberFormat="1" applyFont="1" applyFill="1" applyBorder="1" applyAlignment="1">
      <alignment horizontal="center"/>
    </xf>
    <xf numFmtId="167" fontId="34" fillId="48" borderId="32" xfId="50" applyNumberFormat="1" applyFill="1" applyBorder="1" applyAlignment="1">
      <alignment horizontal="center"/>
    </xf>
    <xf numFmtId="167" fontId="34" fillId="0" borderId="16" xfId="50" applyNumberFormat="1" applyBorder="1"/>
    <xf numFmtId="167" fontId="34" fillId="0" borderId="29" xfId="50" applyNumberFormat="1" applyBorder="1"/>
    <xf numFmtId="167" fontId="34" fillId="49" borderId="21" xfId="50" applyNumberFormat="1" applyFill="1" applyBorder="1"/>
    <xf numFmtId="167" fontId="34" fillId="0" borderId="37" xfId="50" applyNumberFormat="1" applyBorder="1"/>
    <xf numFmtId="167" fontId="34" fillId="0" borderId="36" xfId="50" applyNumberFormat="1" applyBorder="1"/>
    <xf numFmtId="10" fontId="34" fillId="49" borderId="21" xfId="50" applyNumberFormat="1" applyFill="1" applyBorder="1"/>
    <xf numFmtId="2" fontId="34" fillId="49" borderId="21" xfId="50" applyNumberFormat="1" applyFill="1" applyBorder="1"/>
    <xf numFmtId="165" fontId="34" fillId="49" borderId="21" xfId="50" applyNumberFormat="1" applyFill="1" applyBorder="1"/>
    <xf numFmtId="0" fontId="34" fillId="49" borderId="21" xfId="50" applyFill="1" applyBorder="1"/>
    <xf numFmtId="167" fontId="34" fillId="0" borderId="1" xfId="50" applyNumberFormat="1" applyBorder="1"/>
    <xf numFmtId="167" fontId="34" fillId="0" borderId="38" xfId="50" applyNumberFormat="1" applyBorder="1"/>
    <xf numFmtId="167" fontId="34" fillId="0" borderId="20" xfId="50" applyNumberFormat="1" applyBorder="1"/>
    <xf numFmtId="167" fontId="34" fillId="0" borderId="21" xfId="50" applyNumberFormat="1" applyBorder="1" applyAlignment="1">
      <alignment horizontal="right"/>
    </xf>
    <xf numFmtId="2" fontId="34" fillId="0" borderId="21" xfId="50" applyNumberFormat="1" applyBorder="1" applyAlignment="1">
      <alignment horizontal="right"/>
    </xf>
    <xf numFmtId="167" fontId="34" fillId="0" borderId="30" xfId="50" applyNumberFormat="1" applyBorder="1" applyAlignment="1">
      <alignment horizontal="right"/>
    </xf>
    <xf numFmtId="167" fontId="34" fillId="0" borderId="33" xfId="50" applyNumberFormat="1" applyBorder="1" applyAlignment="1">
      <alignment horizontal="right"/>
    </xf>
    <xf numFmtId="0" fontId="39" fillId="49" borderId="14" xfId="50" applyFont="1" applyFill="1" applyBorder="1"/>
    <xf numFmtId="2" fontId="34" fillId="0" borderId="0" xfId="50" applyNumberFormat="1" applyAlignment="1">
      <alignment horizontal="right"/>
    </xf>
    <xf numFmtId="167" fontId="34" fillId="0" borderId="0" xfId="50" applyNumberFormat="1" applyAlignment="1">
      <alignment horizontal="right"/>
    </xf>
    <xf numFmtId="167" fontId="34" fillId="0" borderId="36" xfId="50" applyNumberFormat="1" applyBorder="1" applyAlignment="1">
      <alignment horizontal="right"/>
    </xf>
    <xf numFmtId="2" fontId="34" fillId="0" borderId="39" xfId="50" applyNumberFormat="1" applyBorder="1" applyAlignment="1">
      <alignment horizontal="right"/>
    </xf>
    <xf numFmtId="167" fontId="34" fillId="0" borderId="39" xfId="50" applyNumberFormat="1" applyBorder="1" applyAlignment="1">
      <alignment horizontal="right"/>
    </xf>
    <xf numFmtId="167" fontId="34" fillId="0" borderId="20" xfId="50" applyNumberFormat="1" applyBorder="1" applyAlignment="1">
      <alignment horizontal="right"/>
    </xf>
    <xf numFmtId="0" fontId="47" fillId="50" borderId="0" xfId="52" applyFont="1" applyFill="1"/>
    <xf numFmtId="0" fontId="47" fillId="50" borderId="0" xfId="52" quotePrefix="1" applyFont="1" applyFill="1" applyAlignment="1">
      <alignment horizontal="center"/>
    </xf>
    <xf numFmtId="0" fontId="47" fillId="50" borderId="0" xfId="52" applyFont="1" applyFill="1" applyAlignment="1">
      <alignment horizontal="center"/>
    </xf>
    <xf numFmtId="0" fontId="49" fillId="51" borderId="13" xfId="52" applyFont="1" applyFill="1" applyBorder="1" applyAlignment="1">
      <alignment horizontal="center" vertical="center"/>
    </xf>
    <xf numFmtId="172" fontId="49" fillId="52" borderId="13" xfId="53" applyNumberFormat="1" applyFont="1" applyFill="1" applyBorder="1" applyAlignment="1">
      <alignment horizontal="center" vertical="center"/>
    </xf>
    <xf numFmtId="0" fontId="50" fillId="50" borderId="0" xfId="52" applyFont="1" applyFill="1"/>
    <xf numFmtId="0" fontId="51" fillId="5" borderId="0" xfId="52" applyFont="1" applyFill="1"/>
    <xf numFmtId="0" fontId="49" fillId="50" borderId="0" xfId="52" quotePrefix="1" applyFont="1" applyFill="1" applyAlignment="1">
      <alignment horizontal="left" vertical="center" wrapText="1"/>
    </xf>
    <xf numFmtId="0" fontId="48" fillId="50" borderId="0" xfId="52" applyFont="1" applyFill="1" applyAlignment="1">
      <alignment horizontal="center" vertical="center"/>
    </xf>
    <xf numFmtId="0" fontId="48" fillId="50" borderId="0" xfId="52" applyFont="1" applyFill="1" applyAlignment="1">
      <alignment horizontal="right" vertical="center"/>
    </xf>
    <xf numFmtId="0" fontId="48" fillId="50" borderId="0" xfId="52" applyFont="1" applyFill="1" applyAlignment="1">
      <alignment horizontal="left" vertical="center"/>
    </xf>
    <xf numFmtId="0" fontId="48" fillId="50" borderId="0" xfId="52" applyFont="1" applyFill="1" applyAlignment="1">
      <alignment vertical="center"/>
    </xf>
    <xf numFmtId="3" fontId="47" fillId="5" borderId="0" xfId="52" applyNumberFormat="1" applyFont="1" applyFill="1"/>
    <xf numFmtId="3" fontId="47" fillId="50" borderId="0" xfId="52" applyNumberFormat="1" applyFont="1" applyFill="1" applyAlignment="1">
      <alignment horizontal="left"/>
    </xf>
    <xf numFmtId="3" fontId="47" fillId="50" borderId="0" xfId="52" applyNumberFormat="1" applyFont="1" applyFill="1" applyAlignment="1">
      <alignment horizontal="center"/>
    </xf>
    <xf numFmtId="0" fontId="34" fillId="5" borderId="0" xfId="50" applyFill="1"/>
    <xf numFmtId="3" fontId="47" fillId="50" borderId="0" xfId="52" applyNumberFormat="1" applyFont="1" applyFill="1" applyAlignment="1">
      <alignment horizontal="right"/>
    </xf>
    <xf numFmtId="0" fontId="47" fillId="50" borderId="0" xfId="52" applyFont="1" applyFill="1" applyAlignment="1">
      <alignment horizontal="left"/>
    </xf>
    <xf numFmtId="0" fontId="47" fillId="50" borderId="0" xfId="52" applyFont="1" applyFill="1" applyAlignment="1">
      <alignment horizontal="right"/>
    </xf>
    <xf numFmtId="0" fontId="34" fillId="53" borderId="13" xfId="50" applyFill="1" applyBorder="1" applyAlignment="1">
      <alignment horizontal="center"/>
    </xf>
    <xf numFmtId="167" fontId="34" fillId="54" borderId="32" xfId="50" applyNumberFormat="1" applyFill="1" applyBorder="1"/>
    <xf numFmtId="171" fontId="0" fillId="4" borderId="0" xfId="0" applyNumberFormat="1" applyFill="1"/>
    <xf numFmtId="2" fontId="34" fillId="0" borderId="21" xfId="50" applyNumberFormat="1" applyBorder="1"/>
    <xf numFmtId="176" fontId="34" fillId="0" borderId="0" xfId="50" applyNumberFormat="1"/>
    <xf numFmtId="167" fontId="0" fillId="0" borderId="21" xfId="0" applyNumberFormat="1" applyBorder="1"/>
    <xf numFmtId="0" fontId="49" fillId="50" borderId="0" xfId="52" quotePrefix="1" applyFont="1" applyFill="1" applyAlignment="1">
      <alignment horizontal="right" vertical="center" wrapText="1"/>
    </xf>
    <xf numFmtId="0" fontId="34" fillId="5" borderId="0" xfId="50" applyFill="1" applyAlignment="1">
      <alignment horizontal="right"/>
    </xf>
    <xf numFmtId="0" fontId="50" fillId="50" borderId="0" xfId="52" applyFont="1" applyFill="1" applyAlignment="1">
      <alignment horizontal="left"/>
    </xf>
    <xf numFmtId="167" fontId="33" fillId="0" borderId="14" xfId="1" applyNumberFormat="1" applyFont="1" applyFill="1" applyBorder="1" applyAlignment="1">
      <alignment horizontal="center"/>
    </xf>
    <xf numFmtId="167" fontId="32" fillId="0" borderId="13" xfId="0" applyNumberFormat="1" applyFont="1" applyBorder="1"/>
    <xf numFmtId="0" fontId="1" fillId="4" borderId="0" xfId="0" applyFont="1" applyFill="1"/>
    <xf numFmtId="167" fontId="1" fillId="0" borderId="0" xfId="0" applyNumberFormat="1" applyFont="1"/>
    <xf numFmtId="167" fontId="1" fillId="4" borderId="0" xfId="0" applyNumberFormat="1" applyFont="1" applyFill="1"/>
    <xf numFmtId="0" fontId="7" fillId="4" borderId="0" xfId="0" applyFont="1" applyFill="1"/>
    <xf numFmtId="2" fontId="0" fillId="0" borderId="0" xfId="51" applyNumberFormat="1" applyFont="1"/>
    <xf numFmtId="0" fontId="52" fillId="0" borderId="0" xfId="0" applyFont="1"/>
    <xf numFmtId="177" fontId="0" fillId="0" borderId="0" xfId="0" applyNumberFormat="1"/>
    <xf numFmtId="8" fontId="0" fillId="0" borderId="0" xfId="0" applyNumberFormat="1"/>
    <xf numFmtId="178" fontId="0" fillId="0" borderId="0" xfId="0" applyNumberFormat="1"/>
    <xf numFmtId="179" fontId="0" fillId="0" borderId="0" xfId="0" applyNumberFormat="1"/>
    <xf numFmtId="179" fontId="32" fillId="0" borderId="0" xfId="0" applyNumberFormat="1" applyFont="1"/>
    <xf numFmtId="0" fontId="39" fillId="49" borderId="0" xfId="50" applyFont="1" applyFill="1"/>
    <xf numFmtId="167" fontId="33" fillId="0" borderId="0" xfId="1" applyNumberFormat="1" applyFont="1" applyFill="1" applyBorder="1" applyAlignment="1">
      <alignment horizontal="center"/>
    </xf>
    <xf numFmtId="180" fontId="0" fillId="0" borderId="0" xfId="0" applyNumberFormat="1"/>
    <xf numFmtId="179" fontId="32" fillId="0" borderId="13" xfId="0" applyNumberFormat="1" applyFont="1" applyBorder="1"/>
    <xf numFmtId="167" fontId="32" fillId="3" borderId="13" xfId="0" applyNumberFormat="1" applyFont="1" applyFill="1" applyBorder="1"/>
    <xf numFmtId="0" fontId="46" fillId="48" borderId="40" xfId="50" applyFont="1" applyFill="1" applyBorder="1" applyAlignment="1">
      <alignment horizontal="center" wrapText="1"/>
    </xf>
    <xf numFmtId="0" fontId="46" fillId="48" borderId="41" xfId="50" applyFont="1" applyFill="1" applyBorder="1" applyAlignment="1">
      <alignment horizontal="center" wrapText="1"/>
    </xf>
    <xf numFmtId="0" fontId="39" fillId="0" borderId="18" xfId="50" applyFont="1" applyBorder="1" applyAlignment="1">
      <alignment horizontal="left" vertical="center"/>
    </xf>
    <xf numFmtId="0" fontId="39" fillId="0" borderId="28" xfId="50" applyFont="1" applyBorder="1" applyAlignment="1">
      <alignment horizontal="left" vertical="center"/>
    </xf>
    <xf numFmtId="0" fontId="39" fillId="0" borderId="29" xfId="50" applyFont="1" applyBorder="1" applyAlignment="1">
      <alignment horizontal="left" vertical="center"/>
    </xf>
    <xf numFmtId="0" fontId="46" fillId="48" borderId="31" xfId="50" applyFont="1" applyFill="1" applyBorder="1" applyAlignment="1">
      <alignment horizontal="center" wrapText="1"/>
    </xf>
    <xf numFmtId="0" fontId="46" fillId="48" borderId="33" xfId="50" applyFont="1" applyFill="1" applyBorder="1" applyAlignment="1">
      <alignment horizontal="center" wrapText="1"/>
    </xf>
    <xf numFmtId="0" fontId="46" fillId="48" borderId="14" xfId="50" applyFont="1" applyFill="1" applyBorder="1" applyAlignment="1">
      <alignment horizontal="center" wrapText="1"/>
    </xf>
    <xf numFmtId="0" fontId="46" fillId="48" borderId="36" xfId="50" applyFont="1" applyFill="1" applyBorder="1" applyAlignment="1">
      <alignment horizontal="center" wrapText="1"/>
    </xf>
    <xf numFmtId="0" fontId="48" fillId="50" borderId="18" xfId="52" quotePrefix="1" applyFont="1" applyFill="1" applyBorder="1" applyAlignment="1">
      <alignment horizontal="left" vertical="center"/>
    </xf>
    <xf numFmtId="0" fontId="48" fillId="50" borderId="28" xfId="52" quotePrefix="1" applyFont="1" applyFill="1" applyBorder="1" applyAlignment="1">
      <alignment horizontal="left" vertical="center"/>
    </xf>
    <xf numFmtId="0" fontId="48" fillId="50" borderId="29" xfId="52" quotePrefix="1" applyFont="1" applyFill="1" applyBorder="1" applyAlignment="1">
      <alignment horizontal="left" vertical="center"/>
    </xf>
  </cellXfs>
  <cellStyles count="56">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Bold" xfId="47" xr:uid="{00000000-0005-0000-0000-000019000000}"/>
    <cellStyle name="Calculation" xfId="12" builtinId="22" customBuiltin="1"/>
    <cellStyle name="Check Cell" xfId="14" builtinId="23" customBuiltin="1"/>
    <cellStyle name="Comma" xfId="55" builtinId="3"/>
    <cellStyle name="Comma 2" xfId="53" xr:uid="{00000000-0005-0000-0000-00001D000000}"/>
    <cellStyle name="Currency" xfId="1" builtinId="4"/>
    <cellStyle name="Currency 2" xfId="51" xr:uid="{00000000-0005-0000-0000-00001F000000}"/>
    <cellStyle name="Data" xfId="44" xr:uid="{00000000-0005-0000-0000-000020000000}"/>
    <cellStyle name="Explanatory Text" xfId="17" builtinId="53" customBuiltin="1"/>
    <cellStyle name="Good" xfId="7" builtinId="26" customBuiltin="1"/>
    <cellStyle name="Header" xfId="45" xr:uid="{00000000-0005-0000-0000-000023000000}"/>
    <cellStyle name="HeaderHyperlink" xfId="46" xr:uid="{00000000-0005-0000-0000-000024000000}"/>
    <cellStyle name="Heading 1" xfId="3" builtinId="16" customBuiltin="1"/>
    <cellStyle name="Heading 2" xfId="4" builtinId="17" customBuiltin="1"/>
    <cellStyle name="Heading 3" xfId="5" builtinId="18" customBuiltin="1"/>
    <cellStyle name="Heading 4" xfId="6" builtinId="19" customBuiltin="1"/>
    <cellStyle name="Hyperlink" xfId="54" builtinId="8"/>
    <cellStyle name="Input" xfId="10" builtinId="20" customBuiltin="1"/>
    <cellStyle name="Linked Cell" xfId="13" builtinId="24" customBuiltin="1"/>
    <cellStyle name="Neutral" xfId="9" builtinId="28" customBuiltin="1"/>
    <cellStyle name="Normal" xfId="0" builtinId="0"/>
    <cellStyle name="Normal 2" xfId="43" xr:uid="{00000000-0005-0000-0000-00002E000000}"/>
    <cellStyle name="Normal 2 2" xfId="50" xr:uid="{00000000-0005-0000-0000-00002F000000}"/>
    <cellStyle name="Normal 2 3" xfId="52" xr:uid="{00000000-0005-0000-0000-000030000000}"/>
    <cellStyle name="Note" xfId="16" builtinId="10" customBuiltin="1"/>
    <cellStyle name="Output" xfId="11" builtinId="21" customBuiltin="1"/>
    <cellStyle name="Percent" xfId="49" builtinId="5"/>
    <cellStyle name="Title" xfId="2" builtinId="15" customBuiltin="1"/>
    <cellStyle name="Total" xfId="18" builtinId="25" customBuiltin="1"/>
    <cellStyle name="Warning Text" xfId="15" builtinId="11" customBuiltin="1"/>
    <cellStyle name="WordWrap" xfId="48" xr:uid="{00000000-0005-0000-0000-000037000000}"/>
  </cellStyles>
  <dxfs count="90">
    <dxf>
      <fill>
        <patternFill>
          <bgColor theme="5" tint="0.59996337778862885"/>
        </patternFill>
      </fill>
    </dxf>
    <dxf>
      <fill>
        <patternFill>
          <bgColor rgb="FFFFDF79"/>
        </patternFill>
      </fill>
    </dxf>
    <dxf>
      <fill>
        <patternFill>
          <bgColor theme="5" tint="0.59996337778862885"/>
        </patternFill>
      </fill>
    </dxf>
    <dxf>
      <fill>
        <patternFill>
          <bgColor rgb="FFFFDF79"/>
        </patternFill>
      </fill>
    </dxf>
    <dxf>
      <fill>
        <patternFill>
          <bgColor theme="5" tint="0.59996337778862885"/>
        </patternFill>
      </fill>
    </dxf>
    <dxf>
      <fill>
        <patternFill>
          <bgColor rgb="FFFFDF79"/>
        </patternFill>
      </fill>
    </dxf>
    <dxf>
      <fill>
        <patternFill>
          <bgColor theme="5" tint="0.59996337778862885"/>
        </patternFill>
      </fill>
    </dxf>
    <dxf>
      <fill>
        <patternFill>
          <bgColor rgb="FFFFDF79"/>
        </patternFill>
      </fill>
    </dxf>
    <dxf>
      <fill>
        <patternFill>
          <bgColor theme="5" tint="0.59996337778862885"/>
        </patternFill>
      </fill>
    </dxf>
    <dxf>
      <fill>
        <patternFill>
          <bgColor rgb="FFFFDF79"/>
        </patternFill>
      </fill>
    </dxf>
    <dxf>
      <fill>
        <patternFill>
          <bgColor theme="5" tint="0.59996337778862885"/>
        </patternFill>
      </fill>
    </dxf>
    <dxf>
      <fill>
        <patternFill>
          <bgColor rgb="FFFFDF79"/>
        </patternFill>
      </fill>
    </dxf>
    <dxf>
      <fill>
        <patternFill>
          <bgColor theme="5" tint="0.59996337778862885"/>
        </patternFill>
      </fill>
    </dxf>
    <dxf>
      <fill>
        <patternFill>
          <bgColor rgb="FFFFDF79"/>
        </patternFill>
      </fill>
    </dxf>
    <dxf>
      <fill>
        <patternFill>
          <bgColor theme="5" tint="0.59996337778862885"/>
        </patternFill>
      </fill>
    </dxf>
    <dxf>
      <fill>
        <patternFill>
          <bgColor rgb="FFFFDF79"/>
        </patternFill>
      </fill>
    </dxf>
    <dxf>
      <fill>
        <patternFill>
          <bgColor theme="5" tint="0.59996337778862885"/>
        </patternFill>
      </fill>
    </dxf>
    <dxf>
      <fill>
        <patternFill>
          <bgColor rgb="FFFFDF79"/>
        </patternFill>
      </fill>
    </dxf>
    <dxf>
      <fill>
        <patternFill>
          <bgColor theme="5" tint="0.59996337778862885"/>
        </patternFill>
      </fill>
    </dxf>
    <dxf>
      <fill>
        <patternFill>
          <bgColor rgb="FFFFDF79"/>
        </patternFill>
      </fill>
    </dxf>
    <dxf>
      <fill>
        <patternFill>
          <bgColor theme="5" tint="0.59996337778862885"/>
        </patternFill>
      </fill>
    </dxf>
    <dxf>
      <fill>
        <patternFill>
          <bgColor rgb="FFFFDF79"/>
        </patternFill>
      </fill>
    </dxf>
    <dxf>
      <fill>
        <patternFill>
          <bgColor theme="5" tint="0.59996337778862885"/>
        </patternFill>
      </fill>
    </dxf>
    <dxf>
      <fill>
        <patternFill>
          <bgColor rgb="FFFFDF79"/>
        </patternFill>
      </fill>
    </dxf>
    <dxf>
      <fill>
        <patternFill>
          <bgColor theme="5" tint="0.59996337778862885"/>
        </patternFill>
      </fill>
    </dxf>
    <dxf>
      <fill>
        <patternFill>
          <bgColor rgb="FFFFDF79"/>
        </patternFill>
      </fill>
    </dxf>
    <dxf>
      <fill>
        <patternFill>
          <bgColor theme="5" tint="0.59996337778862885"/>
        </patternFill>
      </fill>
    </dxf>
    <dxf>
      <fill>
        <patternFill>
          <bgColor rgb="FFFFDF79"/>
        </patternFill>
      </fill>
    </dxf>
    <dxf>
      <fill>
        <patternFill>
          <bgColor theme="5" tint="0.59996337778862885"/>
        </patternFill>
      </fill>
    </dxf>
    <dxf>
      <fill>
        <patternFill>
          <bgColor rgb="FFFFDF79"/>
        </patternFill>
      </fill>
    </dxf>
    <dxf>
      <fill>
        <patternFill>
          <bgColor theme="5" tint="0.59996337778862885"/>
        </patternFill>
      </fill>
    </dxf>
    <dxf>
      <fill>
        <patternFill>
          <bgColor rgb="FFFFDF79"/>
        </patternFill>
      </fill>
    </dxf>
    <dxf>
      <fill>
        <patternFill>
          <bgColor theme="5" tint="0.59996337778862885"/>
        </patternFill>
      </fill>
    </dxf>
    <dxf>
      <fill>
        <patternFill>
          <bgColor rgb="FFFFDF79"/>
        </patternFill>
      </fill>
    </dxf>
    <dxf>
      <fill>
        <patternFill>
          <bgColor theme="5" tint="0.59996337778862885"/>
        </patternFill>
      </fill>
    </dxf>
    <dxf>
      <fill>
        <patternFill>
          <bgColor rgb="FFFFDF79"/>
        </patternFill>
      </fill>
    </dxf>
    <dxf>
      <fill>
        <patternFill>
          <bgColor theme="5" tint="0.59996337778862885"/>
        </patternFill>
      </fill>
    </dxf>
    <dxf>
      <fill>
        <patternFill>
          <bgColor rgb="FFFFDF79"/>
        </patternFill>
      </fill>
    </dxf>
    <dxf>
      <fill>
        <patternFill>
          <bgColor theme="5" tint="0.59996337778862885"/>
        </patternFill>
      </fill>
    </dxf>
    <dxf>
      <fill>
        <patternFill>
          <bgColor rgb="FFFFDF79"/>
        </patternFill>
      </fill>
    </dxf>
    <dxf>
      <fill>
        <patternFill>
          <bgColor theme="5" tint="0.59996337778862885"/>
        </patternFill>
      </fill>
    </dxf>
    <dxf>
      <fill>
        <patternFill>
          <bgColor rgb="FFFFDF79"/>
        </patternFill>
      </fill>
    </dxf>
    <dxf>
      <fill>
        <patternFill>
          <bgColor theme="5" tint="0.59996337778862885"/>
        </patternFill>
      </fill>
    </dxf>
    <dxf>
      <fill>
        <patternFill>
          <bgColor rgb="FFFFDF79"/>
        </patternFill>
      </fill>
    </dxf>
    <dxf>
      <fill>
        <patternFill>
          <bgColor theme="5" tint="0.59996337778862885"/>
        </patternFill>
      </fill>
    </dxf>
    <dxf>
      <fill>
        <patternFill>
          <bgColor rgb="FFFFDF79"/>
        </patternFill>
      </fill>
    </dxf>
    <dxf>
      <fill>
        <patternFill>
          <bgColor theme="5" tint="0.59996337778862885"/>
        </patternFill>
      </fill>
    </dxf>
    <dxf>
      <fill>
        <patternFill>
          <bgColor rgb="FFFFDF79"/>
        </patternFill>
      </fill>
    </dxf>
    <dxf>
      <fill>
        <patternFill>
          <bgColor theme="5" tint="0.59996337778862885"/>
        </patternFill>
      </fill>
    </dxf>
    <dxf>
      <fill>
        <patternFill>
          <bgColor rgb="FFFFDF79"/>
        </patternFill>
      </fill>
    </dxf>
    <dxf>
      <fill>
        <patternFill>
          <bgColor theme="5" tint="0.59996337778862885"/>
        </patternFill>
      </fill>
    </dxf>
    <dxf>
      <fill>
        <patternFill>
          <bgColor rgb="FFFFDF79"/>
        </patternFill>
      </fill>
    </dxf>
    <dxf>
      <fill>
        <patternFill>
          <bgColor theme="5" tint="0.59996337778862885"/>
        </patternFill>
      </fill>
    </dxf>
    <dxf>
      <fill>
        <patternFill>
          <bgColor rgb="FFFFDF79"/>
        </patternFill>
      </fill>
    </dxf>
    <dxf>
      <fill>
        <patternFill>
          <bgColor theme="5" tint="0.59996337778862885"/>
        </patternFill>
      </fill>
    </dxf>
    <dxf>
      <fill>
        <patternFill>
          <bgColor rgb="FFFFDF79"/>
        </patternFill>
      </fill>
    </dxf>
    <dxf>
      <fill>
        <patternFill>
          <bgColor theme="5" tint="0.59996337778862885"/>
        </patternFill>
      </fill>
    </dxf>
    <dxf>
      <fill>
        <patternFill>
          <bgColor rgb="FFFFDF79"/>
        </patternFill>
      </fill>
    </dxf>
    <dxf>
      <fill>
        <patternFill>
          <bgColor theme="5" tint="0.59996337778862885"/>
        </patternFill>
      </fill>
    </dxf>
    <dxf>
      <fill>
        <patternFill>
          <bgColor rgb="FFFFDF79"/>
        </patternFill>
      </fill>
    </dxf>
    <dxf>
      <fill>
        <patternFill>
          <bgColor theme="5" tint="0.59996337778862885"/>
        </patternFill>
      </fill>
    </dxf>
    <dxf>
      <fill>
        <patternFill>
          <bgColor rgb="FFFFDF79"/>
        </patternFill>
      </fill>
    </dxf>
    <dxf>
      <fill>
        <patternFill>
          <bgColor theme="5" tint="0.59996337778862885"/>
        </patternFill>
      </fill>
    </dxf>
    <dxf>
      <fill>
        <patternFill>
          <bgColor rgb="FFFFDF79"/>
        </patternFill>
      </fill>
    </dxf>
    <dxf>
      <fill>
        <patternFill>
          <bgColor theme="5" tint="0.59996337778862885"/>
        </patternFill>
      </fill>
    </dxf>
    <dxf>
      <fill>
        <patternFill>
          <bgColor rgb="FFFFDF79"/>
        </patternFill>
      </fill>
    </dxf>
    <dxf>
      <fill>
        <patternFill>
          <bgColor theme="5" tint="0.59996337778862885"/>
        </patternFill>
      </fill>
    </dxf>
    <dxf>
      <fill>
        <patternFill>
          <bgColor rgb="FFFFDF79"/>
        </patternFill>
      </fill>
    </dxf>
    <dxf>
      <fill>
        <patternFill>
          <bgColor theme="5" tint="0.59996337778862885"/>
        </patternFill>
      </fill>
    </dxf>
    <dxf>
      <fill>
        <patternFill>
          <bgColor rgb="FFFFDF79"/>
        </patternFill>
      </fill>
    </dxf>
    <dxf>
      <fill>
        <patternFill>
          <bgColor theme="5" tint="0.59996337778862885"/>
        </patternFill>
      </fill>
    </dxf>
    <dxf>
      <fill>
        <patternFill>
          <bgColor rgb="FFFFDF79"/>
        </patternFill>
      </fill>
    </dxf>
    <dxf>
      <fill>
        <patternFill>
          <bgColor theme="5" tint="0.59996337778862885"/>
        </patternFill>
      </fill>
    </dxf>
    <dxf>
      <fill>
        <patternFill>
          <bgColor rgb="FFFFDF79"/>
        </patternFill>
      </fill>
    </dxf>
    <dxf>
      <fill>
        <patternFill>
          <bgColor theme="5" tint="0.59996337778862885"/>
        </patternFill>
      </fill>
    </dxf>
    <dxf>
      <fill>
        <patternFill>
          <bgColor rgb="FFFFDF79"/>
        </patternFill>
      </fill>
    </dxf>
    <dxf>
      <font>
        <color auto="1"/>
      </font>
      <fill>
        <patternFill>
          <bgColor theme="5" tint="0.59996337778862885"/>
        </patternFill>
      </fill>
    </dxf>
    <dxf>
      <font>
        <color auto="1"/>
      </font>
      <fill>
        <patternFill>
          <bgColor theme="5" tint="0.59996337778862885"/>
        </patternFill>
      </fill>
    </dxf>
    <dxf>
      <font>
        <color auto="1"/>
      </font>
      <fill>
        <patternFill>
          <bgColor theme="5" tint="0.59996337778862885"/>
        </patternFill>
      </fill>
    </dxf>
    <dxf>
      <fill>
        <patternFill>
          <bgColor theme="5" tint="0.59996337778862885"/>
        </patternFill>
      </fill>
    </dxf>
    <dxf>
      <fill>
        <patternFill>
          <bgColor rgb="FFFFDF79"/>
        </patternFill>
      </fill>
    </dxf>
    <dxf>
      <fill>
        <patternFill>
          <bgColor theme="5" tint="0.59996337778862885"/>
        </patternFill>
      </fill>
    </dxf>
    <dxf>
      <fill>
        <patternFill>
          <bgColor rgb="FFFFDF79"/>
        </patternFill>
      </fill>
    </dxf>
    <dxf>
      <fill>
        <patternFill>
          <bgColor theme="5" tint="0.59996337778862885"/>
        </patternFill>
      </fill>
    </dxf>
    <dxf>
      <fill>
        <patternFill>
          <bgColor rgb="FFFFDF79"/>
        </patternFill>
      </fill>
    </dxf>
    <dxf>
      <fill>
        <patternFill>
          <bgColor rgb="FFFFDF79"/>
        </patternFill>
      </fill>
    </dxf>
    <dxf>
      <fill>
        <patternFill>
          <bgColor rgb="FFFFDF79"/>
        </patternFill>
      </fill>
    </dxf>
    <dxf>
      <fill>
        <patternFill>
          <bgColor rgb="FFFFDF79"/>
        </patternFill>
      </fill>
    </dxf>
    <dxf>
      <fill>
        <patternFill>
          <bgColor rgb="FFFFDF79"/>
        </patternFill>
      </fill>
    </dxf>
    <dxf>
      <fill>
        <patternFill>
          <bgColor rgb="FFFFDF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t>Cost-effectiveness plane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Output!$A$15</c:f>
              <c:strCache>
                <c:ptCount val="1"/>
                <c:pt idx="0">
                  <c:v>Threshold</c:v>
                </c:pt>
              </c:strCache>
            </c:strRef>
          </c:tx>
          <c:spPr>
            <a:ln w="25400" cap="rnd">
              <a:noFill/>
              <a:round/>
            </a:ln>
            <a:effectLst/>
          </c:spPr>
          <c:marker>
            <c:symbol val="circle"/>
            <c:size val="5"/>
            <c:spPr>
              <a:solidFill>
                <a:schemeClr val="accent1"/>
              </a:solidFill>
              <a:ln w="9525">
                <a:solidFill>
                  <a:schemeClr val="accent1"/>
                </a:solidFill>
              </a:ln>
              <a:effectLst/>
            </c:spPr>
          </c:marker>
          <c:xVal>
            <c:numRef>
              <c:f>Output!$C$15</c:f>
              <c:numCache>
                <c:formatCode>General</c:formatCode>
                <c:ptCount val="1"/>
                <c:pt idx="0">
                  <c:v>1</c:v>
                </c:pt>
              </c:numCache>
            </c:numRef>
          </c:xVal>
          <c:yVal>
            <c:numRef>
              <c:f>Output!$B$15</c:f>
              <c:numCache>
                <c:formatCode>General</c:formatCode>
                <c:ptCount val="1"/>
                <c:pt idx="0">
                  <c:v>38500</c:v>
                </c:pt>
              </c:numCache>
            </c:numRef>
          </c:yVal>
          <c:smooth val="0"/>
          <c:extLst>
            <c:ext xmlns:c16="http://schemas.microsoft.com/office/drawing/2014/chart" uri="{C3380CC4-5D6E-409C-BE32-E72D297353CC}">
              <c16:uniqueId val="{00000000-7761-4DDA-96B5-826085EF8BB9}"/>
            </c:ext>
          </c:extLst>
        </c:ser>
        <c:ser>
          <c:idx val="1"/>
          <c:order val="1"/>
          <c:tx>
            <c:strRef>
              <c:f>Output!$A$16</c:f>
              <c:strCache>
                <c:ptCount val="1"/>
                <c:pt idx="0">
                  <c:v>ICER</c:v>
                </c:pt>
              </c:strCache>
            </c:strRef>
          </c:tx>
          <c:spPr>
            <a:ln w="25400" cap="rnd">
              <a:noFill/>
              <a:round/>
            </a:ln>
            <a:effectLst/>
          </c:spPr>
          <c:marker>
            <c:symbol val="circle"/>
            <c:size val="5"/>
            <c:spPr>
              <a:solidFill>
                <a:schemeClr val="accent2"/>
              </a:solidFill>
              <a:ln w="9525">
                <a:solidFill>
                  <a:schemeClr val="accent2"/>
                </a:solidFill>
              </a:ln>
              <a:effectLst/>
            </c:spPr>
          </c:marker>
          <c:xVal>
            <c:numRef>
              <c:f>Output!$C$16</c:f>
              <c:numCache>
                <c:formatCode>General</c:formatCode>
                <c:ptCount val="1"/>
                <c:pt idx="0">
                  <c:v>1</c:v>
                </c:pt>
              </c:numCache>
            </c:numRef>
          </c:xVal>
          <c:yVal>
            <c:numRef>
              <c:f>Output!$B$16</c:f>
              <c:numCache>
                <c:formatCode>"R"#,##0</c:formatCode>
                <c:ptCount val="1"/>
                <c:pt idx="0">
                  <c:v>-240790.03991918225</c:v>
                </c:pt>
              </c:numCache>
            </c:numRef>
          </c:yVal>
          <c:smooth val="0"/>
          <c:extLst>
            <c:ext xmlns:c16="http://schemas.microsoft.com/office/drawing/2014/chart" uri="{C3380CC4-5D6E-409C-BE32-E72D297353CC}">
              <c16:uniqueId val="{00000001-7761-4DDA-96B5-826085EF8BB9}"/>
            </c:ext>
          </c:extLst>
        </c:ser>
        <c:ser>
          <c:idx val="2"/>
          <c:order val="2"/>
          <c:tx>
            <c:strRef>
              <c:f>Output!$A$17</c:f>
              <c:strCache>
                <c:ptCount val="1"/>
                <c:pt idx="0">
                  <c:v>Per person</c:v>
                </c:pt>
              </c:strCache>
            </c:strRef>
          </c:tx>
          <c:spPr>
            <a:ln w="25400" cap="rnd">
              <a:noFill/>
              <a:round/>
            </a:ln>
            <a:effectLst/>
          </c:spPr>
          <c:marker>
            <c:symbol val="circle"/>
            <c:size val="5"/>
            <c:spPr>
              <a:solidFill>
                <a:schemeClr val="accent3"/>
              </a:solidFill>
              <a:ln w="9525">
                <a:solidFill>
                  <a:schemeClr val="accent3"/>
                </a:solidFill>
              </a:ln>
              <a:effectLst/>
            </c:spPr>
          </c:marker>
          <c:xVal>
            <c:numRef>
              <c:f>Output!$C$17</c:f>
              <c:numCache>
                <c:formatCode>0.0000</c:formatCode>
                <c:ptCount val="1"/>
                <c:pt idx="0">
                  <c:v>0.12946553785025183</c:v>
                </c:pt>
              </c:numCache>
            </c:numRef>
          </c:xVal>
          <c:yVal>
            <c:numRef>
              <c:f>Output!$B$17</c:f>
              <c:numCache>
                <c:formatCode>"R"#,##0.00</c:formatCode>
                <c:ptCount val="1"/>
                <c:pt idx="0">
                  <c:v>-31174.012027120538</c:v>
                </c:pt>
              </c:numCache>
            </c:numRef>
          </c:yVal>
          <c:smooth val="0"/>
          <c:extLst>
            <c:ext xmlns:c16="http://schemas.microsoft.com/office/drawing/2014/chart" uri="{C3380CC4-5D6E-409C-BE32-E72D297353CC}">
              <c16:uniqueId val="{00000000-D2DA-47E8-936E-3A736B9BFCC6}"/>
            </c:ext>
          </c:extLst>
        </c:ser>
        <c:dLbls>
          <c:showLegendKey val="0"/>
          <c:showVal val="0"/>
          <c:showCatName val="0"/>
          <c:showSerName val="0"/>
          <c:showPercent val="0"/>
          <c:showBubbleSize val="0"/>
        </c:dLbls>
        <c:axId val="774169967"/>
        <c:axId val="774167887"/>
      </c:scatterChart>
      <c:valAx>
        <c:axId val="77416996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ZA"/>
                  <a:t>DALYs averted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4167887"/>
        <c:crosses val="autoZero"/>
        <c:crossBetween val="midCat"/>
      </c:valAx>
      <c:valAx>
        <c:axId val="77416788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Incremental costs</a:t>
                </a:r>
              </a:p>
            </c:rich>
          </c:tx>
          <c:layout>
            <c:manualLayout>
              <c:xMode val="edge"/>
              <c:yMode val="edge"/>
              <c:x val="2.7777777777777776E-2"/>
              <c:y val="0.4317475940507436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4169967"/>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t>Cost-effectiveness plane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'Pop estimates'!$A$17</c:f>
              <c:strCache>
                <c:ptCount val="1"/>
                <c:pt idx="0">
                  <c:v>Threshold</c:v>
                </c:pt>
              </c:strCache>
            </c:strRef>
          </c:tx>
          <c:spPr>
            <a:ln w="25400" cap="rnd">
              <a:noFill/>
              <a:round/>
            </a:ln>
            <a:effectLst/>
          </c:spPr>
          <c:marker>
            <c:symbol val="circle"/>
            <c:size val="5"/>
            <c:spPr>
              <a:solidFill>
                <a:schemeClr val="accent1"/>
              </a:solidFill>
              <a:ln w="9525">
                <a:solidFill>
                  <a:schemeClr val="accent1"/>
                </a:solidFill>
              </a:ln>
              <a:effectLst/>
            </c:spPr>
          </c:marker>
          <c:xVal>
            <c:numRef>
              <c:f>'Pop estimates'!$C$17</c:f>
              <c:numCache>
                <c:formatCode>General</c:formatCode>
                <c:ptCount val="1"/>
                <c:pt idx="0">
                  <c:v>1</c:v>
                </c:pt>
              </c:numCache>
            </c:numRef>
          </c:xVal>
          <c:yVal>
            <c:numRef>
              <c:f>'Pop estimates'!$B$17</c:f>
              <c:numCache>
                <c:formatCode>General</c:formatCode>
                <c:ptCount val="1"/>
                <c:pt idx="0">
                  <c:v>38500</c:v>
                </c:pt>
              </c:numCache>
            </c:numRef>
          </c:yVal>
          <c:smooth val="0"/>
          <c:extLst>
            <c:ext xmlns:c16="http://schemas.microsoft.com/office/drawing/2014/chart" uri="{C3380CC4-5D6E-409C-BE32-E72D297353CC}">
              <c16:uniqueId val="{00000000-274D-4E0B-A32F-832394AA60BD}"/>
            </c:ext>
          </c:extLst>
        </c:ser>
        <c:ser>
          <c:idx val="1"/>
          <c:order val="1"/>
          <c:tx>
            <c:strRef>
              <c:f>'Pop estimates'!$A$18</c:f>
              <c:strCache>
                <c:ptCount val="1"/>
                <c:pt idx="0">
                  <c:v>ICER</c:v>
                </c:pt>
              </c:strCache>
            </c:strRef>
          </c:tx>
          <c:spPr>
            <a:ln w="25400" cap="rnd">
              <a:noFill/>
              <a:round/>
            </a:ln>
            <a:effectLst/>
          </c:spPr>
          <c:marker>
            <c:symbol val="circle"/>
            <c:size val="5"/>
            <c:spPr>
              <a:solidFill>
                <a:schemeClr val="accent2"/>
              </a:solidFill>
              <a:ln w="9525">
                <a:solidFill>
                  <a:schemeClr val="accent2"/>
                </a:solidFill>
              </a:ln>
              <a:effectLst/>
            </c:spPr>
          </c:marker>
          <c:xVal>
            <c:numRef>
              <c:f>'Pop estimates'!$C$18</c:f>
              <c:numCache>
                <c:formatCode>General</c:formatCode>
                <c:ptCount val="1"/>
                <c:pt idx="0">
                  <c:v>1</c:v>
                </c:pt>
              </c:numCache>
            </c:numRef>
          </c:xVal>
          <c:yVal>
            <c:numRef>
              <c:f>'Pop estimates'!$B$18</c:f>
              <c:numCache>
                <c:formatCode>"R"#,##0</c:formatCode>
                <c:ptCount val="1"/>
                <c:pt idx="0">
                  <c:v>-240790.03991918225</c:v>
                </c:pt>
              </c:numCache>
            </c:numRef>
          </c:yVal>
          <c:smooth val="0"/>
          <c:extLst>
            <c:ext xmlns:c16="http://schemas.microsoft.com/office/drawing/2014/chart" uri="{C3380CC4-5D6E-409C-BE32-E72D297353CC}">
              <c16:uniqueId val="{00000001-274D-4E0B-A32F-832394AA60BD}"/>
            </c:ext>
          </c:extLst>
        </c:ser>
        <c:ser>
          <c:idx val="2"/>
          <c:order val="2"/>
          <c:tx>
            <c:strRef>
              <c:f>'Pop estimates'!$A$19</c:f>
              <c:strCache>
                <c:ptCount val="1"/>
                <c:pt idx="0">
                  <c:v>Per person</c:v>
                </c:pt>
              </c:strCache>
            </c:strRef>
          </c:tx>
          <c:spPr>
            <a:ln w="25400" cap="rnd">
              <a:noFill/>
              <a:round/>
            </a:ln>
            <a:effectLst/>
          </c:spPr>
          <c:marker>
            <c:symbol val="circle"/>
            <c:size val="5"/>
            <c:spPr>
              <a:solidFill>
                <a:schemeClr val="accent3"/>
              </a:solidFill>
              <a:ln w="9525">
                <a:solidFill>
                  <a:schemeClr val="accent3"/>
                </a:solidFill>
              </a:ln>
              <a:effectLst/>
            </c:spPr>
          </c:marker>
          <c:xVal>
            <c:numRef>
              <c:f>'Pop estimates'!$C$19</c:f>
              <c:numCache>
                <c:formatCode>0.0000</c:formatCode>
                <c:ptCount val="1"/>
                <c:pt idx="0">
                  <c:v>0.12946553785025183</c:v>
                </c:pt>
              </c:numCache>
            </c:numRef>
          </c:xVal>
          <c:yVal>
            <c:numRef>
              <c:f>'Pop estimates'!$B$19</c:f>
              <c:numCache>
                <c:formatCode>"R"#,##0.00</c:formatCode>
                <c:ptCount val="1"/>
                <c:pt idx="0">
                  <c:v>-31174.012027120538</c:v>
                </c:pt>
              </c:numCache>
            </c:numRef>
          </c:yVal>
          <c:smooth val="0"/>
          <c:extLst>
            <c:ext xmlns:c16="http://schemas.microsoft.com/office/drawing/2014/chart" uri="{C3380CC4-5D6E-409C-BE32-E72D297353CC}">
              <c16:uniqueId val="{00000002-274D-4E0B-A32F-832394AA60BD}"/>
            </c:ext>
          </c:extLst>
        </c:ser>
        <c:dLbls>
          <c:showLegendKey val="0"/>
          <c:showVal val="0"/>
          <c:showCatName val="0"/>
          <c:showSerName val="0"/>
          <c:showPercent val="0"/>
          <c:showBubbleSize val="0"/>
        </c:dLbls>
        <c:axId val="774169967"/>
        <c:axId val="774167887"/>
      </c:scatterChart>
      <c:valAx>
        <c:axId val="77416996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ZA"/>
                  <a:t>DALYs averted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4167887"/>
        <c:crosses val="autoZero"/>
        <c:crossBetween val="midCat"/>
      </c:valAx>
      <c:valAx>
        <c:axId val="77416788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Incremental costs</a:t>
                </a:r>
              </a:p>
            </c:rich>
          </c:tx>
          <c:layout>
            <c:manualLayout>
              <c:xMode val="edge"/>
              <c:yMode val="edge"/>
              <c:x val="2.7777777777777776E-2"/>
              <c:y val="0.4317475940507436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4169967"/>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ZA"/>
              <a:t>Tornado diagram</a:t>
            </a:r>
          </a:p>
        </c:rich>
      </c:tx>
      <c:overlay val="0"/>
    </c:title>
    <c:autoTitleDeleted val="0"/>
    <c:plotArea>
      <c:layout>
        <c:manualLayout>
          <c:layoutTarget val="inner"/>
          <c:xMode val="edge"/>
          <c:yMode val="edge"/>
          <c:x val="0.1547042849881187"/>
          <c:y val="5.9088220990310504E-2"/>
          <c:w val="0.7612095933263815"/>
          <c:h val="0.79503598400158126"/>
        </c:manualLayout>
      </c:layout>
      <c:barChart>
        <c:barDir val="bar"/>
        <c:grouping val="clustered"/>
        <c:varyColors val="0"/>
        <c:ser>
          <c:idx val="0"/>
          <c:order val="0"/>
          <c:spPr>
            <a:solidFill>
              <a:schemeClr val="accent3">
                <a:alpha val="50000"/>
              </a:schemeClr>
            </a:solidFill>
            <a:ln w="12700">
              <a:solidFill>
                <a:srgbClr val="000000"/>
              </a:solidFill>
              <a:prstDash val="solid"/>
            </a:ln>
          </c:spPr>
          <c:invertIfNegative val="0"/>
          <c:cat>
            <c:strRef>
              <c:f>'Tornado diagram'!$I$6:$I$45</c:f>
              <c:strCache>
                <c:ptCount val="40"/>
                <c:pt idx="0">
                  <c:v>Term birth with antenatal care</c:v>
                </c:pt>
                <c:pt idx="1">
                  <c:v>Reduction in SGA with a PSG </c:v>
                </c:pt>
                <c:pt idx="2">
                  <c:v>LBW cost</c:v>
                </c:pt>
                <c:pt idx="3">
                  <c:v>Reduction in LBW with a PSG </c:v>
                </c:pt>
                <c:pt idx="4">
                  <c:v>LBW term infants</c:v>
                </c:pt>
                <c:pt idx="5">
                  <c:v>Live birth with antenatal care</c:v>
                </c:pt>
                <c:pt idx="6">
                  <c:v>Death among preterm SGA infants</c:v>
                </c:pt>
                <c:pt idx="7">
                  <c:v>Increase in antenatal first visit coverage with a PSG</c:v>
                </c:pt>
                <c:pt idx="8">
                  <c:v>Term birth in the unbooked</c:v>
                </c:pt>
                <c:pt idx="9">
                  <c:v>Death among term SGA infants</c:v>
                </c:pt>
                <c:pt idx="10">
                  <c:v>LBW and preterm</c:v>
                </c:pt>
                <c:pt idx="11">
                  <c:v>SGA among preterm LBW infants</c:v>
                </c:pt>
                <c:pt idx="12">
                  <c:v>Motor impairment among infants with hypoglycaemia</c:v>
                </c:pt>
                <c:pt idx="13">
                  <c:v>Reduction in infant death with a PSG</c:v>
                </c:pt>
                <c:pt idx="14">
                  <c:v>Motor impairment among infants without hypoglycaemia</c:v>
                </c:pt>
                <c:pt idx="15">
                  <c:v>Death among preterm AGA infants</c:v>
                </c:pt>
                <c:pt idx="16">
                  <c:v>Chronic lung disease DW</c:v>
                </c:pt>
                <c:pt idx="17">
                  <c:v>Antenatal care</c:v>
                </c:pt>
                <c:pt idx="18">
                  <c:v>Chronic lung disease among infants with RDS</c:v>
                </c:pt>
                <c:pt idx="19">
                  <c:v>PSG cost</c:v>
                </c:pt>
                <c:pt idx="20">
                  <c:v>Reduction in preterm birth with a PSG </c:v>
                </c:pt>
                <c:pt idx="21">
                  <c:v>Death among term AGA infants</c:v>
                </c:pt>
                <c:pt idx="22">
                  <c:v>Hypoglycaemia among term SGA infants</c:v>
                </c:pt>
                <c:pt idx="23">
                  <c:v>Chronic lung disease cost</c:v>
                </c:pt>
                <c:pt idx="24">
                  <c:v>Live birth among unbooked</c:v>
                </c:pt>
                <c:pt idx="25">
                  <c:v>RDS cost</c:v>
                </c:pt>
                <c:pt idx="26">
                  <c:v>Normal birth weight cost</c:v>
                </c:pt>
                <c:pt idx="27">
                  <c:v>Hypoglycaemia among preterm SGA infants</c:v>
                </c:pt>
                <c:pt idx="28">
                  <c:v>AGA among term normal birth weight infants</c:v>
                </c:pt>
                <c:pt idx="29">
                  <c:v>RDS among preterm infants</c:v>
                </c:pt>
                <c:pt idx="30">
                  <c:v>Hypoglycaemia among preterm SGA infants</c:v>
                </c:pt>
                <c:pt idx="31">
                  <c:v>Clinic follow-up cost</c:v>
                </c:pt>
                <c:pt idx="32">
                  <c:v>Hypoglycaemia cost</c:v>
                </c:pt>
                <c:pt idx="33">
                  <c:v>Motor impairment DW</c:v>
                </c:pt>
                <c:pt idx="34">
                  <c:v>Hospital follow-up cost</c:v>
                </c:pt>
                <c:pt idx="35">
                  <c:v>Preterm birth cost</c:v>
                </c:pt>
                <c:pt idx="36">
                  <c:v>Antenatal care cost</c:v>
                </c:pt>
                <c:pt idx="37">
                  <c:v>Stillbirth cost</c:v>
                </c:pt>
                <c:pt idx="38">
                  <c:v>Motor impairment cost</c:v>
                </c:pt>
                <c:pt idx="39">
                  <c:v>Child support grant cost</c:v>
                </c:pt>
              </c:strCache>
            </c:strRef>
          </c:cat>
          <c:val>
            <c:numRef>
              <c:f>'Tornado diagram'!$J$6:$J$45</c:f>
              <c:numCache>
                <c:formatCode>#,##0</c:formatCode>
                <c:ptCount val="40"/>
                <c:pt idx="0">
                  <c:v>-954323.32032763807</c:v>
                </c:pt>
                <c:pt idx="1">
                  <c:v>3600</c:v>
                </c:pt>
                <c:pt idx="2">
                  <c:v>-90951.817145484267</c:v>
                </c:pt>
                <c:pt idx="3">
                  <c:v>-288221.23031509353</c:v>
                </c:pt>
                <c:pt idx="4">
                  <c:v>-183280.19016067553</c:v>
                </c:pt>
                <c:pt idx="5">
                  <c:v>-299722.23099884705</c:v>
                </c:pt>
                <c:pt idx="6">
                  <c:v>-291647.70608759526</c:v>
                </c:pt>
                <c:pt idx="7">
                  <c:v>-277644.07474450354</c:v>
                </c:pt>
                <c:pt idx="8">
                  <c:v>-273434.38044743403</c:v>
                </c:pt>
                <c:pt idx="9">
                  <c:v>-268914.58610774338</c:v>
                </c:pt>
                <c:pt idx="10">
                  <c:v>-212292.18812313635</c:v>
                </c:pt>
                <c:pt idx="11">
                  <c:v>-268571.58363006753</c:v>
                </c:pt>
                <c:pt idx="12">
                  <c:v>-266715.35207454505</c:v>
                </c:pt>
                <c:pt idx="13">
                  <c:v>-264099.00219339295</c:v>
                </c:pt>
                <c:pt idx="14">
                  <c:v>-224003.69147256657</c:v>
                </c:pt>
                <c:pt idx="15">
                  <c:v>-256323.93342968877</c:v>
                </c:pt>
                <c:pt idx="16">
                  <c:v>-252641.29999125088</c:v>
                </c:pt>
                <c:pt idx="17">
                  <c:v>-252739.02798609648</c:v>
                </c:pt>
                <c:pt idx="18">
                  <c:v>-252560.70794827366</c:v>
                </c:pt>
                <c:pt idx="19">
                  <c:v>-249672.71262958451</c:v>
                </c:pt>
                <c:pt idx="20">
                  <c:v>-232947.95305592759</c:v>
                </c:pt>
                <c:pt idx="21">
                  <c:v>-233058.44792579053</c:v>
                </c:pt>
                <c:pt idx="22">
                  <c:v>-246912.91334326664</c:v>
                </c:pt>
                <c:pt idx="23">
                  <c:v>-235503.90927592217</c:v>
                </c:pt>
                <c:pt idx="24">
                  <c:v>-243363.82954335347</c:v>
                </c:pt>
                <c:pt idx="25">
                  <c:v>-238792.51123504271</c:v>
                </c:pt>
                <c:pt idx="26">
                  <c:v>-240503.39835045193</c:v>
                </c:pt>
                <c:pt idx="27">
                  <c:v>-242266.2231405541</c:v>
                </c:pt>
                <c:pt idx="28">
                  <c:v>-241975.22258393143</c:v>
                </c:pt>
                <c:pt idx="29">
                  <c:v>-239954.29899758461</c:v>
                </c:pt>
                <c:pt idx="30">
                  <c:v>-241357.18981738423</c:v>
                </c:pt>
                <c:pt idx="31">
                  <c:v>-241268.90223435979</c:v>
                </c:pt>
                <c:pt idx="32">
                  <c:v>-240467.97693830656</c:v>
                </c:pt>
                <c:pt idx="33">
                  <c:v>-241001.13417427562</c:v>
                </c:pt>
                <c:pt idx="34">
                  <c:v>-240680.33991845936</c:v>
                </c:pt>
                <c:pt idx="35">
                  <c:v>-240698.87732824715</c:v>
                </c:pt>
                <c:pt idx="36">
                  <c:v>-240847.4134382155</c:v>
                </c:pt>
                <c:pt idx="37">
                  <c:v>-240751.61365212855</c:v>
                </c:pt>
                <c:pt idx="38">
                  <c:v>-240785.10562227271</c:v>
                </c:pt>
                <c:pt idx="39">
                  <c:v>-241026.77317156637</c:v>
                </c:pt>
              </c:numCache>
            </c:numRef>
          </c:val>
          <c:extLst>
            <c:ext xmlns:c16="http://schemas.microsoft.com/office/drawing/2014/chart" uri="{C3380CC4-5D6E-409C-BE32-E72D297353CC}">
              <c16:uniqueId val="{00000000-E80A-415D-B431-BDB43CFED890}"/>
            </c:ext>
          </c:extLst>
        </c:ser>
        <c:ser>
          <c:idx val="1"/>
          <c:order val="1"/>
          <c:tx>
            <c:strRef>
              <c:f>'Tornado diagram'!$K$6:$K$45</c:f>
              <c:strCache>
                <c:ptCount val="40"/>
                <c:pt idx="0">
                  <c:v>-192319.5146</c:v>
                </c:pt>
                <c:pt idx="1">
                  <c:v>-255,550</c:v>
                </c:pt>
                <c:pt idx="2">
                  <c:v>-276,138</c:v>
                </c:pt>
                <c:pt idx="3">
                  <c:v>-168,165</c:v>
                </c:pt>
                <c:pt idx="4">
                  <c:v>-291,005</c:v>
                </c:pt>
                <c:pt idx="5">
                  <c:v>-204,101</c:v>
                </c:pt>
                <c:pt idx="6">
                  <c:v>-204,951</c:v>
                </c:pt>
                <c:pt idx="7">
                  <c:v>-213335.932</c:v>
                </c:pt>
                <c:pt idx="8">
                  <c:v>-219669.0674</c:v>
                </c:pt>
                <c:pt idx="9">
                  <c:v>-217,973</c:v>
                </c:pt>
                <c:pt idx="10">
                  <c:v>-262,851</c:v>
                </c:pt>
                <c:pt idx="11">
                  <c:v>-218,188</c:v>
                </c:pt>
                <c:pt idx="12">
                  <c:v>-219459.8813</c:v>
                </c:pt>
                <c:pt idx="13">
                  <c:v>-222449.7583</c:v>
                </c:pt>
                <c:pt idx="14">
                  <c:v>-258897.4743</c:v>
                </c:pt>
                <c:pt idx="15">
                  <c:v>-227018.2165</c:v>
                </c:pt>
                <c:pt idx="16">
                  <c:v>-227399.3325</c:v>
                </c:pt>
                <c:pt idx="17">
                  <c:v>-228,121</c:v>
                </c:pt>
                <c:pt idx="18">
                  <c:v>-231,132</c:v>
                </c:pt>
                <c:pt idx="19">
                  <c:v>-231,907</c:v>
                </c:pt>
                <c:pt idx="20">
                  <c:v>-250,413</c:v>
                </c:pt>
                <c:pt idx="21">
                  <c:v>-249051.3532</c:v>
                </c:pt>
                <c:pt idx="22">
                  <c:v>-234,975</c:v>
                </c:pt>
                <c:pt idx="23">
                  <c:v>-245723.7619</c:v>
                </c:pt>
                <c:pt idx="24">
                  <c:v>-238499.3133</c:v>
                </c:pt>
                <c:pt idx="25">
                  <c:v>-242654.4</c:v>
                </c:pt>
                <c:pt idx="26">
                  <c:v>-237484.5436</c:v>
                </c:pt>
                <c:pt idx="27">
                  <c:v>-239332.4565</c:v>
                </c:pt>
                <c:pt idx="28">
                  <c:v>-239694.8443</c:v>
                </c:pt>
                <c:pt idx="29">
                  <c:v>-241,559</c:v>
                </c:pt>
                <c:pt idx="30">
                  <c:v>-240,263</c:v>
                </c:pt>
                <c:pt idx="31">
                  <c:v>-240,343</c:v>
                </c:pt>
                <c:pt idx="32">
                  <c:v>-241112.1029</c:v>
                </c:pt>
                <c:pt idx="33">
                  <c:v>-240,526</c:v>
                </c:pt>
                <c:pt idx="34">
                  <c:v>-240892.4266</c:v>
                </c:pt>
                <c:pt idx="35">
                  <c:v>-240,875</c:v>
                </c:pt>
                <c:pt idx="36">
                  <c:v>-240,736</c:v>
                </c:pt>
                <c:pt idx="37">
                  <c:v>-240828.4662</c:v>
                </c:pt>
                <c:pt idx="38">
                  <c:v>-240,795</c:v>
                </c:pt>
                <c:pt idx="39">
                  <c:v>-241026.7732</c:v>
                </c:pt>
              </c:strCache>
            </c:strRef>
          </c:tx>
          <c:spPr>
            <a:solidFill>
              <a:srgbClr val="00B050"/>
            </a:solidFill>
            <a:ln w="12700">
              <a:solidFill>
                <a:srgbClr val="000000"/>
              </a:solidFill>
              <a:prstDash val="solid"/>
            </a:ln>
          </c:spPr>
          <c:invertIfNegative val="0"/>
          <c:cat>
            <c:strRef>
              <c:f>'Tornado diagram'!$I$6:$I$45</c:f>
              <c:strCache>
                <c:ptCount val="40"/>
                <c:pt idx="0">
                  <c:v>Term birth with antenatal care</c:v>
                </c:pt>
                <c:pt idx="1">
                  <c:v>Reduction in SGA with a PSG </c:v>
                </c:pt>
                <c:pt idx="2">
                  <c:v>LBW cost</c:v>
                </c:pt>
                <c:pt idx="3">
                  <c:v>Reduction in LBW with a PSG </c:v>
                </c:pt>
                <c:pt idx="4">
                  <c:v>LBW term infants</c:v>
                </c:pt>
                <c:pt idx="5">
                  <c:v>Live birth with antenatal care</c:v>
                </c:pt>
                <c:pt idx="6">
                  <c:v>Death among preterm SGA infants</c:v>
                </c:pt>
                <c:pt idx="7">
                  <c:v>Increase in antenatal first visit coverage with a PSG</c:v>
                </c:pt>
                <c:pt idx="8">
                  <c:v>Term birth in the unbooked</c:v>
                </c:pt>
                <c:pt idx="9">
                  <c:v>Death among term SGA infants</c:v>
                </c:pt>
                <c:pt idx="10">
                  <c:v>LBW and preterm</c:v>
                </c:pt>
                <c:pt idx="11">
                  <c:v>SGA among preterm LBW infants</c:v>
                </c:pt>
                <c:pt idx="12">
                  <c:v>Motor impairment among infants with hypoglycaemia</c:v>
                </c:pt>
                <c:pt idx="13">
                  <c:v>Reduction in infant death with a PSG</c:v>
                </c:pt>
                <c:pt idx="14">
                  <c:v>Motor impairment among infants without hypoglycaemia</c:v>
                </c:pt>
                <c:pt idx="15">
                  <c:v>Death among preterm AGA infants</c:v>
                </c:pt>
                <c:pt idx="16">
                  <c:v>Chronic lung disease DW</c:v>
                </c:pt>
                <c:pt idx="17">
                  <c:v>Antenatal care</c:v>
                </c:pt>
                <c:pt idx="18">
                  <c:v>Chronic lung disease among infants with RDS</c:v>
                </c:pt>
                <c:pt idx="19">
                  <c:v>PSG cost</c:v>
                </c:pt>
                <c:pt idx="20">
                  <c:v>Reduction in preterm birth with a PSG </c:v>
                </c:pt>
                <c:pt idx="21">
                  <c:v>Death among term AGA infants</c:v>
                </c:pt>
                <c:pt idx="22">
                  <c:v>Hypoglycaemia among term SGA infants</c:v>
                </c:pt>
                <c:pt idx="23">
                  <c:v>Chronic lung disease cost</c:v>
                </c:pt>
                <c:pt idx="24">
                  <c:v>Live birth among unbooked</c:v>
                </c:pt>
                <c:pt idx="25">
                  <c:v>RDS cost</c:v>
                </c:pt>
                <c:pt idx="26">
                  <c:v>Normal birth weight cost</c:v>
                </c:pt>
                <c:pt idx="27">
                  <c:v>Hypoglycaemia among preterm SGA infants</c:v>
                </c:pt>
                <c:pt idx="28">
                  <c:v>AGA among term normal birth weight infants</c:v>
                </c:pt>
                <c:pt idx="29">
                  <c:v>RDS among preterm infants</c:v>
                </c:pt>
                <c:pt idx="30">
                  <c:v>Hypoglycaemia among preterm SGA infants</c:v>
                </c:pt>
                <c:pt idx="31">
                  <c:v>Clinic follow-up cost</c:v>
                </c:pt>
                <c:pt idx="32">
                  <c:v>Hypoglycaemia cost</c:v>
                </c:pt>
                <c:pt idx="33">
                  <c:v>Motor impairment DW</c:v>
                </c:pt>
                <c:pt idx="34">
                  <c:v>Hospital follow-up cost</c:v>
                </c:pt>
                <c:pt idx="35">
                  <c:v>Preterm birth cost</c:v>
                </c:pt>
                <c:pt idx="36">
                  <c:v>Antenatal care cost</c:v>
                </c:pt>
                <c:pt idx="37">
                  <c:v>Stillbirth cost</c:v>
                </c:pt>
                <c:pt idx="38">
                  <c:v>Motor impairment cost</c:v>
                </c:pt>
                <c:pt idx="39">
                  <c:v>Child support grant cost</c:v>
                </c:pt>
              </c:strCache>
            </c:strRef>
          </c:cat>
          <c:val>
            <c:numRef>
              <c:f>'Tornado diagram'!$K$6:$K$45</c:f>
              <c:numCache>
                <c:formatCode>#,##0</c:formatCode>
                <c:ptCount val="40"/>
                <c:pt idx="0" formatCode="General">
                  <c:v>-192319.5145706528</c:v>
                </c:pt>
                <c:pt idx="1">
                  <c:v>-255550.02469313127</c:v>
                </c:pt>
                <c:pt idx="2">
                  <c:v>-276138.07534962945</c:v>
                </c:pt>
                <c:pt idx="3">
                  <c:v>-168165.1349030727</c:v>
                </c:pt>
                <c:pt idx="4">
                  <c:v>-291005.37373456144</c:v>
                </c:pt>
                <c:pt idx="5">
                  <c:v>-204100.95405053452</c:v>
                </c:pt>
                <c:pt idx="6">
                  <c:v>-204951.48347598288</c:v>
                </c:pt>
                <c:pt idx="7" formatCode="General">
                  <c:v>-213335.93196634873</c:v>
                </c:pt>
                <c:pt idx="8" formatCode="General">
                  <c:v>-219669.06740325264</c:v>
                </c:pt>
                <c:pt idx="9">
                  <c:v>-217973.11759919606</c:v>
                </c:pt>
                <c:pt idx="10">
                  <c:v>-262851.16131760809</c:v>
                </c:pt>
                <c:pt idx="11">
                  <c:v>-218187.57571999758</c:v>
                </c:pt>
                <c:pt idx="12" formatCode="General">
                  <c:v>-219459.88127228606</c:v>
                </c:pt>
                <c:pt idx="13" formatCode="General">
                  <c:v>-222449.75834357357</c:v>
                </c:pt>
                <c:pt idx="14" formatCode="General">
                  <c:v>-258897.4743041457</c:v>
                </c:pt>
                <c:pt idx="15" formatCode="General">
                  <c:v>-227018.21649344172</c:v>
                </c:pt>
                <c:pt idx="16" formatCode="General">
                  <c:v>-227399.33251336243</c:v>
                </c:pt>
                <c:pt idx="17">
                  <c:v>-228121.08194292747</c:v>
                </c:pt>
                <c:pt idx="18">
                  <c:v>-231131.55618180562</c:v>
                </c:pt>
                <c:pt idx="19">
                  <c:v>-231907.36720877906</c:v>
                </c:pt>
                <c:pt idx="20">
                  <c:v>-250413.43672888493</c:v>
                </c:pt>
                <c:pt idx="21" formatCode="General">
                  <c:v>-249051.35323752239</c:v>
                </c:pt>
                <c:pt idx="22">
                  <c:v>-234974.94290533321</c:v>
                </c:pt>
                <c:pt idx="23" formatCode="General">
                  <c:v>-245723.76185289206</c:v>
                </c:pt>
                <c:pt idx="24" formatCode="General">
                  <c:v>-238499.31332450197</c:v>
                </c:pt>
                <c:pt idx="25" formatCode="General">
                  <c:v>-242654.40002437847</c:v>
                </c:pt>
                <c:pt idx="26" formatCode="General">
                  <c:v>-237484.54359070459</c:v>
                </c:pt>
                <c:pt idx="27" formatCode="General">
                  <c:v>-239332.45648579186</c:v>
                </c:pt>
                <c:pt idx="28" formatCode="General">
                  <c:v>-239694.84429313315</c:v>
                </c:pt>
                <c:pt idx="29">
                  <c:v>-241559.49883339283</c:v>
                </c:pt>
                <c:pt idx="30">
                  <c:v>-240263.19701714168</c:v>
                </c:pt>
                <c:pt idx="31">
                  <c:v>-240343.10175835021</c:v>
                </c:pt>
                <c:pt idx="32" formatCode="General">
                  <c:v>-241112.10290005736</c:v>
                </c:pt>
                <c:pt idx="33">
                  <c:v>-240525.52240763765</c:v>
                </c:pt>
                <c:pt idx="34" formatCode="General">
                  <c:v>-240892.42658652394</c:v>
                </c:pt>
                <c:pt idx="35">
                  <c:v>-240875.12500405457</c:v>
                </c:pt>
                <c:pt idx="36">
                  <c:v>-240736.49130141782</c:v>
                </c:pt>
                <c:pt idx="37" formatCode="General">
                  <c:v>-240828.46618623627</c:v>
                </c:pt>
                <c:pt idx="38">
                  <c:v>-240794.64526296384</c:v>
                </c:pt>
                <c:pt idx="39" formatCode="General">
                  <c:v>-241026.77317156637</c:v>
                </c:pt>
              </c:numCache>
            </c:numRef>
          </c:val>
          <c:extLst>
            <c:ext xmlns:c16="http://schemas.microsoft.com/office/drawing/2014/chart" uri="{C3380CC4-5D6E-409C-BE32-E72D297353CC}">
              <c16:uniqueId val="{00000001-E80A-415D-B431-BDB43CFED890}"/>
            </c:ext>
          </c:extLst>
        </c:ser>
        <c:dLbls>
          <c:showLegendKey val="0"/>
          <c:showVal val="0"/>
          <c:showCatName val="0"/>
          <c:showSerName val="0"/>
          <c:showPercent val="0"/>
          <c:showBubbleSize val="0"/>
        </c:dLbls>
        <c:gapWidth val="100"/>
        <c:overlap val="100"/>
        <c:axId val="599897680"/>
        <c:axId val="1"/>
      </c:barChart>
      <c:catAx>
        <c:axId val="599897680"/>
        <c:scaling>
          <c:orientation val="maxMin"/>
        </c:scaling>
        <c:delete val="0"/>
        <c:axPos val="l"/>
        <c:numFmt formatCode="General" sourceLinked="1"/>
        <c:majorTickMark val="none"/>
        <c:minorTickMark val="none"/>
        <c:tickLblPos val="low"/>
        <c:spPr>
          <a:ln w="3175">
            <a:solidFill>
              <a:srgbClr val="000000"/>
            </a:solidFill>
            <a:prstDash val="solid"/>
          </a:ln>
        </c:spPr>
        <c:txPr>
          <a:bodyPr rot="0" vert="horz"/>
          <a:lstStyle/>
          <a:p>
            <a:pPr>
              <a:defRPr sz="1400" b="1" i="0" u="none" strike="noStrike" baseline="0">
                <a:solidFill>
                  <a:srgbClr val="000000"/>
                </a:solidFill>
                <a:latin typeface="Calibri"/>
                <a:ea typeface="Calibri"/>
                <a:cs typeface="Calibri"/>
              </a:defRPr>
            </a:pPr>
            <a:endParaRPr lang="en-US"/>
          </a:p>
        </c:txPr>
        <c:crossAx val="1"/>
        <c:crossesAt val="-241109"/>
        <c:auto val="0"/>
        <c:lblAlgn val="ctr"/>
        <c:lblOffset val="100"/>
        <c:tickLblSkip val="1"/>
        <c:tickMarkSkip val="1"/>
        <c:noMultiLvlLbl val="0"/>
      </c:catAx>
      <c:valAx>
        <c:axId val="1"/>
        <c:scaling>
          <c:orientation val="minMax"/>
        </c:scaling>
        <c:delete val="0"/>
        <c:axPos val="b"/>
        <c:title>
          <c:tx>
            <c:rich>
              <a:bodyPr/>
              <a:lstStyle/>
              <a:p>
                <a:pPr>
                  <a:defRPr sz="1400" b="1" i="0" u="none" strike="noStrike" baseline="0">
                    <a:solidFill>
                      <a:srgbClr val="000000"/>
                    </a:solidFill>
                    <a:latin typeface="Calibri"/>
                    <a:ea typeface="Calibri"/>
                    <a:cs typeface="Calibri"/>
                  </a:defRPr>
                </a:pPr>
                <a:r>
                  <a:rPr lang="en-ZA"/>
                  <a:t>ICER</a:t>
                </a:r>
              </a:p>
            </c:rich>
          </c:tx>
          <c:layout>
            <c:manualLayout>
              <c:xMode val="edge"/>
              <c:yMode val="edge"/>
              <c:x val="0.43868289565193536"/>
              <c:y val="0.96981731895838574"/>
            </c:manualLayout>
          </c:layout>
          <c:overlay val="0"/>
        </c:title>
        <c:numFmt formatCode="&quot;R&quot;#,##0" sourceLinked="0"/>
        <c:majorTickMark val="cross"/>
        <c:minorTickMark val="none"/>
        <c:tickLblPos val="nextTo"/>
        <c:spPr>
          <a:ln w="3175">
            <a:solidFill>
              <a:srgbClr val="000000"/>
            </a:solidFill>
            <a:prstDash val="solid"/>
          </a:ln>
        </c:spPr>
        <c:txPr>
          <a:bodyPr rot="-5400000" vert="horz"/>
          <a:lstStyle/>
          <a:p>
            <a:pPr>
              <a:defRPr sz="1400" b="0" i="0" u="none" strike="noStrike" baseline="0">
                <a:solidFill>
                  <a:srgbClr val="000000"/>
                </a:solidFill>
                <a:latin typeface="Calibri"/>
                <a:ea typeface="Calibri"/>
                <a:cs typeface="Calibri"/>
              </a:defRPr>
            </a:pPr>
            <a:endParaRPr lang="en-US"/>
          </a:p>
        </c:txPr>
        <c:crossAx val="599897680"/>
        <c:crosses val="max"/>
        <c:crossBetween val="between"/>
      </c:valAx>
      <c:spPr>
        <a:noFill/>
        <a:ln w="25400">
          <a:noFill/>
        </a:ln>
      </c:spPr>
    </c:plotArea>
    <c:plotVisOnly val="1"/>
    <c:dispBlanksAs val="gap"/>
    <c:showDLblsOverMax val="0"/>
  </c:chart>
  <c:spPr>
    <a:solidFill>
      <a:srgbClr val="FFFFFF"/>
    </a:solidFill>
    <a:ln w="12700">
      <a:solidFill>
        <a:schemeClr val="bg1"/>
      </a:solidFill>
      <a:prstDash val="solid"/>
    </a:ln>
  </c:spPr>
  <c:txPr>
    <a:bodyPr/>
    <a:lstStyle/>
    <a:p>
      <a:pPr>
        <a:defRPr sz="1000" b="0" i="0" u="none" strike="noStrike" baseline="0">
          <a:solidFill>
            <a:srgbClr val="000000"/>
          </a:solidFill>
          <a:latin typeface="Calibri"/>
          <a:ea typeface="Calibri"/>
          <a:cs typeface="Calibri"/>
        </a:defRPr>
      </a:pPr>
      <a:endParaRPr lang="en-US"/>
    </a:p>
  </c:txPr>
  <c:printSettings>
    <c:headerFooter alignWithMargins="0">
      <c:oddHeader>&amp;A</c:oddHeader>
      <c:oddFooter>Page &amp;P</c:oddFooter>
    </c:headerFooter>
    <c:pageMargins b="1" l="0.75" r="0.75" t="1" header="0.5" footer="0.5"/>
    <c:pageSetup orientation="landscape" horizontalDpi="300" verticalDpi="300"/>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ZA"/>
              <a:t>Tornado diagram</a:t>
            </a:r>
          </a:p>
        </c:rich>
      </c:tx>
      <c:overlay val="0"/>
    </c:title>
    <c:autoTitleDeleted val="0"/>
    <c:plotArea>
      <c:layout>
        <c:manualLayout>
          <c:layoutTarget val="inner"/>
          <c:xMode val="edge"/>
          <c:yMode val="edge"/>
          <c:x val="0.1547042849881187"/>
          <c:y val="5.9088220990310504E-2"/>
          <c:w val="0.7612095933263815"/>
          <c:h val="0.79503598400158126"/>
        </c:manualLayout>
      </c:layout>
      <c:barChart>
        <c:barDir val="bar"/>
        <c:grouping val="clustered"/>
        <c:varyColors val="0"/>
        <c:ser>
          <c:idx val="0"/>
          <c:order val="0"/>
          <c:tx>
            <c:strRef>
              <c:f>'Tornado diagram - INMB'!$J$5</c:f>
              <c:strCache>
                <c:ptCount val="1"/>
                <c:pt idx="0">
                  <c:v>Low value</c:v>
                </c:pt>
              </c:strCache>
            </c:strRef>
          </c:tx>
          <c:spPr>
            <a:solidFill>
              <a:schemeClr val="accent3">
                <a:alpha val="50000"/>
              </a:schemeClr>
            </a:solidFill>
            <a:ln w="12700">
              <a:solidFill>
                <a:srgbClr val="000000"/>
              </a:solidFill>
              <a:prstDash val="solid"/>
            </a:ln>
          </c:spPr>
          <c:invertIfNegative val="0"/>
          <c:cat>
            <c:strRef>
              <c:f>'Tornado diagram - INMB'!$I$6:$I$45</c:f>
              <c:strCache>
                <c:ptCount val="40"/>
                <c:pt idx="0">
                  <c:v>Term birth with antenatal care</c:v>
                </c:pt>
                <c:pt idx="1">
                  <c:v>LBW cost</c:v>
                </c:pt>
                <c:pt idx="2">
                  <c:v>Reduction in LBW with a PSG </c:v>
                </c:pt>
                <c:pt idx="3">
                  <c:v>LBW term infants</c:v>
                </c:pt>
                <c:pt idx="4">
                  <c:v>LBW and preterm</c:v>
                </c:pt>
                <c:pt idx="5">
                  <c:v>Term birth in the unbooked</c:v>
                </c:pt>
                <c:pt idx="6">
                  <c:v>Reduction in preterm birth with a PSG </c:v>
                </c:pt>
                <c:pt idx="7">
                  <c:v>Live birth with antenatal care</c:v>
                </c:pt>
                <c:pt idx="8">
                  <c:v>Increase in antenatal first visit coverage with a PSG</c:v>
                </c:pt>
                <c:pt idx="9">
                  <c:v>PSG cost</c:v>
                </c:pt>
                <c:pt idx="10">
                  <c:v>Chronic lung disease among infants with RDS</c:v>
                </c:pt>
                <c:pt idx="11">
                  <c:v>Death among preterm SGA infants</c:v>
                </c:pt>
                <c:pt idx="12">
                  <c:v>Chronic lung disease cost</c:v>
                </c:pt>
                <c:pt idx="13">
                  <c:v>Antenatal care</c:v>
                </c:pt>
                <c:pt idx="14">
                  <c:v>Live birth among unbooked</c:v>
                </c:pt>
                <c:pt idx="15">
                  <c:v>Death among term SGA infants</c:v>
                </c:pt>
                <c:pt idx="16">
                  <c:v>SGA among preterm LBW infants</c:v>
                </c:pt>
                <c:pt idx="17">
                  <c:v>Motor impairment among infants with hypoglycaemia</c:v>
                </c:pt>
                <c:pt idx="18">
                  <c:v>Reduction in infant death with a PSG</c:v>
                </c:pt>
                <c:pt idx="19">
                  <c:v>Motor impairment among infants without hypoglycaemia</c:v>
                </c:pt>
                <c:pt idx="20">
                  <c:v>RDS among preterm infants</c:v>
                </c:pt>
                <c:pt idx="21">
                  <c:v>Reduction in SGA with a PSG </c:v>
                </c:pt>
                <c:pt idx="22">
                  <c:v>Death among preterm AGA infants</c:v>
                </c:pt>
                <c:pt idx="23">
                  <c:v>Chronic lung disease DW</c:v>
                </c:pt>
                <c:pt idx="24">
                  <c:v>RDS cost</c:v>
                </c:pt>
                <c:pt idx="25">
                  <c:v>Normal birth weight cost</c:v>
                </c:pt>
                <c:pt idx="26">
                  <c:v>Death among term AGA infants</c:v>
                </c:pt>
                <c:pt idx="27">
                  <c:v>Hypoglycaemia among term SGA infants</c:v>
                </c:pt>
                <c:pt idx="28">
                  <c:v>Clinic follow-up cost</c:v>
                </c:pt>
                <c:pt idx="29">
                  <c:v>Hypoglycaemia cost</c:v>
                </c:pt>
                <c:pt idx="30">
                  <c:v>Hypoglycaemia among preterm SGA infants</c:v>
                </c:pt>
                <c:pt idx="31">
                  <c:v>AGA among term normal birth weight infants</c:v>
                </c:pt>
                <c:pt idx="32">
                  <c:v>Hypoglycaemia among preterm SGA infants</c:v>
                </c:pt>
                <c:pt idx="33">
                  <c:v>Hospital follow-up cost</c:v>
                </c:pt>
                <c:pt idx="34">
                  <c:v>Preterm birth cost</c:v>
                </c:pt>
                <c:pt idx="35">
                  <c:v>Antenatal care cost</c:v>
                </c:pt>
                <c:pt idx="36">
                  <c:v>Stillbirth cost</c:v>
                </c:pt>
                <c:pt idx="37">
                  <c:v>Motor impairment DW</c:v>
                </c:pt>
                <c:pt idx="38">
                  <c:v>Motor impairment cost</c:v>
                </c:pt>
                <c:pt idx="39">
                  <c:v>Child support grant cost</c:v>
                </c:pt>
              </c:strCache>
            </c:strRef>
          </c:cat>
          <c:val>
            <c:numRef>
              <c:f>'Tornado diagram - INMB'!$J$6:$J$45</c:f>
              <c:numCache>
                <c:formatCode>#,##0</c:formatCode>
                <c:ptCount val="40"/>
                <c:pt idx="0">
                  <c:v>16936.22825962519</c:v>
                </c:pt>
                <c:pt idx="1">
                  <c:v>16759.549132432574</c:v>
                </c:pt>
                <c:pt idx="2">
                  <c:v>44197.104095223527</c:v>
                </c:pt>
                <c:pt idx="3">
                  <c:v>26768.623433254281</c:v>
                </c:pt>
                <c:pt idx="4">
                  <c:v>29347.255018886386</c:v>
                </c:pt>
                <c:pt idx="5">
                  <c:v>31729.202190471973</c:v>
                </c:pt>
                <c:pt idx="6">
                  <c:v>37436.502366306653</c:v>
                </c:pt>
                <c:pt idx="7">
                  <c:v>34802.806837220167</c:v>
                </c:pt>
                <c:pt idx="8">
                  <c:v>34947.055673458271</c:v>
                </c:pt>
                <c:pt idx="9">
                  <c:v>37308.435234355216</c:v>
                </c:pt>
                <c:pt idx="10">
                  <c:v>35181.284811144884</c:v>
                </c:pt>
                <c:pt idx="11">
                  <c:v>35338.067205349995</c:v>
                </c:pt>
                <c:pt idx="12">
                  <c:v>35474.063487478867</c:v>
                </c:pt>
                <c:pt idx="13">
                  <c:v>35593.264516045994</c:v>
                </c:pt>
                <c:pt idx="14">
                  <c:v>35595.66349230746</c:v>
                </c:pt>
                <c:pt idx="15">
                  <c:v>35652.849750403897</c:v>
                </c:pt>
                <c:pt idx="16">
                  <c:v>35668.667291226149</c:v>
                </c:pt>
                <c:pt idx="17">
                  <c:v>35672.417421928956</c:v>
                </c:pt>
                <c:pt idx="18">
                  <c:v>35734.730543923462</c:v>
                </c:pt>
                <c:pt idx="19">
                  <c:v>36531.577270489644</c:v>
                </c:pt>
                <c:pt idx="20">
                  <c:v>35795.991647443196</c:v>
                </c:pt>
                <c:pt idx="21">
                  <c:v>36448.687458326043</c:v>
                </c:pt>
                <c:pt idx="22">
                  <c:v>35874.512406173963</c:v>
                </c:pt>
                <c:pt idx="23">
                  <c:v>35924.618769112858</c:v>
                </c:pt>
                <c:pt idx="24">
                  <c:v>35899.8241088918</c:v>
                </c:pt>
                <c:pt idx="25">
                  <c:v>36121.325029489322</c:v>
                </c:pt>
                <c:pt idx="26">
                  <c:v>36321.95541198815</c:v>
                </c:pt>
                <c:pt idx="27">
                  <c:v>35998.487963994427</c:v>
                </c:pt>
                <c:pt idx="28">
                  <c:v>36220.431401545909</c:v>
                </c:pt>
                <c:pt idx="29">
                  <c:v>36116.739177314506</c:v>
                </c:pt>
                <c:pt idx="30">
                  <c:v>36119.097566976518</c:v>
                </c:pt>
                <c:pt idx="31">
                  <c:v>36124.6332152873</c:v>
                </c:pt>
                <c:pt idx="32">
                  <c:v>36143.256553236766</c:v>
                </c:pt>
                <c:pt idx="33">
                  <c:v>36144.23286475947</c:v>
                </c:pt>
                <c:pt idx="34">
                  <c:v>36146.632820487997</c:v>
                </c:pt>
                <c:pt idx="35">
                  <c:v>36165.863127855235</c:v>
                </c:pt>
                <c:pt idx="36">
                  <c:v>36153.460357023549</c:v>
                </c:pt>
                <c:pt idx="37">
                  <c:v>36154.069349905738</c:v>
                </c:pt>
                <c:pt idx="38">
                  <c:v>36157.796412951924</c:v>
                </c:pt>
                <c:pt idx="39">
                  <c:v>36189.084032202183</c:v>
                </c:pt>
              </c:numCache>
            </c:numRef>
          </c:val>
          <c:extLst>
            <c:ext xmlns:c16="http://schemas.microsoft.com/office/drawing/2014/chart" uri="{C3380CC4-5D6E-409C-BE32-E72D297353CC}">
              <c16:uniqueId val="{00000000-93CD-4662-932B-0220638500B9}"/>
            </c:ext>
          </c:extLst>
        </c:ser>
        <c:ser>
          <c:idx val="1"/>
          <c:order val="1"/>
          <c:tx>
            <c:strRef>
              <c:f>'Tornado diagram - INMB'!$K$5</c:f>
              <c:strCache>
                <c:ptCount val="1"/>
                <c:pt idx="0">
                  <c:v>High value</c:v>
                </c:pt>
              </c:strCache>
            </c:strRef>
          </c:tx>
          <c:spPr>
            <a:solidFill>
              <a:srgbClr val="00B050"/>
            </a:solidFill>
            <a:ln w="12700">
              <a:solidFill>
                <a:srgbClr val="000000"/>
              </a:solidFill>
              <a:prstDash val="solid"/>
            </a:ln>
          </c:spPr>
          <c:invertIfNegative val="0"/>
          <c:cat>
            <c:strRef>
              <c:f>'Tornado diagram - INMB'!$I$6:$I$45</c:f>
              <c:strCache>
                <c:ptCount val="40"/>
                <c:pt idx="0">
                  <c:v>Term birth with antenatal care</c:v>
                </c:pt>
                <c:pt idx="1">
                  <c:v>LBW cost</c:v>
                </c:pt>
                <c:pt idx="2">
                  <c:v>Reduction in LBW with a PSG </c:v>
                </c:pt>
                <c:pt idx="3">
                  <c:v>LBW term infants</c:v>
                </c:pt>
                <c:pt idx="4">
                  <c:v>LBW and preterm</c:v>
                </c:pt>
                <c:pt idx="5">
                  <c:v>Term birth in the unbooked</c:v>
                </c:pt>
                <c:pt idx="6">
                  <c:v>Reduction in preterm birth with a PSG </c:v>
                </c:pt>
                <c:pt idx="7">
                  <c:v>Live birth with antenatal care</c:v>
                </c:pt>
                <c:pt idx="8">
                  <c:v>Increase in antenatal first visit coverage with a PSG</c:v>
                </c:pt>
                <c:pt idx="9">
                  <c:v>PSG cost</c:v>
                </c:pt>
                <c:pt idx="10">
                  <c:v>Chronic lung disease among infants with RDS</c:v>
                </c:pt>
                <c:pt idx="11">
                  <c:v>Death among preterm SGA infants</c:v>
                </c:pt>
                <c:pt idx="12">
                  <c:v>Chronic lung disease cost</c:v>
                </c:pt>
                <c:pt idx="13">
                  <c:v>Antenatal care</c:v>
                </c:pt>
                <c:pt idx="14">
                  <c:v>Live birth among unbooked</c:v>
                </c:pt>
                <c:pt idx="15">
                  <c:v>Death among term SGA infants</c:v>
                </c:pt>
                <c:pt idx="16">
                  <c:v>SGA among preterm LBW infants</c:v>
                </c:pt>
                <c:pt idx="17">
                  <c:v>Motor impairment among infants with hypoglycaemia</c:v>
                </c:pt>
                <c:pt idx="18">
                  <c:v>Reduction in infant death with a PSG</c:v>
                </c:pt>
                <c:pt idx="19">
                  <c:v>Motor impairment among infants without hypoglycaemia</c:v>
                </c:pt>
                <c:pt idx="20">
                  <c:v>RDS among preterm infants</c:v>
                </c:pt>
                <c:pt idx="21">
                  <c:v>Reduction in SGA with a PSG </c:v>
                </c:pt>
                <c:pt idx="22">
                  <c:v>Death among preterm AGA infants</c:v>
                </c:pt>
                <c:pt idx="23">
                  <c:v>Chronic lung disease DW</c:v>
                </c:pt>
                <c:pt idx="24">
                  <c:v>RDS cost</c:v>
                </c:pt>
                <c:pt idx="25">
                  <c:v>Normal birth weight cost</c:v>
                </c:pt>
                <c:pt idx="26">
                  <c:v>Death among term AGA infants</c:v>
                </c:pt>
                <c:pt idx="27">
                  <c:v>Hypoglycaemia among term SGA infants</c:v>
                </c:pt>
                <c:pt idx="28">
                  <c:v>Clinic follow-up cost</c:v>
                </c:pt>
                <c:pt idx="29">
                  <c:v>Hypoglycaemia cost</c:v>
                </c:pt>
                <c:pt idx="30">
                  <c:v>Hypoglycaemia among preterm SGA infants</c:v>
                </c:pt>
                <c:pt idx="31">
                  <c:v>AGA among term normal birth weight infants</c:v>
                </c:pt>
                <c:pt idx="32">
                  <c:v>Hypoglycaemia among preterm SGA infants</c:v>
                </c:pt>
                <c:pt idx="33">
                  <c:v>Hospital follow-up cost</c:v>
                </c:pt>
                <c:pt idx="34">
                  <c:v>Preterm birth cost</c:v>
                </c:pt>
                <c:pt idx="35">
                  <c:v>Antenatal care cost</c:v>
                </c:pt>
                <c:pt idx="36">
                  <c:v>Stillbirth cost</c:v>
                </c:pt>
                <c:pt idx="37">
                  <c:v>Motor impairment DW</c:v>
                </c:pt>
                <c:pt idx="38">
                  <c:v>Motor impairment cost</c:v>
                </c:pt>
                <c:pt idx="39">
                  <c:v>Child support grant cost</c:v>
                </c:pt>
              </c:strCache>
            </c:strRef>
          </c:cat>
          <c:val>
            <c:numRef>
              <c:f>'Tornado diagram - INMB'!$K$6:$K$45</c:f>
              <c:numCache>
                <c:formatCode>General</c:formatCode>
                <c:ptCount val="40"/>
                <c:pt idx="0" formatCode="#,##0">
                  <c:v>54099.161744103461</c:v>
                </c:pt>
                <c:pt idx="1">
                  <c:v>40734.787653307838</c:v>
                </c:pt>
                <c:pt idx="2" formatCode="#,##0">
                  <c:v>25105.26555066129</c:v>
                </c:pt>
                <c:pt idx="3">
                  <c:v>45548.247035456348</c:v>
                </c:pt>
                <c:pt idx="4">
                  <c:v>42515.536768792794</c:v>
                </c:pt>
                <c:pt idx="5" formatCode="#,##0">
                  <c:v>40587.668278238503</c:v>
                </c:pt>
                <c:pt idx="6" formatCode="#,##0">
                  <c:v>34789.077592978749</c:v>
                </c:pt>
                <c:pt idx="7">
                  <c:v>37423.65671196513</c:v>
                </c:pt>
                <c:pt idx="8" formatCode="#,##0">
                  <c:v>37369.814795252161</c:v>
                </c:pt>
                <c:pt idx="9">
                  <c:v>35008.435234355129</c:v>
                </c:pt>
                <c:pt idx="10">
                  <c:v>37070.442296018351</c:v>
                </c:pt>
                <c:pt idx="11">
                  <c:v>36978.803263360431</c:v>
                </c:pt>
                <c:pt idx="12" formatCode="#,##0">
                  <c:v>36797.182198106559</c:v>
                </c:pt>
                <c:pt idx="13">
                  <c:v>36835.838435732927</c:v>
                </c:pt>
                <c:pt idx="14">
                  <c:v>36683.688860266542</c:v>
                </c:pt>
                <c:pt idx="15">
                  <c:v>36664.020718306609</c:v>
                </c:pt>
                <c:pt idx="16">
                  <c:v>36648.20317748456</c:v>
                </c:pt>
                <c:pt idx="17">
                  <c:v>36644.453046781513</c:v>
                </c:pt>
                <c:pt idx="18">
                  <c:v>36553.892945424843</c:v>
                </c:pt>
                <c:pt idx="19">
                  <c:v>35810.169333963211</c:v>
                </c:pt>
                <c:pt idx="20">
                  <c:v>36496.715915473033</c:v>
                </c:pt>
                <c:pt idx="21" formatCode="#,##0">
                  <c:v>35852.46101491939</c:v>
                </c:pt>
                <c:pt idx="22">
                  <c:v>36442.358062536441</c:v>
                </c:pt>
                <c:pt idx="23">
                  <c:v>36451.949520510563</c:v>
                </c:pt>
                <c:pt idx="24">
                  <c:v>36399.805618121012</c:v>
                </c:pt>
                <c:pt idx="25">
                  <c:v>35730.48737432684</c:v>
                </c:pt>
                <c:pt idx="26">
                  <c:v>35994.915056722319</c:v>
                </c:pt>
                <c:pt idx="27">
                  <c:v>36318.382504716006</c:v>
                </c:pt>
                <c:pt idx="28">
                  <c:v>36100.572144977312</c:v>
                </c:pt>
                <c:pt idx="29">
                  <c:v>36200.131291395883</c:v>
                </c:pt>
                <c:pt idx="30">
                  <c:v>36197.772901733959</c:v>
                </c:pt>
                <c:pt idx="31">
                  <c:v>36189.983785485369</c:v>
                </c:pt>
                <c:pt idx="32">
                  <c:v>36172.602003399166</c:v>
                </c:pt>
                <c:pt idx="33">
                  <c:v>36171.690779311321</c:v>
                </c:pt>
                <c:pt idx="34">
                  <c:v>36169.45082063126</c:v>
                </c:pt>
                <c:pt idx="35">
                  <c:v>36151.502533755222</c:v>
                </c:pt>
                <c:pt idx="36" formatCode="#,##0">
                  <c:v>36163.410111686957</c:v>
                </c:pt>
                <c:pt idx="37">
                  <c:v>36163.916844830768</c:v>
                </c:pt>
                <c:pt idx="38">
                  <c:v>36159.0314676649</c:v>
                </c:pt>
                <c:pt idx="39" formatCode="#,##0">
                  <c:v>36189.084032202183</c:v>
                </c:pt>
              </c:numCache>
            </c:numRef>
          </c:val>
          <c:extLst>
            <c:ext xmlns:c16="http://schemas.microsoft.com/office/drawing/2014/chart" uri="{C3380CC4-5D6E-409C-BE32-E72D297353CC}">
              <c16:uniqueId val="{00000001-93CD-4662-932B-0220638500B9}"/>
            </c:ext>
          </c:extLst>
        </c:ser>
        <c:dLbls>
          <c:showLegendKey val="0"/>
          <c:showVal val="0"/>
          <c:showCatName val="0"/>
          <c:showSerName val="0"/>
          <c:showPercent val="0"/>
          <c:showBubbleSize val="0"/>
        </c:dLbls>
        <c:gapWidth val="100"/>
        <c:overlap val="100"/>
        <c:axId val="599897680"/>
        <c:axId val="1"/>
      </c:barChart>
      <c:catAx>
        <c:axId val="599897680"/>
        <c:scaling>
          <c:orientation val="maxMin"/>
        </c:scaling>
        <c:delete val="0"/>
        <c:axPos val="l"/>
        <c:numFmt formatCode="General" sourceLinked="1"/>
        <c:majorTickMark val="none"/>
        <c:minorTickMark val="none"/>
        <c:tickLblPos val="low"/>
        <c:spPr>
          <a:ln w="3175">
            <a:solidFill>
              <a:srgbClr val="000000"/>
            </a:solidFill>
            <a:prstDash val="solid"/>
          </a:ln>
        </c:spPr>
        <c:txPr>
          <a:bodyPr rot="0" vert="horz"/>
          <a:lstStyle/>
          <a:p>
            <a:pPr>
              <a:defRPr sz="1400" b="1" i="0" u="none" strike="noStrike" baseline="0">
                <a:solidFill>
                  <a:srgbClr val="000000"/>
                </a:solidFill>
                <a:latin typeface="Calibri"/>
                <a:ea typeface="Calibri"/>
                <a:cs typeface="Calibri"/>
              </a:defRPr>
            </a:pPr>
            <a:endParaRPr lang="en-US"/>
          </a:p>
        </c:txPr>
        <c:crossAx val="1"/>
        <c:crossesAt val="37362"/>
        <c:auto val="0"/>
        <c:lblAlgn val="ctr"/>
        <c:lblOffset val="100"/>
        <c:tickLblSkip val="1"/>
        <c:tickMarkSkip val="1"/>
        <c:noMultiLvlLbl val="0"/>
      </c:catAx>
      <c:valAx>
        <c:axId val="1"/>
        <c:scaling>
          <c:orientation val="minMax"/>
          <c:max val="60000"/>
          <c:min val="0"/>
        </c:scaling>
        <c:delete val="0"/>
        <c:axPos val="b"/>
        <c:title>
          <c:tx>
            <c:rich>
              <a:bodyPr/>
              <a:lstStyle/>
              <a:p>
                <a:pPr>
                  <a:defRPr sz="1400" b="1" i="0" u="none" strike="noStrike" baseline="0">
                    <a:solidFill>
                      <a:srgbClr val="000000"/>
                    </a:solidFill>
                    <a:latin typeface="Calibri"/>
                    <a:ea typeface="Calibri"/>
                    <a:cs typeface="Calibri"/>
                  </a:defRPr>
                </a:pPr>
                <a:r>
                  <a:rPr lang="en-ZA"/>
                  <a:t>INMB</a:t>
                </a:r>
              </a:p>
            </c:rich>
          </c:tx>
          <c:layout>
            <c:manualLayout>
              <c:xMode val="edge"/>
              <c:yMode val="edge"/>
              <c:x val="0.43868289565193536"/>
              <c:y val="0.96981731895838574"/>
            </c:manualLayout>
          </c:layout>
          <c:overlay val="0"/>
        </c:title>
        <c:numFmt formatCode="&quot;R&quot;#,##0" sourceLinked="0"/>
        <c:majorTickMark val="cross"/>
        <c:minorTickMark val="none"/>
        <c:tickLblPos val="nextTo"/>
        <c:spPr>
          <a:ln w="3175">
            <a:solidFill>
              <a:srgbClr val="000000"/>
            </a:solidFill>
            <a:prstDash val="solid"/>
          </a:ln>
        </c:spPr>
        <c:txPr>
          <a:bodyPr rot="-5400000" vert="horz"/>
          <a:lstStyle/>
          <a:p>
            <a:pPr>
              <a:defRPr sz="1400" b="0" i="0" u="none" strike="noStrike" baseline="0">
                <a:solidFill>
                  <a:srgbClr val="000000"/>
                </a:solidFill>
                <a:latin typeface="Calibri"/>
                <a:ea typeface="Calibri"/>
                <a:cs typeface="Calibri"/>
              </a:defRPr>
            </a:pPr>
            <a:endParaRPr lang="en-US"/>
          </a:p>
        </c:txPr>
        <c:crossAx val="599897680"/>
        <c:crosses val="max"/>
        <c:crossBetween val="between"/>
      </c:valAx>
      <c:spPr>
        <a:noFill/>
        <a:ln w="25400">
          <a:noFill/>
        </a:ln>
      </c:spPr>
    </c:plotArea>
    <c:legend>
      <c:legendPos val="r"/>
      <c:overlay val="0"/>
    </c:legend>
    <c:plotVisOnly val="1"/>
    <c:dispBlanksAs val="gap"/>
    <c:showDLblsOverMax val="0"/>
  </c:chart>
  <c:spPr>
    <a:solidFill>
      <a:srgbClr val="FFFFFF"/>
    </a:solidFill>
    <a:ln w="12700">
      <a:solidFill>
        <a:schemeClr val="bg1"/>
      </a:solidFill>
      <a:prstDash val="solid"/>
    </a:ln>
  </c:spPr>
  <c:txPr>
    <a:bodyPr/>
    <a:lstStyle/>
    <a:p>
      <a:pPr>
        <a:defRPr sz="1000" b="0" i="0" u="none" strike="noStrike" baseline="0">
          <a:solidFill>
            <a:srgbClr val="000000"/>
          </a:solidFill>
          <a:latin typeface="Calibri"/>
          <a:ea typeface="Calibri"/>
          <a:cs typeface="Calibri"/>
        </a:defRPr>
      </a:pPr>
      <a:endParaRPr lang="en-US"/>
    </a:p>
  </c:txPr>
  <c:printSettings>
    <c:headerFooter alignWithMargins="0">
      <c:oddHeader>&amp;A</c:oddHeader>
      <c:oddFooter>Page &amp;P</c:oddFooter>
    </c:headerFooter>
    <c:pageMargins b="1" l="0.75" r="0.75" t="1" header="0.5" footer="0.5"/>
    <c:pageSetup orientation="landscape" horizontalDpi="300" verticalDpi="300"/>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ZA"/>
              <a:t>Tornado diagram</a:t>
            </a:r>
          </a:p>
        </c:rich>
      </c:tx>
      <c:overlay val="0"/>
    </c:title>
    <c:autoTitleDeleted val="0"/>
    <c:plotArea>
      <c:layout>
        <c:manualLayout>
          <c:layoutTarget val="inner"/>
          <c:xMode val="edge"/>
          <c:yMode val="edge"/>
          <c:x val="0.1547042849881187"/>
          <c:y val="5.9088220990310504E-2"/>
          <c:w val="0.7612095933263815"/>
          <c:h val="0.79503598400158126"/>
        </c:manualLayout>
      </c:layout>
      <c:barChart>
        <c:barDir val="bar"/>
        <c:grouping val="clustered"/>
        <c:varyColors val="0"/>
        <c:ser>
          <c:idx val="0"/>
          <c:order val="0"/>
          <c:tx>
            <c:strRef>
              <c:f>'Tornado diagram - INMB (2)'!$J$5</c:f>
              <c:strCache>
                <c:ptCount val="1"/>
                <c:pt idx="0">
                  <c:v>Low value</c:v>
                </c:pt>
              </c:strCache>
            </c:strRef>
          </c:tx>
          <c:spPr>
            <a:solidFill>
              <a:schemeClr val="accent3">
                <a:alpha val="50000"/>
              </a:schemeClr>
            </a:solidFill>
            <a:ln w="12700">
              <a:solidFill>
                <a:srgbClr val="000000"/>
              </a:solidFill>
              <a:prstDash val="solid"/>
            </a:ln>
          </c:spPr>
          <c:invertIfNegative val="0"/>
          <c:cat>
            <c:strRef>
              <c:f>'Tornado diagram - INMB (2)'!$I$6:$I$15</c:f>
              <c:strCache>
                <c:ptCount val="10"/>
                <c:pt idx="0">
                  <c:v>Term birth with antenatal care</c:v>
                </c:pt>
                <c:pt idx="1">
                  <c:v>LBW cost</c:v>
                </c:pt>
                <c:pt idx="2">
                  <c:v>Reduction in LBW with a PSG </c:v>
                </c:pt>
                <c:pt idx="3">
                  <c:v>LBW term infants</c:v>
                </c:pt>
                <c:pt idx="4">
                  <c:v>LBW and preterm</c:v>
                </c:pt>
                <c:pt idx="5">
                  <c:v>Term birth in the unbooked</c:v>
                </c:pt>
                <c:pt idx="6">
                  <c:v>Reduction in preterm birth with a PSG </c:v>
                </c:pt>
                <c:pt idx="7">
                  <c:v>Live birth with antenatal care</c:v>
                </c:pt>
                <c:pt idx="8">
                  <c:v>Increase in antenatal first visit coverage with a PSG</c:v>
                </c:pt>
                <c:pt idx="9">
                  <c:v>PSG cost</c:v>
                </c:pt>
              </c:strCache>
            </c:strRef>
          </c:cat>
          <c:val>
            <c:numRef>
              <c:f>'Tornado diagram - INMB (2)'!$J$6:$J$15</c:f>
              <c:numCache>
                <c:formatCode>#,##0</c:formatCode>
                <c:ptCount val="10"/>
                <c:pt idx="0">
                  <c:v>16936.22825962519</c:v>
                </c:pt>
                <c:pt idx="1">
                  <c:v>16759.549132432574</c:v>
                </c:pt>
                <c:pt idx="2">
                  <c:v>44197.104095223527</c:v>
                </c:pt>
                <c:pt idx="3">
                  <c:v>26768.623433254281</c:v>
                </c:pt>
                <c:pt idx="4">
                  <c:v>29347.255018886386</c:v>
                </c:pt>
                <c:pt idx="5">
                  <c:v>31729.202190471973</c:v>
                </c:pt>
                <c:pt idx="6">
                  <c:v>37436.502366306653</c:v>
                </c:pt>
                <c:pt idx="7">
                  <c:v>34802.806837220167</c:v>
                </c:pt>
                <c:pt idx="8">
                  <c:v>34947.055673458271</c:v>
                </c:pt>
                <c:pt idx="9">
                  <c:v>37308.435234355216</c:v>
                </c:pt>
              </c:numCache>
            </c:numRef>
          </c:val>
          <c:extLst>
            <c:ext xmlns:c16="http://schemas.microsoft.com/office/drawing/2014/chart" uri="{C3380CC4-5D6E-409C-BE32-E72D297353CC}">
              <c16:uniqueId val="{00000000-9E33-486D-B630-91D39CC48FD7}"/>
            </c:ext>
          </c:extLst>
        </c:ser>
        <c:ser>
          <c:idx val="1"/>
          <c:order val="1"/>
          <c:tx>
            <c:strRef>
              <c:f>'Tornado diagram - INMB (2)'!$K$5</c:f>
              <c:strCache>
                <c:ptCount val="1"/>
                <c:pt idx="0">
                  <c:v>High value</c:v>
                </c:pt>
              </c:strCache>
            </c:strRef>
          </c:tx>
          <c:spPr>
            <a:solidFill>
              <a:srgbClr val="00B050"/>
            </a:solidFill>
            <a:ln w="12700">
              <a:solidFill>
                <a:srgbClr val="000000"/>
              </a:solidFill>
              <a:prstDash val="solid"/>
            </a:ln>
          </c:spPr>
          <c:invertIfNegative val="0"/>
          <c:cat>
            <c:strRef>
              <c:f>'Tornado diagram - INMB (2)'!$I$6:$I$15</c:f>
              <c:strCache>
                <c:ptCount val="10"/>
                <c:pt idx="0">
                  <c:v>Term birth with antenatal care</c:v>
                </c:pt>
                <c:pt idx="1">
                  <c:v>LBW cost</c:v>
                </c:pt>
                <c:pt idx="2">
                  <c:v>Reduction in LBW with a PSG </c:v>
                </c:pt>
                <c:pt idx="3">
                  <c:v>LBW term infants</c:v>
                </c:pt>
                <c:pt idx="4">
                  <c:v>LBW and preterm</c:v>
                </c:pt>
                <c:pt idx="5">
                  <c:v>Term birth in the unbooked</c:v>
                </c:pt>
                <c:pt idx="6">
                  <c:v>Reduction in preterm birth with a PSG </c:v>
                </c:pt>
                <c:pt idx="7">
                  <c:v>Live birth with antenatal care</c:v>
                </c:pt>
                <c:pt idx="8">
                  <c:v>Increase in antenatal first visit coverage with a PSG</c:v>
                </c:pt>
                <c:pt idx="9">
                  <c:v>PSG cost</c:v>
                </c:pt>
              </c:strCache>
            </c:strRef>
          </c:cat>
          <c:val>
            <c:numRef>
              <c:f>'Tornado diagram - INMB (2)'!$K$6:$K$15</c:f>
              <c:numCache>
                <c:formatCode>General</c:formatCode>
                <c:ptCount val="10"/>
                <c:pt idx="0" formatCode="#,##0">
                  <c:v>54099.161744103461</c:v>
                </c:pt>
                <c:pt idx="1">
                  <c:v>40734.787653307838</c:v>
                </c:pt>
                <c:pt idx="2" formatCode="#,##0">
                  <c:v>25105.26555066129</c:v>
                </c:pt>
                <c:pt idx="3">
                  <c:v>45548.247035456348</c:v>
                </c:pt>
                <c:pt idx="4">
                  <c:v>42515.536768792794</c:v>
                </c:pt>
                <c:pt idx="5" formatCode="#,##0">
                  <c:v>40587.668278238503</c:v>
                </c:pt>
                <c:pt idx="6" formatCode="#,##0">
                  <c:v>34789.077592978749</c:v>
                </c:pt>
                <c:pt idx="7">
                  <c:v>37423.65671196513</c:v>
                </c:pt>
                <c:pt idx="8" formatCode="#,##0">
                  <c:v>37369.814795252161</c:v>
                </c:pt>
                <c:pt idx="9">
                  <c:v>35008.435234355129</c:v>
                </c:pt>
              </c:numCache>
            </c:numRef>
          </c:val>
          <c:extLst>
            <c:ext xmlns:c16="http://schemas.microsoft.com/office/drawing/2014/chart" uri="{C3380CC4-5D6E-409C-BE32-E72D297353CC}">
              <c16:uniqueId val="{00000001-9E33-486D-B630-91D39CC48FD7}"/>
            </c:ext>
          </c:extLst>
        </c:ser>
        <c:dLbls>
          <c:showLegendKey val="0"/>
          <c:showVal val="0"/>
          <c:showCatName val="0"/>
          <c:showSerName val="0"/>
          <c:showPercent val="0"/>
          <c:showBubbleSize val="0"/>
        </c:dLbls>
        <c:gapWidth val="100"/>
        <c:overlap val="100"/>
        <c:axId val="599897680"/>
        <c:axId val="1"/>
      </c:barChart>
      <c:catAx>
        <c:axId val="599897680"/>
        <c:scaling>
          <c:orientation val="maxMin"/>
        </c:scaling>
        <c:delete val="0"/>
        <c:axPos val="l"/>
        <c:numFmt formatCode="General" sourceLinked="1"/>
        <c:majorTickMark val="none"/>
        <c:minorTickMark val="none"/>
        <c:tickLblPos val="low"/>
        <c:spPr>
          <a:ln w="3175">
            <a:solidFill>
              <a:srgbClr val="000000"/>
            </a:solidFill>
            <a:prstDash val="solid"/>
          </a:ln>
        </c:spPr>
        <c:txPr>
          <a:bodyPr rot="0" vert="horz"/>
          <a:lstStyle/>
          <a:p>
            <a:pPr>
              <a:defRPr sz="1400" b="1" i="0" u="none" strike="noStrike" baseline="0">
                <a:solidFill>
                  <a:srgbClr val="000000"/>
                </a:solidFill>
                <a:latin typeface="Calibri"/>
                <a:ea typeface="Calibri"/>
                <a:cs typeface="Calibri"/>
              </a:defRPr>
            </a:pPr>
            <a:endParaRPr lang="en-US"/>
          </a:p>
        </c:txPr>
        <c:crossAx val="1"/>
        <c:crossesAt val="37362"/>
        <c:auto val="0"/>
        <c:lblAlgn val="ctr"/>
        <c:lblOffset val="100"/>
        <c:tickLblSkip val="1"/>
        <c:tickMarkSkip val="1"/>
        <c:noMultiLvlLbl val="0"/>
      </c:catAx>
      <c:valAx>
        <c:axId val="1"/>
        <c:scaling>
          <c:orientation val="minMax"/>
          <c:max val="60000"/>
          <c:min val="0"/>
        </c:scaling>
        <c:delete val="0"/>
        <c:axPos val="b"/>
        <c:title>
          <c:tx>
            <c:rich>
              <a:bodyPr/>
              <a:lstStyle/>
              <a:p>
                <a:pPr>
                  <a:defRPr sz="1400" b="1" i="0" u="none" strike="noStrike" baseline="0">
                    <a:solidFill>
                      <a:srgbClr val="000000"/>
                    </a:solidFill>
                    <a:latin typeface="Calibri"/>
                    <a:ea typeface="Calibri"/>
                    <a:cs typeface="Calibri"/>
                  </a:defRPr>
                </a:pPr>
                <a:r>
                  <a:rPr lang="en-ZA"/>
                  <a:t>INMB</a:t>
                </a:r>
              </a:p>
            </c:rich>
          </c:tx>
          <c:layout>
            <c:manualLayout>
              <c:xMode val="edge"/>
              <c:yMode val="edge"/>
              <c:x val="0.43868289565193536"/>
              <c:y val="0.96981731895838574"/>
            </c:manualLayout>
          </c:layout>
          <c:overlay val="0"/>
        </c:title>
        <c:numFmt formatCode="&quot;R&quot;#,##0" sourceLinked="0"/>
        <c:majorTickMark val="cross"/>
        <c:minorTickMark val="none"/>
        <c:tickLblPos val="nextTo"/>
        <c:spPr>
          <a:ln w="3175">
            <a:solidFill>
              <a:srgbClr val="000000"/>
            </a:solidFill>
            <a:prstDash val="solid"/>
          </a:ln>
        </c:spPr>
        <c:txPr>
          <a:bodyPr rot="-5400000" vert="horz"/>
          <a:lstStyle/>
          <a:p>
            <a:pPr>
              <a:defRPr sz="1400" b="0" i="0" u="none" strike="noStrike" baseline="0">
                <a:solidFill>
                  <a:srgbClr val="000000"/>
                </a:solidFill>
                <a:latin typeface="Calibri"/>
                <a:ea typeface="Calibri"/>
                <a:cs typeface="Calibri"/>
              </a:defRPr>
            </a:pPr>
            <a:endParaRPr lang="en-US"/>
          </a:p>
        </c:txPr>
        <c:crossAx val="599897680"/>
        <c:crosses val="max"/>
        <c:crossBetween val="between"/>
      </c:valAx>
      <c:spPr>
        <a:noFill/>
        <a:ln w="25400">
          <a:noFill/>
        </a:ln>
      </c:spPr>
    </c:plotArea>
    <c:legend>
      <c:legendPos val="r"/>
      <c:layout>
        <c:manualLayout>
          <c:xMode val="edge"/>
          <c:yMode val="edge"/>
          <c:x val="0.8824395004665071"/>
          <c:y val="0.49049731166082067"/>
          <c:w val="0.11161106968718647"/>
          <c:h val="0.11262065482413641"/>
        </c:manualLayout>
      </c:layout>
      <c:overlay val="0"/>
    </c:legend>
    <c:plotVisOnly val="1"/>
    <c:dispBlanksAs val="gap"/>
    <c:showDLblsOverMax val="0"/>
  </c:chart>
  <c:spPr>
    <a:solidFill>
      <a:srgbClr val="FFFFFF"/>
    </a:solidFill>
    <a:ln w="12700">
      <a:solidFill>
        <a:schemeClr val="bg1"/>
      </a:solidFill>
      <a:prstDash val="solid"/>
    </a:ln>
  </c:spPr>
  <c:txPr>
    <a:bodyPr/>
    <a:lstStyle/>
    <a:p>
      <a:pPr>
        <a:defRPr sz="1000" b="0" i="0" u="none" strike="noStrike" baseline="0">
          <a:solidFill>
            <a:srgbClr val="000000"/>
          </a:solidFill>
          <a:latin typeface="Calibri"/>
          <a:ea typeface="Calibri"/>
          <a:cs typeface="Calibri"/>
        </a:defRPr>
      </a:pPr>
      <a:endParaRPr lang="en-US"/>
    </a:p>
  </c:txPr>
  <c:printSettings>
    <c:headerFooter alignWithMargins="0">
      <c:oddHeader>&amp;A</c:oddHeader>
      <c:oddFooter>Page &amp;P</c:oddFooter>
    </c:headerFooter>
    <c:pageMargins b="1" l="0.75" r="0.75" t="1" header="0.5" footer="0.5"/>
    <c:pageSetup orientation="landscape" horizontalDpi="300" verticalDpi="300"/>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604688207077564"/>
          <c:y val="4.371647509578544E-2"/>
          <c:w val="0.73176233143270886"/>
          <c:h val="0.85118773946360149"/>
        </c:manualLayout>
      </c:layout>
      <c:scatterChart>
        <c:scatterStyle val="lineMarker"/>
        <c:varyColors val="0"/>
        <c:ser>
          <c:idx val="0"/>
          <c:order val="0"/>
          <c:spPr>
            <a:ln w="28575">
              <a:noFill/>
            </a:ln>
          </c:spPr>
          <c:marker>
            <c:symbol val="circle"/>
            <c:size val="5"/>
            <c:spPr>
              <a:solidFill>
                <a:schemeClr val="accent1"/>
              </a:solidFill>
              <a:ln w="9525">
                <a:solidFill>
                  <a:schemeClr val="accent1"/>
                </a:solidFill>
              </a:ln>
              <a:effectLst/>
            </c:spPr>
          </c:marker>
          <c:xVal>
            <c:numRef>
              <c:f>'WTP vs INMB'!$B$4:$B$34</c:f>
              <c:numCache>
                <c:formatCode>"R"#,##0.00</c:formatCode>
                <c:ptCount val="31"/>
                <c:pt idx="0">
                  <c:v>19250</c:v>
                </c:pt>
                <c:pt idx="1">
                  <c:v>20533.333333333332</c:v>
                </c:pt>
                <c:pt idx="2">
                  <c:v>21816.666666666664</c:v>
                </c:pt>
                <c:pt idx="3">
                  <c:v>23099.999999999996</c:v>
                </c:pt>
                <c:pt idx="4">
                  <c:v>24383.333333333328</c:v>
                </c:pt>
                <c:pt idx="5">
                  <c:v>25666.666666666661</c:v>
                </c:pt>
                <c:pt idx="6">
                  <c:v>26949.999999999993</c:v>
                </c:pt>
                <c:pt idx="7">
                  <c:v>28233.333333333325</c:v>
                </c:pt>
                <c:pt idx="8">
                  <c:v>29516.666666666657</c:v>
                </c:pt>
                <c:pt idx="9">
                  <c:v>30799.999999999989</c:v>
                </c:pt>
                <c:pt idx="10">
                  <c:v>32083.333333333321</c:v>
                </c:pt>
                <c:pt idx="11">
                  <c:v>33366.666666666657</c:v>
                </c:pt>
                <c:pt idx="12">
                  <c:v>34649.999999999993</c:v>
                </c:pt>
                <c:pt idx="13">
                  <c:v>35933.333333333328</c:v>
                </c:pt>
                <c:pt idx="14">
                  <c:v>37216.666666666664</c:v>
                </c:pt>
                <c:pt idx="15">
                  <c:v>38500</c:v>
                </c:pt>
                <c:pt idx="16">
                  <c:v>39783.333333333336</c:v>
                </c:pt>
                <c:pt idx="17">
                  <c:v>41066.666666666672</c:v>
                </c:pt>
                <c:pt idx="18">
                  <c:v>42350.000000000007</c:v>
                </c:pt>
                <c:pt idx="19">
                  <c:v>43633.333333333343</c:v>
                </c:pt>
                <c:pt idx="20">
                  <c:v>44916.666666666679</c:v>
                </c:pt>
                <c:pt idx="21">
                  <c:v>46200.000000000015</c:v>
                </c:pt>
                <c:pt idx="22">
                  <c:v>47483.33333333335</c:v>
                </c:pt>
                <c:pt idx="23">
                  <c:v>48766.666666666686</c:v>
                </c:pt>
                <c:pt idx="24">
                  <c:v>50050.000000000022</c:v>
                </c:pt>
                <c:pt idx="25">
                  <c:v>51333.333333333358</c:v>
                </c:pt>
                <c:pt idx="26">
                  <c:v>52616.666666666693</c:v>
                </c:pt>
                <c:pt idx="27">
                  <c:v>53900.000000000029</c:v>
                </c:pt>
                <c:pt idx="28">
                  <c:v>55183.333333333365</c:v>
                </c:pt>
                <c:pt idx="29">
                  <c:v>56466.666666666701</c:v>
                </c:pt>
                <c:pt idx="30">
                  <c:v>57750.000000000036</c:v>
                </c:pt>
              </c:numCache>
            </c:numRef>
          </c:xVal>
          <c:yVal>
            <c:numRef>
              <c:f>'WTP vs INMB'!$C$4:$C$34</c:f>
              <c:numCache>
                <c:formatCode>"R"#,##0.00</c:formatCode>
                <c:ptCount val="31"/>
                <c:pt idx="0">
                  <c:v>33666.223630737884</c:v>
                </c:pt>
                <c:pt idx="1">
                  <c:v>33832.371070979039</c:v>
                </c:pt>
                <c:pt idx="2">
                  <c:v>33998.518511220202</c:v>
                </c:pt>
                <c:pt idx="3">
                  <c:v>34164.665951461357</c:v>
                </c:pt>
                <c:pt idx="4">
                  <c:v>34330.813391702512</c:v>
                </c:pt>
                <c:pt idx="5">
                  <c:v>34496.960831943667</c:v>
                </c:pt>
                <c:pt idx="6">
                  <c:v>34663.108272184822</c:v>
                </c:pt>
                <c:pt idx="7">
                  <c:v>34829.255712425977</c:v>
                </c:pt>
                <c:pt idx="8">
                  <c:v>34995.403152667139</c:v>
                </c:pt>
                <c:pt idx="9">
                  <c:v>35161.550592908294</c:v>
                </c:pt>
                <c:pt idx="10">
                  <c:v>35327.698033149449</c:v>
                </c:pt>
                <c:pt idx="11">
                  <c:v>35493.845473390604</c:v>
                </c:pt>
                <c:pt idx="12">
                  <c:v>35659.992913631766</c:v>
                </c:pt>
                <c:pt idx="13">
                  <c:v>35826.140353872921</c:v>
                </c:pt>
                <c:pt idx="14">
                  <c:v>35992.287794114076</c:v>
                </c:pt>
                <c:pt idx="15">
                  <c:v>36158.435234355231</c:v>
                </c:pt>
                <c:pt idx="16">
                  <c:v>36324.582674596393</c:v>
                </c:pt>
                <c:pt idx="17">
                  <c:v>36490.730114837548</c:v>
                </c:pt>
                <c:pt idx="18">
                  <c:v>36656.877555078703</c:v>
                </c:pt>
                <c:pt idx="19">
                  <c:v>36823.024995319858</c:v>
                </c:pt>
                <c:pt idx="20">
                  <c:v>36989.17243556102</c:v>
                </c:pt>
                <c:pt idx="21">
                  <c:v>37155.319875802175</c:v>
                </c:pt>
                <c:pt idx="22">
                  <c:v>37321.46731604333</c:v>
                </c:pt>
                <c:pt idx="23">
                  <c:v>37487.614756284485</c:v>
                </c:pt>
                <c:pt idx="24">
                  <c:v>37653.762196525648</c:v>
                </c:pt>
                <c:pt idx="25">
                  <c:v>37819.909636766803</c:v>
                </c:pt>
                <c:pt idx="26">
                  <c:v>37986.057077007958</c:v>
                </c:pt>
                <c:pt idx="27">
                  <c:v>38152.204517249113</c:v>
                </c:pt>
                <c:pt idx="28">
                  <c:v>38318.351957490275</c:v>
                </c:pt>
                <c:pt idx="29">
                  <c:v>38484.49939773143</c:v>
                </c:pt>
                <c:pt idx="30">
                  <c:v>38650.646837972585</c:v>
                </c:pt>
              </c:numCache>
            </c:numRef>
          </c:yVal>
          <c:smooth val="0"/>
          <c:extLst>
            <c:ext xmlns:c15="http://schemas.microsoft.com/office/drawing/2012/chart" uri="{02D57815-91ED-43cb-92C2-25804820EDAC}">
              <c15:filteredSeriesTitle>
                <c15:tx>
                  <c:v>WTP vs INMB</c:v>
                </c15:tx>
              </c15:filteredSeriesTitle>
            </c:ext>
            <c:ext xmlns:c16="http://schemas.microsoft.com/office/drawing/2014/chart" uri="{C3380CC4-5D6E-409C-BE32-E72D297353CC}">
              <c16:uniqueId val="{00000000-1D34-43FE-A68C-24991D6DCED4}"/>
            </c:ext>
          </c:extLst>
        </c:ser>
        <c:dLbls>
          <c:showLegendKey val="0"/>
          <c:showVal val="0"/>
          <c:showCatName val="0"/>
          <c:showSerName val="0"/>
          <c:showPercent val="0"/>
          <c:showBubbleSize val="0"/>
        </c:dLbls>
        <c:axId val="599895384"/>
        <c:axId val="1"/>
      </c:scatterChart>
      <c:valAx>
        <c:axId val="599895384"/>
        <c:scaling>
          <c:orientation val="minMax"/>
        </c:scaling>
        <c:delete val="0"/>
        <c:axPos val="b"/>
        <c:title>
          <c:tx>
            <c:rich>
              <a:bodyPr/>
              <a:lstStyle/>
              <a:p>
                <a:pPr>
                  <a:defRPr sz="1050" b="1" i="0" u="none" strike="noStrike" baseline="0">
                    <a:solidFill>
                      <a:srgbClr val="000000"/>
                    </a:solidFill>
                    <a:latin typeface="Arial"/>
                    <a:ea typeface="Arial"/>
                    <a:cs typeface="Arial"/>
                  </a:defRPr>
                </a:pPr>
                <a:r>
                  <a:rPr lang="en-ZA"/>
                  <a:t>Willingness-to-Pay (R/DALY)</a:t>
                </a:r>
              </a:p>
            </c:rich>
          </c:tx>
          <c:layout>
            <c:manualLayout>
              <c:xMode val="edge"/>
              <c:yMode val="edge"/>
              <c:x val="0.374728248665329"/>
              <c:y val="0.9557812678712797"/>
            </c:manualLayout>
          </c:layout>
          <c:overlay val="0"/>
          <c:spPr>
            <a:noFill/>
            <a:ln w="25400">
              <a:noFill/>
            </a:ln>
          </c:spPr>
        </c:title>
        <c:numFmt formatCode="&quot;R&quot;#,##0" sourceLinked="0"/>
        <c:majorTickMark val="out"/>
        <c:minorTickMark val="none"/>
        <c:tickLblPos val="nextTo"/>
        <c:spPr>
          <a:noFill/>
          <a:ln w="9525" cap="flat" cmpd="sng" algn="ctr">
            <a:solidFill>
              <a:schemeClr val="tx1"/>
            </a:solidFill>
            <a:round/>
          </a:ln>
          <a:effectLst/>
        </c:spPr>
        <c:txPr>
          <a:bodyPr rot="0" vert="horz"/>
          <a:lstStyle/>
          <a:p>
            <a:pPr>
              <a:defRPr sz="1050" b="0" i="0" u="none" strike="noStrike" baseline="0">
                <a:solidFill>
                  <a:srgbClr val="000000"/>
                </a:solidFill>
                <a:latin typeface="Arial"/>
                <a:ea typeface="Arial"/>
                <a:cs typeface="Arial"/>
              </a:defRPr>
            </a:pPr>
            <a:endParaRPr lang="en-US"/>
          </a:p>
        </c:txPr>
        <c:crossAx val="1"/>
        <c:crosses val="autoZero"/>
        <c:crossBetween val="midCat"/>
      </c:valAx>
      <c:valAx>
        <c:axId val="1"/>
        <c:scaling>
          <c:orientation val="minMax"/>
        </c:scaling>
        <c:delete val="0"/>
        <c:axPos val="l"/>
        <c:title>
          <c:tx>
            <c:rich>
              <a:bodyPr/>
              <a:lstStyle/>
              <a:p>
                <a:pPr>
                  <a:defRPr sz="1050" b="1" i="0" u="none" strike="noStrike" baseline="0">
                    <a:solidFill>
                      <a:srgbClr val="000000"/>
                    </a:solidFill>
                    <a:latin typeface="Arial"/>
                    <a:ea typeface="Arial"/>
                    <a:cs typeface="Arial"/>
                  </a:defRPr>
                </a:pPr>
                <a:r>
                  <a:rPr lang="en-ZA"/>
                  <a:t>Incremental Net Monetary Benefit</a:t>
                </a:r>
              </a:p>
            </c:rich>
          </c:tx>
          <c:layout>
            <c:manualLayout>
              <c:xMode val="edge"/>
              <c:yMode val="edge"/>
              <c:x val="1.5633579381234214E-3"/>
              <c:y val="0.14917660356539739"/>
            </c:manualLayout>
          </c:layout>
          <c:overlay val="0"/>
          <c:spPr>
            <a:noFill/>
            <a:ln w="25400">
              <a:noFill/>
            </a:ln>
          </c:spPr>
        </c:title>
        <c:numFmt formatCode="[$ZAR]\ #,##0" sourceLinked="0"/>
        <c:majorTickMark val="out"/>
        <c:minorTickMark val="none"/>
        <c:tickLblPos val="nextTo"/>
        <c:spPr>
          <a:ln w="3175">
            <a:solidFill>
              <a:srgbClr val="000000"/>
            </a:solidFill>
            <a:prstDash val="solid"/>
          </a:ln>
        </c:spPr>
        <c:txPr>
          <a:bodyPr rot="0" vert="horz"/>
          <a:lstStyle/>
          <a:p>
            <a:pPr>
              <a:defRPr sz="1050" b="0" i="0" u="none" strike="noStrike" baseline="0">
                <a:solidFill>
                  <a:srgbClr val="000000"/>
                </a:solidFill>
                <a:latin typeface="Arial"/>
                <a:ea typeface="Arial"/>
                <a:cs typeface="Arial"/>
              </a:defRPr>
            </a:pPr>
            <a:endParaRPr lang="en-US"/>
          </a:p>
        </c:txPr>
        <c:crossAx val="599895384"/>
        <c:crosses val="autoZero"/>
        <c:crossBetween val="midCat"/>
      </c:valAx>
      <c:spPr>
        <a:noFill/>
        <a:ln w="25400">
          <a:noFill/>
        </a:ln>
      </c:spPr>
    </c:plotArea>
    <c:plotVisOnly val="1"/>
    <c:dispBlanksAs val="gap"/>
    <c:showDLblsOverMax val="0"/>
  </c:chart>
  <c:spPr>
    <a:solidFill>
      <a:schemeClr val="bg1"/>
    </a:solidFill>
    <a:ln w="9525" cap="flat" cmpd="sng" algn="ctr">
      <a:noFill/>
      <a:round/>
    </a:ln>
    <a:effectLst/>
  </c:spPr>
  <c:txPr>
    <a:bodyPr/>
    <a:lstStyle/>
    <a:p>
      <a:pPr>
        <a:defRPr sz="1050" b="0" i="0" u="none" strike="noStrike" baseline="0">
          <a:solidFill>
            <a:srgbClr val="000000"/>
          </a:solidFill>
          <a:latin typeface="Arial"/>
          <a:ea typeface="Arial"/>
          <a:cs typeface="Arial"/>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0.xml.rels><?xml version="1.0" encoding="UTF-8" standalone="yes"?>
<Relationships xmlns="http://schemas.openxmlformats.org/package/2006/relationships"><Relationship Id="rId1" Type="http://schemas.openxmlformats.org/officeDocument/2006/relationships/chart" Target="../charts/chart1.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2.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1</xdr:col>
      <xdr:colOff>264885</xdr:colOff>
      <xdr:row>200</xdr:row>
      <xdr:rowOff>72571</xdr:rowOff>
    </xdr:from>
    <xdr:to>
      <xdr:col>2</xdr:col>
      <xdr:colOff>286656</xdr:colOff>
      <xdr:row>201</xdr:row>
      <xdr:rowOff>76200</xdr:rowOff>
    </xdr:to>
    <xdr:sp macro="" textlink="">
      <xdr:nvSpPr>
        <xdr:cNvPr id="2" name="Rectangle 1">
          <a:extLst>
            <a:ext uri="{FF2B5EF4-FFF2-40B4-BE49-F238E27FC236}">
              <a16:creationId xmlns:a16="http://schemas.microsoft.com/office/drawing/2014/main" id="{00000000-0008-0000-0200-000002000000}"/>
            </a:ext>
          </a:extLst>
        </xdr:cNvPr>
        <xdr:cNvSpPr/>
      </xdr:nvSpPr>
      <xdr:spPr>
        <a:xfrm>
          <a:off x="874485" y="11959771"/>
          <a:ext cx="631371" cy="18650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6</xdr:col>
      <xdr:colOff>517071</xdr:colOff>
      <xdr:row>259</xdr:row>
      <xdr:rowOff>65313</xdr:rowOff>
    </xdr:from>
    <xdr:to>
      <xdr:col>8</xdr:col>
      <xdr:colOff>70757</xdr:colOff>
      <xdr:row>261</xdr:row>
      <xdr:rowOff>32656</xdr:rowOff>
    </xdr:to>
    <xdr:sp macro="" textlink="">
      <xdr:nvSpPr>
        <xdr:cNvPr id="3" name="Rectangle: Rounded Corners 2">
          <a:extLst>
            <a:ext uri="{FF2B5EF4-FFF2-40B4-BE49-F238E27FC236}">
              <a16:creationId xmlns:a16="http://schemas.microsoft.com/office/drawing/2014/main" id="{00000000-0008-0000-0200-000003000000}"/>
            </a:ext>
          </a:extLst>
        </xdr:cNvPr>
        <xdr:cNvSpPr/>
      </xdr:nvSpPr>
      <xdr:spPr>
        <a:xfrm>
          <a:off x="4174671" y="23687313"/>
          <a:ext cx="772886" cy="348343"/>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No grant</a:t>
          </a:r>
        </a:p>
      </xdr:txBody>
    </xdr:sp>
    <xdr:clientData/>
  </xdr:twoCellAnchor>
  <xdr:twoCellAnchor>
    <xdr:from>
      <xdr:col>6</xdr:col>
      <xdr:colOff>261801</xdr:colOff>
      <xdr:row>80</xdr:row>
      <xdr:rowOff>165462</xdr:rowOff>
    </xdr:from>
    <xdr:to>
      <xdr:col>7</xdr:col>
      <xdr:colOff>501287</xdr:colOff>
      <xdr:row>83</xdr:row>
      <xdr:rowOff>121920</xdr:rowOff>
    </xdr:to>
    <xdr:sp macro="" textlink="">
      <xdr:nvSpPr>
        <xdr:cNvPr id="4" name="Rectangle: Rounded Corners 3">
          <a:extLst>
            <a:ext uri="{FF2B5EF4-FFF2-40B4-BE49-F238E27FC236}">
              <a16:creationId xmlns:a16="http://schemas.microsoft.com/office/drawing/2014/main" id="{00000000-0008-0000-0200-000004000000}"/>
            </a:ext>
          </a:extLst>
        </xdr:cNvPr>
        <xdr:cNvSpPr/>
      </xdr:nvSpPr>
      <xdr:spPr>
        <a:xfrm>
          <a:off x="3919401" y="14795862"/>
          <a:ext cx="849086" cy="505098"/>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Received grant</a:t>
          </a:r>
        </a:p>
      </xdr:txBody>
    </xdr:sp>
    <xdr:clientData/>
  </xdr:twoCellAnchor>
  <xdr:twoCellAnchor>
    <xdr:from>
      <xdr:col>4</xdr:col>
      <xdr:colOff>468086</xdr:colOff>
      <xdr:row>148</xdr:row>
      <xdr:rowOff>0</xdr:rowOff>
    </xdr:from>
    <xdr:to>
      <xdr:col>5</xdr:col>
      <xdr:colOff>174171</xdr:colOff>
      <xdr:row>149</xdr:row>
      <xdr:rowOff>76200</xdr:rowOff>
    </xdr:to>
    <xdr:sp macro="" textlink="">
      <xdr:nvSpPr>
        <xdr:cNvPr id="5" name="Oval 4">
          <a:extLst>
            <a:ext uri="{FF2B5EF4-FFF2-40B4-BE49-F238E27FC236}">
              <a16:creationId xmlns:a16="http://schemas.microsoft.com/office/drawing/2014/main" id="{00000000-0008-0000-0200-000005000000}"/>
            </a:ext>
          </a:extLst>
        </xdr:cNvPr>
        <xdr:cNvSpPr/>
      </xdr:nvSpPr>
      <xdr:spPr>
        <a:xfrm>
          <a:off x="2906486" y="7863840"/>
          <a:ext cx="315685" cy="25908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xdr:col>
      <xdr:colOff>613461</xdr:colOff>
      <xdr:row>148</xdr:row>
      <xdr:rowOff>130279</xdr:rowOff>
    </xdr:from>
    <xdr:to>
      <xdr:col>4</xdr:col>
      <xdr:colOff>468085</xdr:colOff>
      <xdr:row>151</xdr:row>
      <xdr:rowOff>7726</xdr:rowOff>
    </xdr:to>
    <xdr:cxnSp macro="">
      <xdr:nvCxnSpPr>
        <xdr:cNvPr id="6" name="Connector: Elbow 5">
          <a:extLst>
            <a:ext uri="{FF2B5EF4-FFF2-40B4-BE49-F238E27FC236}">
              <a16:creationId xmlns:a16="http://schemas.microsoft.com/office/drawing/2014/main" id="{00000000-0008-0000-0200-000006000000}"/>
            </a:ext>
          </a:extLst>
        </xdr:cNvPr>
        <xdr:cNvCxnSpPr>
          <a:stCxn id="255" idx="0"/>
          <a:endCxn id="5" idx="2"/>
        </xdr:cNvCxnSpPr>
      </xdr:nvCxnSpPr>
      <xdr:spPr>
        <a:xfrm rot="5400000" flipH="1" flipV="1">
          <a:off x="1847919" y="7361641"/>
          <a:ext cx="426087" cy="1691044"/>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16330</xdr:colOff>
      <xdr:row>82</xdr:row>
      <xdr:rowOff>52251</xdr:rowOff>
    </xdr:from>
    <xdr:to>
      <xdr:col>6</xdr:col>
      <xdr:colOff>261802</xdr:colOff>
      <xdr:row>148</xdr:row>
      <xdr:rowOff>0</xdr:rowOff>
    </xdr:to>
    <xdr:cxnSp macro="">
      <xdr:nvCxnSpPr>
        <xdr:cNvPr id="7" name="Connector: Elbow 6">
          <a:extLst>
            <a:ext uri="{FF2B5EF4-FFF2-40B4-BE49-F238E27FC236}">
              <a16:creationId xmlns:a16="http://schemas.microsoft.com/office/drawing/2014/main" id="{00000000-0008-0000-0200-000007000000}"/>
            </a:ext>
          </a:extLst>
        </xdr:cNvPr>
        <xdr:cNvCxnSpPr>
          <a:stCxn id="5" idx="0"/>
          <a:endCxn id="4" idx="1"/>
        </xdr:cNvCxnSpPr>
      </xdr:nvCxnSpPr>
      <xdr:spPr>
        <a:xfrm rot="5400000" flipH="1" flipV="1">
          <a:off x="-2539909" y="20652650"/>
          <a:ext cx="12063549" cy="855072"/>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16330</xdr:colOff>
      <xdr:row>149</xdr:row>
      <xdr:rowOff>76199</xdr:rowOff>
    </xdr:from>
    <xdr:to>
      <xdr:col>6</xdr:col>
      <xdr:colOff>517072</xdr:colOff>
      <xdr:row>260</xdr:row>
      <xdr:rowOff>48984</xdr:rowOff>
    </xdr:to>
    <xdr:cxnSp macro="">
      <xdr:nvCxnSpPr>
        <xdr:cNvPr id="8" name="Connector: Elbow 7">
          <a:extLst>
            <a:ext uri="{FF2B5EF4-FFF2-40B4-BE49-F238E27FC236}">
              <a16:creationId xmlns:a16="http://schemas.microsoft.com/office/drawing/2014/main" id="{00000000-0008-0000-0200-000008000000}"/>
            </a:ext>
          </a:extLst>
        </xdr:cNvPr>
        <xdr:cNvCxnSpPr>
          <a:stCxn id="5" idx="4"/>
          <a:endCxn id="3" idx="1"/>
        </xdr:cNvCxnSpPr>
      </xdr:nvCxnSpPr>
      <xdr:spPr>
        <a:xfrm rot="16200000" flipH="1">
          <a:off x="-4082142" y="15604671"/>
          <a:ext cx="15403285" cy="1110342"/>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578032</xdr:colOff>
      <xdr:row>149</xdr:row>
      <xdr:rowOff>20139</xdr:rowOff>
    </xdr:from>
    <xdr:to>
      <xdr:col>12</xdr:col>
      <xdr:colOff>207918</xdr:colOff>
      <xdr:row>151</xdr:row>
      <xdr:rowOff>41911</xdr:rowOff>
    </xdr:to>
    <xdr:sp macro="" textlink="">
      <xdr:nvSpPr>
        <xdr:cNvPr id="9" name="Rectangle: Rounded Corners 8">
          <a:extLst>
            <a:ext uri="{FF2B5EF4-FFF2-40B4-BE49-F238E27FC236}">
              <a16:creationId xmlns:a16="http://schemas.microsoft.com/office/drawing/2014/main" id="{00000000-0008-0000-0200-000009000000}"/>
            </a:ext>
          </a:extLst>
        </xdr:cNvPr>
        <xdr:cNvSpPr/>
      </xdr:nvSpPr>
      <xdr:spPr>
        <a:xfrm>
          <a:off x="6674032" y="27314979"/>
          <a:ext cx="849086" cy="387532"/>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No ANC</a:t>
          </a:r>
        </a:p>
      </xdr:txBody>
    </xdr:sp>
    <xdr:clientData/>
  </xdr:twoCellAnchor>
  <xdr:twoCellAnchor>
    <xdr:from>
      <xdr:col>10</xdr:col>
      <xdr:colOff>393517</xdr:colOff>
      <xdr:row>57</xdr:row>
      <xdr:rowOff>89807</xdr:rowOff>
    </xdr:from>
    <xdr:to>
      <xdr:col>12</xdr:col>
      <xdr:colOff>23403</xdr:colOff>
      <xdr:row>60</xdr:row>
      <xdr:rowOff>46265</xdr:rowOff>
    </xdr:to>
    <xdr:sp macro="" textlink="">
      <xdr:nvSpPr>
        <xdr:cNvPr id="10" name="Rectangle: Rounded Corners 9">
          <a:extLst>
            <a:ext uri="{FF2B5EF4-FFF2-40B4-BE49-F238E27FC236}">
              <a16:creationId xmlns:a16="http://schemas.microsoft.com/office/drawing/2014/main" id="{00000000-0008-0000-0200-00000A000000}"/>
            </a:ext>
          </a:extLst>
        </xdr:cNvPr>
        <xdr:cNvSpPr/>
      </xdr:nvSpPr>
      <xdr:spPr>
        <a:xfrm>
          <a:off x="6489517" y="10513967"/>
          <a:ext cx="849086" cy="505098"/>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ANC visit</a:t>
          </a:r>
        </a:p>
      </xdr:txBody>
    </xdr:sp>
    <xdr:clientData/>
  </xdr:twoCellAnchor>
  <xdr:twoCellAnchor>
    <xdr:from>
      <xdr:col>11</xdr:col>
      <xdr:colOff>367395</xdr:colOff>
      <xdr:row>353</xdr:row>
      <xdr:rowOff>162199</xdr:rowOff>
    </xdr:from>
    <xdr:to>
      <xdr:col>12</xdr:col>
      <xdr:colOff>606881</xdr:colOff>
      <xdr:row>356</xdr:row>
      <xdr:rowOff>1090</xdr:rowOff>
    </xdr:to>
    <xdr:sp macro="" textlink="">
      <xdr:nvSpPr>
        <xdr:cNvPr id="11" name="Rectangle: Rounded Corners 10">
          <a:extLst>
            <a:ext uri="{FF2B5EF4-FFF2-40B4-BE49-F238E27FC236}">
              <a16:creationId xmlns:a16="http://schemas.microsoft.com/office/drawing/2014/main" id="{00000000-0008-0000-0200-00000B000000}"/>
            </a:ext>
          </a:extLst>
        </xdr:cNvPr>
        <xdr:cNvSpPr/>
      </xdr:nvSpPr>
      <xdr:spPr>
        <a:xfrm>
          <a:off x="7072995" y="64688359"/>
          <a:ext cx="849086" cy="387531"/>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No ANC</a:t>
          </a:r>
        </a:p>
      </xdr:txBody>
    </xdr:sp>
    <xdr:clientData/>
  </xdr:twoCellAnchor>
  <xdr:twoCellAnchor>
    <xdr:from>
      <xdr:col>11</xdr:col>
      <xdr:colOff>423998</xdr:colOff>
      <xdr:row>249</xdr:row>
      <xdr:rowOff>99059</xdr:rowOff>
    </xdr:from>
    <xdr:to>
      <xdr:col>13</xdr:col>
      <xdr:colOff>53884</xdr:colOff>
      <xdr:row>252</xdr:row>
      <xdr:rowOff>55517</xdr:rowOff>
    </xdr:to>
    <xdr:sp macro="" textlink="">
      <xdr:nvSpPr>
        <xdr:cNvPr id="12" name="Rectangle: Rounded Corners 11">
          <a:extLst>
            <a:ext uri="{FF2B5EF4-FFF2-40B4-BE49-F238E27FC236}">
              <a16:creationId xmlns:a16="http://schemas.microsoft.com/office/drawing/2014/main" id="{00000000-0008-0000-0200-00000C000000}"/>
            </a:ext>
          </a:extLst>
        </xdr:cNvPr>
        <xdr:cNvSpPr/>
      </xdr:nvSpPr>
      <xdr:spPr>
        <a:xfrm>
          <a:off x="7129598" y="45605699"/>
          <a:ext cx="849086" cy="505098"/>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ANC visit</a:t>
          </a:r>
        </a:p>
      </xdr:txBody>
    </xdr:sp>
    <xdr:clientData/>
  </xdr:twoCellAnchor>
  <xdr:twoCellAnchor>
    <xdr:from>
      <xdr:col>9</xdr:col>
      <xdr:colOff>234044</xdr:colOff>
      <xdr:row>58</xdr:row>
      <xdr:rowOff>159476</xdr:rowOff>
    </xdr:from>
    <xdr:to>
      <xdr:col>10</xdr:col>
      <xdr:colOff>393518</xdr:colOff>
      <xdr:row>81</xdr:row>
      <xdr:rowOff>119197</xdr:rowOff>
    </xdr:to>
    <xdr:cxnSp macro="">
      <xdr:nvCxnSpPr>
        <xdr:cNvPr id="13" name="Connector: Elbow 12">
          <a:extLst>
            <a:ext uri="{FF2B5EF4-FFF2-40B4-BE49-F238E27FC236}">
              <a16:creationId xmlns:a16="http://schemas.microsoft.com/office/drawing/2014/main" id="{00000000-0008-0000-0200-00000D000000}"/>
            </a:ext>
          </a:extLst>
        </xdr:cNvPr>
        <xdr:cNvCxnSpPr>
          <a:stCxn id="18" idx="0"/>
          <a:endCxn id="10" idx="1"/>
        </xdr:cNvCxnSpPr>
      </xdr:nvCxnSpPr>
      <xdr:spPr>
        <a:xfrm rot="5400000" flipH="1" flipV="1">
          <a:off x="4022000" y="12464960"/>
          <a:ext cx="4165961" cy="769074"/>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234043</xdr:colOff>
      <xdr:row>83</xdr:row>
      <xdr:rowOff>17959</xdr:rowOff>
    </xdr:from>
    <xdr:to>
      <xdr:col>10</xdr:col>
      <xdr:colOff>578032</xdr:colOff>
      <xdr:row>150</xdr:row>
      <xdr:rowOff>31024</xdr:rowOff>
    </xdr:to>
    <xdr:cxnSp macro="">
      <xdr:nvCxnSpPr>
        <xdr:cNvPr id="14" name="Connector: Elbow 13">
          <a:extLst>
            <a:ext uri="{FF2B5EF4-FFF2-40B4-BE49-F238E27FC236}">
              <a16:creationId xmlns:a16="http://schemas.microsoft.com/office/drawing/2014/main" id="{00000000-0008-0000-0200-00000E000000}"/>
            </a:ext>
          </a:extLst>
        </xdr:cNvPr>
        <xdr:cNvCxnSpPr>
          <a:stCxn id="18" idx="4"/>
          <a:endCxn id="9" idx="1"/>
        </xdr:cNvCxnSpPr>
      </xdr:nvCxnSpPr>
      <xdr:spPr>
        <a:xfrm rot="16200000" flipH="1">
          <a:off x="41365" y="20876077"/>
          <a:ext cx="12311745" cy="953589"/>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462645</xdr:colOff>
      <xdr:row>250</xdr:row>
      <xdr:rowOff>168728</xdr:rowOff>
    </xdr:from>
    <xdr:to>
      <xdr:col>11</xdr:col>
      <xdr:colOff>423999</xdr:colOff>
      <xdr:row>259</xdr:row>
      <xdr:rowOff>111579</xdr:rowOff>
    </xdr:to>
    <xdr:cxnSp macro="">
      <xdr:nvCxnSpPr>
        <xdr:cNvPr id="15" name="Connector: Elbow 14">
          <a:extLst>
            <a:ext uri="{FF2B5EF4-FFF2-40B4-BE49-F238E27FC236}">
              <a16:creationId xmlns:a16="http://schemas.microsoft.com/office/drawing/2014/main" id="{00000000-0008-0000-0200-00000F000000}"/>
            </a:ext>
          </a:extLst>
        </xdr:cNvPr>
        <xdr:cNvCxnSpPr>
          <a:stCxn id="19" idx="0"/>
          <a:endCxn id="12" idx="1"/>
        </xdr:cNvCxnSpPr>
      </xdr:nvCxnSpPr>
      <xdr:spPr>
        <a:xfrm rot="5400000" flipH="1" flipV="1">
          <a:off x="5744936" y="46062357"/>
          <a:ext cx="1588771" cy="1180554"/>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462644</xdr:colOff>
      <xdr:row>261</xdr:row>
      <xdr:rowOff>2721</xdr:rowOff>
    </xdr:from>
    <xdr:to>
      <xdr:col>11</xdr:col>
      <xdr:colOff>367395</xdr:colOff>
      <xdr:row>354</xdr:row>
      <xdr:rowOff>173084</xdr:rowOff>
    </xdr:to>
    <xdr:cxnSp macro="">
      <xdr:nvCxnSpPr>
        <xdr:cNvPr id="16" name="Connector: Elbow 15">
          <a:extLst>
            <a:ext uri="{FF2B5EF4-FFF2-40B4-BE49-F238E27FC236}">
              <a16:creationId xmlns:a16="http://schemas.microsoft.com/office/drawing/2014/main" id="{00000000-0008-0000-0200-000010000000}"/>
            </a:ext>
          </a:extLst>
        </xdr:cNvPr>
        <xdr:cNvCxnSpPr>
          <a:stCxn id="19" idx="4"/>
          <a:endCxn id="11" idx="1"/>
        </xdr:cNvCxnSpPr>
      </xdr:nvCxnSpPr>
      <xdr:spPr>
        <a:xfrm rot="16200000" flipH="1">
          <a:off x="-2078082" y="55731047"/>
          <a:ext cx="17178203" cy="1123951"/>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76200</xdr:colOff>
      <xdr:row>81</xdr:row>
      <xdr:rowOff>119197</xdr:rowOff>
    </xdr:from>
    <xdr:to>
      <xdr:col>9</xdr:col>
      <xdr:colOff>391885</xdr:colOff>
      <xdr:row>83</xdr:row>
      <xdr:rowOff>17960</xdr:rowOff>
    </xdr:to>
    <xdr:sp macro="" textlink="">
      <xdr:nvSpPr>
        <xdr:cNvPr id="18" name="Oval 17">
          <a:extLst>
            <a:ext uri="{FF2B5EF4-FFF2-40B4-BE49-F238E27FC236}">
              <a16:creationId xmlns:a16="http://schemas.microsoft.com/office/drawing/2014/main" id="{00000000-0008-0000-0200-000012000000}"/>
            </a:ext>
          </a:extLst>
        </xdr:cNvPr>
        <xdr:cNvSpPr/>
      </xdr:nvSpPr>
      <xdr:spPr>
        <a:xfrm>
          <a:off x="5562600" y="14932477"/>
          <a:ext cx="315685" cy="264523"/>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9</xdr:col>
      <xdr:colOff>304801</xdr:colOff>
      <xdr:row>259</xdr:row>
      <xdr:rowOff>111579</xdr:rowOff>
    </xdr:from>
    <xdr:to>
      <xdr:col>10</xdr:col>
      <xdr:colOff>10886</xdr:colOff>
      <xdr:row>261</xdr:row>
      <xdr:rowOff>2722</xdr:rowOff>
    </xdr:to>
    <xdr:sp macro="" textlink="">
      <xdr:nvSpPr>
        <xdr:cNvPr id="19" name="Oval 18">
          <a:extLst>
            <a:ext uri="{FF2B5EF4-FFF2-40B4-BE49-F238E27FC236}">
              <a16:creationId xmlns:a16="http://schemas.microsoft.com/office/drawing/2014/main" id="{00000000-0008-0000-0200-000013000000}"/>
            </a:ext>
          </a:extLst>
        </xdr:cNvPr>
        <xdr:cNvSpPr/>
      </xdr:nvSpPr>
      <xdr:spPr>
        <a:xfrm>
          <a:off x="5791201" y="23733579"/>
          <a:ext cx="315685" cy="272143"/>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501287</xdr:colOff>
      <xdr:row>82</xdr:row>
      <xdr:rowOff>52251</xdr:rowOff>
    </xdr:from>
    <xdr:to>
      <xdr:col>9</xdr:col>
      <xdr:colOff>76200</xdr:colOff>
      <xdr:row>82</xdr:row>
      <xdr:rowOff>68579</xdr:rowOff>
    </xdr:to>
    <xdr:cxnSp macro="">
      <xdr:nvCxnSpPr>
        <xdr:cNvPr id="24" name="Connector: Elbow 42">
          <a:extLst>
            <a:ext uri="{FF2B5EF4-FFF2-40B4-BE49-F238E27FC236}">
              <a16:creationId xmlns:a16="http://schemas.microsoft.com/office/drawing/2014/main" id="{00000000-0008-0000-0200-000018000000}"/>
            </a:ext>
          </a:extLst>
        </xdr:cNvPr>
        <xdr:cNvCxnSpPr>
          <a:cxnSpLocks/>
          <a:stCxn id="4" idx="3"/>
          <a:endCxn id="18" idx="2"/>
        </xdr:cNvCxnSpPr>
      </xdr:nvCxnSpPr>
      <xdr:spPr>
        <a:xfrm>
          <a:off x="4768487" y="15048411"/>
          <a:ext cx="794113" cy="16328"/>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70757</xdr:colOff>
      <xdr:row>260</xdr:row>
      <xdr:rowOff>48985</xdr:rowOff>
    </xdr:from>
    <xdr:to>
      <xdr:col>9</xdr:col>
      <xdr:colOff>304801</xdr:colOff>
      <xdr:row>260</xdr:row>
      <xdr:rowOff>57151</xdr:rowOff>
    </xdr:to>
    <xdr:cxnSp macro="">
      <xdr:nvCxnSpPr>
        <xdr:cNvPr id="26" name="Connector: Elbow 47">
          <a:extLst>
            <a:ext uri="{FF2B5EF4-FFF2-40B4-BE49-F238E27FC236}">
              <a16:creationId xmlns:a16="http://schemas.microsoft.com/office/drawing/2014/main" id="{00000000-0008-0000-0200-00001A000000}"/>
            </a:ext>
          </a:extLst>
        </xdr:cNvPr>
        <xdr:cNvCxnSpPr>
          <a:cxnSpLocks/>
          <a:stCxn id="3" idx="3"/>
          <a:endCxn id="19" idx="2"/>
        </xdr:cNvCxnSpPr>
      </xdr:nvCxnSpPr>
      <xdr:spPr>
        <a:xfrm>
          <a:off x="4947557" y="23861485"/>
          <a:ext cx="843644" cy="8166"/>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594904</xdr:colOff>
      <xdr:row>39</xdr:row>
      <xdr:rowOff>81643</xdr:rowOff>
    </xdr:from>
    <xdr:to>
      <xdr:col>15</xdr:col>
      <xdr:colOff>224790</xdr:colOff>
      <xdr:row>42</xdr:row>
      <xdr:rowOff>38100</xdr:rowOff>
    </xdr:to>
    <xdr:sp macro="" textlink="">
      <xdr:nvSpPr>
        <xdr:cNvPr id="27" name="Rectangle: Rounded Corners 26">
          <a:extLst>
            <a:ext uri="{FF2B5EF4-FFF2-40B4-BE49-F238E27FC236}">
              <a16:creationId xmlns:a16="http://schemas.microsoft.com/office/drawing/2014/main" id="{00000000-0008-0000-0200-00001B000000}"/>
            </a:ext>
          </a:extLst>
        </xdr:cNvPr>
        <xdr:cNvSpPr/>
      </xdr:nvSpPr>
      <xdr:spPr>
        <a:xfrm>
          <a:off x="8519704" y="7213963"/>
          <a:ext cx="849086" cy="505097"/>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Preterm</a:t>
          </a:r>
        </a:p>
      </xdr:txBody>
    </xdr:sp>
    <xdr:clientData/>
  </xdr:twoCellAnchor>
  <xdr:twoCellAnchor>
    <xdr:from>
      <xdr:col>14</xdr:col>
      <xdr:colOff>283573</xdr:colOff>
      <xdr:row>78</xdr:row>
      <xdr:rowOff>81099</xdr:rowOff>
    </xdr:from>
    <xdr:to>
      <xdr:col>15</xdr:col>
      <xdr:colOff>523059</xdr:colOff>
      <xdr:row>81</xdr:row>
      <xdr:rowOff>30480</xdr:rowOff>
    </xdr:to>
    <xdr:sp macro="" textlink="">
      <xdr:nvSpPr>
        <xdr:cNvPr id="28" name="Rectangle: Rounded Corners 27">
          <a:extLst>
            <a:ext uri="{FF2B5EF4-FFF2-40B4-BE49-F238E27FC236}">
              <a16:creationId xmlns:a16="http://schemas.microsoft.com/office/drawing/2014/main" id="{00000000-0008-0000-0200-00001C000000}"/>
            </a:ext>
          </a:extLst>
        </xdr:cNvPr>
        <xdr:cNvSpPr/>
      </xdr:nvSpPr>
      <xdr:spPr>
        <a:xfrm>
          <a:off x="8817973" y="14345739"/>
          <a:ext cx="849086" cy="498021"/>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Term</a:t>
          </a:r>
        </a:p>
      </xdr:txBody>
    </xdr:sp>
    <xdr:clientData/>
  </xdr:twoCellAnchor>
  <xdr:twoCellAnchor>
    <xdr:from>
      <xdr:col>13</xdr:col>
      <xdr:colOff>304801</xdr:colOff>
      <xdr:row>40</xdr:row>
      <xdr:rowOff>151313</xdr:rowOff>
    </xdr:from>
    <xdr:to>
      <xdr:col>13</xdr:col>
      <xdr:colOff>594904</xdr:colOff>
      <xdr:row>58</xdr:row>
      <xdr:rowOff>39188</xdr:rowOff>
    </xdr:to>
    <xdr:cxnSp macro="">
      <xdr:nvCxnSpPr>
        <xdr:cNvPr id="29" name="Connector: Elbow 28">
          <a:extLst>
            <a:ext uri="{FF2B5EF4-FFF2-40B4-BE49-F238E27FC236}">
              <a16:creationId xmlns:a16="http://schemas.microsoft.com/office/drawing/2014/main" id="{00000000-0008-0000-0200-00001D000000}"/>
            </a:ext>
          </a:extLst>
        </xdr:cNvPr>
        <xdr:cNvCxnSpPr>
          <a:stCxn id="31" idx="0"/>
          <a:endCxn id="27" idx="1"/>
        </xdr:cNvCxnSpPr>
      </xdr:nvCxnSpPr>
      <xdr:spPr>
        <a:xfrm rot="5400000" flipH="1" flipV="1">
          <a:off x="6784795" y="8911319"/>
          <a:ext cx="3179715" cy="290103"/>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304802</xdr:colOff>
      <xdr:row>59</xdr:row>
      <xdr:rowOff>115386</xdr:rowOff>
    </xdr:from>
    <xdr:to>
      <xdr:col>14</xdr:col>
      <xdr:colOff>283574</xdr:colOff>
      <xdr:row>79</xdr:row>
      <xdr:rowOff>147229</xdr:rowOff>
    </xdr:to>
    <xdr:cxnSp macro="">
      <xdr:nvCxnSpPr>
        <xdr:cNvPr id="30" name="Connector: Elbow 29">
          <a:extLst>
            <a:ext uri="{FF2B5EF4-FFF2-40B4-BE49-F238E27FC236}">
              <a16:creationId xmlns:a16="http://schemas.microsoft.com/office/drawing/2014/main" id="{00000000-0008-0000-0200-00001E000000}"/>
            </a:ext>
          </a:extLst>
        </xdr:cNvPr>
        <xdr:cNvCxnSpPr>
          <a:stCxn id="31" idx="4"/>
          <a:endCxn id="28" idx="1"/>
        </xdr:cNvCxnSpPr>
      </xdr:nvCxnSpPr>
      <xdr:spPr>
        <a:xfrm rot="16200000" flipH="1">
          <a:off x="6679066" y="12455842"/>
          <a:ext cx="3689443" cy="588372"/>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146958</xdr:colOff>
      <xdr:row>58</xdr:row>
      <xdr:rowOff>39187</xdr:rowOff>
    </xdr:from>
    <xdr:to>
      <xdr:col>13</xdr:col>
      <xdr:colOff>462643</xdr:colOff>
      <xdr:row>59</xdr:row>
      <xdr:rowOff>115387</xdr:rowOff>
    </xdr:to>
    <xdr:sp macro="" textlink="">
      <xdr:nvSpPr>
        <xdr:cNvPr id="31" name="Oval 30">
          <a:extLst>
            <a:ext uri="{FF2B5EF4-FFF2-40B4-BE49-F238E27FC236}">
              <a16:creationId xmlns:a16="http://schemas.microsoft.com/office/drawing/2014/main" id="{00000000-0008-0000-0200-00001F000000}"/>
            </a:ext>
          </a:extLst>
        </xdr:cNvPr>
        <xdr:cNvSpPr/>
      </xdr:nvSpPr>
      <xdr:spPr>
        <a:xfrm>
          <a:off x="8071758" y="10646227"/>
          <a:ext cx="315685" cy="25908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12</xdr:col>
      <xdr:colOff>23403</xdr:colOff>
      <xdr:row>58</xdr:row>
      <xdr:rowOff>159476</xdr:rowOff>
    </xdr:from>
    <xdr:to>
      <xdr:col>13</xdr:col>
      <xdr:colOff>146958</xdr:colOff>
      <xdr:row>58</xdr:row>
      <xdr:rowOff>168727</xdr:rowOff>
    </xdr:to>
    <xdr:cxnSp macro="">
      <xdr:nvCxnSpPr>
        <xdr:cNvPr id="32" name="Connector: Elbow 42">
          <a:extLst>
            <a:ext uri="{FF2B5EF4-FFF2-40B4-BE49-F238E27FC236}">
              <a16:creationId xmlns:a16="http://schemas.microsoft.com/office/drawing/2014/main" id="{00000000-0008-0000-0200-000020000000}"/>
            </a:ext>
          </a:extLst>
        </xdr:cNvPr>
        <xdr:cNvCxnSpPr>
          <a:cxnSpLocks/>
          <a:stCxn id="10" idx="3"/>
          <a:endCxn id="31" idx="2"/>
        </xdr:cNvCxnSpPr>
      </xdr:nvCxnSpPr>
      <xdr:spPr>
        <a:xfrm>
          <a:off x="7338603" y="10766516"/>
          <a:ext cx="733155" cy="9251"/>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207918</xdr:colOff>
      <xdr:row>150</xdr:row>
      <xdr:rowOff>31025</xdr:rowOff>
    </xdr:from>
    <xdr:to>
      <xdr:col>12</xdr:col>
      <xdr:colOff>451758</xdr:colOff>
      <xdr:row>150</xdr:row>
      <xdr:rowOff>46807</xdr:rowOff>
    </xdr:to>
    <xdr:cxnSp macro="">
      <xdr:nvCxnSpPr>
        <xdr:cNvPr id="36" name="Connector: Elbow 42">
          <a:extLst>
            <a:ext uri="{FF2B5EF4-FFF2-40B4-BE49-F238E27FC236}">
              <a16:creationId xmlns:a16="http://schemas.microsoft.com/office/drawing/2014/main" id="{00000000-0008-0000-0200-000024000000}"/>
            </a:ext>
          </a:extLst>
        </xdr:cNvPr>
        <xdr:cNvCxnSpPr>
          <a:cxnSpLocks/>
          <a:stCxn id="9" idx="3"/>
          <a:endCxn id="448" idx="2"/>
        </xdr:cNvCxnSpPr>
      </xdr:nvCxnSpPr>
      <xdr:spPr>
        <a:xfrm>
          <a:off x="7523118" y="27508745"/>
          <a:ext cx="243840" cy="15782"/>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53884</xdr:colOff>
      <xdr:row>250</xdr:row>
      <xdr:rowOff>168728</xdr:rowOff>
    </xdr:from>
    <xdr:to>
      <xdr:col>14</xdr:col>
      <xdr:colOff>451758</xdr:colOff>
      <xdr:row>251</xdr:row>
      <xdr:rowOff>46807</xdr:rowOff>
    </xdr:to>
    <xdr:cxnSp macro="">
      <xdr:nvCxnSpPr>
        <xdr:cNvPr id="42" name="Connector: Elbow 42">
          <a:extLst>
            <a:ext uri="{FF2B5EF4-FFF2-40B4-BE49-F238E27FC236}">
              <a16:creationId xmlns:a16="http://schemas.microsoft.com/office/drawing/2014/main" id="{00000000-0008-0000-0200-00002A000000}"/>
            </a:ext>
          </a:extLst>
        </xdr:cNvPr>
        <xdr:cNvCxnSpPr>
          <a:cxnSpLocks/>
          <a:stCxn id="12" idx="3"/>
          <a:endCxn id="521" idx="2"/>
        </xdr:cNvCxnSpPr>
      </xdr:nvCxnSpPr>
      <xdr:spPr>
        <a:xfrm>
          <a:off x="7978684" y="45858248"/>
          <a:ext cx="1007474" cy="60959"/>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606881</xdr:colOff>
      <xdr:row>354</xdr:row>
      <xdr:rowOff>173085</xdr:rowOff>
    </xdr:from>
    <xdr:to>
      <xdr:col>14</xdr:col>
      <xdr:colOff>451758</xdr:colOff>
      <xdr:row>355</xdr:row>
      <xdr:rowOff>46807</xdr:rowOff>
    </xdr:to>
    <xdr:cxnSp macro="">
      <xdr:nvCxnSpPr>
        <xdr:cNvPr id="48" name="Connector: Elbow 42">
          <a:extLst>
            <a:ext uri="{FF2B5EF4-FFF2-40B4-BE49-F238E27FC236}">
              <a16:creationId xmlns:a16="http://schemas.microsoft.com/office/drawing/2014/main" id="{00000000-0008-0000-0200-000030000000}"/>
            </a:ext>
          </a:extLst>
        </xdr:cNvPr>
        <xdr:cNvCxnSpPr>
          <a:cxnSpLocks/>
          <a:stCxn id="11" idx="3"/>
          <a:endCxn id="594" idx="2"/>
        </xdr:cNvCxnSpPr>
      </xdr:nvCxnSpPr>
      <xdr:spPr>
        <a:xfrm>
          <a:off x="7922081" y="64882125"/>
          <a:ext cx="1064077" cy="56602"/>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523059</xdr:colOff>
      <xdr:row>79</xdr:row>
      <xdr:rowOff>147230</xdr:rowOff>
    </xdr:from>
    <xdr:to>
      <xdr:col>17</xdr:col>
      <xdr:colOff>516528</xdr:colOff>
      <xdr:row>79</xdr:row>
      <xdr:rowOff>166551</xdr:rowOff>
    </xdr:to>
    <xdr:cxnSp macro="">
      <xdr:nvCxnSpPr>
        <xdr:cNvPr id="64" name="Connector: Elbow 351">
          <a:extLst>
            <a:ext uri="{FF2B5EF4-FFF2-40B4-BE49-F238E27FC236}">
              <a16:creationId xmlns:a16="http://schemas.microsoft.com/office/drawing/2014/main" id="{00000000-0008-0000-0200-000040000000}"/>
            </a:ext>
          </a:extLst>
        </xdr:cNvPr>
        <xdr:cNvCxnSpPr>
          <a:cxnSpLocks/>
          <a:stCxn id="28" idx="3"/>
          <a:endCxn id="340" idx="2"/>
        </xdr:cNvCxnSpPr>
      </xdr:nvCxnSpPr>
      <xdr:spPr>
        <a:xfrm>
          <a:off x="9667059" y="14594750"/>
          <a:ext cx="1212669" cy="19321"/>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141514</xdr:colOff>
      <xdr:row>22</xdr:row>
      <xdr:rowOff>57150</xdr:rowOff>
    </xdr:from>
    <xdr:to>
      <xdr:col>18</xdr:col>
      <xdr:colOff>381000</xdr:colOff>
      <xdr:row>25</xdr:row>
      <xdr:rowOff>8164</xdr:rowOff>
    </xdr:to>
    <xdr:sp macro="" textlink="">
      <xdr:nvSpPr>
        <xdr:cNvPr id="75" name="Rectangle: Rounded Corners 74">
          <a:extLst>
            <a:ext uri="{FF2B5EF4-FFF2-40B4-BE49-F238E27FC236}">
              <a16:creationId xmlns:a16="http://schemas.microsoft.com/office/drawing/2014/main" id="{00000000-0008-0000-0200-00004B000000}"/>
            </a:ext>
          </a:extLst>
        </xdr:cNvPr>
        <xdr:cNvSpPr/>
      </xdr:nvSpPr>
      <xdr:spPr>
        <a:xfrm>
          <a:off x="10504714" y="4248150"/>
          <a:ext cx="849086" cy="522514"/>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LBW</a:t>
          </a:r>
        </a:p>
      </xdr:txBody>
    </xdr:sp>
    <xdr:clientData/>
  </xdr:twoCellAnchor>
  <xdr:twoCellAnchor>
    <xdr:from>
      <xdr:col>17</xdr:col>
      <xdr:colOff>547042</xdr:colOff>
      <xdr:row>37</xdr:row>
      <xdr:rowOff>144797</xdr:rowOff>
    </xdr:from>
    <xdr:to>
      <xdr:col>19</xdr:col>
      <xdr:colOff>176928</xdr:colOff>
      <xdr:row>40</xdr:row>
      <xdr:rowOff>95110</xdr:rowOff>
    </xdr:to>
    <xdr:sp macro="" textlink="">
      <xdr:nvSpPr>
        <xdr:cNvPr id="76" name="Rectangle: Rounded Corners 75">
          <a:extLst>
            <a:ext uri="{FF2B5EF4-FFF2-40B4-BE49-F238E27FC236}">
              <a16:creationId xmlns:a16="http://schemas.microsoft.com/office/drawing/2014/main" id="{00000000-0008-0000-0200-00004C000000}"/>
            </a:ext>
          </a:extLst>
        </xdr:cNvPr>
        <xdr:cNvSpPr/>
      </xdr:nvSpPr>
      <xdr:spPr>
        <a:xfrm>
          <a:off x="10910242" y="6911357"/>
          <a:ext cx="849086" cy="498953"/>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Norrmal</a:t>
          </a:r>
          <a:r>
            <a:rPr lang="en-ZA" sz="1100" baseline="0">
              <a:solidFill>
                <a:sysClr val="windowText" lastClr="000000"/>
              </a:solidFill>
            </a:rPr>
            <a:t> weight</a:t>
          </a:r>
          <a:endParaRPr lang="en-ZA" sz="1100">
            <a:solidFill>
              <a:sysClr val="windowText" lastClr="000000"/>
            </a:solidFill>
          </a:endParaRPr>
        </a:p>
      </xdr:txBody>
    </xdr:sp>
    <xdr:clientData/>
  </xdr:twoCellAnchor>
  <xdr:twoCellAnchor>
    <xdr:from>
      <xdr:col>17</xdr:col>
      <xdr:colOff>487136</xdr:colOff>
      <xdr:row>46</xdr:row>
      <xdr:rowOff>127907</xdr:rowOff>
    </xdr:from>
    <xdr:to>
      <xdr:col>19</xdr:col>
      <xdr:colOff>117022</xdr:colOff>
      <xdr:row>49</xdr:row>
      <xdr:rowOff>78922</xdr:rowOff>
    </xdr:to>
    <xdr:sp macro="" textlink="">
      <xdr:nvSpPr>
        <xdr:cNvPr id="77" name="Rectangle: Rounded Corners 76">
          <a:extLst>
            <a:ext uri="{FF2B5EF4-FFF2-40B4-BE49-F238E27FC236}">
              <a16:creationId xmlns:a16="http://schemas.microsoft.com/office/drawing/2014/main" id="{00000000-0008-0000-0200-00004D000000}"/>
            </a:ext>
          </a:extLst>
        </xdr:cNvPr>
        <xdr:cNvSpPr/>
      </xdr:nvSpPr>
      <xdr:spPr>
        <a:xfrm>
          <a:off x="10850336" y="8890907"/>
          <a:ext cx="849086" cy="522515"/>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Stillbirth</a:t>
          </a:r>
        </a:p>
      </xdr:txBody>
    </xdr:sp>
    <xdr:clientData/>
  </xdr:twoCellAnchor>
  <xdr:twoCellAnchor>
    <xdr:from>
      <xdr:col>16</xdr:col>
      <xdr:colOff>13608</xdr:colOff>
      <xdr:row>40</xdr:row>
      <xdr:rowOff>21771</xdr:rowOff>
    </xdr:from>
    <xdr:to>
      <xdr:col>16</xdr:col>
      <xdr:colOff>329293</xdr:colOff>
      <xdr:row>41</xdr:row>
      <xdr:rowOff>97970</xdr:rowOff>
    </xdr:to>
    <xdr:sp macro="" textlink="">
      <xdr:nvSpPr>
        <xdr:cNvPr id="78" name="Oval 77">
          <a:extLst>
            <a:ext uri="{FF2B5EF4-FFF2-40B4-BE49-F238E27FC236}">
              <a16:creationId xmlns:a16="http://schemas.microsoft.com/office/drawing/2014/main" id="{00000000-0008-0000-0200-00004E000000}"/>
            </a:ext>
          </a:extLst>
        </xdr:cNvPr>
        <xdr:cNvSpPr/>
      </xdr:nvSpPr>
      <xdr:spPr>
        <a:xfrm>
          <a:off x="9767208" y="7641771"/>
          <a:ext cx="315685" cy="266699"/>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15</xdr:col>
      <xdr:colOff>224790</xdr:colOff>
      <xdr:row>40</xdr:row>
      <xdr:rowOff>151311</xdr:rowOff>
    </xdr:from>
    <xdr:to>
      <xdr:col>16</xdr:col>
      <xdr:colOff>13608</xdr:colOff>
      <xdr:row>40</xdr:row>
      <xdr:rowOff>151312</xdr:rowOff>
    </xdr:to>
    <xdr:cxnSp macro="">
      <xdr:nvCxnSpPr>
        <xdr:cNvPr id="79" name="Connector: Elbow 42">
          <a:extLst>
            <a:ext uri="{FF2B5EF4-FFF2-40B4-BE49-F238E27FC236}">
              <a16:creationId xmlns:a16="http://schemas.microsoft.com/office/drawing/2014/main" id="{00000000-0008-0000-0200-00004F000000}"/>
            </a:ext>
          </a:extLst>
        </xdr:cNvPr>
        <xdr:cNvCxnSpPr>
          <a:cxnSpLocks/>
          <a:stCxn id="27" idx="3"/>
          <a:endCxn id="78" idx="2"/>
        </xdr:cNvCxnSpPr>
      </xdr:nvCxnSpPr>
      <xdr:spPr>
        <a:xfrm flipV="1">
          <a:off x="9368790" y="7466511"/>
          <a:ext cx="398418" cy="1"/>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171450</xdr:colOff>
      <xdr:row>23</xdr:row>
      <xdr:rowOff>127908</xdr:rowOff>
    </xdr:from>
    <xdr:to>
      <xdr:col>17</xdr:col>
      <xdr:colOff>141513</xdr:colOff>
      <xdr:row>40</xdr:row>
      <xdr:rowOff>21772</xdr:rowOff>
    </xdr:to>
    <xdr:cxnSp macro="">
      <xdr:nvCxnSpPr>
        <xdr:cNvPr id="80" name="Connector: Elbow 79">
          <a:extLst>
            <a:ext uri="{FF2B5EF4-FFF2-40B4-BE49-F238E27FC236}">
              <a16:creationId xmlns:a16="http://schemas.microsoft.com/office/drawing/2014/main" id="{00000000-0008-0000-0200-000050000000}"/>
            </a:ext>
          </a:extLst>
        </xdr:cNvPr>
        <xdr:cNvCxnSpPr>
          <a:stCxn id="78" idx="0"/>
          <a:endCxn id="75" idx="1"/>
        </xdr:cNvCxnSpPr>
      </xdr:nvCxnSpPr>
      <xdr:spPr>
        <a:xfrm rot="5400000" flipH="1" flipV="1">
          <a:off x="8648700" y="5785758"/>
          <a:ext cx="3132364" cy="579663"/>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329293</xdr:colOff>
      <xdr:row>39</xdr:row>
      <xdr:rowOff>28514</xdr:rowOff>
    </xdr:from>
    <xdr:to>
      <xdr:col>17</xdr:col>
      <xdr:colOff>547042</xdr:colOff>
      <xdr:row>40</xdr:row>
      <xdr:rowOff>151311</xdr:rowOff>
    </xdr:to>
    <xdr:cxnSp macro="">
      <xdr:nvCxnSpPr>
        <xdr:cNvPr id="81" name="Connector: Elbow 80">
          <a:extLst>
            <a:ext uri="{FF2B5EF4-FFF2-40B4-BE49-F238E27FC236}">
              <a16:creationId xmlns:a16="http://schemas.microsoft.com/office/drawing/2014/main" id="{00000000-0008-0000-0200-000051000000}"/>
            </a:ext>
          </a:extLst>
        </xdr:cNvPr>
        <xdr:cNvCxnSpPr>
          <a:stCxn id="78" idx="6"/>
          <a:endCxn id="76" idx="1"/>
        </xdr:cNvCxnSpPr>
      </xdr:nvCxnSpPr>
      <xdr:spPr>
        <a:xfrm flipV="1">
          <a:off x="10082893" y="7160834"/>
          <a:ext cx="827349" cy="305677"/>
        </a:xfrm>
        <a:prstGeom prst="bentConnector3">
          <a:avLst>
            <a:gd name="adj1" fmla="val 50000"/>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171451</xdr:colOff>
      <xdr:row>41</xdr:row>
      <xdr:rowOff>97969</xdr:rowOff>
    </xdr:from>
    <xdr:to>
      <xdr:col>17</xdr:col>
      <xdr:colOff>487136</xdr:colOff>
      <xdr:row>48</xdr:row>
      <xdr:rowOff>8164</xdr:rowOff>
    </xdr:to>
    <xdr:cxnSp macro="">
      <xdr:nvCxnSpPr>
        <xdr:cNvPr id="82" name="Connector: Elbow 81">
          <a:extLst>
            <a:ext uri="{FF2B5EF4-FFF2-40B4-BE49-F238E27FC236}">
              <a16:creationId xmlns:a16="http://schemas.microsoft.com/office/drawing/2014/main" id="{00000000-0008-0000-0200-000052000000}"/>
            </a:ext>
          </a:extLst>
        </xdr:cNvPr>
        <xdr:cNvCxnSpPr>
          <a:stCxn id="78" idx="4"/>
          <a:endCxn id="77" idx="1"/>
        </xdr:cNvCxnSpPr>
      </xdr:nvCxnSpPr>
      <xdr:spPr>
        <a:xfrm rot="16200000" flipH="1">
          <a:off x="9765846" y="8067674"/>
          <a:ext cx="1243695" cy="925285"/>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103415</xdr:colOff>
      <xdr:row>47</xdr:row>
      <xdr:rowOff>76206</xdr:rowOff>
    </xdr:from>
    <xdr:to>
      <xdr:col>20</xdr:col>
      <xdr:colOff>310244</xdr:colOff>
      <xdr:row>48</xdr:row>
      <xdr:rowOff>130634</xdr:rowOff>
    </xdr:to>
    <xdr:sp macro="" textlink="">
      <xdr:nvSpPr>
        <xdr:cNvPr id="143" name="Isosceles Triangle 142">
          <a:extLst>
            <a:ext uri="{FF2B5EF4-FFF2-40B4-BE49-F238E27FC236}">
              <a16:creationId xmlns:a16="http://schemas.microsoft.com/office/drawing/2014/main" id="{00000000-0008-0000-0200-00008F000000}"/>
            </a:ext>
          </a:extLst>
        </xdr:cNvPr>
        <xdr:cNvSpPr/>
      </xdr:nvSpPr>
      <xdr:spPr>
        <a:xfrm rot="5400000">
          <a:off x="12276366" y="9048755"/>
          <a:ext cx="244928"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19</xdr:col>
      <xdr:colOff>117022</xdr:colOff>
      <xdr:row>48</xdr:row>
      <xdr:rowOff>8165</xdr:rowOff>
    </xdr:from>
    <xdr:to>
      <xdr:col>20</xdr:col>
      <xdr:colOff>103416</xdr:colOff>
      <xdr:row>48</xdr:row>
      <xdr:rowOff>8170</xdr:rowOff>
    </xdr:to>
    <xdr:cxnSp macro="">
      <xdr:nvCxnSpPr>
        <xdr:cNvPr id="144" name="Connector: Elbow 351">
          <a:extLst>
            <a:ext uri="{FF2B5EF4-FFF2-40B4-BE49-F238E27FC236}">
              <a16:creationId xmlns:a16="http://schemas.microsoft.com/office/drawing/2014/main" id="{00000000-0008-0000-0200-000090000000}"/>
            </a:ext>
          </a:extLst>
        </xdr:cNvPr>
        <xdr:cNvCxnSpPr>
          <a:stCxn id="77" idx="3"/>
          <a:endCxn id="143" idx="3"/>
        </xdr:cNvCxnSpPr>
      </xdr:nvCxnSpPr>
      <xdr:spPr>
        <a:xfrm>
          <a:off x="11699422" y="9152165"/>
          <a:ext cx="595994" cy="5"/>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293546</xdr:colOff>
      <xdr:row>38</xdr:row>
      <xdr:rowOff>74114</xdr:rowOff>
    </xdr:from>
    <xdr:to>
      <xdr:col>20</xdr:col>
      <xdr:colOff>500375</xdr:colOff>
      <xdr:row>39</xdr:row>
      <xdr:rowOff>134687</xdr:rowOff>
    </xdr:to>
    <xdr:sp macro="" textlink="">
      <xdr:nvSpPr>
        <xdr:cNvPr id="145" name="Isosceles Triangle 144">
          <a:extLst>
            <a:ext uri="{FF2B5EF4-FFF2-40B4-BE49-F238E27FC236}">
              <a16:creationId xmlns:a16="http://schemas.microsoft.com/office/drawing/2014/main" id="{00000000-0008-0000-0200-000091000000}"/>
            </a:ext>
          </a:extLst>
        </xdr:cNvPr>
        <xdr:cNvSpPr/>
      </xdr:nvSpPr>
      <xdr:spPr>
        <a:xfrm rot="5400000">
          <a:off x="12467234" y="7041866"/>
          <a:ext cx="243453"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19</xdr:col>
      <xdr:colOff>176928</xdr:colOff>
      <xdr:row>39</xdr:row>
      <xdr:rowOff>12961</xdr:rowOff>
    </xdr:from>
    <xdr:to>
      <xdr:col>20</xdr:col>
      <xdr:colOff>293546</xdr:colOff>
      <xdr:row>39</xdr:row>
      <xdr:rowOff>28514</xdr:rowOff>
    </xdr:to>
    <xdr:cxnSp macro="">
      <xdr:nvCxnSpPr>
        <xdr:cNvPr id="146" name="Connector: Elbow 351">
          <a:extLst>
            <a:ext uri="{FF2B5EF4-FFF2-40B4-BE49-F238E27FC236}">
              <a16:creationId xmlns:a16="http://schemas.microsoft.com/office/drawing/2014/main" id="{00000000-0008-0000-0200-000092000000}"/>
            </a:ext>
          </a:extLst>
        </xdr:cNvPr>
        <xdr:cNvCxnSpPr>
          <a:stCxn id="76" idx="3"/>
          <a:endCxn id="145" idx="3"/>
        </xdr:cNvCxnSpPr>
      </xdr:nvCxnSpPr>
      <xdr:spPr>
        <a:xfrm flipV="1">
          <a:off x="11759328" y="7145281"/>
          <a:ext cx="726218" cy="15553"/>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480604</xdr:colOff>
      <xdr:row>13</xdr:row>
      <xdr:rowOff>171450</xdr:rowOff>
    </xdr:from>
    <xdr:to>
      <xdr:col>23</xdr:col>
      <xdr:colOff>110490</xdr:colOff>
      <xdr:row>16</xdr:row>
      <xdr:rowOff>130084</xdr:rowOff>
    </xdr:to>
    <xdr:sp macro="" textlink="">
      <xdr:nvSpPr>
        <xdr:cNvPr id="147" name="Rectangle: Rounded Corners 146">
          <a:extLst>
            <a:ext uri="{FF2B5EF4-FFF2-40B4-BE49-F238E27FC236}">
              <a16:creationId xmlns:a16="http://schemas.microsoft.com/office/drawing/2014/main" id="{00000000-0008-0000-0200-000093000000}"/>
            </a:ext>
          </a:extLst>
        </xdr:cNvPr>
        <xdr:cNvSpPr/>
      </xdr:nvSpPr>
      <xdr:spPr>
        <a:xfrm>
          <a:off x="13282204" y="4743450"/>
          <a:ext cx="849086" cy="507274"/>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RDS</a:t>
          </a:r>
        </a:p>
      </xdr:txBody>
    </xdr:sp>
    <xdr:clientData/>
  </xdr:twoCellAnchor>
  <xdr:twoCellAnchor>
    <xdr:from>
      <xdr:col>21</xdr:col>
      <xdr:colOff>534629</xdr:colOff>
      <xdr:row>21</xdr:row>
      <xdr:rowOff>56922</xdr:rowOff>
    </xdr:from>
    <xdr:to>
      <xdr:col>23</xdr:col>
      <xdr:colOff>164515</xdr:colOff>
      <xdr:row>25</xdr:row>
      <xdr:rowOff>0</xdr:rowOff>
    </xdr:to>
    <xdr:sp macro="" textlink="">
      <xdr:nvSpPr>
        <xdr:cNvPr id="148" name="Rectangle: Rounded Corners 147">
          <a:extLst>
            <a:ext uri="{FF2B5EF4-FFF2-40B4-BE49-F238E27FC236}">
              <a16:creationId xmlns:a16="http://schemas.microsoft.com/office/drawing/2014/main" id="{00000000-0008-0000-0200-000094000000}"/>
            </a:ext>
          </a:extLst>
        </xdr:cNvPr>
        <xdr:cNvSpPr/>
      </xdr:nvSpPr>
      <xdr:spPr>
        <a:xfrm>
          <a:off x="13336229" y="3897402"/>
          <a:ext cx="849086" cy="674598"/>
        </a:xfrm>
        <a:prstGeom prst="roundRect">
          <a:avLst>
            <a:gd name="adj" fmla="val 16667"/>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no complications</a:t>
          </a:r>
        </a:p>
      </xdr:txBody>
    </xdr:sp>
    <xdr:clientData/>
  </xdr:twoCellAnchor>
  <xdr:twoCellAnchor>
    <xdr:from>
      <xdr:col>19</xdr:col>
      <xdr:colOff>601436</xdr:colOff>
      <xdr:row>23</xdr:row>
      <xdr:rowOff>-1</xdr:rowOff>
    </xdr:from>
    <xdr:to>
      <xdr:col>20</xdr:col>
      <xdr:colOff>307521</xdr:colOff>
      <xdr:row>24</xdr:row>
      <xdr:rowOff>76199</xdr:rowOff>
    </xdr:to>
    <xdr:sp macro="" textlink="">
      <xdr:nvSpPr>
        <xdr:cNvPr id="149" name="Oval 148">
          <a:extLst>
            <a:ext uri="{FF2B5EF4-FFF2-40B4-BE49-F238E27FC236}">
              <a16:creationId xmlns:a16="http://schemas.microsoft.com/office/drawing/2014/main" id="{00000000-0008-0000-0200-000095000000}"/>
            </a:ext>
          </a:extLst>
        </xdr:cNvPr>
        <xdr:cNvSpPr/>
      </xdr:nvSpPr>
      <xdr:spPr>
        <a:xfrm>
          <a:off x="12183836" y="4381499"/>
          <a:ext cx="315685" cy="2667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18</xdr:col>
      <xdr:colOff>381000</xdr:colOff>
      <xdr:row>23</xdr:row>
      <xdr:rowOff>127907</xdr:rowOff>
    </xdr:from>
    <xdr:to>
      <xdr:col>19</xdr:col>
      <xdr:colOff>601436</xdr:colOff>
      <xdr:row>23</xdr:row>
      <xdr:rowOff>133349</xdr:rowOff>
    </xdr:to>
    <xdr:cxnSp macro="">
      <xdr:nvCxnSpPr>
        <xdr:cNvPr id="150" name="Connector: Elbow 42">
          <a:extLst>
            <a:ext uri="{FF2B5EF4-FFF2-40B4-BE49-F238E27FC236}">
              <a16:creationId xmlns:a16="http://schemas.microsoft.com/office/drawing/2014/main" id="{00000000-0008-0000-0200-000096000000}"/>
            </a:ext>
          </a:extLst>
        </xdr:cNvPr>
        <xdr:cNvCxnSpPr>
          <a:cxnSpLocks/>
          <a:stCxn id="75" idx="3"/>
          <a:endCxn id="149" idx="2"/>
        </xdr:cNvCxnSpPr>
      </xdr:nvCxnSpPr>
      <xdr:spPr>
        <a:xfrm>
          <a:off x="11353800" y="4509407"/>
          <a:ext cx="830036" cy="5442"/>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149678</xdr:colOff>
      <xdr:row>15</xdr:row>
      <xdr:rowOff>59328</xdr:rowOff>
    </xdr:from>
    <xdr:to>
      <xdr:col>21</xdr:col>
      <xdr:colOff>480603</xdr:colOff>
      <xdr:row>23</xdr:row>
      <xdr:rowOff>0</xdr:rowOff>
    </xdr:to>
    <xdr:cxnSp macro="">
      <xdr:nvCxnSpPr>
        <xdr:cNvPr id="151" name="Connector: Elbow 150">
          <a:extLst>
            <a:ext uri="{FF2B5EF4-FFF2-40B4-BE49-F238E27FC236}">
              <a16:creationId xmlns:a16="http://schemas.microsoft.com/office/drawing/2014/main" id="{00000000-0008-0000-0200-000097000000}"/>
            </a:ext>
          </a:extLst>
        </xdr:cNvPr>
        <xdr:cNvCxnSpPr>
          <a:stCxn id="149" idx="0"/>
          <a:endCxn id="147" idx="1"/>
        </xdr:cNvCxnSpPr>
      </xdr:nvCxnSpPr>
      <xdr:spPr>
        <a:xfrm rot="5400000" flipH="1" flipV="1">
          <a:off x="12110085" y="3034121"/>
          <a:ext cx="1403712" cy="940525"/>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307521</xdr:colOff>
      <xdr:row>23</xdr:row>
      <xdr:rowOff>28461</xdr:rowOff>
    </xdr:from>
    <xdr:to>
      <xdr:col>21</xdr:col>
      <xdr:colOff>534629</xdr:colOff>
      <xdr:row>23</xdr:row>
      <xdr:rowOff>129539</xdr:rowOff>
    </xdr:to>
    <xdr:cxnSp macro="">
      <xdr:nvCxnSpPr>
        <xdr:cNvPr id="152" name="Connector: Elbow 151">
          <a:extLst>
            <a:ext uri="{FF2B5EF4-FFF2-40B4-BE49-F238E27FC236}">
              <a16:creationId xmlns:a16="http://schemas.microsoft.com/office/drawing/2014/main" id="{00000000-0008-0000-0200-000098000000}"/>
            </a:ext>
          </a:extLst>
        </xdr:cNvPr>
        <xdr:cNvCxnSpPr>
          <a:stCxn id="149" idx="6"/>
          <a:endCxn id="148" idx="1"/>
        </xdr:cNvCxnSpPr>
      </xdr:nvCxnSpPr>
      <xdr:spPr>
        <a:xfrm flipV="1">
          <a:off x="12499521" y="4234701"/>
          <a:ext cx="836708" cy="101078"/>
        </a:xfrm>
        <a:prstGeom prst="bentConnector3">
          <a:avLst>
            <a:gd name="adj1" fmla="val 50000"/>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385355</xdr:colOff>
      <xdr:row>22</xdr:row>
      <xdr:rowOff>105458</xdr:rowOff>
    </xdr:from>
    <xdr:to>
      <xdr:col>24</xdr:col>
      <xdr:colOff>592184</xdr:colOff>
      <xdr:row>23</xdr:row>
      <xdr:rowOff>159886</xdr:rowOff>
    </xdr:to>
    <xdr:sp macro="" textlink="">
      <xdr:nvSpPr>
        <xdr:cNvPr id="153" name="Isosceles Triangle 152">
          <a:extLst>
            <a:ext uri="{FF2B5EF4-FFF2-40B4-BE49-F238E27FC236}">
              <a16:creationId xmlns:a16="http://schemas.microsoft.com/office/drawing/2014/main" id="{00000000-0008-0000-0200-000099000000}"/>
            </a:ext>
          </a:extLst>
        </xdr:cNvPr>
        <xdr:cNvSpPr/>
      </xdr:nvSpPr>
      <xdr:spPr>
        <a:xfrm rot="5400000">
          <a:off x="15000516" y="4144057"/>
          <a:ext cx="237308"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23</xdr:col>
      <xdr:colOff>164515</xdr:colOff>
      <xdr:row>23</xdr:row>
      <xdr:rowOff>28461</xdr:rowOff>
    </xdr:from>
    <xdr:to>
      <xdr:col>24</xdr:col>
      <xdr:colOff>385356</xdr:colOff>
      <xdr:row>23</xdr:row>
      <xdr:rowOff>41232</xdr:rowOff>
    </xdr:to>
    <xdr:cxnSp macro="">
      <xdr:nvCxnSpPr>
        <xdr:cNvPr id="154" name="Connector: Elbow 351">
          <a:extLst>
            <a:ext uri="{FF2B5EF4-FFF2-40B4-BE49-F238E27FC236}">
              <a16:creationId xmlns:a16="http://schemas.microsoft.com/office/drawing/2014/main" id="{00000000-0008-0000-0200-00009A000000}"/>
            </a:ext>
          </a:extLst>
        </xdr:cNvPr>
        <xdr:cNvCxnSpPr>
          <a:cxnSpLocks/>
          <a:stCxn id="148" idx="3"/>
          <a:endCxn id="153" idx="3"/>
        </xdr:cNvCxnSpPr>
      </xdr:nvCxnSpPr>
      <xdr:spPr>
        <a:xfrm>
          <a:off x="14185315" y="4234701"/>
          <a:ext cx="830441" cy="12771"/>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110490</xdr:colOff>
      <xdr:row>15</xdr:row>
      <xdr:rowOff>59327</xdr:rowOff>
    </xdr:from>
    <xdr:to>
      <xdr:col>24</xdr:col>
      <xdr:colOff>400948</xdr:colOff>
      <xdr:row>15</xdr:row>
      <xdr:rowOff>81824</xdr:rowOff>
    </xdr:to>
    <xdr:cxnSp macro="">
      <xdr:nvCxnSpPr>
        <xdr:cNvPr id="202" name="Connector: Elbow 42">
          <a:extLst>
            <a:ext uri="{FF2B5EF4-FFF2-40B4-BE49-F238E27FC236}">
              <a16:creationId xmlns:a16="http://schemas.microsoft.com/office/drawing/2014/main" id="{00000000-0008-0000-0200-0000CA000000}"/>
            </a:ext>
          </a:extLst>
        </xdr:cNvPr>
        <xdr:cNvCxnSpPr>
          <a:cxnSpLocks/>
          <a:stCxn id="147" idx="3"/>
          <a:endCxn id="336" idx="3"/>
        </xdr:cNvCxnSpPr>
      </xdr:nvCxnSpPr>
      <xdr:spPr>
        <a:xfrm>
          <a:off x="14131290" y="2802527"/>
          <a:ext cx="900058" cy="22497"/>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186461</xdr:colOff>
      <xdr:row>151</xdr:row>
      <xdr:rowOff>7725</xdr:rowOff>
    </xdr:from>
    <xdr:to>
      <xdr:col>2</xdr:col>
      <xdr:colOff>425947</xdr:colOff>
      <xdr:row>153</xdr:row>
      <xdr:rowOff>148538</xdr:rowOff>
    </xdr:to>
    <xdr:sp macro="" textlink="">
      <xdr:nvSpPr>
        <xdr:cNvPr id="255" name="Rectangle: Rounded Corners 254">
          <a:extLst>
            <a:ext uri="{FF2B5EF4-FFF2-40B4-BE49-F238E27FC236}">
              <a16:creationId xmlns:a16="http://schemas.microsoft.com/office/drawing/2014/main" id="{00000000-0008-0000-0200-0000FF000000}"/>
            </a:ext>
          </a:extLst>
        </xdr:cNvPr>
        <xdr:cNvSpPr/>
      </xdr:nvSpPr>
      <xdr:spPr>
        <a:xfrm>
          <a:off x="796061" y="8420205"/>
          <a:ext cx="849086" cy="506573"/>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PSG</a:t>
          </a:r>
        </a:p>
      </xdr:txBody>
    </xdr:sp>
    <xdr:clientData/>
  </xdr:twoCellAnchor>
  <xdr:twoCellAnchor>
    <xdr:from>
      <xdr:col>1</xdr:col>
      <xdr:colOff>583029</xdr:colOff>
      <xdr:row>153</xdr:row>
      <xdr:rowOff>148538</xdr:rowOff>
    </xdr:from>
    <xdr:to>
      <xdr:col>1</xdr:col>
      <xdr:colOff>613462</xdr:colOff>
      <xdr:row>200</xdr:row>
      <xdr:rowOff>72571</xdr:rowOff>
    </xdr:to>
    <xdr:cxnSp macro="">
      <xdr:nvCxnSpPr>
        <xdr:cNvPr id="256" name="Connector: Elbow 833">
          <a:extLst>
            <a:ext uri="{FF2B5EF4-FFF2-40B4-BE49-F238E27FC236}">
              <a16:creationId xmlns:a16="http://schemas.microsoft.com/office/drawing/2014/main" id="{00000000-0008-0000-0200-000000010000}"/>
            </a:ext>
          </a:extLst>
        </xdr:cNvPr>
        <xdr:cNvCxnSpPr>
          <a:stCxn id="2" idx="0"/>
          <a:endCxn id="255" idx="2"/>
        </xdr:cNvCxnSpPr>
      </xdr:nvCxnSpPr>
      <xdr:spPr>
        <a:xfrm flipV="1">
          <a:off x="1192629" y="8926778"/>
          <a:ext cx="22813" cy="3032993"/>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549869</xdr:colOff>
      <xdr:row>31</xdr:row>
      <xdr:rowOff>26442</xdr:rowOff>
    </xdr:from>
    <xdr:to>
      <xdr:col>23</xdr:col>
      <xdr:colOff>179755</xdr:colOff>
      <xdr:row>33</xdr:row>
      <xdr:rowOff>165780</xdr:rowOff>
    </xdr:to>
    <xdr:sp macro="" textlink="">
      <xdr:nvSpPr>
        <xdr:cNvPr id="618" name="Rectangle: Rounded Corners 617">
          <a:extLst>
            <a:ext uri="{FF2B5EF4-FFF2-40B4-BE49-F238E27FC236}">
              <a16:creationId xmlns:a16="http://schemas.microsoft.com/office/drawing/2014/main" id="{00000000-0008-0000-0200-00006A020000}"/>
            </a:ext>
          </a:extLst>
        </xdr:cNvPr>
        <xdr:cNvSpPr/>
      </xdr:nvSpPr>
      <xdr:spPr>
        <a:xfrm>
          <a:off x="13351469" y="5695722"/>
          <a:ext cx="849086" cy="505098"/>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Death</a:t>
          </a:r>
        </a:p>
      </xdr:txBody>
    </xdr:sp>
    <xdr:clientData/>
  </xdr:twoCellAnchor>
  <xdr:twoCellAnchor>
    <xdr:from>
      <xdr:col>20</xdr:col>
      <xdr:colOff>149679</xdr:colOff>
      <xdr:row>24</xdr:row>
      <xdr:rowOff>76199</xdr:rowOff>
    </xdr:from>
    <xdr:to>
      <xdr:col>21</xdr:col>
      <xdr:colOff>549869</xdr:colOff>
      <xdr:row>32</xdr:row>
      <xdr:rowOff>96111</xdr:rowOff>
    </xdr:to>
    <xdr:cxnSp macro="">
      <xdr:nvCxnSpPr>
        <xdr:cNvPr id="619" name="Connector: Elbow 618">
          <a:extLst>
            <a:ext uri="{FF2B5EF4-FFF2-40B4-BE49-F238E27FC236}">
              <a16:creationId xmlns:a16="http://schemas.microsoft.com/office/drawing/2014/main" id="{00000000-0008-0000-0200-00006B020000}"/>
            </a:ext>
          </a:extLst>
        </xdr:cNvPr>
        <xdr:cNvCxnSpPr>
          <a:stCxn id="149" idx="4"/>
          <a:endCxn id="618" idx="1"/>
        </xdr:cNvCxnSpPr>
      </xdr:nvCxnSpPr>
      <xdr:spPr>
        <a:xfrm rot="16200000" flipH="1">
          <a:off x="12105098" y="4701900"/>
          <a:ext cx="1482952" cy="1009790"/>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34835</xdr:colOff>
      <xdr:row>31</xdr:row>
      <xdr:rowOff>181655</xdr:rowOff>
    </xdr:from>
    <xdr:to>
      <xdr:col>25</xdr:col>
      <xdr:colOff>241664</xdr:colOff>
      <xdr:row>33</xdr:row>
      <xdr:rowOff>53203</xdr:rowOff>
    </xdr:to>
    <xdr:sp macro="" textlink="">
      <xdr:nvSpPr>
        <xdr:cNvPr id="625" name="Isosceles Triangle 624">
          <a:extLst>
            <a:ext uri="{FF2B5EF4-FFF2-40B4-BE49-F238E27FC236}">
              <a16:creationId xmlns:a16="http://schemas.microsoft.com/office/drawing/2014/main" id="{00000000-0008-0000-0200-000071020000}"/>
            </a:ext>
          </a:extLst>
        </xdr:cNvPr>
        <xdr:cNvSpPr/>
      </xdr:nvSpPr>
      <xdr:spPr>
        <a:xfrm rot="5400000">
          <a:off x="15259596" y="5866174"/>
          <a:ext cx="237308"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23</xdr:col>
      <xdr:colOff>179755</xdr:colOff>
      <xdr:row>32</xdr:row>
      <xdr:rowOff>96111</xdr:rowOff>
    </xdr:from>
    <xdr:to>
      <xdr:col>25</xdr:col>
      <xdr:colOff>34836</xdr:colOff>
      <xdr:row>32</xdr:row>
      <xdr:rowOff>117429</xdr:rowOff>
    </xdr:to>
    <xdr:cxnSp macro="">
      <xdr:nvCxnSpPr>
        <xdr:cNvPr id="626" name="Connector: Elbow 351">
          <a:extLst>
            <a:ext uri="{FF2B5EF4-FFF2-40B4-BE49-F238E27FC236}">
              <a16:creationId xmlns:a16="http://schemas.microsoft.com/office/drawing/2014/main" id="{00000000-0008-0000-0200-000072020000}"/>
            </a:ext>
          </a:extLst>
        </xdr:cNvPr>
        <xdr:cNvCxnSpPr>
          <a:cxnSpLocks/>
          <a:stCxn id="618" idx="3"/>
          <a:endCxn id="625" idx="3"/>
        </xdr:cNvCxnSpPr>
      </xdr:nvCxnSpPr>
      <xdr:spPr>
        <a:xfrm>
          <a:off x="14200555" y="5948271"/>
          <a:ext cx="1074281" cy="21318"/>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400947</xdr:colOff>
      <xdr:row>14</xdr:row>
      <xdr:rowOff>149860</xdr:rowOff>
    </xdr:from>
    <xdr:to>
      <xdr:col>24</xdr:col>
      <xdr:colOff>607776</xdr:colOff>
      <xdr:row>16</xdr:row>
      <xdr:rowOff>13788</xdr:rowOff>
    </xdr:to>
    <xdr:sp macro="" textlink="">
      <xdr:nvSpPr>
        <xdr:cNvPr id="336" name="Isosceles Triangle 335">
          <a:extLst>
            <a:ext uri="{FF2B5EF4-FFF2-40B4-BE49-F238E27FC236}">
              <a16:creationId xmlns:a16="http://schemas.microsoft.com/office/drawing/2014/main" id="{00000000-0008-0000-0200-000050010000}"/>
            </a:ext>
          </a:extLst>
        </xdr:cNvPr>
        <xdr:cNvSpPr/>
      </xdr:nvSpPr>
      <xdr:spPr>
        <a:xfrm rot="5400000">
          <a:off x="15019918" y="2721609"/>
          <a:ext cx="229688"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19</xdr:col>
      <xdr:colOff>385354</xdr:colOff>
      <xdr:row>72</xdr:row>
      <xdr:rowOff>26670</xdr:rowOff>
    </xdr:from>
    <xdr:to>
      <xdr:col>21</xdr:col>
      <xdr:colOff>15240</xdr:colOff>
      <xdr:row>74</xdr:row>
      <xdr:rowOff>160564</xdr:rowOff>
    </xdr:to>
    <xdr:sp macro="" textlink="">
      <xdr:nvSpPr>
        <xdr:cNvPr id="337" name="Rectangle: Rounded Corners 336">
          <a:extLst>
            <a:ext uri="{FF2B5EF4-FFF2-40B4-BE49-F238E27FC236}">
              <a16:creationId xmlns:a16="http://schemas.microsoft.com/office/drawing/2014/main" id="{00000000-0008-0000-0200-000051010000}"/>
            </a:ext>
          </a:extLst>
        </xdr:cNvPr>
        <xdr:cNvSpPr/>
      </xdr:nvSpPr>
      <xdr:spPr>
        <a:xfrm>
          <a:off x="11967754" y="13194030"/>
          <a:ext cx="849086" cy="499654"/>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SGA</a:t>
          </a:r>
        </a:p>
      </xdr:txBody>
    </xdr:sp>
    <xdr:clientData/>
  </xdr:twoCellAnchor>
  <xdr:twoCellAnchor>
    <xdr:from>
      <xdr:col>19</xdr:col>
      <xdr:colOff>547042</xdr:colOff>
      <xdr:row>87</xdr:row>
      <xdr:rowOff>144797</xdr:rowOff>
    </xdr:from>
    <xdr:to>
      <xdr:col>21</xdr:col>
      <xdr:colOff>176928</xdr:colOff>
      <xdr:row>90</xdr:row>
      <xdr:rowOff>95110</xdr:rowOff>
    </xdr:to>
    <xdr:sp macro="" textlink="">
      <xdr:nvSpPr>
        <xdr:cNvPr id="338" name="Rectangle: Rounded Corners 337">
          <a:extLst>
            <a:ext uri="{FF2B5EF4-FFF2-40B4-BE49-F238E27FC236}">
              <a16:creationId xmlns:a16="http://schemas.microsoft.com/office/drawing/2014/main" id="{00000000-0008-0000-0200-000052010000}"/>
            </a:ext>
          </a:extLst>
        </xdr:cNvPr>
        <xdr:cNvSpPr/>
      </xdr:nvSpPr>
      <xdr:spPr>
        <a:xfrm>
          <a:off x="10910242" y="6911357"/>
          <a:ext cx="849086" cy="498953"/>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Norrmal</a:t>
          </a:r>
          <a:r>
            <a:rPr lang="en-ZA" sz="1100" baseline="0">
              <a:solidFill>
                <a:sysClr val="windowText" lastClr="000000"/>
              </a:solidFill>
            </a:rPr>
            <a:t> weight</a:t>
          </a:r>
          <a:endParaRPr lang="en-ZA" sz="1100">
            <a:solidFill>
              <a:sysClr val="windowText" lastClr="000000"/>
            </a:solidFill>
          </a:endParaRPr>
        </a:p>
      </xdr:txBody>
    </xdr:sp>
    <xdr:clientData/>
  </xdr:twoCellAnchor>
  <xdr:twoCellAnchor>
    <xdr:from>
      <xdr:col>19</xdr:col>
      <xdr:colOff>487136</xdr:colOff>
      <xdr:row>96</xdr:row>
      <xdr:rowOff>127907</xdr:rowOff>
    </xdr:from>
    <xdr:to>
      <xdr:col>21</xdr:col>
      <xdr:colOff>117022</xdr:colOff>
      <xdr:row>99</xdr:row>
      <xdr:rowOff>78922</xdr:rowOff>
    </xdr:to>
    <xdr:sp macro="" textlink="">
      <xdr:nvSpPr>
        <xdr:cNvPr id="339" name="Rectangle: Rounded Corners 338">
          <a:extLst>
            <a:ext uri="{FF2B5EF4-FFF2-40B4-BE49-F238E27FC236}">
              <a16:creationId xmlns:a16="http://schemas.microsoft.com/office/drawing/2014/main" id="{00000000-0008-0000-0200-000053010000}"/>
            </a:ext>
          </a:extLst>
        </xdr:cNvPr>
        <xdr:cNvSpPr/>
      </xdr:nvSpPr>
      <xdr:spPr>
        <a:xfrm>
          <a:off x="10850336" y="8540387"/>
          <a:ext cx="849086" cy="499655"/>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Stillbirth</a:t>
          </a:r>
        </a:p>
      </xdr:txBody>
    </xdr:sp>
    <xdr:clientData/>
  </xdr:twoCellAnchor>
  <xdr:twoCellAnchor>
    <xdr:from>
      <xdr:col>17</xdr:col>
      <xdr:colOff>516528</xdr:colOff>
      <xdr:row>79</xdr:row>
      <xdr:rowOff>37011</xdr:rowOff>
    </xdr:from>
    <xdr:to>
      <xdr:col>18</xdr:col>
      <xdr:colOff>222613</xdr:colOff>
      <xdr:row>80</xdr:row>
      <xdr:rowOff>113210</xdr:rowOff>
    </xdr:to>
    <xdr:sp macro="" textlink="">
      <xdr:nvSpPr>
        <xdr:cNvPr id="340" name="Oval 339">
          <a:extLst>
            <a:ext uri="{FF2B5EF4-FFF2-40B4-BE49-F238E27FC236}">
              <a16:creationId xmlns:a16="http://schemas.microsoft.com/office/drawing/2014/main" id="{00000000-0008-0000-0200-000054010000}"/>
            </a:ext>
          </a:extLst>
        </xdr:cNvPr>
        <xdr:cNvSpPr/>
      </xdr:nvSpPr>
      <xdr:spPr>
        <a:xfrm>
          <a:off x="10879728" y="14484531"/>
          <a:ext cx="315685" cy="259079"/>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18</xdr:col>
      <xdr:colOff>64770</xdr:colOff>
      <xdr:row>73</xdr:row>
      <xdr:rowOff>93618</xdr:rowOff>
    </xdr:from>
    <xdr:to>
      <xdr:col>19</xdr:col>
      <xdr:colOff>385353</xdr:colOff>
      <xdr:row>79</xdr:row>
      <xdr:rowOff>37012</xdr:rowOff>
    </xdr:to>
    <xdr:cxnSp macro="">
      <xdr:nvCxnSpPr>
        <xdr:cNvPr id="342" name="Connector: Elbow 341">
          <a:extLst>
            <a:ext uri="{FF2B5EF4-FFF2-40B4-BE49-F238E27FC236}">
              <a16:creationId xmlns:a16="http://schemas.microsoft.com/office/drawing/2014/main" id="{00000000-0008-0000-0200-000056010000}"/>
            </a:ext>
          </a:extLst>
        </xdr:cNvPr>
        <xdr:cNvCxnSpPr>
          <a:cxnSpLocks/>
          <a:stCxn id="340" idx="0"/>
          <a:endCxn id="337" idx="1"/>
        </xdr:cNvCxnSpPr>
      </xdr:nvCxnSpPr>
      <xdr:spPr>
        <a:xfrm rot="5400000" flipH="1" flipV="1">
          <a:off x="10982325" y="13499103"/>
          <a:ext cx="1040674" cy="930183"/>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222613</xdr:colOff>
      <xdr:row>79</xdr:row>
      <xdr:rowOff>166551</xdr:rowOff>
    </xdr:from>
    <xdr:to>
      <xdr:col>19</xdr:col>
      <xdr:colOff>547042</xdr:colOff>
      <xdr:row>89</xdr:row>
      <xdr:rowOff>28514</xdr:rowOff>
    </xdr:to>
    <xdr:cxnSp macro="">
      <xdr:nvCxnSpPr>
        <xdr:cNvPr id="343" name="Connector: Elbow 342">
          <a:extLst>
            <a:ext uri="{FF2B5EF4-FFF2-40B4-BE49-F238E27FC236}">
              <a16:creationId xmlns:a16="http://schemas.microsoft.com/office/drawing/2014/main" id="{00000000-0008-0000-0200-000057010000}"/>
            </a:ext>
          </a:extLst>
        </xdr:cNvPr>
        <xdr:cNvCxnSpPr>
          <a:stCxn id="340" idx="6"/>
          <a:endCxn id="338" idx="1"/>
        </xdr:cNvCxnSpPr>
      </xdr:nvCxnSpPr>
      <xdr:spPr>
        <a:xfrm>
          <a:off x="11195413" y="14614071"/>
          <a:ext cx="934029" cy="1690763"/>
        </a:xfrm>
        <a:prstGeom prst="bentConnector3">
          <a:avLst>
            <a:gd name="adj1" fmla="val 50000"/>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64771</xdr:colOff>
      <xdr:row>80</xdr:row>
      <xdr:rowOff>113209</xdr:rowOff>
    </xdr:from>
    <xdr:to>
      <xdr:col>19</xdr:col>
      <xdr:colOff>487136</xdr:colOff>
      <xdr:row>98</xdr:row>
      <xdr:rowOff>11974</xdr:rowOff>
    </xdr:to>
    <xdr:cxnSp macro="">
      <xdr:nvCxnSpPr>
        <xdr:cNvPr id="344" name="Connector: Elbow 343">
          <a:extLst>
            <a:ext uri="{FF2B5EF4-FFF2-40B4-BE49-F238E27FC236}">
              <a16:creationId xmlns:a16="http://schemas.microsoft.com/office/drawing/2014/main" id="{00000000-0008-0000-0200-000058010000}"/>
            </a:ext>
          </a:extLst>
        </xdr:cNvPr>
        <xdr:cNvCxnSpPr>
          <a:stCxn id="340" idx="4"/>
          <a:endCxn id="339" idx="1"/>
        </xdr:cNvCxnSpPr>
      </xdr:nvCxnSpPr>
      <xdr:spPr>
        <a:xfrm rot="16200000" flipH="1">
          <a:off x="9958251" y="15822929"/>
          <a:ext cx="3190605" cy="1031965"/>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103415</xdr:colOff>
      <xdr:row>97</xdr:row>
      <xdr:rowOff>76206</xdr:rowOff>
    </xdr:from>
    <xdr:to>
      <xdr:col>22</xdr:col>
      <xdr:colOff>310244</xdr:colOff>
      <xdr:row>98</xdr:row>
      <xdr:rowOff>130634</xdr:rowOff>
    </xdr:to>
    <xdr:sp macro="" textlink="">
      <xdr:nvSpPr>
        <xdr:cNvPr id="345" name="Isosceles Triangle 344">
          <a:extLst>
            <a:ext uri="{FF2B5EF4-FFF2-40B4-BE49-F238E27FC236}">
              <a16:creationId xmlns:a16="http://schemas.microsoft.com/office/drawing/2014/main" id="{00000000-0008-0000-0200-000059010000}"/>
            </a:ext>
          </a:extLst>
        </xdr:cNvPr>
        <xdr:cNvSpPr/>
      </xdr:nvSpPr>
      <xdr:spPr>
        <a:xfrm rot="5400000">
          <a:off x="12280176" y="8686805"/>
          <a:ext cx="237308"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21</xdr:col>
      <xdr:colOff>117022</xdr:colOff>
      <xdr:row>98</xdr:row>
      <xdr:rowOff>8165</xdr:rowOff>
    </xdr:from>
    <xdr:to>
      <xdr:col>22</xdr:col>
      <xdr:colOff>103416</xdr:colOff>
      <xdr:row>98</xdr:row>
      <xdr:rowOff>8170</xdr:rowOff>
    </xdr:to>
    <xdr:cxnSp macro="">
      <xdr:nvCxnSpPr>
        <xdr:cNvPr id="346" name="Connector: Elbow 351">
          <a:extLst>
            <a:ext uri="{FF2B5EF4-FFF2-40B4-BE49-F238E27FC236}">
              <a16:creationId xmlns:a16="http://schemas.microsoft.com/office/drawing/2014/main" id="{00000000-0008-0000-0200-00005A010000}"/>
            </a:ext>
          </a:extLst>
        </xdr:cNvPr>
        <xdr:cNvCxnSpPr>
          <a:stCxn id="339" idx="3"/>
          <a:endCxn id="345" idx="3"/>
        </xdr:cNvCxnSpPr>
      </xdr:nvCxnSpPr>
      <xdr:spPr>
        <a:xfrm>
          <a:off x="11699422" y="8786405"/>
          <a:ext cx="595994" cy="5"/>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293546</xdr:colOff>
      <xdr:row>88</xdr:row>
      <xdr:rowOff>74114</xdr:rowOff>
    </xdr:from>
    <xdr:to>
      <xdr:col>22</xdr:col>
      <xdr:colOff>500375</xdr:colOff>
      <xdr:row>89</xdr:row>
      <xdr:rowOff>134687</xdr:rowOff>
    </xdr:to>
    <xdr:sp macro="" textlink="">
      <xdr:nvSpPr>
        <xdr:cNvPr id="347" name="Isosceles Triangle 346">
          <a:extLst>
            <a:ext uri="{FF2B5EF4-FFF2-40B4-BE49-F238E27FC236}">
              <a16:creationId xmlns:a16="http://schemas.microsoft.com/office/drawing/2014/main" id="{00000000-0008-0000-0200-00005B010000}"/>
            </a:ext>
          </a:extLst>
        </xdr:cNvPr>
        <xdr:cNvSpPr/>
      </xdr:nvSpPr>
      <xdr:spPr>
        <a:xfrm rot="5400000">
          <a:off x="12467234" y="7041866"/>
          <a:ext cx="243453"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21</xdr:col>
      <xdr:colOff>176928</xdr:colOff>
      <xdr:row>89</xdr:row>
      <xdr:rowOff>12961</xdr:rowOff>
    </xdr:from>
    <xdr:to>
      <xdr:col>22</xdr:col>
      <xdr:colOff>293546</xdr:colOff>
      <xdr:row>89</xdr:row>
      <xdr:rowOff>28514</xdr:rowOff>
    </xdr:to>
    <xdr:cxnSp macro="">
      <xdr:nvCxnSpPr>
        <xdr:cNvPr id="348" name="Connector: Elbow 351">
          <a:extLst>
            <a:ext uri="{FF2B5EF4-FFF2-40B4-BE49-F238E27FC236}">
              <a16:creationId xmlns:a16="http://schemas.microsoft.com/office/drawing/2014/main" id="{00000000-0008-0000-0200-00005C010000}"/>
            </a:ext>
          </a:extLst>
        </xdr:cNvPr>
        <xdr:cNvCxnSpPr>
          <a:stCxn id="338" idx="3"/>
          <a:endCxn id="347" idx="3"/>
        </xdr:cNvCxnSpPr>
      </xdr:nvCxnSpPr>
      <xdr:spPr>
        <a:xfrm flipV="1">
          <a:off x="11759328" y="7145281"/>
          <a:ext cx="726218" cy="15553"/>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519389</xdr:colOff>
      <xdr:row>74</xdr:row>
      <xdr:rowOff>102642</xdr:rowOff>
    </xdr:from>
    <xdr:to>
      <xdr:col>25</xdr:col>
      <xdr:colOff>149275</xdr:colOff>
      <xdr:row>77</xdr:row>
      <xdr:rowOff>59100</xdr:rowOff>
    </xdr:to>
    <xdr:sp macro="" textlink="">
      <xdr:nvSpPr>
        <xdr:cNvPr id="350" name="Rectangle: Rounded Corners 349">
          <a:extLst>
            <a:ext uri="{FF2B5EF4-FFF2-40B4-BE49-F238E27FC236}">
              <a16:creationId xmlns:a16="http://schemas.microsoft.com/office/drawing/2014/main" id="{00000000-0008-0000-0200-00005E010000}"/>
            </a:ext>
          </a:extLst>
        </xdr:cNvPr>
        <xdr:cNvSpPr/>
      </xdr:nvSpPr>
      <xdr:spPr>
        <a:xfrm>
          <a:off x="13320989" y="4491762"/>
          <a:ext cx="849086" cy="505098"/>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no complications</a:t>
          </a:r>
        </a:p>
      </xdr:txBody>
    </xdr:sp>
    <xdr:clientData/>
  </xdr:twoCellAnchor>
  <xdr:twoCellAnchor>
    <xdr:from>
      <xdr:col>21</xdr:col>
      <xdr:colOff>601436</xdr:colOff>
      <xdr:row>73</xdr:row>
      <xdr:rowOff>-1</xdr:rowOff>
    </xdr:from>
    <xdr:to>
      <xdr:col>22</xdr:col>
      <xdr:colOff>307521</xdr:colOff>
      <xdr:row>74</xdr:row>
      <xdr:rowOff>76199</xdr:rowOff>
    </xdr:to>
    <xdr:sp macro="" textlink="">
      <xdr:nvSpPr>
        <xdr:cNvPr id="351" name="Oval 350">
          <a:extLst>
            <a:ext uri="{FF2B5EF4-FFF2-40B4-BE49-F238E27FC236}">
              <a16:creationId xmlns:a16="http://schemas.microsoft.com/office/drawing/2014/main" id="{00000000-0008-0000-0200-00005F010000}"/>
            </a:ext>
          </a:extLst>
        </xdr:cNvPr>
        <xdr:cNvSpPr/>
      </xdr:nvSpPr>
      <xdr:spPr>
        <a:xfrm>
          <a:off x="12183836" y="4206239"/>
          <a:ext cx="315685" cy="25908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21</xdr:col>
      <xdr:colOff>15240</xdr:colOff>
      <xdr:row>73</xdr:row>
      <xdr:rowOff>93617</xdr:rowOff>
    </xdr:from>
    <xdr:to>
      <xdr:col>21</xdr:col>
      <xdr:colOff>601436</xdr:colOff>
      <xdr:row>73</xdr:row>
      <xdr:rowOff>129539</xdr:rowOff>
    </xdr:to>
    <xdr:cxnSp macro="">
      <xdr:nvCxnSpPr>
        <xdr:cNvPr id="352" name="Connector: Elbow 42">
          <a:extLst>
            <a:ext uri="{FF2B5EF4-FFF2-40B4-BE49-F238E27FC236}">
              <a16:creationId xmlns:a16="http://schemas.microsoft.com/office/drawing/2014/main" id="{00000000-0008-0000-0200-000060010000}"/>
            </a:ext>
          </a:extLst>
        </xdr:cNvPr>
        <xdr:cNvCxnSpPr>
          <a:cxnSpLocks/>
          <a:stCxn id="337" idx="3"/>
          <a:endCxn id="351" idx="2"/>
        </xdr:cNvCxnSpPr>
      </xdr:nvCxnSpPr>
      <xdr:spPr>
        <a:xfrm>
          <a:off x="12816840" y="13443857"/>
          <a:ext cx="586196" cy="35922"/>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149679</xdr:colOff>
      <xdr:row>74</xdr:row>
      <xdr:rowOff>76199</xdr:rowOff>
    </xdr:from>
    <xdr:to>
      <xdr:col>23</xdr:col>
      <xdr:colOff>519389</xdr:colOff>
      <xdr:row>75</xdr:row>
      <xdr:rowOff>172311</xdr:rowOff>
    </xdr:to>
    <xdr:cxnSp macro="">
      <xdr:nvCxnSpPr>
        <xdr:cNvPr id="354" name="Connector: Elbow 353">
          <a:extLst>
            <a:ext uri="{FF2B5EF4-FFF2-40B4-BE49-F238E27FC236}">
              <a16:creationId xmlns:a16="http://schemas.microsoft.com/office/drawing/2014/main" id="{00000000-0008-0000-0200-000062010000}"/>
            </a:ext>
          </a:extLst>
        </xdr:cNvPr>
        <xdr:cNvCxnSpPr>
          <a:stCxn id="351" idx="4"/>
          <a:endCxn id="350" idx="1"/>
        </xdr:cNvCxnSpPr>
      </xdr:nvCxnSpPr>
      <xdr:spPr>
        <a:xfrm rot="16200000" flipH="1">
          <a:off x="12691838" y="4115160"/>
          <a:ext cx="278992" cy="979310"/>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507275</xdr:colOff>
      <xdr:row>75</xdr:row>
      <xdr:rowOff>29256</xdr:rowOff>
    </xdr:from>
    <xdr:to>
      <xdr:col>27</xdr:col>
      <xdr:colOff>104504</xdr:colOff>
      <xdr:row>76</xdr:row>
      <xdr:rowOff>83684</xdr:rowOff>
    </xdr:to>
    <xdr:sp macro="" textlink="">
      <xdr:nvSpPr>
        <xdr:cNvPr id="355" name="Isosceles Triangle 354">
          <a:extLst>
            <a:ext uri="{FF2B5EF4-FFF2-40B4-BE49-F238E27FC236}">
              <a16:creationId xmlns:a16="http://schemas.microsoft.com/office/drawing/2014/main" id="{00000000-0008-0000-0200-000063010000}"/>
            </a:ext>
          </a:extLst>
        </xdr:cNvPr>
        <xdr:cNvSpPr/>
      </xdr:nvSpPr>
      <xdr:spPr>
        <a:xfrm rot="5400000">
          <a:off x="15122436" y="4616495"/>
          <a:ext cx="237308"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25</xdr:col>
      <xdr:colOff>149275</xdr:colOff>
      <xdr:row>75</xdr:row>
      <xdr:rowOff>147910</xdr:rowOff>
    </xdr:from>
    <xdr:to>
      <xdr:col>26</xdr:col>
      <xdr:colOff>507276</xdr:colOff>
      <xdr:row>75</xdr:row>
      <xdr:rowOff>172311</xdr:rowOff>
    </xdr:to>
    <xdr:cxnSp macro="">
      <xdr:nvCxnSpPr>
        <xdr:cNvPr id="356" name="Connector: Elbow 351">
          <a:extLst>
            <a:ext uri="{FF2B5EF4-FFF2-40B4-BE49-F238E27FC236}">
              <a16:creationId xmlns:a16="http://schemas.microsoft.com/office/drawing/2014/main" id="{00000000-0008-0000-0200-000064010000}"/>
            </a:ext>
          </a:extLst>
        </xdr:cNvPr>
        <xdr:cNvCxnSpPr>
          <a:stCxn id="350" idx="3"/>
          <a:endCxn id="355" idx="3"/>
        </xdr:cNvCxnSpPr>
      </xdr:nvCxnSpPr>
      <xdr:spPr>
        <a:xfrm flipV="1">
          <a:off x="14170075" y="4719910"/>
          <a:ext cx="967601" cy="24401"/>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581016</xdr:colOff>
      <xdr:row>66</xdr:row>
      <xdr:rowOff>146764</xdr:rowOff>
    </xdr:from>
    <xdr:to>
      <xdr:col>25</xdr:col>
      <xdr:colOff>210902</xdr:colOff>
      <xdr:row>69</xdr:row>
      <xdr:rowOff>109367</xdr:rowOff>
    </xdr:to>
    <xdr:sp macro="" textlink="">
      <xdr:nvSpPr>
        <xdr:cNvPr id="358" name="Rectangle: Rounded Corners 357">
          <a:extLst>
            <a:ext uri="{FF2B5EF4-FFF2-40B4-BE49-F238E27FC236}">
              <a16:creationId xmlns:a16="http://schemas.microsoft.com/office/drawing/2014/main" id="{00000000-0008-0000-0200-000066010000}"/>
            </a:ext>
          </a:extLst>
        </xdr:cNvPr>
        <xdr:cNvSpPr/>
      </xdr:nvSpPr>
      <xdr:spPr>
        <a:xfrm>
          <a:off x="14601816" y="12216844"/>
          <a:ext cx="849086" cy="511243"/>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Hypoglycaemia</a:t>
          </a:r>
        </a:p>
      </xdr:txBody>
    </xdr:sp>
    <xdr:clientData/>
  </xdr:twoCellAnchor>
  <xdr:twoCellAnchor>
    <xdr:from>
      <xdr:col>22</xdr:col>
      <xdr:colOff>149679</xdr:colOff>
      <xdr:row>68</xdr:row>
      <xdr:rowOff>36627</xdr:rowOff>
    </xdr:from>
    <xdr:to>
      <xdr:col>23</xdr:col>
      <xdr:colOff>581016</xdr:colOff>
      <xdr:row>73</xdr:row>
      <xdr:rowOff>0</xdr:rowOff>
    </xdr:to>
    <xdr:cxnSp macro="">
      <xdr:nvCxnSpPr>
        <xdr:cNvPr id="360" name="Connector: Elbow 359">
          <a:extLst>
            <a:ext uri="{FF2B5EF4-FFF2-40B4-BE49-F238E27FC236}">
              <a16:creationId xmlns:a16="http://schemas.microsoft.com/office/drawing/2014/main" id="{00000000-0008-0000-0200-000068010000}"/>
            </a:ext>
          </a:extLst>
        </xdr:cNvPr>
        <xdr:cNvCxnSpPr>
          <a:cxnSpLocks/>
          <a:stCxn id="351" idx="0"/>
          <a:endCxn id="358" idx="1"/>
        </xdr:cNvCxnSpPr>
      </xdr:nvCxnSpPr>
      <xdr:spPr>
        <a:xfrm rot="5400000" flipH="1" flipV="1">
          <a:off x="13642461" y="12390885"/>
          <a:ext cx="877773" cy="1040937"/>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477147</xdr:colOff>
      <xdr:row>67</xdr:row>
      <xdr:rowOff>73660</xdr:rowOff>
    </xdr:from>
    <xdr:to>
      <xdr:col>27</xdr:col>
      <xdr:colOff>74376</xdr:colOff>
      <xdr:row>68</xdr:row>
      <xdr:rowOff>120468</xdr:rowOff>
    </xdr:to>
    <xdr:sp macro="" textlink="">
      <xdr:nvSpPr>
        <xdr:cNvPr id="361" name="Isosceles Triangle 360">
          <a:extLst>
            <a:ext uri="{FF2B5EF4-FFF2-40B4-BE49-F238E27FC236}">
              <a16:creationId xmlns:a16="http://schemas.microsoft.com/office/drawing/2014/main" id="{00000000-0008-0000-0200-000069010000}"/>
            </a:ext>
          </a:extLst>
        </xdr:cNvPr>
        <xdr:cNvSpPr/>
      </xdr:nvSpPr>
      <xdr:spPr>
        <a:xfrm rot="5400000">
          <a:off x="16315318" y="12338049"/>
          <a:ext cx="229688"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25</xdr:col>
      <xdr:colOff>210902</xdr:colOff>
      <xdr:row>68</xdr:row>
      <xdr:rowOff>5624</xdr:rowOff>
    </xdr:from>
    <xdr:to>
      <xdr:col>26</xdr:col>
      <xdr:colOff>477148</xdr:colOff>
      <xdr:row>68</xdr:row>
      <xdr:rowOff>36626</xdr:rowOff>
    </xdr:to>
    <xdr:cxnSp macro="">
      <xdr:nvCxnSpPr>
        <xdr:cNvPr id="362" name="Connector: Elbow 351">
          <a:extLst>
            <a:ext uri="{FF2B5EF4-FFF2-40B4-BE49-F238E27FC236}">
              <a16:creationId xmlns:a16="http://schemas.microsoft.com/office/drawing/2014/main" id="{00000000-0008-0000-0200-00006A010000}"/>
            </a:ext>
          </a:extLst>
        </xdr:cNvPr>
        <xdr:cNvCxnSpPr>
          <a:cxnSpLocks/>
          <a:stCxn id="358" idx="3"/>
          <a:endCxn id="361" idx="3"/>
        </xdr:cNvCxnSpPr>
      </xdr:nvCxnSpPr>
      <xdr:spPr>
        <a:xfrm flipV="1">
          <a:off x="15450902" y="12441464"/>
          <a:ext cx="875846" cy="31002"/>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549869</xdr:colOff>
      <xdr:row>81</xdr:row>
      <xdr:rowOff>26442</xdr:rowOff>
    </xdr:from>
    <xdr:to>
      <xdr:col>25</xdr:col>
      <xdr:colOff>179755</xdr:colOff>
      <xdr:row>83</xdr:row>
      <xdr:rowOff>165780</xdr:rowOff>
    </xdr:to>
    <xdr:sp macro="" textlink="">
      <xdr:nvSpPr>
        <xdr:cNvPr id="366" name="Rectangle: Rounded Corners 365">
          <a:extLst>
            <a:ext uri="{FF2B5EF4-FFF2-40B4-BE49-F238E27FC236}">
              <a16:creationId xmlns:a16="http://schemas.microsoft.com/office/drawing/2014/main" id="{00000000-0008-0000-0200-00006E010000}"/>
            </a:ext>
          </a:extLst>
        </xdr:cNvPr>
        <xdr:cNvSpPr/>
      </xdr:nvSpPr>
      <xdr:spPr>
        <a:xfrm>
          <a:off x="13351469" y="5695722"/>
          <a:ext cx="849086" cy="505098"/>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Death</a:t>
          </a:r>
        </a:p>
      </xdr:txBody>
    </xdr:sp>
    <xdr:clientData/>
  </xdr:twoCellAnchor>
  <xdr:twoCellAnchor>
    <xdr:from>
      <xdr:col>22</xdr:col>
      <xdr:colOff>149679</xdr:colOff>
      <xdr:row>74</xdr:row>
      <xdr:rowOff>76199</xdr:rowOff>
    </xdr:from>
    <xdr:to>
      <xdr:col>23</xdr:col>
      <xdr:colOff>549869</xdr:colOff>
      <xdr:row>82</xdr:row>
      <xdr:rowOff>96111</xdr:rowOff>
    </xdr:to>
    <xdr:cxnSp macro="">
      <xdr:nvCxnSpPr>
        <xdr:cNvPr id="367" name="Connector: Elbow 366">
          <a:extLst>
            <a:ext uri="{FF2B5EF4-FFF2-40B4-BE49-F238E27FC236}">
              <a16:creationId xmlns:a16="http://schemas.microsoft.com/office/drawing/2014/main" id="{00000000-0008-0000-0200-00006F010000}"/>
            </a:ext>
          </a:extLst>
        </xdr:cNvPr>
        <xdr:cNvCxnSpPr>
          <a:stCxn id="351" idx="4"/>
          <a:endCxn id="366" idx="1"/>
        </xdr:cNvCxnSpPr>
      </xdr:nvCxnSpPr>
      <xdr:spPr>
        <a:xfrm rot="16200000" flipH="1">
          <a:off x="12105098" y="4701900"/>
          <a:ext cx="1482952" cy="1009790"/>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34835</xdr:colOff>
      <xdr:row>81</xdr:row>
      <xdr:rowOff>181655</xdr:rowOff>
    </xdr:from>
    <xdr:to>
      <xdr:col>27</xdr:col>
      <xdr:colOff>241664</xdr:colOff>
      <xdr:row>83</xdr:row>
      <xdr:rowOff>53203</xdr:rowOff>
    </xdr:to>
    <xdr:sp macro="" textlink="">
      <xdr:nvSpPr>
        <xdr:cNvPr id="368" name="Isosceles Triangle 367">
          <a:extLst>
            <a:ext uri="{FF2B5EF4-FFF2-40B4-BE49-F238E27FC236}">
              <a16:creationId xmlns:a16="http://schemas.microsoft.com/office/drawing/2014/main" id="{00000000-0008-0000-0200-000070010000}"/>
            </a:ext>
          </a:extLst>
        </xdr:cNvPr>
        <xdr:cNvSpPr/>
      </xdr:nvSpPr>
      <xdr:spPr>
        <a:xfrm rot="5400000">
          <a:off x="15259596" y="5866174"/>
          <a:ext cx="237308"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25</xdr:col>
      <xdr:colOff>179755</xdr:colOff>
      <xdr:row>82</xdr:row>
      <xdr:rowOff>96111</xdr:rowOff>
    </xdr:from>
    <xdr:to>
      <xdr:col>27</xdr:col>
      <xdr:colOff>34836</xdr:colOff>
      <xdr:row>82</xdr:row>
      <xdr:rowOff>117429</xdr:rowOff>
    </xdr:to>
    <xdr:cxnSp macro="">
      <xdr:nvCxnSpPr>
        <xdr:cNvPr id="369" name="Connector: Elbow 351">
          <a:extLst>
            <a:ext uri="{FF2B5EF4-FFF2-40B4-BE49-F238E27FC236}">
              <a16:creationId xmlns:a16="http://schemas.microsoft.com/office/drawing/2014/main" id="{00000000-0008-0000-0200-000071010000}"/>
            </a:ext>
          </a:extLst>
        </xdr:cNvPr>
        <xdr:cNvCxnSpPr>
          <a:stCxn id="366" idx="3"/>
          <a:endCxn id="368" idx="3"/>
        </xdr:cNvCxnSpPr>
      </xdr:nvCxnSpPr>
      <xdr:spPr>
        <a:xfrm>
          <a:off x="14200555" y="5948271"/>
          <a:ext cx="1074281" cy="21318"/>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594904</xdr:colOff>
      <xdr:row>142</xdr:row>
      <xdr:rowOff>81643</xdr:rowOff>
    </xdr:from>
    <xdr:to>
      <xdr:col>15</xdr:col>
      <xdr:colOff>224790</xdr:colOff>
      <xdr:row>145</xdr:row>
      <xdr:rowOff>38100</xdr:rowOff>
    </xdr:to>
    <xdr:sp macro="" textlink="">
      <xdr:nvSpPr>
        <xdr:cNvPr id="444" name="Rectangle: Rounded Corners 443">
          <a:extLst>
            <a:ext uri="{FF2B5EF4-FFF2-40B4-BE49-F238E27FC236}">
              <a16:creationId xmlns:a16="http://schemas.microsoft.com/office/drawing/2014/main" id="{00000000-0008-0000-0200-0000BC010000}"/>
            </a:ext>
          </a:extLst>
        </xdr:cNvPr>
        <xdr:cNvSpPr/>
      </xdr:nvSpPr>
      <xdr:spPr>
        <a:xfrm>
          <a:off x="8519704" y="7213963"/>
          <a:ext cx="849086" cy="505097"/>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Preterm</a:t>
          </a:r>
        </a:p>
      </xdr:txBody>
    </xdr:sp>
    <xdr:clientData/>
  </xdr:twoCellAnchor>
  <xdr:twoCellAnchor>
    <xdr:from>
      <xdr:col>14</xdr:col>
      <xdr:colOff>283573</xdr:colOff>
      <xdr:row>181</xdr:row>
      <xdr:rowOff>81099</xdr:rowOff>
    </xdr:from>
    <xdr:to>
      <xdr:col>15</xdr:col>
      <xdr:colOff>523059</xdr:colOff>
      <xdr:row>184</xdr:row>
      <xdr:rowOff>30480</xdr:rowOff>
    </xdr:to>
    <xdr:sp macro="" textlink="">
      <xdr:nvSpPr>
        <xdr:cNvPr id="445" name="Rectangle: Rounded Corners 444">
          <a:extLst>
            <a:ext uri="{FF2B5EF4-FFF2-40B4-BE49-F238E27FC236}">
              <a16:creationId xmlns:a16="http://schemas.microsoft.com/office/drawing/2014/main" id="{00000000-0008-0000-0200-0000BD010000}"/>
            </a:ext>
          </a:extLst>
        </xdr:cNvPr>
        <xdr:cNvSpPr/>
      </xdr:nvSpPr>
      <xdr:spPr>
        <a:xfrm>
          <a:off x="8817973" y="14345739"/>
          <a:ext cx="849086" cy="498021"/>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Term</a:t>
          </a:r>
        </a:p>
      </xdr:txBody>
    </xdr:sp>
    <xdr:clientData/>
  </xdr:twoCellAnchor>
  <xdr:twoCellAnchor>
    <xdr:from>
      <xdr:col>13</xdr:col>
      <xdr:colOff>1</xdr:colOff>
      <xdr:row>143</xdr:row>
      <xdr:rowOff>151313</xdr:rowOff>
    </xdr:from>
    <xdr:to>
      <xdr:col>13</xdr:col>
      <xdr:colOff>594904</xdr:colOff>
      <xdr:row>149</xdr:row>
      <xdr:rowOff>100148</xdr:rowOff>
    </xdr:to>
    <xdr:cxnSp macro="">
      <xdr:nvCxnSpPr>
        <xdr:cNvPr id="446" name="Connector: Elbow 445">
          <a:extLst>
            <a:ext uri="{FF2B5EF4-FFF2-40B4-BE49-F238E27FC236}">
              <a16:creationId xmlns:a16="http://schemas.microsoft.com/office/drawing/2014/main" id="{00000000-0008-0000-0200-0000BE010000}"/>
            </a:ext>
          </a:extLst>
        </xdr:cNvPr>
        <xdr:cNvCxnSpPr>
          <a:stCxn id="448" idx="0"/>
          <a:endCxn id="444" idx="1"/>
        </xdr:cNvCxnSpPr>
      </xdr:nvCxnSpPr>
      <xdr:spPr>
        <a:xfrm rot="5400000" flipH="1" flipV="1">
          <a:off x="7699195" y="7692119"/>
          <a:ext cx="1046115" cy="594903"/>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xdr:colOff>
      <xdr:row>150</xdr:row>
      <xdr:rowOff>176346</xdr:rowOff>
    </xdr:from>
    <xdr:to>
      <xdr:col>14</xdr:col>
      <xdr:colOff>283574</xdr:colOff>
      <xdr:row>182</xdr:row>
      <xdr:rowOff>147229</xdr:rowOff>
    </xdr:to>
    <xdr:cxnSp macro="">
      <xdr:nvCxnSpPr>
        <xdr:cNvPr id="447" name="Connector: Elbow 446">
          <a:extLst>
            <a:ext uri="{FF2B5EF4-FFF2-40B4-BE49-F238E27FC236}">
              <a16:creationId xmlns:a16="http://schemas.microsoft.com/office/drawing/2014/main" id="{00000000-0008-0000-0200-0000BF010000}"/>
            </a:ext>
          </a:extLst>
        </xdr:cNvPr>
        <xdr:cNvCxnSpPr>
          <a:stCxn id="448" idx="4"/>
          <a:endCxn id="445" idx="1"/>
        </xdr:cNvCxnSpPr>
      </xdr:nvCxnSpPr>
      <xdr:spPr>
        <a:xfrm rot="16200000" flipH="1">
          <a:off x="5459866" y="11236642"/>
          <a:ext cx="5823043" cy="893172"/>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451758</xdr:colOff>
      <xdr:row>149</xdr:row>
      <xdr:rowOff>100147</xdr:rowOff>
    </xdr:from>
    <xdr:to>
      <xdr:col>13</xdr:col>
      <xdr:colOff>157843</xdr:colOff>
      <xdr:row>150</xdr:row>
      <xdr:rowOff>176347</xdr:rowOff>
    </xdr:to>
    <xdr:sp macro="" textlink="">
      <xdr:nvSpPr>
        <xdr:cNvPr id="448" name="Oval 447">
          <a:extLst>
            <a:ext uri="{FF2B5EF4-FFF2-40B4-BE49-F238E27FC236}">
              <a16:creationId xmlns:a16="http://schemas.microsoft.com/office/drawing/2014/main" id="{00000000-0008-0000-0200-0000C0010000}"/>
            </a:ext>
          </a:extLst>
        </xdr:cNvPr>
        <xdr:cNvSpPr/>
      </xdr:nvSpPr>
      <xdr:spPr>
        <a:xfrm>
          <a:off x="7766958" y="8512627"/>
          <a:ext cx="315685" cy="25908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15</xdr:col>
      <xdr:colOff>523059</xdr:colOff>
      <xdr:row>182</xdr:row>
      <xdr:rowOff>147230</xdr:rowOff>
    </xdr:from>
    <xdr:to>
      <xdr:col>17</xdr:col>
      <xdr:colOff>516528</xdr:colOff>
      <xdr:row>182</xdr:row>
      <xdr:rowOff>166551</xdr:rowOff>
    </xdr:to>
    <xdr:cxnSp macro="">
      <xdr:nvCxnSpPr>
        <xdr:cNvPr id="449" name="Connector: Elbow 351">
          <a:extLst>
            <a:ext uri="{FF2B5EF4-FFF2-40B4-BE49-F238E27FC236}">
              <a16:creationId xmlns:a16="http://schemas.microsoft.com/office/drawing/2014/main" id="{00000000-0008-0000-0200-0000C1010000}"/>
            </a:ext>
          </a:extLst>
        </xdr:cNvPr>
        <xdr:cNvCxnSpPr>
          <a:cxnSpLocks/>
          <a:stCxn id="445" idx="3"/>
          <a:endCxn id="487" idx="2"/>
        </xdr:cNvCxnSpPr>
      </xdr:nvCxnSpPr>
      <xdr:spPr>
        <a:xfrm>
          <a:off x="9667059" y="14594750"/>
          <a:ext cx="1212669" cy="19321"/>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141514</xdr:colOff>
      <xdr:row>125</xdr:row>
      <xdr:rowOff>57150</xdr:rowOff>
    </xdr:from>
    <xdr:to>
      <xdr:col>18</xdr:col>
      <xdr:colOff>381000</xdr:colOff>
      <xdr:row>128</xdr:row>
      <xdr:rowOff>8164</xdr:rowOff>
    </xdr:to>
    <xdr:sp macro="" textlink="">
      <xdr:nvSpPr>
        <xdr:cNvPr id="450" name="Rectangle: Rounded Corners 449">
          <a:extLst>
            <a:ext uri="{FF2B5EF4-FFF2-40B4-BE49-F238E27FC236}">
              <a16:creationId xmlns:a16="http://schemas.microsoft.com/office/drawing/2014/main" id="{00000000-0008-0000-0200-0000C2010000}"/>
            </a:ext>
          </a:extLst>
        </xdr:cNvPr>
        <xdr:cNvSpPr/>
      </xdr:nvSpPr>
      <xdr:spPr>
        <a:xfrm>
          <a:off x="10504714" y="4080510"/>
          <a:ext cx="849086" cy="499654"/>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LBW</a:t>
          </a:r>
        </a:p>
      </xdr:txBody>
    </xdr:sp>
    <xdr:clientData/>
  </xdr:twoCellAnchor>
  <xdr:twoCellAnchor>
    <xdr:from>
      <xdr:col>17</xdr:col>
      <xdr:colOff>547042</xdr:colOff>
      <xdr:row>140</xdr:row>
      <xdr:rowOff>144797</xdr:rowOff>
    </xdr:from>
    <xdr:to>
      <xdr:col>19</xdr:col>
      <xdr:colOff>176928</xdr:colOff>
      <xdr:row>143</xdr:row>
      <xdr:rowOff>95110</xdr:rowOff>
    </xdr:to>
    <xdr:sp macro="" textlink="">
      <xdr:nvSpPr>
        <xdr:cNvPr id="451" name="Rectangle: Rounded Corners 450">
          <a:extLst>
            <a:ext uri="{FF2B5EF4-FFF2-40B4-BE49-F238E27FC236}">
              <a16:creationId xmlns:a16="http://schemas.microsoft.com/office/drawing/2014/main" id="{00000000-0008-0000-0200-0000C3010000}"/>
            </a:ext>
          </a:extLst>
        </xdr:cNvPr>
        <xdr:cNvSpPr/>
      </xdr:nvSpPr>
      <xdr:spPr>
        <a:xfrm>
          <a:off x="10910242" y="6911357"/>
          <a:ext cx="849086" cy="498953"/>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Norrmal</a:t>
          </a:r>
          <a:r>
            <a:rPr lang="en-ZA" sz="1100" baseline="0">
              <a:solidFill>
                <a:sysClr val="windowText" lastClr="000000"/>
              </a:solidFill>
            </a:rPr>
            <a:t> weight</a:t>
          </a:r>
          <a:endParaRPr lang="en-ZA" sz="1100">
            <a:solidFill>
              <a:sysClr val="windowText" lastClr="000000"/>
            </a:solidFill>
          </a:endParaRPr>
        </a:p>
      </xdr:txBody>
    </xdr:sp>
    <xdr:clientData/>
  </xdr:twoCellAnchor>
  <xdr:twoCellAnchor>
    <xdr:from>
      <xdr:col>17</xdr:col>
      <xdr:colOff>487136</xdr:colOff>
      <xdr:row>149</xdr:row>
      <xdr:rowOff>127907</xdr:rowOff>
    </xdr:from>
    <xdr:to>
      <xdr:col>19</xdr:col>
      <xdr:colOff>117022</xdr:colOff>
      <xdr:row>152</xdr:row>
      <xdr:rowOff>78922</xdr:rowOff>
    </xdr:to>
    <xdr:sp macro="" textlink="">
      <xdr:nvSpPr>
        <xdr:cNvPr id="452" name="Rectangle: Rounded Corners 451">
          <a:extLst>
            <a:ext uri="{FF2B5EF4-FFF2-40B4-BE49-F238E27FC236}">
              <a16:creationId xmlns:a16="http://schemas.microsoft.com/office/drawing/2014/main" id="{00000000-0008-0000-0200-0000C4010000}"/>
            </a:ext>
          </a:extLst>
        </xdr:cNvPr>
        <xdr:cNvSpPr/>
      </xdr:nvSpPr>
      <xdr:spPr>
        <a:xfrm>
          <a:off x="10850336" y="8540387"/>
          <a:ext cx="849086" cy="499655"/>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Stillbirth</a:t>
          </a:r>
        </a:p>
      </xdr:txBody>
    </xdr:sp>
    <xdr:clientData/>
  </xdr:twoCellAnchor>
  <xdr:twoCellAnchor>
    <xdr:from>
      <xdr:col>16</xdr:col>
      <xdr:colOff>13608</xdr:colOff>
      <xdr:row>143</xdr:row>
      <xdr:rowOff>21771</xdr:rowOff>
    </xdr:from>
    <xdr:to>
      <xdr:col>16</xdr:col>
      <xdr:colOff>329293</xdr:colOff>
      <xdr:row>144</xdr:row>
      <xdr:rowOff>97970</xdr:rowOff>
    </xdr:to>
    <xdr:sp macro="" textlink="">
      <xdr:nvSpPr>
        <xdr:cNvPr id="453" name="Oval 452">
          <a:extLst>
            <a:ext uri="{FF2B5EF4-FFF2-40B4-BE49-F238E27FC236}">
              <a16:creationId xmlns:a16="http://schemas.microsoft.com/office/drawing/2014/main" id="{00000000-0008-0000-0200-0000C5010000}"/>
            </a:ext>
          </a:extLst>
        </xdr:cNvPr>
        <xdr:cNvSpPr/>
      </xdr:nvSpPr>
      <xdr:spPr>
        <a:xfrm>
          <a:off x="9767208" y="7336971"/>
          <a:ext cx="315685" cy="259079"/>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15</xdr:col>
      <xdr:colOff>224790</xdr:colOff>
      <xdr:row>143</xdr:row>
      <xdr:rowOff>151311</xdr:rowOff>
    </xdr:from>
    <xdr:to>
      <xdr:col>16</xdr:col>
      <xdr:colOff>13608</xdr:colOff>
      <xdr:row>143</xdr:row>
      <xdr:rowOff>151312</xdr:rowOff>
    </xdr:to>
    <xdr:cxnSp macro="">
      <xdr:nvCxnSpPr>
        <xdr:cNvPr id="454" name="Connector: Elbow 42">
          <a:extLst>
            <a:ext uri="{FF2B5EF4-FFF2-40B4-BE49-F238E27FC236}">
              <a16:creationId xmlns:a16="http://schemas.microsoft.com/office/drawing/2014/main" id="{00000000-0008-0000-0200-0000C6010000}"/>
            </a:ext>
          </a:extLst>
        </xdr:cNvPr>
        <xdr:cNvCxnSpPr>
          <a:cxnSpLocks/>
          <a:stCxn id="444" idx="3"/>
          <a:endCxn id="453" idx="2"/>
        </xdr:cNvCxnSpPr>
      </xdr:nvCxnSpPr>
      <xdr:spPr>
        <a:xfrm flipV="1">
          <a:off x="9368790" y="7466511"/>
          <a:ext cx="398418" cy="1"/>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171450</xdr:colOff>
      <xdr:row>126</xdr:row>
      <xdr:rowOff>127908</xdr:rowOff>
    </xdr:from>
    <xdr:to>
      <xdr:col>17</xdr:col>
      <xdr:colOff>141513</xdr:colOff>
      <xdr:row>143</xdr:row>
      <xdr:rowOff>21772</xdr:rowOff>
    </xdr:to>
    <xdr:cxnSp macro="">
      <xdr:nvCxnSpPr>
        <xdr:cNvPr id="455" name="Connector: Elbow 454">
          <a:extLst>
            <a:ext uri="{FF2B5EF4-FFF2-40B4-BE49-F238E27FC236}">
              <a16:creationId xmlns:a16="http://schemas.microsoft.com/office/drawing/2014/main" id="{00000000-0008-0000-0200-0000C7010000}"/>
            </a:ext>
          </a:extLst>
        </xdr:cNvPr>
        <xdr:cNvCxnSpPr>
          <a:stCxn id="453" idx="0"/>
          <a:endCxn id="450" idx="1"/>
        </xdr:cNvCxnSpPr>
      </xdr:nvCxnSpPr>
      <xdr:spPr>
        <a:xfrm rot="5400000" flipH="1" flipV="1">
          <a:off x="8713470" y="5545728"/>
          <a:ext cx="3002824" cy="579663"/>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329293</xdr:colOff>
      <xdr:row>142</xdr:row>
      <xdr:rowOff>28514</xdr:rowOff>
    </xdr:from>
    <xdr:to>
      <xdr:col>17</xdr:col>
      <xdr:colOff>547042</xdr:colOff>
      <xdr:row>143</xdr:row>
      <xdr:rowOff>151311</xdr:rowOff>
    </xdr:to>
    <xdr:cxnSp macro="">
      <xdr:nvCxnSpPr>
        <xdr:cNvPr id="456" name="Connector: Elbow 455">
          <a:extLst>
            <a:ext uri="{FF2B5EF4-FFF2-40B4-BE49-F238E27FC236}">
              <a16:creationId xmlns:a16="http://schemas.microsoft.com/office/drawing/2014/main" id="{00000000-0008-0000-0200-0000C8010000}"/>
            </a:ext>
          </a:extLst>
        </xdr:cNvPr>
        <xdr:cNvCxnSpPr>
          <a:stCxn id="453" idx="6"/>
          <a:endCxn id="451" idx="1"/>
        </xdr:cNvCxnSpPr>
      </xdr:nvCxnSpPr>
      <xdr:spPr>
        <a:xfrm flipV="1">
          <a:off x="10082893" y="7160834"/>
          <a:ext cx="827349" cy="305677"/>
        </a:xfrm>
        <a:prstGeom prst="bentConnector3">
          <a:avLst>
            <a:gd name="adj1" fmla="val 50000"/>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171451</xdr:colOff>
      <xdr:row>144</xdr:row>
      <xdr:rowOff>97969</xdr:rowOff>
    </xdr:from>
    <xdr:to>
      <xdr:col>17</xdr:col>
      <xdr:colOff>487136</xdr:colOff>
      <xdr:row>151</xdr:row>
      <xdr:rowOff>8164</xdr:rowOff>
    </xdr:to>
    <xdr:cxnSp macro="">
      <xdr:nvCxnSpPr>
        <xdr:cNvPr id="457" name="Connector: Elbow 456">
          <a:extLst>
            <a:ext uri="{FF2B5EF4-FFF2-40B4-BE49-F238E27FC236}">
              <a16:creationId xmlns:a16="http://schemas.microsoft.com/office/drawing/2014/main" id="{00000000-0008-0000-0200-0000C9010000}"/>
            </a:ext>
          </a:extLst>
        </xdr:cNvPr>
        <xdr:cNvCxnSpPr>
          <a:stCxn id="453" idx="4"/>
          <a:endCxn id="452" idx="1"/>
        </xdr:cNvCxnSpPr>
      </xdr:nvCxnSpPr>
      <xdr:spPr>
        <a:xfrm rot="16200000" flipH="1">
          <a:off x="9792516" y="7728584"/>
          <a:ext cx="1190355" cy="925285"/>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103415</xdr:colOff>
      <xdr:row>150</xdr:row>
      <xdr:rowOff>76206</xdr:rowOff>
    </xdr:from>
    <xdr:to>
      <xdr:col>20</xdr:col>
      <xdr:colOff>310244</xdr:colOff>
      <xdr:row>151</xdr:row>
      <xdr:rowOff>130634</xdr:rowOff>
    </xdr:to>
    <xdr:sp macro="" textlink="">
      <xdr:nvSpPr>
        <xdr:cNvPr id="458" name="Isosceles Triangle 457">
          <a:extLst>
            <a:ext uri="{FF2B5EF4-FFF2-40B4-BE49-F238E27FC236}">
              <a16:creationId xmlns:a16="http://schemas.microsoft.com/office/drawing/2014/main" id="{00000000-0008-0000-0200-0000CA010000}"/>
            </a:ext>
          </a:extLst>
        </xdr:cNvPr>
        <xdr:cNvSpPr/>
      </xdr:nvSpPr>
      <xdr:spPr>
        <a:xfrm rot="5400000">
          <a:off x="12280176" y="8686805"/>
          <a:ext cx="237308"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19</xdr:col>
      <xdr:colOff>117022</xdr:colOff>
      <xdr:row>151</xdr:row>
      <xdr:rowOff>8165</xdr:rowOff>
    </xdr:from>
    <xdr:to>
      <xdr:col>20</xdr:col>
      <xdr:colOff>103416</xdr:colOff>
      <xdr:row>151</xdr:row>
      <xdr:rowOff>8170</xdr:rowOff>
    </xdr:to>
    <xdr:cxnSp macro="">
      <xdr:nvCxnSpPr>
        <xdr:cNvPr id="459" name="Connector: Elbow 351">
          <a:extLst>
            <a:ext uri="{FF2B5EF4-FFF2-40B4-BE49-F238E27FC236}">
              <a16:creationId xmlns:a16="http://schemas.microsoft.com/office/drawing/2014/main" id="{00000000-0008-0000-0200-0000CB010000}"/>
            </a:ext>
          </a:extLst>
        </xdr:cNvPr>
        <xdr:cNvCxnSpPr>
          <a:stCxn id="452" idx="3"/>
          <a:endCxn id="458" idx="3"/>
        </xdr:cNvCxnSpPr>
      </xdr:nvCxnSpPr>
      <xdr:spPr>
        <a:xfrm>
          <a:off x="11699422" y="8786405"/>
          <a:ext cx="595994" cy="5"/>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293546</xdr:colOff>
      <xdr:row>141</xdr:row>
      <xdr:rowOff>74114</xdr:rowOff>
    </xdr:from>
    <xdr:to>
      <xdr:col>20</xdr:col>
      <xdr:colOff>500375</xdr:colOff>
      <xdr:row>142</xdr:row>
      <xdr:rowOff>134687</xdr:rowOff>
    </xdr:to>
    <xdr:sp macro="" textlink="">
      <xdr:nvSpPr>
        <xdr:cNvPr id="460" name="Isosceles Triangle 459">
          <a:extLst>
            <a:ext uri="{FF2B5EF4-FFF2-40B4-BE49-F238E27FC236}">
              <a16:creationId xmlns:a16="http://schemas.microsoft.com/office/drawing/2014/main" id="{00000000-0008-0000-0200-0000CC010000}"/>
            </a:ext>
          </a:extLst>
        </xdr:cNvPr>
        <xdr:cNvSpPr/>
      </xdr:nvSpPr>
      <xdr:spPr>
        <a:xfrm rot="5400000">
          <a:off x="12467234" y="7041866"/>
          <a:ext cx="243453"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19</xdr:col>
      <xdr:colOff>176928</xdr:colOff>
      <xdr:row>142</xdr:row>
      <xdr:rowOff>12961</xdr:rowOff>
    </xdr:from>
    <xdr:to>
      <xdr:col>20</xdr:col>
      <xdr:colOff>293546</xdr:colOff>
      <xdr:row>142</xdr:row>
      <xdr:rowOff>28514</xdr:rowOff>
    </xdr:to>
    <xdr:cxnSp macro="">
      <xdr:nvCxnSpPr>
        <xdr:cNvPr id="461" name="Connector: Elbow 351">
          <a:extLst>
            <a:ext uri="{FF2B5EF4-FFF2-40B4-BE49-F238E27FC236}">
              <a16:creationId xmlns:a16="http://schemas.microsoft.com/office/drawing/2014/main" id="{00000000-0008-0000-0200-0000CD010000}"/>
            </a:ext>
          </a:extLst>
        </xdr:cNvPr>
        <xdr:cNvCxnSpPr>
          <a:stCxn id="451" idx="3"/>
          <a:endCxn id="460" idx="3"/>
        </xdr:cNvCxnSpPr>
      </xdr:nvCxnSpPr>
      <xdr:spPr>
        <a:xfrm flipV="1">
          <a:off x="11759328" y="7145281"/>
          <a:ext cx="726218" cy="15553"/>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480604</xdr:colOff>
      <xdr:row>116</xdr:row>
      <xdr:rowOff>171450</xdr:rowOff>
    </xdr:from>
    <xdr:to>
      <xdr:col>23</xdr:col>
      <xdr:colOff>110490</xdr:colOff>
      <xdr:row>119</xdr:row>
      <xdr:rowOff>130084</xdr:rowOff>
    </xdr:to>
    <xdr:sp macro="" textlink="">
      <xdr:nvSpPr>
        <xdr:cNvPr id="462" name="Rectangle: Rounded Corners 461">
          <a:extLst>
            <a:ext uri="{FF2B5EF4-FFF2-40B4-BE49-F238E27FC236}">
              <a16:creationId xmlns:a16="http://schemas.microsoft.com/office/drawing/2014/main" id="{00000000-0008-0000-0200-0000CE010000}"/>
            </a:ext>
          </a:extLst>
        </xdr:cNvPr>
        <xdr:cNvSpPr/>
      </xdr:nvSpPr>
      <xdr:spPr>
        <a:xfrm>
          <a:off x="13282204" y="2548890"/>
          <a:ext cx="849086" cy="507274"/>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RDS</a:t>
          </a:r>
        </a:p>
      </xdr:txBody>
    </xdr:sp>
    <xdr:clientData/>
  </xdr:twoCellAnchor>
  <xdr:twoCellAnchor>
    <xdr:from>
      <xdr:col>22</xdr:col>
      <xdr:colOff>62189</xdr:colOff>
      <xdr:row>124</xdr:row>
      <xdr:rowOff>56922</xdr:rowOff>
    </xdr:from>
    <xdr:to>
      <xdr:col>23</xdr:col>
      <xdr:colOff>301675</xdr:colOff>
      <xdr:row>127</xdr:row>
      <xdr:rowOff>13380</xdr:rowOff>
    </xdr:to>
    <xdr:sp macro="" textlink="">
      <xdr:nvSpPr>
        <xdr:cNvPr id="463" name="Rectangle: Rounded Corners 462">
          <a:extLst>
            <a:ext uri="{FF2B5EF4-FFF2-40B4-BE49-F238E27FC236}">
              <a16:creationId xmlns:a16="http://schemas.microsoft.com/office/drawing/2014/main" id="{00000000-0008-0000-0200-0000CF010000}"/>
            </a:ext>
          </a:extLst>
        </xdr:cNvPr>
        <xdr:cNvSpPr/>
      </xdr:nvSpPr>
      <xdr:spPr>
        <a:xfrm>
          <a:off x="13473389" y="22734042"/>
          <a:ext cx="849086" cy="505098"/>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no complications</a:t>
          </a:r>
        </a:p>
      </xdr:txBody>
    </xdr:sp>
    <xdr:clientData/>
  </xdr:twoCellAnchor>
  <xdr:twoCellAnchor>
    <xdr:from>
      <xdr:col>19</xdr:col>
      <xdr:colOff>601436</xdr:colOff>
      <xdr:row>126</xdr:row>
      <xdr:rowOff>-1</xdr:rowOff>
    </xdr:from>
    <xdr:to>
      <xdr:col>20</xdr:col>
      <xdr:colOff>307521</xdr:colOff>
      <xdr:row>127</xdr:row>
      <xdr:rowOff>76199</xdr:rowOff>
    </xdr:to>
    <xdr:sp macro="" textlink="">
      <xdr:nvSpPr>
        <xdr:cNvPr id="464" name="Oval 463">
          <a:extLst>
            <a:ext uri="{FF2B5EF4-FFF2-40B4-BE49-F238E27FC236}">
              <a16:creationId xmlns:a16="http://schemas.microsoft.com/office/drawing/2014/main" id="{00000000-0008-0000-0200-0000D0010000}"/>
            </a:ext>
          </a:extLst>
        </xdr:cNvPr>
        <xdr:cNvSpPr/>
      </xdr:nvSpPr>
      <xdr:spPr>
        <a:xfrm>
          <a:off x="12183836" y="4206239"/>
          <a:ext cx="315685" cy="25908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18</xdr:col>
      <xdr:colOff>381000</xdr:colOff>
      <xdr:row>126</xdr:row>
      <xdr:rowOff>127907</xdr:rowOff>
    </xdr:from>
    <xdr:to>
      <xdr:col>19</xdr:col>
      <xdr:colOff>601436</xdr:colOff>
      <xdr:row>126</xdr:row>
      <xdr:rowOff>133349</xdr:rowOff>
    </xdr:to>
    <xdr:cxnSp macro="">
      <xdr:nvCxnSpPr>
        <xdr:cNvPr id="465" name="Connector: Elbow 42">
          <a:extLst>
            <a:ext uri="{FF2B5EF4-FFF2-40B4-BE49-F238E27FC236}">
              <a16:creationId xmlns:a16="http://schemas.microsoft.com/office/drawing/2014/main" id="{00000000-0008-0000-0200-0000D1010000}"/>
            </a:ext>
          </a:extLst>
        </xdr:cNvPr>
        <xdr:cNvCxnSpPr>
          <a:cxnSpLocks/>
          <a:stCxn id="450" idx="3"/>
          <a:endCxn id="464" idx="2"/>
        </xdr:cNvCxnSpPr>
      </xdr:nvCxnSpPr>
      <xdr:spPr>
        <a:xfrm>
          <a:off x="11353800" y="4334147"/>
          <a:ext cx="830036" cy="5442"/>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149678</xdr:colOff>
      <xdr:row>118</xdr:row>
      <xdr:rowOff>59328</xdr:rowOff>
    </xdr:from>
    <xdr:to>
      <xdr:col>21</xdr:col>
      <xdr:colOff>480603</xdr:colOff>
      <xdr:row>126</xdr:row>
      <xdr:rowOff>0</xdr:rowOff>
    </xdr:to>
    <xdr:cxnSp macro="">
      <xdr:nvCxnSpPr>
        <xdr:cNvPr id="466" name="Connector: Elbow 465">
          <a:extLst>
            <a:ext uri="{FF2B5EF4-FFF2-40B4-BE49-F238E27FC236}">
              <a16:creationId xmlns:a16="http://schemas.microsoft.com/office/drawing/2014/main" id="{00000000-0008-0000-0200-0000D2010000}"/>
            </a:ext>
          </a:extLst>
        </xdr:cNvPr>
        <xdr:cNvCxnSpPr>
          <a:stCxn id="464" idx="0"/>
          <a:endCxn id="462" idx="1"/>
        </xdr:cNvCxnSpPr>
      </xdr:nvCxnSpPr>
      <xdr:spPr>
        <a:xfrm rot="5400000" flipH="1" flipV="1">
          <a:off x="12110085" y="3034121"/>
          <a:ext cx="1403712" cy="940525"/>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307521</xdr:colOff>
      <xdr:row>125</xdr:row>
      <xdr:rowOff>126591</xdr:rowOff>
    </xdr:from>
    <xdr:to>
      <xdr:col>22</xdr:col>
      <xdr:colOff>62189</xdr:colOff>
      <xdr:row>126</xdr:row>
      <xdr:rowOff>129539</xdr:rowOff>
    </xdr:to>
    <xdr:cxnSp macro="">
      <xdr:nvCxnSpPr>
        <xdr:cNvPr id="467" name="Connector: Elbow 466">
          <a:extLst>
            <a:ext uri="{FF2B5EF4-FFF2-40B4-BE49-F238E27FC236}">
              <a16:creationId xmlns:a16="http://schemas.microsoft.com/office/drawing/2014/main" id="{00000000-0008-0000-0200-0000D3010000}"/>
            </a:ext>
          </a:extLst>
        </xdr:cNvPr>
        <xdr:cNvCxnSpPr>
          <a:stCxn id="464" idx="6"/>
          <a:endCxn id="463" idx="1"/>
        </xdr:cNvCxnSpPr>
      </xdr:nvCxnSpPr>
      <xdr:spPr>
        <a:xfrm flipV="1">
          <a:off x="12499521" y="22986591"/>
          <a:ext cx="973868" cy="185828"/>
        </a:xfrm>
        <a:prstGeom prst="bentConnector3">
          <a:avLst>
            <a:gd name="adj1" fmla="val 50000"/>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507275</xdr:colOff>
      <xdr:row>125</xdr:row>
      <xdr:rowOff>14017</xdr:rowOff>
    </xdr:from>
    <xdr:to>
      <xdr:col>25</xdr:col>
      <xdr:colOff>104504</xdr:colOff>
      <xdr:row>126</xdr:row>
      <xdr:rowOff>68445</xdr:rowOff>
    </xdr:to>
    <xdr:sp macro="" textlink="">
      <xdr:nvSpPr>
        <xdr:cNvPr id="468" name="Isosceles Triangle 467">
          <a:extLst>
            <a:ext uri="{FF2B5EF4-FFF2-40B4-BE49-F238E27FC236}">
              <a16:creationId xmlns:a16="http://schemas.microsoft.com/office/drawing/2014/main" id="{00000000-0008-0000-0200-0000D4010000}"/>
            </a:ext>
          </a:extLst>
        </xdr:cNvPr>
        <xdr:cNvSpPr/>
      </xdr:nvSpPr>
      <xdr:spPr>
        <a:xfrm rot="5400000">
          <a:off x="15122436" y="22889256"/>
          <a:ext cx="237308"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23</xdr:col>
      <xdr:colOff>301675</xdr:colOff>
      <xdr:row>125</xdr:row>
      <xdr:rowOff>126591</xdr:rowOff>
    </xdr:from>
    <xdr:to>
      <xdr:col>24</xdr:col>
      <xdr:colOff>507276</xdr:colOff>
      <xdr:row>125</xdr:row>
      <xdr:rowOff>132671</xdr:rowOff>
    </xdr:to>
    <xdr:cxnSp macro="">
      <xdr:nvCxnSpPr>
        <xdr:cNvPr id="469" name="Connector: Elbow 351">
          <a:extLst>
            <a:ext uri="{FF2B5EF4-FFF2-40B4-BE49-F238E27FC236}">
              <a16:creationId xmlns:a16="http://schemas.microsoft.com/office/drawing/2014/main" id="{00000000-0008-0000-0200-0000D5010000}"/>
            </a:ext>
          </a:extLst>
        </xdr:cNvPr>
        <xdr:cNvCxnSpPr>
          <a:stCxn id="463" idx="3"/>
          <a:endCxn id="468" idx="3"/>
        </xdr:cNvCxnSpPr>
      </xdr:nvCxnSpPr>
      <xdr:spPr>
        <a:xfrm>
          <a:off x="14322475" y="22986591"/>
          <a:ext cx="815201" cy="6080"/>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110490</xdr:colOff>
      <xdr:row>118</xdr:row>
      <xdr:rowOff>59327</xdr:rowOff>
    </xdr:from>
    <xdr:to>
      <xdr:col>24</xdr:col>
      <xdr:colOff>400948</xdr:colOff>
      <xdr:row>118</xdr:row>
      <xdr:rowOff>81824</xdr:rowOff>
    </xdr:to>
    <xdr:cxnSp macro="">
      <xdr:nvCxnSpPr>
        <xdr:cNvPr id="476" name="Connector: Elbow 42">
          <a:extLst>
            <a:ext uri="{FF2B5EF4-FFF2-40B4-BE49-F238E27FC236}">
              <a16:creationId xmlns:a16="http://schemas.microsoft.com/office/drawing/2014/main" id="{00000000-0008-0000-0200-0000DC010000}"/>
            </a:ext>
          </a:extLst>
        </xdr:cNvPr>
        <xdr:cNvCxnSpPr>
          <a:cxnSpLocks/>
          <a:stCxn id="462" idx="3"/>
          <a:endCxn id="483" idx="3"/>
        </xdr:cNvCxnSpPr>
      </xdr:nvCxnSpPr>
      <xdr:spPr>
        <a:xfrm>
          <a:off x="14131290" y="2802527"/>
          <a:ext cx="900058" cy="22497"/>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549869</xdr:colOff>
      <xdr:row>134</xdr:row>
      <xdr:rowOff>26442</xdr:rowOff>
    </xdr:from>
    <xdr:to>
      <xdr:col>23</xdr:col>
      <xdr:colOff>179755</xdr:colOff>
      <xdr:row>136</xdr:row>
      <xdr:rowOff>165780</xdr:rowOff>
    </xdr:to>
    <xdr:sp macro="" textlink="">
      <xdr:nvSpPr>
        <xdr:cNvPr id="479" name="Rectangle: Rounded Corners 478">
          <a:extLst>
            <a:ext uri="{FF2B5EF4-FFF2-40B4-BE49-F238E27FC236}">
              <a16:creationId xmlns:a16="http://schemas.microsoft.com/office/drawing/2014/main" id="{00000000-0008-0000-0200-0000DF010000}"/>
            </a:ext>
          </a:extLst>
        </xdr:cNvPr>
        <xdr:cNvSpPr/>
      </xdr:nvSpPr>
      <xdr:spPr>
        <a:xfrm>
          <a:off x="13351469" y="5695722"/>
          <a:ext cx="849086" cy="505098"/>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Death</a:t>
          </a:r>
        </a:p>
      </xdr:txBody>
    </xdr:sp>
    <xdr:clientData/>
  </xdr:twoCellAnchor>
  <xdr:twoCellAnchor>
    <xdr:from>
      <xdr:col>20</xdr:col>
      <xdr:colOff>149679</xdr:colOff>
      <xdr:row>127</xdr:row>
      <xdr:rowOff>76199</xdr:rowOff>
    </xdr:from>
    <xdr:to>
      <xdr:col>21</xdr:col>
      <xdr:colOff>549869</xdr:colOff>
      <xdr:row>135</xdr:row>
      <xdr:rowOff>96111</xdr:rowOff>
    </xdr:to>
    <xdr:cxnSp macro="">
      <xdr:nvCxnSpPr>
        <xdr:cNvPr id="480" name="Connector: Elbow 479">
          <a:extLst>
            <a:ext uri="{FF2B5EF4-FFF2-40B4-BE49-F238E27FC236}">
              <a16:creationId xmlns:a16="http://schemas.microsoft.com/office/drawing/2014/main" id="{00000000-0008-0000-0200-0000E0010000}"/>
            </a:ext>
          </a:extLst>
        </xdr:cNvPr>
        <xdr:cNvCxnSpPr>
          <a:stCxn id="464" idx="4"/>
          <a:endCxn id="479" idx="1"/>
        </xdr:cNvCxnSpPr>
      </xdr:nvCxnSpPr>
      <xdr:spPr>
        <a:xfrm rot="16200000" flipH="1">
          <a:off x="12105098" y="4701900"/>
          <a:ext cx="1482952" cy="1009790"/>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34835</xdr:colOff>
      <xdr:row>134</xdr:row>
      <xdr:rowOff>181655</xdr:rowOff>
    </xdr:from>
    <xdr:to>
      <xdr:col>25</xdr:col>
      <xdr:colOff>241664</xdr:colOff>
      <xdr:row>136</xdr:row>
      <xdr:rowOff>53203</xdr:rowOff>
    </xdr:to>
    <xdr:sp macro="" textlink="">
      <xdr:nvSpPr>
        <xdr:cNvPr id="481" name="Isosceles Triangle 480">
          <a:extLst>
            <a:ext uri="{FF2B5EF4-FFF2-40B4-BE49-F238E27FC236}">
              <a16:creationId xmlns:a16="http://schemas.microsoft.com/office/drawing/2014/main" id="{00000000-0008-0000-0200-0000E1010000}"/>
            </a:ext>
          </a:extLst>
        </xdr:cNvPr>
        <xdr:cNvSpPr/>
      </xdr:nvSpPr>
      <xdr:spPr>
        <a:xfrm rot="5400000">
          <a:off x="15259596" y="5866174"/>
          <a:ext cx="237308"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23</xdr:col>
      <xdr:colOff>179755</xdr:colOff>
      <xdr:row>135</xdr:row>
      <xdr:rowOff>96111</xdr:rowOff>
    </xdr:from>
    <xdr:to>
      <xdr:col>25</xdr:col>
      <xdr:colOff>34836</xdr:colOff>
      <xdr:row>135</xdr:row>
      <xdr:rowOff>117429</xdr:rowOff>
    </xdr:to>
    <xdr:cxnSp macro="">
      <xdr:nvCxnSpPr>
        <xdr:cNvPr id="482" name="Connector: Elbow 351">
          <a:extLst>
            <a:ext uri="{FF2B5EF4-FFF2-40B4-BE49-F238E27FC236}">
              <a16:creationId xmlns:a16="http://schemas.microsoft.com/office/drawing/2014/main" id="{00000000-0008-0000-0200-0000E2010000}"/>
            </a:ext>
          </a:extLst>
        </xdr:cNvPr>
        <xdr:cNvCxnSpPr>
          <a:stCxn id="479" idx="3"/>
          <a:endCxn id="481" idx="3"/>
        </xdr:cNvCxnSpPr>
      </xdr:nvCxnSpPr>
      <xdr:spPr>
        <a:xfrm>
          <a:off x="14200555" y="5948271"/>
          <a:ext cx="1074281" cy="21318"/>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400947</xdr:colOff>
      <xdr:row>117</xdr:row>
      <xdr:rowOff>149860</xdr:rowOff>
    </xdr:from>
    <xdr:to>
      <xdr:col>24</xdr:col>
      <xdr:colOff>607776</xdr:colOff>
      <xdr:row>119</xdr:row>
      <xdr:rowOff>13788</xdr:rowOff>
    </xdr:to>
    <xdr:sp macro="" textlink="">
      <xdr:nvSpPr>
        <xdr:cNvPr id="483" name="Isosceles Triangle 482">
          <a:extLst>
            <a:ext uri="{FF2B5EF4-FFF2-40B4-BE49-F238E27FC236}">
              <a16:creationId xmlns:a16="http://schemas.microsoft.com/office/drawing/2014/main" id="{00000000-0008-0000-0200-0000E3010000}"/>
            </a:ext>
          </a:extLst>
        </xdr:cNvPr>
        <xdr:cNvSpPr/>
      </xdr:nvSpPr>
      <xdr:spPr>
        <a:xfrm rot="5400000">
          <a:off x="15019918" y="2721609"/>
          <a:ext cx="229688"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19</xdr:col>
      <xdr:colOff>385354</xdr:colOff>
      <xdr:row>175</xdr:row>
      <xdr:rowOff>26670</xdr:rowOff>
    </xdr:from>
    <xdr:to>
      <xdr:col>21</xdr:col>
      <xdr:colOff>15240</xdr:colOff>
      <xdr:row>177</xdr:row>
      <xdr:rowOff>160564</xdr:rowOff>
    </xdr:to>
    <xdr:sp macro="" textlink="">
      <xdr:nvSpPr>
        <xdr:cNvPr id="484" name="Rectangle: Rounded Corners 483">
          <a:extLst>
            <a:ext uri="{FF2B5EF4-FFF2-40B4-BE49-F238E27FC236}">
              <a16:creationId xmlns:a16="http://schemas.microsoft.com/office/drawing/2014/main" id="{00000000-0008-0000-0200-0000E4010000}"/>
            </a:ext>
          </a:extLst>
        </xdr:cNvPr>
        <xdr:cNvSpPr/>
      </xdr:nvSpPr>
      <xdr:spPr>
        <a:xfrm>
          <a:off x="11967754" y="13194030"/>
          <a:ext cx="849086" cy="499654"/>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SGA</a:t>
          </a:r>
        </a:p>
      </xdr:txBody>
    </xdr:sp>
    <xdr:clientData/>
  </xdr:twoCellAnchor>
  <xdr:twoCellAnchor>
    <xdr:from>
      <xdr:col>19</xdr:col>
      <xdr:colOff>547042</xdr:colOff>
      <xdr:row>190</xdr:row>
      <xdr:rowOff>144797</xdr:rowOff>
    </xdr:from>
    <xdr:to>
      <xdr:col>21</xdr:col>
      <xdr:colOff>176928</xdr:colOff>
      <xdr:row>193</xdr:row>
      <xdr:rowOff>95110</xdr:rowOff>
    </xdr:to>
    <xdr:sp macro="" textlink="">
      <xdr:nvSpPr>
        <xdr:cNvPr id="485" name="Rectangle: Rounded Corners 484">
          <a:extLst>
            <a:ext uri="{FF2B5EF4-FFF2-40B4-BE49-F238E27FC236}">
              <a16:creationId xmlns:a16="http://schemas.microsoft.com/office/drawing/2014/main" id="{00000000-0008-0000-0200-0000E5010000}"/>
            </a:ext>
          </a:extLst>
        </xdr:cNvPr>
        <xdr:cNvSpPr/>
      </xdr:nvSpPr>
      <xdr:spPr>
        <a:xfrm>
          <a:off x="12129442" y="16055357"/>
          <a:ext cx="849086" cy="498953"/>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Norrmal</a:t>
          </a:r>
          <a:r>
            <a:rPr lang="en-ZA" sz="1100" baseline="0">
              <a:solidFill>
                <a:sysClr val="windowText" lastClr="000000"/>
              </a:solidFill>
            </a:rPr>
            <a:t> weight</a:t>
          </a:r>
          <a:endParaRPr lang="en-ZA" sz="1100">
            <a:solidFill>
              <a:sysClr val="windowText" lastClr="000000"/>
            </a:solidFill>
          </a:endParaRPr>
        </a:p>
      </xdr:txBody>
    </xdr:sp>
    <xdr:clientData/>
  </xdr:twoCellAnchor>
  <xdr:twoCellAnchor>
    <xdr:from>
      <xdr:col>19</xdr:col>
      <xdr:colOff>487136</xdr:colOff>
      <xdr:row>199</xdr:row>
      <xdr:rowOff>127907</xdr:rowOff>
    </xdr:from>
    <xdr:to>
      <xdr:col>21</xdr:col>
      <xdr:colOff>117022</xdr:colOff>
      <xdr:row>202</xdr:row>
      <xdr:rowOff>78922</xdr:rowOff>
    </xdr:to>
    <xdr:sp macro="" textlink="">
      <xdr:nvSpPr>
        <xdr:cNvPr id="486" name="Rectangle: Rounded Corners 485">
          <a:extLst>
            <a:ext uri="{FF2B5EF4-FFF2-40B4-BE49-F238E27FC236}">
              <a16:creationId xmlns:a16="http://schemas.microsoft.com/office/drawing/2014/main" id="{00000000-0008-0000-0200-0000E6010000}"/>
            </a:ext>
          </a:extLst>
        </xdr:cNvPr>
        <xdr:cNvSpPr/>
      </xdr:nvSpPr>
      <xdr:spPr>
        <a:xfrm>
          <a:off x="12069536" y="17684387"/>
          <a:ext cx="849086" cy="499655"/>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Stillbirth</a:t>
          </a:r>
        </a:p>
      </xdr:txBody>
    </xdr:sp>
    <xdr:clientData/>
  </xdr:twoCellAnchor>
  <xdr:twoCellAnchor>
    <xdr:from>
      <xdr:col>17</xdr:col>
      <xdr:colOff>516528</xdr:colOff>
      <xdr:row>182</xdr:row>
      <xdr:rowOff>37011</xdr:rowOff>
    </xdr:from>
    <xdr:to>
      <xdr:col>18</xdr:col>
      <xdr:colOff>222613</xdr:colOff>
      <xdr:row>183</xdr:row>
      <xdr:rowOff>113210</xdr:rowOff>
    </xdr:to>
    <xdr:sp macro="" textlink="">
      <xdr:nvSpPr>
        <xdr:cNvPr id="487" name="Oval 486">
          <a:extLst>
            <a:ext uri="{FF2B5EF4-FFF2-40B4-BE49-F238E27FC236}">
              <a16:creationId xmlns:a16="http://schemas.microsoft.com/office/drawing/2014/main" id="{00000000-0008-0000-0200-0000E7010000}"/>
            </a:ext>
          </a:extLst>
        </xdr:cNvPr>
        <xdr:cNvSpPr/>
      </xdr:nvSpPr>
      <xdr:spPr>
        <a:xfrm>
          <a:off x="10879728" y="14484531"/>
          <a:ext cx="315685" cy="259079"/>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18</xdr:col>
      <xdr:colOff>64770</xdr:colOff>
      <xdr:row>176</xdr:row>
      <xdr:rowOff>93618</xdr:rowOff>
    </xdr:from>
    <xdr:to>
      <xdr:col>19</xdr:col>
      <xdr:colOff>385353</xdr:colOff>
      <xdr:row>182</xdr:row>
      <xdr:rowOff>37012</xdr:rowOff>
    </xdr:to>
    <xdr:cxnSp macro="">
      <xdr:nvCxnSpPr>
        <xdr:cNvPr id="488" name="Connector: Elbow 487">
          <a:extLst>
            <a:ext uri="{FF2B5EF4-FFF2-40B4-BE49-F238E27FC236}">
              <a16:creationId xmlns:a16="http://schemas.microsoft.com/office/drawing/2014/main" id="{00000000-0008-0000-0200-0000E8010000}"/>
            </a:ext>
          </a:extLst>
        </xdr:cNvPr>
        <xdr:cNvCxnSpPr>
          <a:cxnSpLocks/>
          <a:stCxn id="487" idx="0"/>
          <a:endCxn id="484" idx="1"/>
        </xdr:cNvCxnSpPr>
      </xdr:nvCxnSpPr>
      <xdr:spPr>
        <a:xfrm rot="5400000" flipH="1" flipV="1">
          <a:off x="10982325" y="13499103"/>
          <a:ext cx="1040674" cy="930183"/>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222613</xdr:colOff>
      <xdr:row>182</xdr:row>
      <xdr:rowOff>166551</xdr:rowOff>
    </xdr:from>
    <xdr:to>
      <xdr:col>19</xdr:col>
      <xdr:colOff>547042</xdr:colOff>
      <xdr:row>192</xdr:row>
      <xdr:rowOff>28514</xdr:rowOff>
    </xdr:to>
    <xdr:cxnSp macro="">
      <xdr:nvCxnSpPr>
        <xdr:cNvPr id="489" name="Connector: Elbow 488">
          <a:extLst>
            <a:ext uri="{FF2B5EF4-FFF2-40B4-BE49-F238E27FC236}">
              <a16:creationId xmlns:a16="http://schemas.microsoft.com/office/drawing/2014/main" id="{00000000-0008-0000-0200-0000E9010000}"/>
            </a:ext>
          </a:extLst>
        </xdr:cNvPr>
        <xdr:cNvCxnSpPr>
          <a:stCxn id="487" idx="6"/>
          <a:endCxn id="485" idx="1"/>
        </xdr:cNvCxnSpPr>
      </xdr:nvCxnSpPr>
      <xdr:spPr>
        <a:xfrm>
          <a:off x="11195413" y="14614071"/>
          <a:ext cx="934029" cy="1690763"/>
        </a:xfrm>
        <a:prstGeom prst="bentConnector3">
          <a:avLst>
            <a:gd name="adj1" fmla="val 50000"/>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64771</xdr:colOff>
      <xdr:row>183</xdr:row>
      <xdr:rowOff>113209</xdr:rowOff>
    </xdr:from>
    <xdr:to>
      <xdr:col>19</xdr:col>
      <xdr:colOff>487136</xdr:colOff>
      <xdr:row>201</xdr:row>
      <xdr:rowOff>11974</xdr:rowOff>
    </xdr:to>
    <xdr:cxnSp macro="">
      <xdr:nvCxnSpPr>
        <xdr:cNvPr id="490" name="Connector: Elbow 489">
          <a:extLst>
            <a:ext uri="{FF2B5EF4-FFF2-40B4-BE49-F238E27FC236}">
              <a16:creationId xmlns:a16="http://schemas.microsoft.com/office/drawing/2014/main" id="{00000000-0008-0000-0200-0000EA010000}"/>
            </a:ext>
          </a:extLst>
        </xdr:cNvPr>
        <xdr:cNvCxnSpPr>
          <a:stCxn id="487" idx="4"/>
          <a:endCxn id="486" idx="1"/>
        </xdr:cNvCxnSpPr>
      </xdr:nvCxnSpPr>
      <xdr:spPr>
        <a:xfrm rot="16200000" flipH="1">
          <a:off x="9958251" y="15822929"/>
          <a:ext cx="3190605" cy="1031965"/>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103415</xdr:colOff>
      <xdr:row>200</xdr:row>
      <xdr:rowOff>76206</xdr:rowOff>
    </xdr:from>
    <xdr:to>
      <xdr:col>22</xdr:col>
      <xdr:colOff>310244</xdr:colOff>
      <xdr:row>201</xdr:row>
      <xdr:rowOff>130634</xdr:rowOff>
    </xdr:to>
    <xdr:sp macro="" textlink="">
      <xdr:nvSpPr>
        <xdr:cNvPr id="491" name="Isosceles Triangle 490">
          <a:extLst>
            <a:ext uri="{FF2B5EF4-FFF2-40B4-BE49-F238E27FC236}">
              <a16:creationId xmlns:a16="http://schemas.microsoft.com/office/drawing/2014/main" id="{00000000-0008-0000-0200-0000EB010000}"/>
            </a:ext>
          </a:extLst>
        </xdr:cNvPr>
        <xdr:cNvSpPr/>
      </xdr:nvSpPr>
      <xdr:spPr>
        <a:xfrm rot="5400000">
          <a:off x="13499376" y="17830805"/>
          <a:ext cx="237308"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21</xdr:col>
      <xdr:colOff>117022</xdr:colOff>
      <xdr:row>201</xdr:row>
      <xdr:rowOff>8165</xdr:rowOff>
    </xdr:from>
    <xdr:to>
      <xdr:col>22</xdr:col>
      <xdr:colOff>103416</xdr:colOff>
      <xdr:row>201</xdr:row>
      <xdr:rowOff>8170</xdr:rowOff>
    </xdr:to>
    <xdr:cxnSp macro="">
      <xdr:nvCxnSpPr>
        <xdr:cNvPr id="492" name="Connector: Elbow 351">
          <a:extLst>
            <a:ext uri="{FF2B5EF4-FFF2-40B4-BE49-F238E27FC236}">
              <a16:creationId xmlns:a16="http://schemas.microsoft.com/office/drawing/2014/main" id="{00000000-0008-0000-0200-0000EC010000}"/>
            </a:ext>
          </a:extLst>
        </xdr:cNvPr>
        <xdr:cNvCxnSpPr>
          <a:stCxn id="486" idx="3"/>
          <a:endCxn id="491" idx="3"/>
        </xdr:cNvCxnSpPr>
      </xdr:nvCxnSpPr>
      <xdr:spPr>
        <a:xfrm>
          <a:off x="12918622" y="17930405"/>
          <a:ext cx="595994" cy="5"/>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293546</xdr:colOff>
      <xdr:row>191</xdr:row>
      <xdr:rowOff>74114</xdr:rowOff>
    </xdr:from>
    <xdr:to>
      <xdr:col>22</xdr:col>
      <xdr:colOff>500375</xdr:colOff>
      <xdr:row>192</xdr:row>
      <xdr:rowOff>134687</xdr:rowOff>
    </xdr:to>
    <xdr:sp macro="" textlink="">
      <xdr:nvSpPr>
        <xdr:cNvPr id="493" name="Isosceles Triangle 492">
          <a:extLst>
            <a:ext uri="{FF2B5EF4-FFF2-40B4-BE49-F238E27FC236}">
              <a16:creationId xmlns:a16="http://schemas.microsoft.com/office/drawing/2014/main" id="{00000000-0008-0000-0200-0000ED010000}"/>
            </a:ext>
          </a:extLst>
        </xdr:cNvPr>
        <xdr:cNvSpPr/>
      </xdr:nvSpPr>
      <xdr:spPr>
        <a:xfrm rot="5400000">
          <a:off x="13686434" y="16185866"/>
          <a:ext cx="243453"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21</xdr:col>
      <xdr:colOff>176928</xdr:colOff>
      <xdr:row>192</xdr:row>
      <xdr:rowOff>12961</xdr:rowOff>
    </xdr:from>
    <xdr:to>
      <xdr:col>22</xdr:col>
      <xdr:colOff>293546</xdr:colOff>
      <xdr:row>192</xdr:row>
      <xdr:rowOff>28514</xdr:rowOff>
    </xdr:to>
    <xdr:cxnSp macro="">
      <xdr:nvCxnSpPr>
        <xdr:cNvPr id="494" name="Connector: Elbow 351">
          <a:extLst>
            <a:ext uri="{FF2B5EF4-FFF2-40B4-BE49-F238E27FC236}">
              <a16:creationId xmlns:a16="http://schemas.microsoft.com/office/drawing/2014/main" id="{00000000-0008-0000-0200-0000EE010000}"/>
            </a:ext>
          </a:extLst>
        </xdr:cNvPr>
        <xdr:cNvCxnSpPr>
          <a:stCxn id="485" idx="3"/>
          <a:endCxn id="493" idx="3"/>
        </xdr:cNvCxnSpPr>
      </xdr:nvCxnSpPr>
      <xdr:spPr>
        <a:xfrm flipV="1">
          <a:off x="12978528" y="16289281"/>
          <a:ext cx="726218" cy="15553"/>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519389</xdr:colOff>
      <xdr:row>177</xdr:row>
      <xdr:rowOff>102642</xdr:rowOff>
    </xdr:from>
    <xdr:to>
      <xdr:col>25</xdr:col>
      <xdr:colOff>149275</xdr:colOff>
      <xdr:row>180</xdr:row>
      <xdr:rowOff>59100</xdr:rowOff>
    </xdr:to>
    <xdr:sp macro="" textlink="">
      <xdr:nvSpPr>
        <xdr:cNvPr id="496" name="Rectangle: Rounded Corners 495">
          <a:extLst>
            <a:ext uri="{FF2B5EF4-FFF2-40B4-BE49-F238E27FC236}">
              <a16:creationId xmlns:a16="http://schemas.microsoft.com/office/drawing/2014/main" id="{00000000-0008-0000-0200-0000F0010000}"/>
            </a:ext>
          </a:extLst>
        </xdr:cNvPr>
        <xdr:cNvSpPr/>
      </xdr:nvSpPr>
      <xdr:spPr>
        <a:xfrm>
          <a:off x="14540189" y="13635762"/>
          <a:ext cx="849086" cy="505098"/>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no complications</a:t>
          </a:r>
        </a:p>
      </xdr:txBody>
    </xdr:sp>
    <xdr:clientData/>
  </xdr:twoCellAnchor>
  <xdr:twoCellAnchor>
    <xdr:from>
      <xdr:col>21</xdr:col>
      <xdr:colOff>601436</xdr:colOff>
      <xdr:row>176</xdr:row>
      <xdr:rowOff>-1</xdr:rowOff>
    </xdr:from>
    <xdr:to>
      <xdr:col>22</xdr:col>
      <xdr:colOff>307521</xdr:colOff>
      <xdr:row>177</xdr:row>
      <xdr:rowOff>76199</xdr:rowOff>
    </xdr:to>
    <xdr:sp macro="" textlink="">
      <xdr:nvSpPr>
        <xdr:cNvPr id="497" name="Oval 496">
          <a:extLst>
            <a:ext uri="{FF2B5EF4-FFF2-40B4-BE49-F238E27FC236}">
              <a16:creationId xmlns:a16="http://schemas.microsoft.com/office/drawing/2014/main" id="{00000000-0008-0000-0200-0000F1010000}"/>
            </a:ext>
          </a:extLst>
        </xdr:cNvPr>
        <xdr:cNvSpPr/>
      </xdr:nvSpPr>
      <xdr:spPr>
        <a:xfrm>
          <a:off x="13403036" y="13350239"/>
          <a:ext cx="315685" cy="25908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21</xdr:col>
      <xdr:colOff>15240</xdr:colOff>
      <xdr:row>176</xdr:row>
      <xdr:rowOff>93617</xdr:rowOff>
    </xdr:from>
    <xdr:to>
      <xdr:col>21</xdr:col>
      <xdr:colOff>601436</xdr:colOff>
      <xdr:row>176</xdr:row>
      <xdr:rowOff>129539</xdr:rowOff>
    </xdr:to>
    <xdr:cxnSp macro="">
      <xdr:nvCxnSpPr>
        <xdr:cNvPr id="498" name="Connector: Elbow 42">
          <a:extLst>
            <a:ext uri="{FF2B5EF4-FFF2-40B4-BE49-F238E27FC236}">
              <a16:creationId xmlns:a16="http://schemas.microsoft.com/office/drawing/2014/main" id="{00000000-0008-0000-0200-0000F2010000}"/>
            </a:ext>
          </a:extLst>
        </xdr:cNvPr>
        <xdr:cNvCxnSpPr>
          <a:cxnSpLocks/>
          <a:stCxn id="484" idx="3"/>
          <a:endCxn id="497" idx="2"/>
        </xdr:cNvCxnSpPr>
      </xdr:nvCxnSpPr>
      <xdr:spPr>
        <a:xfrm>
          <a:off x="12816840" y="13443857"/>
          <a:ext cx="586196" cy="35922"/>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307521</xdr:colOff>
      <xdr:row>176</xdr:row>
      <xdr:rowOff>129539</xdr:rowOff>
    </xdr:from>
    <xdr:to>
      <xdr:col>23</xdr:col>
      <xdr:colOff>519389</xdr:colOff>
      <xdr:row>178</xdr:row>
      <xdr:rowOff>172311</xdr:rowOff>
    </xdr:to>
    <xdr:cxnSp macro="">
      <xdr:nvCxnSpPr>
        <xdr:cNvPr id="500" name="Connector: Elbow 499">
          <a:extLst>
            <a:ext uri="{FF2B5EF4-FFF2-40B4-BE49-F238E27FC236}">
              <a16:creationId xmlns:a16="http://schemas.microsoft.com/office/drawing/2014/main" id="{00000000-0008-0000-0200-0000F4010000}"/>
            </a:ext>
          </a:extLst>
        </xdr:cNvPr>
        <xdr:cNvCxnSpPr>
          <a:stCxn id="497" idx="6"/>
          <a:endCxn id="496" idx="1"/>
        </xdr:cNvCxnSpPr>
      </xdr:nvCxnSpPr>
      <xdr:spPr>
        <a:xfrm>
          <a:off x="13718721" y="32362139"/>
          <a:ext cx="821468" cy="408532"/>
        </a:xfrm>
        <a:prstGeom prst="bentConnector3">
          <a:avLst>
            <a:gd name="adj1" fmla="val 50000"/>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507275</xdr:colOff>
      <xdr:row>178</xdr:row>
      <xdr:rowOff>29256</xdr:rowOff>
    </xdr:from>
    <xdr:to>
      <xdr:col>27</xdr:col>
      <xdr:colOff>104504</xdr:colOff>
      <xdr:row>179</xdr:row>
      <xdr:rowOff>83684</xdr:rowOff>
    </xdr:to>
    <xdr:sp macro="" textlink="">
      <xdr:nvSpPr>
        <xdr:cNvPr id="501" name="Isosceles Triangle 500">
          <a:extLst>
            <a:ext uri="{FF2B5EF4-FFF2-40B4-BE49-F238E27FC236}">
              <a16:creationId xmlns:a16="http://schemas.microsoft.com/office/drawing/2014/main" id="{00000000-0008-0000-0200-0000F5010000}"/>
            </a:ext>
          </a:extLst>
        </xdr:cNvPr>
        <xdr:cNvSpPr/>
      </xdr:nvSpPr>
      <xdr:spPr>
        <a:xfrm rot="5400000">
          <a:off x="16341636" y="13760495"/>
          <a:ext cx="237308"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25</xdr:col>
      <xdr:colOff>149275</xdr:colOff>
      <xdr:row>178</xdr:row>
      <xdr:rowOff>147910</xdr:rowOff>
    </xdr:from>
    <xdr:to>
      <xdr:col>26</xdr:col>
      <xdr:colOff>507276</xdr:colOff>
      <xdr:row>178</xdr:row>
      <xdr:rowOff>172311</xdr:rowOff>
    </xdr:to>
    <xdr:cxnSp macro="">
      <xdr:nvCxnSpPr>
        <xdr:cNvPr id="502" name="Connector: Elbow 351">
          <a:extLst>
            <a:ext uri="{FF2B5EF4-FFF2-40B4-BE49-F238E27FC236}">
              <a16:creationId xmlns:a16="http://schemas.microsoft.com/office/drawing/2014/main" id="{00000000-0008-0000-0200-0000F6010000}"/>
            </a:ext>
          </a:extLst>
        </xdr:cNvPr>
        <xdr:cNvCxnSpPr>
          <a:stCxn id="496" idx="3"/>
          <a:endCxn id="501" idx="3"/>
        </xdr:cNvCxnSpPr>
      </xdr:nvCxnSpPr>
      <xdr:spPr>
        <a:xfrm flipV="1">
          <a:off x="15389275" y="13863910"/>
          <a:ext cx="967601" cy="24401"/>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1896</xdr:colOff>
      <xdr:row>167</xdr:row>
      <xdr:rowOff>177244</xdr:rowOff>
    </xdr:from>
    <xdr:to>
      <xdr:col>25</xdr:col>
      <xdr:colOff>241382</xdr:colOff>
      <xdr:row>170</xdr:row>
      <xdr:rowOff>139847</xdr:rowOff>
    </xdr:to>
    <xdr:sp macro="" textlink="">
      <xdr:nvSpPr>
        <xdr:cNvPr id="504" name="Rectangle: Rounded Corners 503">
          <a:extLst>
            <a:ext uri="{FF2B5EF4-FFF2-40B4-BE49-F238E27FC236}">
              <a16:creationId xmlns:a16="http://schemas.microsoft.com/office/drawing/2014/main" id="{00000000-0008-0000-0200-0000F8010000}"/>
            </a:ext>
          </a:extLst>
        </xdr:cNvPr>
        <xdr:cNvSpPr/>
      </xdr:nvSpPr>
      <xdr:spPr>
        <a:xfrm>
          <a:off x="14632296" y="30763924"/>
          <a:ext cx="849086" cy="511243"/>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Hypoglycaemia</a:t>
          </a:r>
        </a:p>
      </xdr:txBody>
    </xdr:sp>
    <xdr:clientData/>
  </xdr:twoCellAnchor>
  <xdr:twoCellAnchor>
    <xdr:from>
      <xdr:col>22</xdr:col>
      <xdr:colOff>149679</xdr:colOff>
      <xdr:row>169</xdr:row>
      <xdr:rowOff>67107</xdr:rowOff>
    </xdr:from>
    <xdr:to>
      <xdr:col>24</xdr:col>
      <xdr:colOff>1896</xdr:colOff>
      <xdr:row>176</xdr:row>
      <xdr:rowOff>0</xdr:rowOff>
    </xdr:to>
    <xdr:cxnSp macro="">
      <xdr:nvCxnSpPr>
        <xdr:cNvPr id="506" name="Connector: Elbow 505">
          <a:extLst>
            <a:ext uri="{FF2B5EF4-FFF2-40B4-BE49-F238E27FC236}">
              <a16:creationId xmlns:a16="http://schemas.microsoft.com/office/drawing/2014/main" id="{00000000-0008-0000-0200-0000FA010000}"/>
            </a:ext>
          </a:extLst>
        </xdr:cNvPr>
        <xdr:cNvCxnSpPr>
          <a:cxnSpLocks/>
          <a:stCxn id="497" idx="0"/>
          <a:endCxn id="504" idx="1"/>
        </xdr:cNvCxnSpPr>
      </xdr:nvCxnSpPr>
      <xdr:spPr>
        <a:xfrm rot="5400000" flipH="1" flipV="1">
          <a:off x="13490061" y="31090365"/>
          <a:ext cx="1213053" cy="1071417"/>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446667</xdr:colOff>
      <xdr:row>168</xdr:row>
      <xdr:rowOff>119380</xdr:rowOff>
    </xdr:from>
    <xdr:to>
      <xdr:col>27</xdr:col>
      <xdr:colOff>43896</xdr:colOff>
      <xdr:row>169</xdr:row>
      <xdr:rowOff>166188</xdr:rowOff>
    </xdr:to>
    <xdr:sp macro="" textlink="">
      <xdr:nvSpPr>
        <xdr:cNvPr id="507" name="Isosceles Triangle 506">
          <a:extLst>
            <a:ext uri="{FF2B5EF4-FFF2-40B4-BE49-F238E27FC236}">
              <a16:creationId xmlns:a16="http://schemas.microsoft.com/office/drawing/2014/main" id="{00000000-0008-0000-0200-0000FB010000}"/>
            </a:ext>
          </a:extLst>
        </xdr:cNvPr>
        <xdr:cNvSpPr/>
      </xdr:nvSpPr>
      <xdr:spPr>
        <a:xfrm rot="5400000">
          <a:off x="16284838" y="30900369"/>
          <a:ext cx="229688"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25</xdr:col>
      <xdr:colOff>241382</xdr:colOff>
      <xdr:row>169</xdr:row>
      <xdr:rowOff>51344</xdr:rowOff>
    </xdr:from>
    <xdr:to>
      <xdr:col>26</xdr:col>
      <xdr:colOff>446668</xdr:colOff>
      <xdr:row>169</xdr:row>
      <xdr:rowOff>67106</xdr:rowOff>
    </xdr:to>
    <xdr:cxnSp macro="">
      <xdr:nvCxnSpPr>
        <xdr:cNvPr id="508" name="Connector: Elbow 351">
          <a:extLst>
            <a:ext uri="{FF2B5EF4-FFF2-40B4-BE49-F238E27FC236}">
              <a16:creationId xmlns:a16="http://schemas.microsoft.com/office/drawing/2014/main" id="{00000000-0008-0000-0200-0000FC010000}"/>
            </a:ext>
          </a:extLst>
        </xdr:cNvPr>
        <xdr:cNvCxnSpPr>
          <a:cxnSpLocks/>
          <a:stCxn id="504" idx="3"/>
          <a:endCxn id="507" idx="3"/>
        </xdr:cNvCxnSpPr>
      </xdr:nvCxnSpPr>
      <xdr:spPr>
        <a:xfrm flipV="1">
          <a:off x="15481382" y="31003784"/>
          <a:ext cx="814886" cy="15762"/>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549869</xdr:colOff>
      <xdr:row>184</xdr:row>
      <xdr:rowOff>26442</xdr:rowOff>
    </xdr:from>
    <xdr:to>
      <xdr:col>25</xdr:col>
      <xdr:colOff>179755</xdr:colOff>
      <xdr:row>186</xdr:row>
      <xdr:rowOff>165780</xdr:rowOff>
    </xdr:to>
    <xdr:sp macro="" textlink="">
      <xdr:nvSpPr>
        <xdr:cNvPr id="512" name="Rectangle: Rounded Corners 511">
          <a:extLst>
            <a:ext uri="{FF2B5EF4-FFF2-40B4-BE49-F238E27FC236}">
              <a16:creationId xmlns:a16="http://schemas.microsoft.com/office/drawing/2014/main" id="{00000000-0008-0000-0200-000000020000}"/>
            </a:ext>
          </a:extLst>
        </xdr:cNvPr>
        <xdr:cNvSpPr/>
      </xdr:nvSpPr>
      <xdr:spPr>
        <a:xfrm>
          <a:off x="14570669" y="14839722"/>
          <a:ext cx="849086" cy="505098"/>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Death</a:t>
          </a:r>
        </a:p>
      </xdr:txBody>
    </xdr:sp>
    <xdr:clientData/>
  </xdr:twoCellAnchor>
  <xdr:twoCellAnchor>
    <xdr:from>
      <xdr:col>22</xdr:col>
      <xdr:colOff>149679</xdr:colOff>
      <xdr:row>177</xdr:row>
      <xdr:rowOff>76199</xdr:rowOff>
    </xdr:from>
    <xdr:to>
      <xdr:col>23</xdr:col>
      <xdr:colOff>549869</xdr:colOff>
      <xdr:row>185</xdr:row>
      <xdr:rowOff>96111</xdr:rowOff>
    </xdr:to>
    <xdr:cxnSp macro="">
      <xdr:nvCxnSpPr>
        <xdr:cNvPr id="513" name="Connector: Elbow 512">
          <a:extLst>
            <a:ext uri="{FF2B5EF4-FFF2-40B4-BE49-F238E27FC236}">
              <a16:creationId xmlns:a16="http://schemas.microsoft.com/office/drawing/2014/main" id="{00000000-0008-0000-0200-000001020000}"/>
            </a:ext>
          </a:extLst>
        </xdr:cNvPr>
        <xdr:cNvCxnSpPr>
          <a:stCxn id="497" idx="4"/>
          <a:endCxn id="512" idx="1"/>
        </xdr:cNvCxnSpPr>
      </xdr:nvCxnSpPr>
      <xdr:spPr>
        <a:xfrm rot="16200000" flipH="1">
          <a:off x="13324298" y="13845900"/>
          <a:ext cx="1482952" cy="1009790"/>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34835</xdr:colOff>
      <xdr:row>184</xdr:row>
      <xdr:rowOff>181655</xdr:rowOff>
    </xdr:from>
    <xdr:to>
      <xdr:col>27</xdr:col>
      <xdr:colOff>241664</xdr:colOff>
      <xdr:row>186</xdr:row>
      <xdr:rowOff>53203</xdr:rowOff>
    </xdr:to>
    <xdr:sp macro="" textlink="">
      <xdr:nvSpPr>
        <xdr:cNvPr id="514" name="Isosceles Triangle 513">
          <a:extLst>
            <a:ext uri="{FF2B5EF4-FFF2-40B4-BE49-F238E27FC236}">
              <a16:creationId xmlns:a16="http://schemas.microsoft.com/office/drawing/2014/main" id="{00000000-0008-0000-0200-000002020000}"/>
            </a:ext>
          </a:extLst>
        </xdr:cNvPr>
        <xdr:cNvSpPr/>
      </xdr:nvSpPr>
      <xdr:spPr>
        <a:xfrm rot="5400000">
          <a:off x="16478796" y="15010174"/>
          <a:ext cx="237308"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25</xdr:col>
      <xdr:colOff>179755</xdr:colOff>
      <xdr:row>185</xdr:row>
      <xdr:rowOff>96111</xdr:rowOff>
    </xdr:from>
    <xdr:to>
      <xdr:col>27</xdr:col>
      <xdr:colOff>34836</xdr:colOff>
      <xdr:row>185</xdr:row>
      <xdr:rowOff>117429</xdr:rowOff>
    </xdr:to>
    <xdr:cxnSp macro="">
      <xdr:nvCxnSpPr>
        <xdr:cNvPr id="515" name="Connector: Elbow 351">
          <a:extLst>
            <a:ext uri="{FF2B5EF4-FFF2-40B4-BE49-F238E27FC236}">
              <a16:creationId xmlns:a16="http://schemas.microsoft.com/office/drawing/2014/main" id="{00000000-0008-0000-0200-000003020000}"/>
            </a:ext>
          </a:extLst>
        </xdr:cNvPr>
        <xdr:cNvCxnSpPr>
          <a:stCxn id="512" idx="3"/>
          <a:endCxn id="514" idx="3"/>
        </xdr:cNvCxnSpPr>
      </xdr:nvCxnSpPr>
      <xdr:spPr>
        <a:xfrm>
          <a:off x="15419755" y="15092271"/>
          <a:ext cx="1074281" cy="21318"/>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594904</xdr:colOff>
      <xdr:row>243</xdr:row>
      <xdr:rowOff>81643</xdr:rowOff>
    </xdr:from>
    <xdr:to>
      <xdr:col>17</xdr:col>
      <xdr:colOff>224790</xdr:colOff>
      <xdr:row>246</xdr:row>
      <xdr:rowOff>38100</xdr:rowOff>
    </xdr:to>
    <xdr:sp macro="" textlink="">
      <xdr:nvSpPr>
        <xdr:cNvPr id="517" name="Rectangle: Rounded Corners 516">
          <a:extLst>
            <a:ext uri="{FF2B5EF4-FFF2-40B4-BE49-F238E27FC236}">
              <a16:creationId xmlns:a16="http://schemas.microsoft.com/office/drawing/2014/main" id="{00000000-0008-0000-0200-000005020000}"/>
            </a:ext>
          </a:extLst>
        </xdr:cNvPr>
        <xdr:cNvSpPr/>
      </xdr:nvSpPr>
      <xdr:spPr>
        <a:xfrm>
          <a:off x="8519704" y="7213963"/>
          <a:ext cx="849086" cy="505097"/>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Preterm</a:t>
          </a:r>
        </a:p>
      </xdr:txBody>
    </xdr:sp>
    <xdr:clientData/>
  </xdr:twoCellAnchor>
  <xdr:twoCellAnchor>
    <xdr:from>
      <xdr:col>16</xdr:col>
      <xdr:colOff>283573</xdr:colOff>
      <xdr:row>282</xdr:row>
      <xdr:rowOff>81099</xdr:rowOff>
    </xdr:from>
    <xdr:to>
      <xdr:col>17</xdr:col>
      <xdr:colOff>523059</xdr:colOff>
      <xdr:row>285</xdr:row>
      <xdr:rowOff>30480</xdr:rowOff>
    </xdr:to>
    <xdr:sp macro="" textlink="">
      <xdr:nvSpPr>
        <xdr:cNvPr id="518" name="Rectangle: Rounded Corners 517">
          <a:extLst>
            <a:ext uri="{FF2B5EF4-FFF2-40B4-BE49-F238E27FC236}">
              <a16:creationId xmlns:a16="http://schemas.microsoft.com/office/drawing/2014/main" id="{00000000-0008-0000-0200-000006020000}"/>
            </a:ext>
          </a:extLst>
        </xdr:cNvPr>
        <xdr:cNvSpPr/>
      </xdr:nvSpPr>
      <xdr:spPr>
        <a:xfrm>
          <a:off x="8817973" y="14345739"/>
          <a:ext cx="849086" cy="498021"/>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Term</a:t>
          </a:r>
        </a:p>
      </xdr:txBody>
    </xdr:sp>
    <xdr:clientData/>
  </xdr:twoCellAnchor>
  <xdr:twoCellAnchor>
    <xdr:from>
      <xdr:col>15</xdr:col>
      <xdr:colOff>1</xdr:colOff>
      <xdr:row>244</xdr:row>
      <xdr:rowOff>151313</xdr:rowOff>
    </xdr:from>
    <xdr:to>
      <xdr:col>15</xdr:col>
      <xdr:colOff>594904</xdr:colOff>
      <xdr:row>250</xdr:row>
      <xdr:rowOff>100148</xdr:rowOff>
    </xdr:to>
    <xdr:cxnSp macro="">
      <xdr:nvCxnSpPr>
        <xdr:cNvPr id="519" name="Connector: Elbow 518">
          <a:extLst>
            <a:ext uri="{FF2B5EF4-FFF2-40B4-BE49-F238E27FC236}">
              <a16:creationId xmlns:a16="http://schemas.microsoft.com/office/drawing/2014/main" id="{00000000-0008-0000-0200-000007020000}"/>
            </a:ext>
          </a:extLst>
        </xdr:cNvPr>
        <xdr:cNvCxnSpPr>
          <a:stCxn id="521" idx="0"/>
          <a:endCxn id="517" idx="1"/>
        </xdr:cNvCxnSpPr>
      </xdr:nvCxnSpPr>
      <xdr:spPr>
        <a:xfrm rot="5400000" flipH="1" flipV="1">
          <a:off x="7699195" y="7692119"/>
          <a:ext cx="1046115" cy="594903"/>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xdr:colOff>
      <xdr:row>251</xdr:row>
      <xdr:rowOff>176346</xdr:rowOff>
    </xdr:from>
    <xdr:to>
      <xdr:col>16</xdr:col>
      <xdr:colOff>283574</xdr:colOff>
      <xdr:row>283</xdr:row>
      <xdr:rowOff>147229</xdr:rowOff>
    </xdr:to>
    <xdr:cxnSp macro="">
      <xdr:nvCxnSpPr>
        <xdr:cNvPr id="520" name="Connector: Elbow 519">
          <a:extLst>
            <a:ext uri="{FF2B5EF4-FFF2-40B4-BE49-F238E27FC236}">
              <a16:creationId xmlns:a16="http://schemas.microsoft.com/office/drawing/2014/main" id="{00000000-0008-0000-0200-000008020000}"/>
            </a:ext>
          </a:extLst>
        </xdr:cNvPr>
        <xdr:cNvCxnSpPr>
          <a:stCxn id="521" idx="4"/>
          <a:endCxn id="518" idx="1"/>
        </xdr:cNvCxnSpPr>
      </xdr:nvCxnSpPr>
      <xdr:spPr>
        <a:xfrm rot="16200000" flipH="1">
          <a:off x="5459866" y="11236642"/>
          <a:ext cx="5823043" cy="893172"/>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451758</xdr:colOff>
      <xdr:row>250</xdr:row>
      <xdr:rowOff>100147</xdr:rowOff>
    </xdr:from>
    <xdr:to>
      <xdr:col>15</xdr:col>
      <xdr:colOff>157843</xdr:colOff>
      <xdr:row>251</xdr:row>
      <xdr:rowOff>176347</xdr:rowOff>
    </xdr:to>
    <xdr:sp macro="" textlink="">
      <xdr:nvSpPr>
        <xdr:cNvPr id="521" name="Oval 520">
          <a:extLst>
            <a:ext uri="{FF2B5EF4-FFF2-40B4-BE49-F238E27FC236}">
              <a16:creationId xmlns:a16="http://schemas.microsoft.com/office/drawing/2014/main" id="{00000000-0008-0000-0200-000009020000}"/>
            </a:ext>
          </a:extLst>
        </xdr:cNvPr>
        <xdr:cNvSpPr/>
      </xdr:nvSpPr>
      <xdr:spPr>
        <a:xfrm>
          <a:off x="7766958" y="8512627"/>
          <a:ext cx="315685" cy="25908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17</xdr:col>
      <xdr:colOff>523059</xdr:colOff>
      <xdr:row>283</xdr:row>
      <xdr:rowOff>147230</xdr:rowOff>
    </xdr:from>
    <xdr:to>
      <xdr:col>19</xdr:col>
      <xdr:colOff>516528</xdr:colOff>
      <xdr:row>283</xdr:row>
      <xdr:rowOff>166551</xdr:rowOff>
    </xdr:to>
    <xdr:cxnSp macro="">
      <xdr:nvCxnSpPr>
        <xdr:cNvPr id="522" name="Connector: Elbow 351">
          <a:extLst>
            <a:ext uri="{FF2B5EF4-FFF2-40B4-BE49-F238E27FC236}">
              <a16:creationId xmlns:a16="http://schemas.microsoft.com/office/drawing/2014/main" id="{00000000-0008-0000-0200-00000A020000}"/>
            </a:ext>
          </a:extLst>
        </xdr:cNvPr>
        <xdr:cNvCxnSpPr>
          <a:cxnSpLocks/>
          <a:stCxn id="518" idx="3"/>
          <a:endCxn id="560" idx="2"/>
        </xdr:cNvCxnSpPr>
      </xdr:nvCxnSpPr>
      <xdr:spPr>
        <a:xfrm>
          <a:off x="9667059" y="14594750"/>
          <a:ext cx="1212669" cy="19321"/>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141514</xdr:colOff>
      <xdr:row>226</xdr:row>
      <xdr:rowOff>57150</xdr:rowOff>
    </xdr:from>
    <xdr:to>
      <xdr:col>20</xdr:col>
      <xdr:colOff>381000</xdr:colOff>
      <xdr:row>229</xdr:row>
      <xdr:rowOff>8164</xdr:rowOff>
    </xdr:to>
    <xdr:sp macro="" textlink="">
      <xdr:nvSpPr>
        <xdr:cNvPr id="523" name="Rectangle: Rounded Corners 522">
          <a:extLst>
            <a:ext uri="{FF2B5EF4-FFF2-40B4-BE49-F238E27FC236}">
              <a16:creationId xmlns:a16="http://schemas.microsoft.com/office/drawing/2014/main" id="{00000000-0008-0000-0200-00000B020000}"/>
            </a:ext>
          </a:extLst>
        </xdr:cNvPr>
        <xdr:cNvSpPr/>
      </xdr:nvSpPr>
      <xdr:spPr>
        <a:xfrm>
          <a:off x="10504714" y="4080510"/>
          <a:ext cx="849086" cy="499654"/>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LBW</a:t>
          </a:r>
        </a:p>
      </xdr:txBody>
    </xdr:sp>
    <xdr:clientData/>
  </xdr:twoCellAnchor>
  <xdr:twoCellAnchor>
    <xdr:from>
      <xdr:col>19</xdr:col>
      <xdr:colOff>547042</xdr:colOff>
      <xdr:row>241</xdr:row>
      <xdr:rowOff>144797</xdr:rowOff>
    </xdr:from>
    <xdr:to>
      <xdr:col>21</xdr:col>
      <xdr:colOff>176928</xdr:colOff>
      <xdr:row>244</xdr:row>
      <xdr:rowOff>95110</xdr:rowOff>
    </xdr:to>
    <xdr:sp macro="" textlink="">
      <xdr:nvSpPr>
        <xdr:cNvPr id="524" name="Rectangle: Rounded Corners 523">
          <a:extLst>
            <a:ext uri="{FF2B5EF4-FFF2-40B4-BE49-F238E27FC236}">
              <a16:creationId xmlns:a16="http://schemas.microsoft.com/office/drawing/2014/main" id="{00000000-0008-0000-0200-00000C020000}"/>
            </a:ext>
          </a:extLst>
        </xdr:cNvPr>
        <xdr:cNvSpPr/>
      </xdr:nvSpPr>
      <xdr:spPr>
        <a:xfrm>
          <a:off x="10910242" y="6911357"/>
          <a:ext cx="849086" cy="498953"/>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Norrmal</a:t>
          </a:r>
          <a:r>
            <a:rPr lang="en-ZA" sz="1100" baseline="0">
              <a:solidFill>
                <a:sysClr val="windowText" lastClr="000000"/>
              </a:solidFill>
            </a:rPr>
            <a:t> weight</a:t>
          </a:r>
          <a:endParaRPr lang="en-ZA" sz="1100">
            <a:solidFill>
              <a:sysClr val="windowText" lastClr="000000"/>
            </a:solidFill>
          </a:endParaRPr>
        </a:p>
      </xdr:txBody>
    </xdr:sp>
    <xdr:clientData/>
  </xdr:twoCellAnchor>
  <xdr:twoCellAnchor>
    <xdr:from>
      <xdr:col>19</xdr:col>
      <xdr:colOff>487136</xdr:colOff>
      <xdr:row>250</xdr:row>
      <xdr:rowOff>127907</xdr:rowOff>
    </xdr:from>
    <xdr:to>
      <xdr:col>21</xdr:col>
      <xdr:colOff>117022</xdr:colOff>
      <xdr:row>253</xdr:row>
      <xdr:rowOff>78922</xdr:rowOff>
    </xdr:to>
    <xdr:sp macro="" textlink="">
      <xdr:nvSpPr>
        <xdr:cNvPr id="525" name="Rectangle: Rounded Corners 524">
          <a:extLst>
            <a:ext uri="{FF2B5EF4-FFF2-40B4-BE49-F238E27FC236}">
              <a16:creationId xmlns:a16="http://schemas.microsoft.com/office/drawing/2014/main" id="{00000000-0008-0000-0200-00000D020000}"/>
            </a:ext>
          </a:extLst>
        </xdr:cNvPr>
        <xdr:cNvSpPr/>
      </xdr:nvSpPr>
      <xdr:spPr>
        <a:xfrm>
          <a:off x="10850336" y="8540387"/>
          <a:ext cx="849086" cy="499655"/>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Stillbirth</a:t>
          </a:r>
        </a:p>
      </xdr:txBody>
    </xdr:sp>
    <xdr:clientData/>
  </xdr:twoCellAnchor>
  <xdr:twoCellAnchor>
    <xdr:from>
      <xdr:col>18</xdr:col>
      <xdr:colOff>13608</xdr:colOff>
      <xdr:row>244</xdr:row>
      <xdr:rowOff>21771</xdr:rowOff>
    </xdr:from>
    <xdr:to>
      <xdr:col>18</xdr:col>
      <xdr:colOff>329293</xdr:colOff>
      <xdr:row>245</xdr:row>
      <xdr:rowOff>97970</xdr:rowOff>
    </xdr:to>
    <xdr:sp macro="" textlink="">
      <xdr:nvSpPr>
        <xdr:cNvPr id="526" name="Oval 525">
          <a:extLst>
            <a:ext uri="{FF2B5EF4-FFF2-40B4-BE49-F238E27FC236}">
              <a16:creationId xmlns:a16="http://schemas.microsoft.com/office/drawing/2014/main" id="{00000000-0008-0000-0200-00000E020000}"/>
            </a:ext>
          </a:extLst>
        </xdr:cNvPr>
        <xdr:cNvSpPr/>
      </xdr:nvSpPr>
      <xdr:spPr>
        <a:xfrm>
          <a:off x="9767208" y="7336971"/>
          <a:ext cx="315685" cy="259079"/>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17</xdr:col>
      <xdr:colOff>224790</xdr:colOff>
      <xdr:row>244</xdr:row>
      <xdr:rowOff>151311</xdr:rowOff>
    </xdr:from>
    <xdr:to>
      <xdr:col>18</xdr:col>
      <xdr:colOff>13608</xdr:colOff>
      <xdr:row>244</xdr:row>
      <xdr:rowOff>151312</xdr:rowOff>
    </xdr:to>
    <xdr:cxnSp macro="">
      <xdr:nvCxnSpPr>
        <xdr:cNvPr id="527" name="Connector: Elbow 42">
          <a:extLst>
            <a:ext uri="{FF2B5EF4-FFF2-40B4-BE49-F238E27FC236}">
              <a16:creationId xmlns:a16="http://schemas.microsoft.com/office/drawing/2014/main" id="{00000000-0008-0000-0200-00000F020000}"/>
            </a:ext>
          </a:extLst>
        </xdr:cNvPr>
        <xdr:cNvCxnSpPr>
          <a:cxnSpLocks/>
          <a:stCxn id="517" idx="3"/>
          <a:endCxn id="526" idx="2"/>
        </xdr:cNvCxnSpPr>
      </xdr:nvCxnSpPr>
      <xdr:spPr>
        <a:xfrm flipV="1">
          <a:off x="9368790" y="7466511"/>
          <a:ext cx="398418" cy="1"/>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171450</xdr:colOff>
      <xdr:row>227</xdr:row>
      <xdr:rowOff>127908</xdr:rowOff>
    </xdr:from>
    <xdr:to>
      <xdr:col>19</xdr:col>
      <xdr:colOff>141513</xdr:colOff>
      <xdr:row>244</xdr:row>
      <xdr:rowOff>21772</xdr:rowOff>
    </xdr:to>
    <xdr:cxnSp macro="">
      <xdr:nvCxnSpPr>
        <xdr:cNvPr id="528" name="Connector: Elbow 527">
          <a:extLst>
            <a:ext uri="{FF2B5EF4-FFF2-40B4-BE49-F238E27FC236}">
              <a16:creationId xmlns:a16="http://schemas.microsoft.com/office/drawing/2014/main" id="{00000000-0008-0000-0200-000010020000}"/>
            </a:ext>
          </a:extLst>
        </xdr:cNvPr>
        <xdr:cNvCxnSpPr>
          <a:stCxn id="526" idx="0"/>
          <a:endCxn id="523" idx="1"/>
        </xdr:cNvCxnSpPr>
      </xdr:nvCxnSpPr>
      <xdr:spPr>
        <a:xfrm rot="5400000" flipH="1" flipV="1">
          <a:off x="8713470" y="5545728"/>
          <a:ext cx="3002824" cy="579663"/>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329293</xdr:colOff>
      <xdr:row>243</xdr:row>
      <xdr:rowOff>28514</xdr:rowOff>
    </xdr:from>
    <xdr:to>
      <xdr:col>19</xdr:col>
      <xdr:colOff>547042</xdr:colOff>
      <xdr:row>244</xdr:row>
      <xdr:rowOff>151311</xdr:rowOff>
    </xdr:to>
    <xdr:cxnSp macro="">
      <xdr:nvCxnSpPr>
        <xdr:cNvPr id="529" name="Connector: Elbow 528">
          <a:extLst>
            <a:ext uri="{FF2B5EF4-FFF2-40B4-BE49-F238E27FC236}">
              <a16:creationId xmlns:a16="http://schemas.microsoft.com/office/drawing/2014/main" id="{00000000-0008-0000-0200-000011020000}"/>
            </a:ext>
          </a:extLst>
        </xdr:cNvPr>
        <xdr:cNvCxnSpPr>
          <a:stCxn id="526" idx="6"/>
          <a:endCxn id="524" idx="1"/>
        </xdr:cNvCxnSpPr>
      </xdr:nvCxnSpPr>
      <xdr:spPr>
        <a:xfrm flipV="1">
          <a:off x="10082893" y="7160834"/>
          <a:ext cx="827349" cy="305677"/>
        </a:xfrm>
        <a:prstGeom prst="bentConnector3">
          <a:avLst>
            <a:gd name="adj1" fmla="val 50000"/>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171451</xdr:colOff>
      <xdr:row>245</xdr:row>
      <xdr:rowOff>97969</xdr:rowOff>
    </xdr:from>
    <xdr:to>
      <xdr:col>19</xdr:col>
      <xdr:colOff>487136</xdr:colOff>
      <xdr:row>252</xdr:row>
      <xdr:rowOff>8164</xdr:rowOff>
    </xdr:to>
    <xdr:cxnSp macro="">
      <xdr:nvCxnSpPr>
        <xdr:cNvPr id="530" name="Connector: Elbow 529">
          <a:extLst>
            <a:ext uri="{FF2B5EF4-FFF2-40B4-BE49-F238E27FC236}">
              <a16:creationId xmlns:a16="http://schemas.microsoft.com/office/drawing/2014/main" id="{00000000-0008-0000-0200-000012020000}"/>
            </a:ext>
          </a:extLst>
        </xdr:cNvPr>
        <xdr:cNvCxnSpPr>
          <a:stCxn id="526" idx="4"/>
          <a:endCxn id="525" idx="1"/>
        </xdr:cNvCxnSpPr>
      </xdr:nvCxnSpPr>
      <xdr:spPr>
        <a:xfrm rot="16200000" flipH="1">
          <a:off x="9792516" y="7728584"/>
          <a:ext cx="1190355" cy="925285"/>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103415</xdr:colOff>
      <xdr:row>251</xdr:row>
      <xdr:rowOff>76206</xdr:rowOff>
    </xdr:from>
    <xdr:to>
      <xdr:col>22</xdr:col>
      <xdr:colOff>310244</xdr:colOff>
      <xdr:row>252</xdr:row>
      <xdr:rowOff>130634</xdr:rowOff>
    </xdr:to>
    <xdr:sp macro="" textlink="">
      <xdr:nvSpPr>
        <xdr:cNvPr id="531" name="Isosceles Triangle 530">
          <a:extLst>
            <a:ext uri="{FF2B5EF4-FFF2-40B4-BE49-F238E27FC236}">
              <a16:creationId xmlns:a16="http://schemas.microsoft.com/office/drawing/2014/main" id="{00000000-0008-0000-0200-000013020000}"/>
            </a:ext>
          </a:extLst>
        </xdr:cNvPr>
        <xdr:cNvSpPr/>
      </xdr:nvSpPr>
      <xdr:spPr>
        <a:xfrm rot="5400000">
          <a:off x="12280176" y="8686805"/>
          <a:ext cx="237308"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21</xdr:col>
      <xdr:colOff>117022</xdr:colOff>
      <xdr:row>252</xdr:row>
      <xdr:rowOff>8165</xdr:rowOff>
    </xdr:from>
    <xdr:to>
      <xdr:col>22</xdr:col>
      <xdr:colOff>103416</xdr:colOff>
      <xdr:row>252</xdr:row>
      <xdr:rowOff>8170</xdr:rowOff>
    </xdr:to>
    <xdr:cxnSp macro="">
      <xdr:nvCxnSpPr>
        <xdr:cNvPr id="532" name="Connector: Elbow 351">
          <a:extLst>
            <a:ext uri="{FF2B5EF4-FFF2-40B4-BE49-F238E27FC236}">
              <a16:creationId xmlns:a16="http://schemas.microsoft.com/office/drawing/2014/main" id="{00000000-0008-0000-0200-000014020000}"/>
            </a:ext>
          </a:extLst>
        </xdr:cNvPr>
        <xdr:cNvCxnSpPr>
          <a:stCxn id="525" idx="3"/>
          <a:endCxn id="531" idx="3"/>
        </xdr:cNvCxnSpPr>
      </xdr:nvCxnSpPr>
      <xdr:spPr>
        <a:xfrm>
          <a:off x="11699422" y="8786405"/>
          <a:ext cx="595994" cy="5"/>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293546</xdr:colOff>
      <xdr:row>242</xdr:row>
      <xdr:rowOff>74114</xdr:rowOff>
    </xdr:from>
    <xdr:to>
      <xdr:col>22</xdr:col>
      <xdr:colOff>500375</xdr:colOff>
      <xdr:row>243</xdr:row>
      <xdr:rowOff>134687</xdr:rowOff>
    </xdr:to>
    <xdr:sp macro="" textlink="">
      <xdr:nvSpPr>
        <xdr:cNvPr id="533" name="Isosceles Triangle 532">
          <a:extLst>
            <a:ext uri="{FF2B5EF4-FFF2-40B4-BE49-F238E27FC236}">
              <a16:creationId xmlns:a16="http://schemas.microsoft.com/office/drawing/2014/main" id="{00000000-0008-0000-0200-000015020000}"/>
            </a:ext>
          </a:extLst>
        </xdr:cNvPr>
        <xdr:cNvSpPr/>
      </xdr:nvSpPr>
      <xdr:spPr>
        <a:xfrm rot="5400000">
          <a:off x="12467234" y="7041866"/>
          <a:ext cx="243453"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21</xdr:col>
      <xdr:colOff>176928</xdr:colOff>
      <xdr:row>243</xdr:row>
      <xdr:rowOff>12961</xdr:rowOff>
    </xdr:from>
    <xdr:to>
      <xdr:col>22</xdr:col>
      <xdr:colOff>293546</xdr:colOff>
      <xdr:row>243</xdr:row>
      <xdr:rowOff>28514</xdr:rowOff>
    </xdr:to>
    <xdr:cxnSp macro="">
      <xdr:nvCxnSpPr>
        <xdr:cNvPr id="534" name="Connector: Elbow 351">
          <a:extLst>
            <a:ext uri="{FF2B5EF4-FFF2-40B4-BE49-F238E27FC236}">
              <a16:creationId xmlns:a16="http://schemas.microsoft.com/office/drawing/2014/main" id="{00000000-0008-0000-0200-000016020000}"/>
            </a:ext>
          </a:extLst>
        </xdr:cNvPr>
        <xdr:cNvCxnSpPr>
          <a:stCxn id="524" idx="3"/>
          <a:endCxn id="533" idx="3"/>
        </xdr:cNvCxnSpPr>
      </xdr:nvCxnSpPr>
      <xdr:spPr>
        <a:xfrm flipV="1">
          <a:off x="11759328" y="7145281"/>
          <a:ext cx="726218" cy="15553"/>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480604</xdr:colOff>
      <xdr:row>217</xdr:row>
      <xdr:rowOff>171450</xdr:rowOff>
    </xdr:from>
    <xdr:to>
      <xdr:col>25</xdr:col>
      <xdr:colOff>110490</xdr:colOff>
      <xdr:row>220</xdr:row>
      <xdr:rowOff>130084</xdr:rowOff>
    </xdr:to>
    <xdr:sp macro="" textlink="">
      <xdr:nvSpPr>
        <xdr:cNvPr id="535" name="Rectangle: Rounded Corners 534">
          <a:extLst>
            <a:ext uri="{FF2B5EF4-FFF2-40B4-BE49-F238E27FC236}">
              <a16:creationId xmlns:a16="http://schemas.microsoft.com/office/drawing/2014/main" id="{00000000-0008-0000-0200-000017020000}"/>
            </a:ext>
          </a:extLst>
        </xdr:cNvPr>
        <xdr:cNvSpPr/>
      </xdr:nvSpPr>
      <xdr:spPr>
        <a:xfrm>
          <a:off x="13282204" y="2548890"/>
          <a:ext cx="849086" cy="507274"/>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RDS</a:t>
          </a:r>
        </a:p>
      </xdr:txBody>
    </xdr:sp>
    <xdr:clientData/>
  </xdr:twoCellAnchor>
  <xdr:twoCellAnchor>
    <xdr:from>
      <xdr:col>23</xdr:col>
      <xdr:colOff>519389</xdr:colOff>
      <xdr:row>228</xdr:row>
      <xdr:rowOff>102642</xdr:rowOff>
    </xdr:from>
    <xdr:to>
      <xdr:col>25</xdr:col>
      <xdr:colOff>149275</xdr:colOff>
      <xdr:row>231</xdr:row>
      <xdr:rowOff>59100</xdr:rowOff>
    </xdr:to>
    <xdr:sp macro="" textlink="">
      <xdr:nvSpPr>
        <xdr:cNvPr id="536" name="Rectangle: Rounded Corners 535">
          <a:extLst>
            <a:ext uri="{FF2B5EF4-FFF2-40B4-BE49-F238E27FC236}">
              <a16:creationId xmlns:a16="http://schemas.microsoft.com/office/drawing/2014/main" id="{00000000-0008-0000-0200-000018020000}"/>
            </a:ext>
          </a:extLst>
        </xdr:cNvPr>
        <xdr:cNvSpPr/>
      </xdr:nvSpPr>
      <xdr:spPr>
        <a:xfrm>
          <a:off x="13320989" y="4491762"/>
          <a:ext cx="849086" cy="505098"/>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no complications</a:t>
          </a:r>
        </a:p>
      </xdr:txBody>
    </xdr:sp>
    <xdr:clientData/>
  </xdr:twoCellAnchor>
  <xdr:twoCellAnchor>
    <xdr:from>
      <xdr:col>21</xdr:col>
      <xdr:colOff>601436</xdr:colOff>
      <xdr:row>227</xdr:row>
      <xdr:rowOff>-1</xdr:rowOff>
    </xdr:from>
    <xdr:to>
      <xdr:col>22</xdr:col>
      <xdr:colOff>307521</xdr:colOff>
      <xdr:row>228</xdr:row>
      <xdr:rowOff>76199</xdr:rowOff>
    </xdr:to>
    <xdr:sp macro="" textlink="">
      <xdr:nvSpPr>
        <xdr:cNvPr id="537" name="Oval 536">
          <a:extLst>
            <a:ext uri="{FF2B5EF4-FFF2-40B4-BE49-F238E27FC236}">
              <a16:creationId xmlns:a16="http://schemas.microsoft.com/office/drawing/2014/main" id="{00000000-0008-0000-0200-000019020000}"/>
            </a:ext>
          </a:extLst>
        </xdr:cNvPr>
        <xdr:cNvSpPr/>
      </xdr:nvSpPr>
      <xdr:spPr>
        <a:xfrm>
          <a:off x="12183836" y="4206239"/>
          <a:ext cx="315685" cy="25908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20</xdr:col>
      <xdr:colOff>381000</xdr:colOff>
      <xdr:row>227</xdr:row>
      <xdr:rowOff>127907</xdr:rowOff>
    </xdr:from>
    <xdr:to>
      <xdr:col>21</xdr:col>
      <xdr:colOff>601436</xdr:colOff>
      <xdr:row>227</xdr:row>
      <xdr:rowOff>133349</xdr:rowOff>
    </xdr:to>
    <xdr:cxnSp macro="">
      <xdr:nvCxnSpPr>
        <xdr:cNvPr id="538" name="Connector: Elbow 42">
          <a:extLst>
            <a:ext uri="{FF2B5EF4-FFF2-40B4-BE49-F238E27FC236}">
              <a16:creationId xmlns:a16="http://schemas.microsoft.com/office/drawing/2014/main" id="{00000000-0008-0000-0200-00001A020000}"/>
            </a:ext>
          </a:extLst>
        </xdr:cNvPr>
        <xdr:cNvCxnSpPr>
          <a:cxnSpLocks/>
          <a:stCxn id="523" idx="3"/>
          <a:endCxn id="537" idx="2"/>
        </xdr:cNvCxnSpPr>
      </xdr:nvCxnSpPr>
      <xdr:spPr>
        <a:xfrm>
          <a:off x="11353800" y="4334147"/>
          <a:ext cx="830036" cy="5442"/>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149678</xdr:colOff>
      <xdr:row>219</xdr:row>
      <xdr:rowOff>59328</xdr:rowOff>
    </xdr:from>
    <xdr:to>
      <xdr:col>23</xdr:col>
      <xdr:colOff>480603</xdr:colOff>
      <xdr:row>227</xdr:row>
      <xdr:rowOff>0</xdr:rowOff>
    </xdr:to>
    <xdr:cxnSp macro="">
      <xdr:nvCxnSpPr>
        <xdr:cNvPr id="539" name="Connector: Elbow 538">
          <a:extLst>
            <a:ext uri="{FF2B5EF4-FFF2-40B4-BE49-F238E27FC236}">
              <a16:creationId xmlns:a16="http://schemas.microsoft.com/office/drawing/2014/main" id="{00000000-0008-0000-0200-00001B020000}"/>
            </a:ext>
          </a:extLst>
        </xdr:cNvPr>
        <xdr:cNvCxnSpPr>
          <a:stCxn id="537" idx="0"/>
          <a:endCxn id="535" idx="1"/>
        </xdr:cNvCxnSpPr>
      </xdr:nvCxnSpPr>
      <xdr:spPr>
        <a:xfrm rot="5400000" flipH="1" flipV="1">
          <a:off x="12110085" y="3034121"/>
          <a:ext cx="1403712" cy="940525"/>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149679</xdr:colOff>
      <xdr:row>228</xdr:row>
      <xdr:rowOff>76199</xdr:rowOff>
    </xdr:from>
    <xdr:to>
      <xdr:col>23</xdr:col>
      <xdr:colOff>519389</xdr:colOff>
      <xdr:row>229</xdr:row>
      <xdr:rowOff>172311</xdr:rowOff>
    </xdr:to>
    <xdr:cxnSp macro="">
      <xdr:nvCxnSpPr>
        <xdr:cNvPr id="540" name="Connector: Elbow 539">
          <a:extLst>
            <a:ext uri="{FF2B5EF4-FFF2-40B4-BE49-F238E27FC236}">
              <a16:creationId xmlns:a16="http://schemas.microsoft.com/office/drawing/2014/main" id="{00000000-0008-0000-0200-00001C020000}"/>
            </a:ext>
          </a:extLst>
        </xdr:cNvPr>
        <xdr:cNvCxnSpPr>
          <a:stCxn id="537" idx="4"/>
          <a:endCxn id="536" idx="1"/>
        </xdr:cNvCxnSpPr>
      </xdr:nvCxnSpPr>
      <xdr:spPr>
        <a:xfrm rot="16200000" flipH="1">
          <a:off x="12691838" y="4115160"/>
          <a:ext cx="278992" cy="979310"/>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507275</xdr:colOff>
      <xdr:row>229</xdr:row>
      <xdr:rowOff>29256</xdr:rowOff>
    </xdr:from>
    <xdr:to>
      <xdr:col>27</xdr:col>
      <xdr:colOff>104504</xdr:colOff>
      <xdr:row>230</xdr:row>
      <xdr:rowOff>83684</xdr:rowOff>
    </xdr:to>
    <xdr:sp macro="" textlink="">
      <xdr:nvSpPr>
        <xdr:cNvPr id="541" name="Isosceles Triangle 540">
          <a:extLst>
            <a:ext uri="{FF2B5EF4-FFF2-40B4-BE49-F238E27FC236}">
              <a16:creationId xmlns:a16="http://schemas.microsoft.com/office/drawing/2014/main" id="{00000000-0008-0000-0200-00001D020000}"/>
            </a:ext>
          </a:extLst>
        </xdr:cNvPr>
        <xdr:cNvSpPr/>
      </xdr:nvSpPr>
      <xdr:spPr>
        <a:xfrm rot="5400000">
          <a:off x="15122436" y="4616495"/>
          <a:ext cx="237308"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25</xdr:col>
      <xdr:colOff>149275</xdr:colOff>
      <xdr:row>229</xdr:row>
      <xdr:rowOff>147910</xdr:rowOff>
    </xdr:from>
    <xdr:to>
      <xdr:col>26</xdr:col>
      <xdr:colOff>507276</xdr:colOff>
      <xdr:row>229</xdr:row>
      <xdr:rowOff>172311</xdr:rowOff>
    </xdr:to>
    <xdr:cxnSp macro="">
      <xdr:nvCxnSpPr>
        <xdr:cNvPr id="542" name="Connector: Elbow 351">
          <a:extLst>
            <a:ext uri="{FF2B5EF4-FFF2-40B4-BE49-F238E27FC236}">
              <a16:creationId xmlns:a16="http://schemas.microsoft.com/office/drawing/2014/main" id="{00000000-0008-0000-0200-00001E020000}"/>
            </a:ext>
          </a:extLst>
        </xdr:cNvPr>
        <xdr:cNvCxnSpPr>
          <a:stCxn id="536" idx="3"/>
          <a:endCxn id="541" idx="3"/>
        </xdr:cNvCxnSpPr>
      </xdr:nvCxnSpPr>
      <xdr:spPr>
        <a:xfrm flipV="1">
          <a:off x="14170075" y="4719910"/>
          <a:ext cx="967601" cy="24401"/>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110490</xdr:colOff>
      <xdr:row>219</xdr:row>
      <xdr:rowOff>59327</xdr:rowOff>
    </xdr:from>
    <xdr:to>
      <xdr:col>26</xdr:col>
      <xdr:colOff>400948</xdr:colOff>
      <xdr:row>219</xdr:row>
      <xdr:rowOff>81824</xdr:rowOff>
    </xdr:to>
    <xdr:cxnSp macro="">
      <xdr:nvCxnSpPr>
        <xdr:cNvPr id="549" name="Connector: Elbow 42">
          <a:extLst>
            <a:ext uri="{FF2B5EF4-FFF2-40B4-BE49-F238E27FC236}">
              <a16:creationId xmlns:a16="http://schemas.microsoft.com/office/drawing/2014/main" id="{00000000-0008-0000-0200-000025020000}"/>
            </a:ext>
          </a:extLst>
        </xdr:cNvPr>
        <xdr:cNvCxnSpPr>
          <a:cxnSpLocks/>
          <a:stCxn id="535" idx="3"/>
          <a:endCxn id="556" idx="3"/>
        </xdr:cNvCxnSpPr>
      </xdr:nvCxnSpPr>
      <xdr:spPr>
        <a:xfrm>
          <a:off x="14131290" y="2802527"/>
          <a:ext cx="900058" cy="22497"/>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549869</xdr:colOff>
      <xdr:row>235</xdr:row>
      <xdr:rowOff>26442</xdr:rowOff>
    </xdr:from>
    <xdr:to>
      <xdr:col>25</xdr:col>
      <xdr:colOff>179755</xdr:colOff>
      <xdr:row>237</xdr:row>
      <xdr:rowOff>165780</xdr:rowOff>
    </xdr:to>
    <xdr:sp macro="" textlink="">
      <xdr:nvSpPr>
        <xdr:cNvPr id="552" name="Rectangle: Rounded Corners 551">
          <a:extLst>
            <a:ext uri="{FF2B5EF4-FFF2-40B4-BE49-F238E27FC236}">
              <a16:creationId xmlns:a16="http://schemas.microsoft.com/office/drawing/2014/main" id="{00000000-0008-0000-0200-000028020000}"/>
            </a:ext>
          </a:extLst>
        </xdr:cNvPr>
        <xdr:cNvSpPr/>
      </xdr:nvSpPr>
      <xdr:spPr>
        <a:xfrm>
          <a:off x="13351469" y="5695722"/>
          <a:ext cx="849086" cy="505098"/>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Death</a:t>
          </a:r>
        </a:p>
      </xdr:txBody>
    </xdr:sp>
    <xdr:clientData/>
  </xdr:twoCellAnchor>
  <xdr:twoCellAnchor>
    <xdr:from>
      <xdr:col>22</xdr:col>
      <xdr:colOff>149679</xdr:colOff>
      <xdr:row>228</xdr:row>
      <xdr:rowOff>76199</xdr:rowOff>
    </xdr:from>
    <xdr:to>
      <xdr:col>23</xdr:col>
      <xdr:colOff>549869</xdr:colOff>
      <xdr:row>236</xdr:row>
      <xdr:rowOff>96111</xdr:rowOff>
    </xdr:to>
    <xdr:cxnSp macro="">
      <xdr:nvCxnSpPr>
        <xdr:cNvPr id="553" name="Connector: Elbow 552">
          <a:extLst>
            <a:ext uri="{FF2B5EF4-FFF2-40B4-BE49-F238E27FC236}">
              <a16:creationId xmlns:a16="http://schemas.microsoft.com/office/drawing/2014/main" id="{00000000-0008-0000-0200-000029020000}"/>
            </a:ext>
          </a:extLst>
        </xdr:cNvPr>
        <xdr:cNvCxnSpPr>
          <a:stCxn id="537" idx="4"/>
          <a:endCxn id="552" idx="1"/>
        </xdr:cNvCxnSpPr>
      </xdr:nvCxnSpPr>
      <xdr:spPr>
        <a:xfrm rot="16200000" flipH="1">
          <a:off x="12105098" y="4701900"/>
          <a:ext cx="1482952" cy="1009790"/>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34835</xdr:colOff>
      <xdr:row>235</xdr:row>
      <xdr:rowOff>181655</xdr:rowOff>
    </xdr:from>
    <xdr:to>
      <xdr:col>27</xdr:col>
      <xdr:colOff>241664</xdr:colOff>
      <xdr:row>237</xdr:row>
      <xdr:rowOff>53203</xdr:rowOff>
    </xdr:to>
    <xdr:sp macro="" textlink="">
      <xdr:nvSpPr>
        <xdr:cNvPr id="554" name="Isosceles Triangle 553">
          <a:extLst>
            <a:ext uri="{FF2B5EF4-FFF2-40B4-BE49-F238E27FC236}">
              <a16:creationId xmlns:a16="http://schemas.microsoft.com/office/drawing/2014/main" id="{00000000-0008-0000-0200-00002A020000}"/>
            </a:ext>
          </a:extLst>
        </xdr:cNvPr>
        <xdr:cNvSpPr/>
      </xdr:nvSpPr>
      <xdr:spPr>
        <a:xfrm rot="5400000">
          <a:off x="15259596" y="5866174"/>
          <a:ext cx="237308"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25</xdr:col>
      <xdr:colOff>179755</xdr:colOff>
      <xdr:row>236</xdr:row>
      <xdr:rowOff>96111</xdr:rowOff>
    </xdr:from>
    <xdr:to>
      <xdr:col>27</xdr:col>
      <xdr:colOff>34836</xdr:colOff>
      <xdr:row>236</xdr:row>
      <xdr:rowOff>117429</xdr:rowOff>
    </xdr:to>
    <xdr:cxnSp macro="">
      <xdr:nvCxnSpPr>
        <xdr:cNvPr id="555" name="Connector: Elbow 351">
          <a:extLst>
            <a:ext uri="{FF2B5EF4-FFF2-40B4-BE49-F238E27FC236}">
              <a16:creationId xmlns:a16="http://schemas.microsoft.com/office/drawing/2014/main" id="{00000000-0008-0000-0200-00002B020000}"/>
            </a:ext>
          </a:extLst>
        </xdr:cNvPr>
        <xdr:cNvCxnSpPr>
          <a:stCxn id="552" idx="3"/>
          <a:endCxn id="554" idx="3"/>
        </xdr:cNvCxnSpPr>
      </xdr:nvCxnSpPr>
      <xdr:spPr>
        <a:xfrm>
          <a:off x="14200555" y="5948271"/>
          <a:ext cx="1074281" cy="21318"/>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400947</xdr:colOff>
      <xdr:row>218</xdr:row>
      <xdr:rowOff>149860</xdr:rowOff>
    </xdr:from>
    <xdr:to>
      <xdr:col>26</xdr:col>
      <xdr:colOff>607776</xdr:colOff>
      <xdr:row>220</xdr:row>
      <xdr:rowOff>13788</xdr:rowOff>
    </xdr:to>
    <xdr:sp macro="" textlink="">
      <xdr:nvSpPr>
        <xdr:cNvPr id="556" name="Isosceles Triangle 555">
          <a:extLst>
            <a:ext uri="{FF2B5EF4-FFF2-40B4-BE49-F238E27FC236}">
              <a16:creationId xmlns:a16="http://schemas.microsoft.com/office/drawing/2014/main" id="{00000000-0008-0000-0200-00002C020000}"/>
            </a:ext>
          </a:extLst>
        </xdr:cNvPr>
        <xdr:cNvSpPr/>
      </xdr:nvSpPr>
      <xdr:spPr>
        <a:xfrm rot="5400000">
          <a:off x="15019918" y="2721609"/>
          <a:ext cx="229688"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21</xdr:col>
      <xdr:colOff>385354</xdr:colOff>
      <xdr:row>276</xdr:row>
      <xdr:rowOff>26670</xdr:rowOff>
    </xdr:from>
    <xdr:to>
      <xdr:col>23</xdr:col>
      <xdr:colOff>15240</xdr:colOff>
      <xdr:row>278</xdr:row>
      <xdr:rowOff>160564</xdr:rowOff>
    </xdr:to>
    <xdr:sp macro="" textlink="">
      <xdr:nvSpPr>
        <xdr:cNvPr id="557" name="Rectangle: Rounded Corners 556">
          <a:extLst>
            <a:ext uri="{FF2B5EF4-FFF2-40B4-BE49-F238E27FC236}">
              <a16:creationId xmlns:a16="http://schemas.microsoft.com/office/drawing/2014/main" id="{00000000-0008-0000-0200-00002D020000}"/>
            </a:ext>
          </a:extLst>
        </xdr:cNvPr>
        <xdr:cNvSpPr/>
      </xdr:nvSpPr>
      <xdr:spPr>
        <a:xfrm>
          <a:off x="11967754" y="13194030"/>
          <a:ext cx="849086" cy="499654"/>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SGA</a:t>
          </a:r>
        </a:p>
      </xdr:txBody>
    </xdr:sp>
    <xdr:clientData/>
  </xdr:twoCellAnchor>
  <xdr:twoCellAnchor>
    <xdr:from>
      <xdr:col>21</xdr:col>
      <xdr:colOff>547042</xdr:colOff>
      <xdr:row>291</xdr:row>
      <xdr:rowOff>144797</xdr:rowOff>
    </xdr:from>
    <xdr:to>
      <xdr:col>23</xdr:col>
      <xdr:colOff>176928</xdr:colOff>
      <xdr:row>294</xdr:row>
      <xdr:rowOff>95110</xdr:rowOff>
    </xdr:to>
    <xdr:sp macro="" textlink="">
      <xdr:nvSpPr>
        <xdr:cNvPr id="558" name="Rectangle: Rounded Corners 557">
          <a:extLst>
            <a:ext uri="{FF2B5EF4-FFF2-40B4-BE49-F238E27FC236}">
              <a16:creationId xmlns:a16="http://schemas.microsoft.com/office/drawing/2014/main" id="{00000000-0008-0000-0200-00002E020000}"/>
            </a:ext>
          </a:extLst>
        </xdr:cNvPr>
        <xdr:cNvSpPr/>
      </xdr:nvSpPr>
      <xdr:spPr>
        <a:xfrm>
          <a:off x="12129442" y="16055357"/>
          <a:ext cx="849086" cy="498953"/>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Norrmal</a:t>
          </a:r>
          <a:r>
            <a:rPr lang="en-ZA" sz="1100" baseline="0">
              <a:solidFill>
                <a:sysClr val="windowText" lastClr="000000"/>
              </a:solidFill>
            </a:rPr>
            <a:t> weight</a:t>
          </a:r>
          <a:endParaRPr lang="en-ZA" sz="1100">
            <a:solidFill>
              <a:sysClr val="windowText" lastClr="000000"/>
            </a:solidFill>
          </a:endParaRPr>
        </a:p>
      </xdr:txBody>
    </xdr:sp>
    <xdr:clientData/>
  </xdr:twoCellAnchor>
  <xdr:twoCellAnchor>
    <xdr:from>
      <xdr:col>21</xdr:col>
      <xdr:colOff>487136</xdr:colOff>
      <xdr:row>300</xdr:row>
      <xdr:rowOff>127907</xdr:rowOff>
    </xdr:from>
    <xdr:to>
      <xdr:col>23</xdr:col>
      <xdr:colOff>117022</xdr:colOff>
      <xdr:row>303</xdr:row>
      <xdr:rowOff>78922</xdr:rowOff>
    </xdr:to>
    <xdr:sp macro="" textlink="">
      <xdr:nvSpPr>
        <xdr:cNvPr id="559" name="Rectangle: Rounded Corners 558">
          <a:extLst>
            <a:ext uri="{FF2B5EF4-FFF2-40B4-BE49-F238E27FC236}">
              <a16:creationId xmlns:a16="http://schemas.microsoft.com/office/drawing/2014/main" id="{00000000-0008-0000-0200-00002F020000}"/>
            </a:ext>
          </a:extLst>
        </xdr:cNvPr>
        <xdr:cNvSpPr/>
      </xdr:nvSpPr>
      <xdr:spPr>
        <a:xfrm>
          <a:off x="12069536" y="17684387"/>
          <a:ext cx="849086" cy="499655"/>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Stillbirth</a:t>
          </a:r>
        </a:p>
      </xdr:txBody>
    </xdr:sp>
    <xdr:clientData/>
  </xdr:twoCellAnchor>
  <xdr:twoCellAnchor>
    <xdr:from>
      <xdr:col>19</xdr:col>
      <xdr:colOff>516528</xdr:colOff>
      <xdr:row>283</xdr:row>
      <xdr:rowOff>37011</xdr:rowOff>
    </xdr:from>
    <xdr:to>
      <xdr:col>20</xdr:col>
      <xdr:colOff>222613</xdr:colOff>
      <xdr:row>284</xdr:row>
      <xdr:rowOff>113210</xdr:rowOff>
    </xdr:to>
    <xdr:sp macro="" textlink="">
      <xdr:nvSpPr>
        <xdr:cNvPr id="560" name="Oval 559">
          <a:extLst>
            <a:ext uri="{FF2B5EF4-FFF2-40B4-BE49-F238E27FC236}">
              <a16:creationId xmlns:a16="http://schemas.microsoft.com/office/drawing/2014/main" id="{00000000-0008-0000-0200-000030020000}"/>
            </a:ext>
          </a:extLst>
        </xdr:cNvPr>
        <xdr:cNvSpPr/>
      </xdr:nvSpPr>
      <xdr:spPr>
        <a:xfrm>
          <a:off x="10879728" y="14484531"/>
          <a:ext cx="315685" cy="259079"/>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20</xdr:col>
      <xdr:colOff>64770</xdr:colOff>
      <xdr:row>277</xdr:row>
      <xdr:rowOff>93618</xdr:rowOff>
    </xdr:from>
    <xdr:to>
      <xdr:col>21</xdr:col>
      <xdr:colOff>385353</xdr:colOff>
      <xdr:row>283</xdr:row>
      <xdr:rowOff>37012</xdr:rowOff>
    </xdr:to>
    <xdr:cxnSp macro="">
      <xdr:nvCxnSpPr>
        <xdr:cNvPr id="561" name="Connector: Elbow 560">
          <a:extLst>
            <a:ext uri="{FF2B5EF4-FFF2-40B4-BE49-F238E27FC236}">
              <a16:creationId xmlns:a16="http://schemas.microsoft.com/office/drawing/2014/main" id="{00000000-0008-0000-0200-000031020000}"/>
            </a:ext>
          </a:extLst>
        </xdr:cNvPr>
        <xdr:cNvCxnSpPr>
          <a:cxnSpLocks/>
          <a:stCxn id="560" idx="0"/>
          <a:endCxn id="557" idx="1"/>
        </xdr:cNvCxnSpPr>
      </xdr:nvCxnSpPr>
      <xdr:spPr>
        <a:xfrm rot="5400000" flipH="1" flipV="1">
          <a:off x="10982325" y="13499103"/>
          <a:ext cx="1040674" cy="930183"/>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222613</xdr:colOff>
      <xdr:row>283</xdr:row>
      <xdr:rowOff>166551</xdr:rowOff>
    </xdr:from>
    <xdr:to>
      <xdr:col>21</xdr:col>
      <xdr:colOff>547042</xdr:colOff>
      <xdr:row>293</xdr:row>
      <xdr:rowOff>28514</xdr:rowOff>
    </xdr:to>
    <xdr:cxnSp macro="">
      <xdr:nvCxnSpPr>
        <xdr:cNvPr id="562" name="Connector: Elbow 561">
          <a:extLst>
            <a:ext uri="{FF2B5EF4-FFF2-40B4-BE49-F238E27FC236}">
              <a16:creationId xmlns:a16="http://schemas.microsoft.com/office/drawing/2014/main" id="{00000000-0008-0000-0200-000032020000}"/>
            </a:ext>
          </a:extLst>
        </xdr:cNvPr>
        <xdr:cNvCxnSpPr>
          <a:stCxn id="560" idx="6"/>
          <a:endCxn id="558" idx="1"/>
        </xdr:cNvCxnSpPr>
      </xdr:nvCxnSpPr>
      <xdr:spPr>
        <a:xfrm>
          <a:off x="11195413" y="14614071"/>
          <a:ext cx="934029" cy="1690763"/>
        </a:xfrm>
        <a:prstGeom prst="bentConnector3">
          <a:avLst>
            <a:gd name="adj1" fmla="val 50000"/>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64771</xdr:colOff>
      <xdr:row>284</xdr:row>
      <xdr:rowOff>113209</xdr:rowOff>
    </xdr:from>
    <xdr:to>
      <xdr:col>21</xdr:col>
      <xdr:colOff>487136</xdr:colOff>
      <xdr:row>302</xdr:row>
      <xdr:rowOff>11974</xdr:rowOff>
    </xdr:to>
    <xdr:cxnSp macro="">
      <xdr:nvCxnSpPr>
        <xdr:cNvPr id="563" name="Connector: Elbow 562">
          <a:extLst>
            <a:ext uri="{FF2B5EF4-FFF2-40B4-BE49-F238E27FC236}">
              <a16:creationId xmlns:a16="http://schemas.microsoft.com/office/drawing/2014/main" id="{00000000-0008-0000-0200-000033020000}"/>
            </a:ext>
          </a:extLst>
        </xdr:cNvPr>
        <xdr:cNvCxnSpPr>
          <a:stCxn id="560" idx="4"/>
          <a:endCxn id="559" idx="1"/>
        </xdr:cNvCxnSpPr>
      </xdr:nvCxnSpPr>
      <xdr:spPr>
        <a:xfrm rot="16200000" flipH="1">
          <a:off x="9958251" y="15822929"/>
          <a:ext cx="3190605" cy="1031965"/>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103415</xdr:colOff>
      <xdr:row>301</xdr:row>
      <xdr:rowOff>76206</xdr:rowOff>
    </xdr:from>
    <xdr:to>
      <xdr:col>24</xdr:col>
      <xdr:colOff>310244</xdr:colOff>
      <xdr:row>302</xdr:row>
      <xdr:rowOff>130634</xdr:rowOff>
    </xdr:to>
    <xdr:sp macro="" textlink="">
      <xdr:nvSpPr>
        <xdr:cNvPr id="564" name="Isosceles Triangle 563">
          <a:extLst>
            <a:ext uri="{FF2B5EF4-FFF2-40B4-BE49-F238E27FC236}">
              <a16:creationId xmlns:a16="http://schemas.microsoft.com/office/drawing/2014/main" id="{00000000-0008-0000-0200-000034020000}"/>
            </a:ext>
          </a:extLst>
        </xdr:cNvPr>
        <xdr:cNvSpPr/>
      </xdr:nvSpPr>
      <xdr:spPr>
        <a:xfrm rot="5400000">
          <a:off x="13499376" y="17830805"/>
          <a:ext cx="237308"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23</xdr:col>
      <xdr:colOff>117022</xdr:colOff>
      <xdr:row>302</xdr:row>
      <xdr:rowOff>8165</xdr:rowOff>
    </xdr:from>
    <xdr:to>
      <xdr:col>24</xdr:col>
      <xdr:colOff>103416</xdr:colOff>
      <xdr:row>302</xdr:row>
      <xdr:rowOff>8170</xdr:rowOff>
    </xdr:to>
    <xdr:cxnSp macro="">
      <xdr:nvCxnSpPr>
        <xdr:cNvPr id="565" name="Connector: Elbow 351">
          <a:extLst>
            <a:ext uri="{FF2B5EF4-FFF2-40B4-BE49-F238E27FC236}">
              <a16:creationId xmlns:a16="http://schemas.microsoft.com/office/drawing/2014/main" id="{00000000-0008-0000-0200-000035020000}"/>
            </a:ext>
          </a:extLst>
        </xdr:cNvPr>
        <xdr:cNvCxnSpPr>
          <a:stCxn id="559" idx="3"/>
          <a:endCxn id="564" idx="3"/>
        </xdr:cNvCxnSpPr>
      </xdr:nvCxnSpPr>
      <xdr:spPr>
        <a:xfrm>
          <a:off x="12918622" y="17930405"/>
          <a:ext cx="595994" cy="5"/>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293546</xdr:colOff>
      <xdr:row>292</xdr:row>
      <xdr:rowOff>74114</xdr:rowOff>
    </xdr:from>
    <xdr:to>
      <xdr:col>24</xdr:col>
      <xdr:colOff>500375</xdr:colOff>
      <xdr:row>293</xdr:row>
      <xdr:rowOff>134687</xdr:rowOff>
    </xdr:to>
    <xdr:sp macro="" textlink="">
      <xdr:nvSpPr>
        <xdr:cNvPr id="566" name="Isosceles Triangle 565">
          <a:extLst>
            <a:ext uri="{FF2B5EF4-FFF2-40B4-BE49-F238E27FC236}">
              <a16:creationId xmlns:a16="http://schemas.microsoft.com/office/drawing/2014/main" id="{00000000-0008-0000-0200-000036020000}"/>
            </a:ext>
          </a:extLst>
        </xdr:cNvPr>
        <xdr:cNvSpPr/>
      </xdr:nvSpPr>
      <xdr:spPr>
        <a:xfrm rot="5400000">
          <a:off x="13686434" y="16185866"/>
          <a:ext cx="243453"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23</xdr:col>
      <xdr:colOff>176928</xdr:colOff>
      <xdr:row>293</xdr:row>
      <xdr:rowOff>12961</xdr:rowOff>
    </xdr:from>
    <xdr:to>
      <xdr:col>24</xdr:col>
      <xdr:colOff>293546</xdr:colOff>
      <xdr:row>293</xdr:row>
      <xdr:rowOff>28514</xdr:rowOff>
    </xdr:to>
    <xdr:cxnSp macro="">
      <xdr:nvCxnSpPr>
        <xdr:cNvPr id="567" name="Connector: Elbow 351">
          <a:extLst>
            <a:ext uri="{FF2B5EF4-FFF2-40B4-BE49-F238E27FC236}">
              <a16:creationId xmlns:a16="http://schemas.microsoft.com/office/drawing/2014/main" id="{00000000-0008-0000-0200-000037020000}"/>
            </a:ext>
          </a:extLst>
        </xdr:cNvPr>
        <xdr:cNvCxnSpPr>
          <a:stCxn id="558" idx="3"/>
          <a:endCxn id="566" idx="3"/>
        </xdr:cNvCxnSpPr>
      </xdr:nvCxnSpPr>
      <xdr:spPr>
        <a:xfrm flipV="1">
          <a:off x="12978528" y="16289281"/>
          <a:ext cx="726218" cy="15553"/>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519389</xdr:colOff>
      <xdr:row>278</xdr:row>
      <xdr:rowOff>102642</xdr:rowOff>
    </xdr:from>
    <xdr:to>
      <xdr:col>27</xdr:col>
      <xdr:colOff>149275</xdr:colOff>
      <xdr:row>281</xdr:row>
      <xdr:rowOff>59100</xdr:rowOff>
    </xdr:to>
    <xdr:sp macro="" textlink="">
      <xdr:nvSpPr>
        <xdr:cNvPr id="569" name="Rectangle: Rounded Corners 568">
          <a:extLst>
            <a:ext uri="{FF2B5EF4-FFF2-40B4-BE49-F238E27FC236}">
              <a16:creationId xmlns:a16="http://schemas.microsoft.com/office/drawing/2014/main" id="{00000000-0008-0000-0200-000039020000}"/>
            </a:ext>
          </a:extLst>
        </xdr:cNvPr>
        <xdr:cNvSpPr/>
      </xdr:nvSpPr>
      <xdr:spPr>
        <a:xfrm>
          <a:off x="14540189" y="13635762"/>
          <a:ext cx="849086" cy="505098"/>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no complications</a:t>
          </a:r>
        </a:p>
      </xdr:txBody>
    </xdr:sp>
    <xdr:clientData/>
  </xdr:twoCellAnchor>
  <xdr:twoCellAnchor>
    <xdr:from>
      <xdr:col>23</xdr:col>
      <xdr:colOff>601436</xdr:colOff>
      <xdr:row>277</xdr:row>
      <xdr:rowOff>-1</xdr:rowOff>
    </xdr:from>
    <xdr:to>
      <xdr:col>24</xdr:col>
      <xdr:colOff>307521</xdr:colOff>
      <xdr:row>278</xdr:row>
      <xdr:rowOff>76199</xdr:rowOff>
    </xdr:to>
    <xdr:sp macro="" textlink="">
      <xdr:nvSpPr>
        <xdr:cNvPr id="570" name="Oval 569">
          <a:extLst>
            <a:ext uri="{FF2B5EF4-FFF2-40B4-BE49-F238E27FC236}">
              <a16:creationId xmlns:a16="http://schemas.microsoft.com/office/drawing/2014/main" id="{00000000-0008-0000-0200-00003A020000}"/>
            </a:ext>
          </a:extLst>
        </xdr:cNvPr>
        <xdr:cNvSpPr/>
      </xdr:nvSpPr>
      <xdr:spPr>
        <a:xfrm>
          <a:off x="13403036" y="13350239"/>
          <a:ext cx="315685" cy="25908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23</xdr:col>
      <xdr:colOff>15240</xdr:colOff>
      <xdr:row>277</xdr:row>
      <xdr:rowOff>93617</xdr:rowOff>
    </xdr:from>
    <xdr:to>
      <xdr:col>23</xdr:col>
      <xdr:colOff>601436</xdr:colOff>
      <xdr:row>277</xdr:row>
      <xdr:rowOff>129539</xdr:rowOff>
    </xdr:to>
    <xdr:cxnSp macro="">
      <xdr:nvCxnSpPr>
        <xdr:cNvPr id="571" name="Connector: Elbow 42">
          <a:extLst>
            <a:ext uri="{FF2B5EF4-FFF2-40B4-BE49-F238E27FC236}">
              <a16:creationId xmlns:a16="http://schemas.microsoft.com/office/drawing/2014/main" id="{00000000-0008-0000-0200-00003B020000}"/>
            </a:ext>
          </a:extLst>
        </xdr:cNvPr>
        <xdr:cNvCxnSpPr>
          <a:cxnSpLocks/>
          <a:stCxn id="557" idx="3"/>
          <a:endCxn id="570" idx="2"/>
        </xdr:cNvCxnSpPr>
      </xdr:nvCxnSpPr>
      <xdr:spPr>
        <a:xfrm>
          <a:off x="12816840" y="13443857"/>
          <a:ext cx="586196" cy="35922"/>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149679</xdr:colOff>
      <xdr:row>278</xdr:row>
      <xdr:rowOff>76199</xdr:rowOff>
    </xdr:from>
    <xdr:to>
      <xdr:col>25</xdr:col>
      <xdr:colOff>519389</xdr:colOff>
      <xdr:row>279</xdr:row>
      <xdr:rowOff>172311</xdr:rowOff>
    </xdr:to>
    <xdr:cxnSp macro="">
      <xdr:nvCxnSpPr>
        <xdr:cNvPr id="573" name="Connector: Elbow 572">
          <a:extLst>
            <a:ext uri="{FF2B5EF4-FFF2-40B4-BE49-F238E27FC236}">
              <a16:creationId xmlns:a16="http://schemas.microsoft.com/office/drawing/2014/main" id="{00000000-0008-0000-0200-00003D020000}"/>
            </a:ext>
          </a:extLst>
        </xdr:cNvPr>
        <xdr:cNvCxnSpPr>
          <a:stCxn id="570" idx="4"/>
          <a:endCxn id="569" idx="1"/>
        </xdr:cNvCxnSpPr>
      </xdr:nvCxnSpPr>
      <xdr:spPr>
        <a:xfrm rot="16200000" flipH="1">
          <a:off x="13911038" y="13259160"/>
          <a:ext cx="278992" cy="979310"/>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507275</xdr:colOff>
      <xdr:row>279</xdr:row>
      <xdr:rowOff>29256</xdr:rowOff>
    </xdr:from>
    <xdr:to>
      <xdr:col>29</xdr:col>
      <xdr:colOff>104504</xdr:colOff>
      <xdr:row>280</xdr:row>
      <xdr:rowOff>83684</xdr:rowOff>
    </xdr:to>
    <xdr:sp macro="" textlink="">
      <xdr:nvSpPr>
        <xdr:cNvPr id="574" name="Isosceles Triangle 573">
          <a:extLst>
            <a:ext uri="{FF2B5EF4-FFF2-40B4-BE49-F238E27FC236}">
              <a16:creationId xmlns:a16="http://schemas.microsoft.com/office/drawing/2014/main" id="{00000000-0008-0000-0200-00003E020000}"/>
            </a:ext>
          </a:extLst>
        </xdr:cNvPr>
        <xdr:cNvSpPr/>
      </xdr:nvSpPr>
      <xdr:spPr>
        <a:xfrm rot="5400000">
          <a:off x="16341636" y="13760495"/>
          <a:ext cx="237308"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27</xdr:col>
      <xdr:colOff>149275</xdr:colOff>
      <xdr:row>279</xdr:row>
      <xdr:rowOff>147910</xdr:rowOff>
    </xdr:from>
    <xdr:to>
      <xdr:col>28</xdr:col>
      <xdr:colOff>507276</xdr:colOff>
      <xdr:row>279</xdr:row>
      <xdr:rowOff>172311</xdr:rowOff>
    </xdr:to>
    <xdr:cxnSp macro="">
      <xdr:nvCxnSpPr>
        <xdr:cNvPr id="575" name="Connector: Elbow 351">
          <a:extLst>
            <a:ext uri="{FF2B5EF4-FFF2-40B4-BE49-F238E27FC236}">
              <a16:creationId xmlns:a16="http://schemas.microsoft.com/office/drawing/2014/main" id="{00000000-0008-0000-0200-00003F020000}"/>
            </a:ext>
          </a:extLst>
        </xdr:cNvPr>
        <xdr:cNvCxnSpPr>
          <a:stCxn id="569" idx="3"/>
          <a:endCxn id="574" idx="3"/>
        </xdr:cNvCxnSpPr>
      </xdr:nvCxnSpPr>
      <xdr:spPr>
        <a:xfrm flipV="1">
          <a:off x="15389275" y="13863910"/>
          <a:ext cx="967601" cy="24401"/>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474336</xdr:colOff>
      <xdr:row>269</xdr:row>
      <xdr:rowOff>55324</xdr:rowOff>
    </xdr:from>
    <xdr:to>
      <xdr:col>27</xdr:col>
      <xdr:colOff>104222</xdr:colOff>
      <xdr:row>272</xdr:row>
      <xdr:rowOff>17927</xdr:rowOff>
    </xdr:to>
    <xdr:sp macro="" textlink="">
      <xdr:nvSpPr>
        <xdr:cNvPr id="577" name="Rectangle: Rounded Corners 576">
          <a:extLst>
            <a:ext uri="{FF2B5EF4-FFF2-40B4-BE49-F238E27FC236}">
              <a16:creationId xmlns:a16="http://schemas.microsoft.com/office/drawing/2014/main" id="{00000000-0008-0000-0200-000041020000}"/>
            </a:ext>
          </a:extLst>
        </xdr:cNvPr>
        <xdr:cNvSpPr/>
      </xdr:nvSpPr>
      <xdr:spPr>
        <a:xfrm>
          <a:off x="15714336" y="49219564"/>
          <a:ext cx="849086" cy="511243"/>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Hypoglycaemia</a:t>
          </a:r>
        </a:p>
      </xdr:txBody>
    </xdr:sp>
    <xdr:clientData/>
  </xdr:twoCellAnchor>
  <xdr:twoCellAnchor>
    <xdr:from>
      <xdr:col>24</xdr:col>
      <xdr:colOff>149679</xdr:colOff>
      <xdr:row>270</xdr:row>
      <xdr:rowOff>128067</xdr:rowOff>
    </xdr:from>
    <xdr:to>
      <xdr:col>25</xdr:col>
      <xdr:colOff>474336</xdr:colOff>
      <xdr:row>277</xdr:row>
      <xdr:rowOff>0</xdr:rowOff>
    </xdr:to>
    <xdr:cxnSp macro="">
      <xdr:nvCxnSpPr>
        <xdr:cNvPr id="579" name="Connector: Elbow 578">
          <a:extLst>
            <a:ext uri="{FF2B5EF4-FFF2-40B4-BE49-F238E27FC236}">
              <a16:creationId xmlns:a16="http://schemas.microsoft.com/office/drawing/2014/main" id="{00000000-0008-0000-0200-000043020000}"/>
            </a:ext>
          </a:extLst>
        </xdr:cNvPr>
        <xdr:cNvCxnSpPr>
          <a:cxnSpLocks/>
          <a:stCxn id="570" idx="0"/>
          <a:endCxn id="577" idx="1"/>
        </xdr:cNvCxnSpPr>
      </xdr:nvCxnSpPr>
      <xdr:spPr>
        <a:xfrm rot="5400000" flipH="1" flipV="1">
          <a:off x="14671161" y="49584105"/>
          <a:ext cx="1152093" cy="934257"/>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568587</xdr:colOff>
      <xdr:row>269</xdr:row>
      <xdr:rowOff>180340</xdr:rowOff>
    </xdr:from>
    <xdr:to>
      <xdr:col>29</xdr:col>
      <xdr:colOff>165816</xdr:colOff>
      <xdr:row>271</xdr:row>
      <xdr:rowOff>44268</xdr:rowOff>
    </xdr:to>
    <xdr:sp macro="" textlink="">
      <xdr:nvSpPr>
        <xdr:cNvPr id="580" name="Isosceles Triangle 579">
          <a:extLst>
            <a:ext uri="{FF2B5EF4-FFF2-40B4-BE49-F238E27FC236}">
              <a16:creationId xmlns:a16="http://schemas.microsoft.com/office/drawing/2014/main" id="{00000000-0008-0000-0200-000044020000}"/>
            </a:ext>
          </a:extLst>
        </xdr:cNvPr>
        <xdr:cNvSpPr/>
      </xdr:nvSpPr>
      <xdr:spPr>
        <a:xfrm rot="5400000">
          <a:off x="17625958" y="49356009"/>
          <a:ext cx="229688"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27</xdr:col>
      <xdr:colOff>104222</xdr:colOff>
      <xdr:row>270</xdr:row>
      <xdr:rowOff>112304</xdr:rowOff>
    </xdr:from>
    <xdr:to>
      <xdr:col>28</xdr:col>
      <xdr:colOff>568588</xdr:colOff>
      <xdr:row>270</xdr:row>
      <xdr:rowOff>128066</xdr:rowOff>
    </xdr:to>
    <xdr:cxnSp macro="">
      <xdr:nvCxnSpPr>
        <xdr:cNvPr id="581" name="Connector: Elbow 351">
          <a:extLst>
            <a:ext uri="{FF2B5EF4-FFF2-40B4-BE49-F238E27FC236}">
              <a16:creationId xmlns:a16="http://schemas.microsoft.com/office/drawing/2014/main" id="{00000000-0008-0000-0200-000045020000}"/>
            </a:ext>
          </a:extLst>
        </xdr:cNvPr>
        <xdr:cNvCxnSpPr>
          <a:cxnSpLocks/>
          <a:stCxn id="577" idx="3"/>
          <a:endCxn id="580" idx="3"/>
        </xdr:cNvCxnSpPr>
      </xdr:nvCxnSpPr>
      <xdr:spPr>
        <a:xfrm flipV="1">
          <a:off x="16563422" y="49459424"/>
          <a:ext cx="1073966" cy="15762"/>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549869</xdr:colOff>
      <xdr:row>285</xdr:row>
      <xdr:rowOff>26442</xdr:rowOff>
    </xdr:from>
    <xdr:to>
      <xdr:col>27</xdr:col>
      <xdr:colOff>179755</xdr:colOff>
      <xdr:row>287</xdr:row>
      <xdr:rowOff>165780</xdr:rowOff>
    </xdr:to>
    <xdr:sp macro="" textlink="">
      <xdr:nvSpPr>
        <xdr:cNvPr id="585" name="Rectangle: Rounded Corners 584">
          <a:extLst>
            <a:ext uri="{FF2B5EF4-FFF2-40B4-BE49-F238E27FC236}">
              <a16:creationId xmlns:a16="http://schemas.microsoft.com/office/drawing/2014/main" id="{00000000-0008-0000-0200-000049020000}"/>
            </a:ext>
          </a:extLst>
        </xdr:cNvPr>
        <xdr:cNvSpPr/>
      </xdr:nvSpPr>
      <xdr:spPr>
        <a:xfrm>
          <a:off x="14570669" y="14839722"/>
          <a:ext cx="849086" cy="505098"/>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Death</a:t>
          </a:r>
        </a:p>
      </xdr:txBody>
    </xdr:sp>
    <xdr:clientData/>
  </xdr:twoCellAnchor>
  <xdr:twoCellAnchor>
    <xdr:from>
      <xdr:col>24</xdr:col>
      <xdr:colOff>149679</xdr:colOff>
      <xdr:row>278</xdr:row>
      <xdr:rowOff>76199</xdr:rowOff>
    </xdr:from>
    <xdr:to>
      <xdr:col>25</xdr:col>
      <xdr:colOff>549869</xdr:colOff>
      <xdr:row>286</xdr:row>
      <xdr:rowOff>96111</xdr:rowOff>
    </xdr:to>
    <xdr:cxnSp macro="">
      <xdr:nvCxnSpPr>
        <xdr:cNvPr id="586" name="Connector: Elbow 585">
          <a:extLst>
            <a:ext uri="{FF2B5EF4-FFF2-40B4-BE49-F238E27FC236}">
              <a16:creationId xmlns:a16="http://schemas.microsoft.com/office/drawing/2014/main" id="{00000000-0008-0000-0200-00004A020000}"/>
            </a:ext>
          </a:extLst>
        </xdr:cNvPr>
        <xdr:cNvCxnSpPr>
          <a:stCxn id="570" idx="4"/>
          <a:endCxn id="585" idx="1"/>
        </xdr:cNvCxnSpPr>
      </xdr:nvCxnSpPr>
      <xdr:spPr>
        <a:xfrm rot="16200000" flipH="1">
          <a:off x="13324298" y="13845900"/>
          <a:ext cx="1482952" cy="1009790"/>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34835</xdr:colOff>
      <xdr:row>285</xdr:row>
      <xdr:rowOff>181655</xdr:rowOff>
    </xdr:from>
    <xdr:to>
      <xdr:col>29</xdr:col>
      <xdr:colOff>241664</xdr:colOff>
      <xdr:row>287</xdr:row>
      <xdr:rowOff>53203</xdr:rowOff>
    </xdr:to>
    <xdr:sp macro="" textlink="">
      <xdr:nvSpPr>
        <xdr:cNvPr id="587" name="Isosceles Triangle 586">
          <a:extLst>
            <a:ext uri="{FF2B5EF4-FFF2-40B4-BE49-F238E27FC236}">
              <a16:creationId xmlns:a16="http://schemas.microsoft.com/office/drawing/2014/main" id="{00000000-0008-0000-0200-00004B020000}"/>
            </a:ext>
          </a:extLst>
        </xdr:cNvPr>
        <xdr:cNvSpPr/>
      </xdr:nvSpPr>
      <xdr:spPr>
        <a:xfrm rot="5400000">
          <a:off x="16478796" y="15010174"/>
          <a:ext cx="237308"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27</xdr:col>
      <xdr:colOff>179755</xdr:colOff>
      <xdr:row>286</xdr:row>
      <xdr:rowOff>96111</xdr:rowOff>
    </xdr:from>
    <xdr:to>
      <xdr:col>29</xdr:col>
      <xdr:colOff>34836</xdr:colOff>
      <xdr:row>286</xdr:row>
      <xdr:rowOff>117429</xdr:rowOff>
    </xdr:to>
    <xdr:cxnSp macro="">
      <xdr:nvCxnSpPr>
        <xdr:cNvPr id="588" name="Connector: Elbow 351">
          <a:extLst>
            <a:ext uri="{FF2B5EF4-FFF2-40B4-BE49-F238E27FC236}">
              <a16:creationId xmlns:a16="http://schemas.microsoft.com/office/drawing/2014/main" id="{00000000-0008-0000-0200-00004C020000}"/>
            </a:ext>
          </a:extLst>
        </xdr:cNvPr>
        <xdr:cNvCxnSpPr>
          <a:stCxn id="585" idx="3"/>
          <a:endCxn id="587" idx="3"/>
        </xdr:cNvCxnSpPr>
      </xdr:nvCxnSpPr>
      <xdr:spPr>
        <a:xfrm>
          <a:off x="15419755" y="15092271"/>
          <a:ext cx="1074281" cy="21318"/>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594904</xdr:colOff>
      <xdr:row>347</xdr:row>
      <xdr:rowOff>81643</xdr:rowOff>
    </xdr:from>
    <xdr:to>
      <xdr:col>17</xdr:col>
      <xdr:colOff>224790</xdr:colOff>
      <xdr:row>350</xdr:row>
      <xdr:rowOff>38100</xdr:rowOff>
    </xdr:to>
    <xdr:sp macro="" textlink="">
      <xdr:nvSpPr>
        <xdr:cNvPr id="590" name="Rectangle: Rounded Corners 589">
          <a:extLst>
            <a:ext uri="{FF2B5EF4-FFF2-40B4-BE49-F238E27FC236}">
              <a16:creationId xmlns:a16="http://schemas.microsoft.com/office/drawing/2014/main" id="{00000000-0008-0000-0200-00004E020000}"/>
            </a:ext>
          </a:extLst>
        </xdr:cNvPr>
        <xdr:cNvSpPr/>
      </xdr:nvSpPr>
      <xdr:spPr>
        <a:xfrm>
          <a:off x="8519704" y="7213963"/>
          <a:ext cx="849086" cy="505097"/>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Preterm</a:t>
          </a:r>
        </a:p>
      </xdr:txBody>
    </xdr:sp>
    <xdr:clientData/>
  </xdr:twoCellAnchor>
  <xdr:twoCellAnchor>
    <xdr:from>
      <xdr:col>16</xdr:col>
      <xdr:colOff>283573</xdr:colOff>
      <xdr:row>386</xdr:row>
      <xdr:rowOff>81099</xdr:rowOff>
    </xdr:from>
    <xdr:to>
      <xdr:col>17</xdr:col>
      <xdr:colOff>523059</xdr:colOff>
      <xdr:row>389</xdr:row>
      <xdr:rowOff>30480</xdr:rowOff>
    </xdr:to>
    <xdr:sp macro="" textlink="">
      <xdr:nvSpPr>
        <xdr:cNvPr id="591" name="Rectangle: Rounded Corners 590">
          <a:extLst>
            <a:ext uri="{FF2B5EF4-FFF2-40B4-BE49-F238E27FC236}">
              <a16:creationId xmlns:a16="http://schemas.microsoft.com/office/drawing/2014/main" id="{00000000-0008-0000-0200-00004F020000}"/>
            </a:ext>
          </a:extLst>
        </xdr:cNvPr>
        <xdr:cNvSpPr/>
      </xdr:nvSpPr>
      <xdr:spPr>
        <a:xfrm>
          <a:off x="8817973" y="14345739"/>
          <a:ext cx="849086" cy="498021"/>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Term</a:t>
          </a:r>
        </a:p>
      </xdr:txBody>
    </xdr:sp>
    <xdr:clientData/>
  </xdr:twoCellAnchor>
  <xdr:twoCellAnchor>
    <xdr:from>
      <xdr:col>15</xdr:col>
      <xdr:colOff>1</xdr:colOff>
      <xdr:row>348</xdr:row>
      <xdr:rowOff>151313</xdr:rowOff>
    </xdr:from>
    <xdr:to>
      <xdr:col>15</xdr:col>
      <xdr:colOff>594904</xdr:colOff>
      <xdr:row>354</xdr:row>
      <xdr:rowOff>100148</xdr:rowOff>
    </xdr:to>
    <xdr:cxnSp macro="">
      <xdr:nvCxnSpPr>
        <xdr:cNvPr id="592" name="Connector: Elbow 591">
          <a:extLst>
            <a:ext uri="{FF2B5EF4-FFF2-40B4-BE49-F238E27FC236}">
              <a16:creationId xmlns:a16="http://schemas.microsoft.com/office/drawing/2014/main" id="{00000000-0008-0000-0200-000050020000}"/>
            </a:ext>
          </a:extLst>
        </xdr:cNvPr>
        <xdr:cNvCxnSpPr>
          <a:stCxn id="594" idx="0"/>
          <a:endCxn id="590" idx="1"/>
        </xdr:cNvCxnSpPr>
      </xdr:nvCxnSpPr>
      <xdr:spPr>
        <a:xfrm rot="5400000" flipH="1" flipV="1">
          <a:off x="7699195" y="7692119"/>
          <a:ext cx="1046115" cy="594903"/>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xdr:colOff>
      <xdr:row>355</xdr:row>
      <xdr:rowOff>176346</xdr:rowOff>
    </xdr:from>
    <xdr:to>
      <xdr:col>16</xdr:col>
      <xdr:colOff>283574</xdr:colOff>
      <xdr:row>387</xdr:row>
      <xdr:rowOff>147229</xdr:rowOff>
    </xdr:to>
    <xdr:cxnSp macro="">
      <xdr:nvCxnSpPr>
        <xdr:cNvPr id="593" name="Connector: Elbow 592">
          <a:extLst>
            <a:ext uri="{FF2B5EF4-FFF2-40B4-BE49-F238E27FC236}">
              <a16:creationId xmlns:a16="http://schemas.microsoft.com/office/drawing/2014/main" id="{00000000-0008-0000-0200-000051020000}"/>
            </a:ext>
          </a:extLst>
        </xdr:cNvPr>
        <xdr:cNvCxnSpPr>
          <a:stCxn id="594" idx="4"/>
          <a:endCxn id="591" idx="1"/>
        </xdr:cNvCxnSpPr>
      </xdr:nvCxnSpPr>
      <xdr:spPr>
        <a:xfrm rot="16200000" flipH="1">
          <a:off x="5459866" y="11236642"/>
          <a:ext cx="5823043" cy="893172"/>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451758</xdr:colOff>
      <xdr:row>354</xdr:row>
      <xdr:rowOff>100147</xdr:rowOff>
    </xdr:from>
    <xdr:to>
      <xdr:col>15</xdr:col>
      <xdr:colOff>157843</xdr:colOff>
      <xdr:row>355</xdr:row>
      <xdr:rowOff>176347</xdr:rowOff>
    </xdr:to>
    <xdr:sp macro="" textlink="">
      <xdr:nvSpPr>
        <xdr:cNvPr id="594" name="Oval 593">
          <a:extLst>
            <a:ext uri="{FF2B5EF4-FFF2-40B4-BE49-F238E27FC236}">
              <a16:creationId xmlns:a16="http://schemas.microsoft.com/office/drawing/2014/main" id="{00000000-0008-0000-0200-000052020000}"/>
            </a:ext>
          </a:extLst>
        </xdr:cNvPr>
        <xdr:cNvSpPr/>
      </xdr:nvSpPr>
      <xdr:spPr>
        <a:xfrm>
          <a:off x="7766958" y="8512627"/>
          <a:ext cx="315685" cy="25908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17</xdr:col>
      <xdr:colOff>523059</xdr:colOff>
      <xdr:row>387</xdr:row>
      <xdr:rowOff>147230</xdr:rowOff>
    </xdr:from>
    <xdr:to>
      <xdr:col>19</xdr:col>
      <xdr:colOff>516528</xdr:colOff>
      <xdr:row>387</xdr:row>
      <xdr:rowOff>166551</xdr:rowOff>
    </xdr:to>
    <xdr:cxnSp macro="">
      <xdr:nvCxnSpPr>
        <xdr:cNvPr id="595" name="Connector: Elbow 351">
          <a:extLst>
            <a:ext uri="{FF2B5EF4-FFF2-40B4-BE49-F238E27FC236}">
              <a16:creationId xmlns:a16="http://schemas.microsoft.com/office/drawing/2014/main" id="{00000000-0008-0000-0200-000053020000}"/>
            </a:ext>
          </a:extLst>
        </xdr:cNvPr>
        <xdr:cNvCxnSpPr>
          <a:cxnSpLocks/>
          <a:stCxn id="591" idx="3"/>
          <a:endCxn id="641" idx="2"/>
        </xdr:cNvCxnSpPr>
      </xdr:nvCxnSpPr>
      <xdr:spPr>
        <a:xfrm>
          <a:off x="9667059" y="14594750"/>
          <a:ext cx="1212669" cy="19321"/>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141514</xdr:colOff>
      <xdr:row>330</xdr:row>
      <xdr:rowOff>57150</xdr:rowOff>
    </xdr:from>
    <xdr:to>
      <xdr:col>20</xdr:col>
      <xdr:colOff>381000</xdr:colOff>
      <xdr:row>333</xdr:row>
      <xdr:rowOff>8164</xdr:rowOff>
    </xdr:to>
    <xdr:sp macro="" textlink="">
      <xdr:nvSpPr>
        <xdr:cNvPr id="596" name="Rectangle: Rounded Corners 595">
          <a:extLst>
            <a:ext uri="{FF2B5EF4-FFF2-40B4-BE49-F238E27FC236}">
              <a16:creationId xmlns:a16="http://schemas.microsoft.com/office/drawing/2014/main" id="{00000000-0008-0000-0200-000054020000}"/>
            </a:ext>
          </a:extLst>
        </xdr:cNvPr>
        <xdr:cNvSpPr/>
      </xdr:nvSpPr>
      <xdr:spPr>
        <a:xfrm>
          <a:off x="10504714" y="4080510"/>
          <a:ext cx="849086" cy="499654"/>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LBW</a:t>
          </a:r>
        </a:p>
      </xdr:txBody>
    </xdr:sp>
    <xdr:clientData/>
  </xdr:twoCellAnchor>
  <xdr:twoCellAnchor>
    <xdr:from>
      <xdr:col>19</xdr:col>
      <xdr:colOff>547042</xdr:colOff>
      <xdr:row>345</xdr:row>
      <xdr:rowOff>144797</xdr:rowOff>
    </xdr:from>
    <xdr:to>
      <xdr:col>21</xdr:col>
      <xdr:colOff>176928</xdr:colOff>
      <xdr:row>348</xdr:row>
      <xdr:rowOff>95110</xdr:rowOff>
    </xdr:to>
    <xdr:sp macro="" textlink="">
      <xdr:nvSpPr>
        <xdr:cNvPr id="597" name="Rectangle: Rounded Corners 596">
          <a:extLst>
            <a:ext uri="{FF2B5EF4-FFF2-40B4-BE49-F238E27FC236}">
              <a16:creationId xmlns:a16="http://schemas.microsoft.com/office/drawing/2014/main" id="{00000000-0008-0000-0200-000055020000}"/>
            </a:ext>
          </a:extLst>
        </xdr:cNvPr>
        <xdr:cNvSpPr/>
      </xdr:nvSpPr>
      <xdr:spPr>
        <a:xfrm>
          <a:off x="10910242" y="6911357"/>
          <a:ext cx="849086" cy="498953"/>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Norrmal</a:t>
          </a:r>
          <a:r>
            <a:rPr lang="en-ZA" sz="1100" baseline="0">
              <a:solidFill>
                <a:sysClr val="windowText" lastClr="000000"/>
              </a:solidFill>
            </a:rPr>
            <a:t> weight</a:t>
          </a:r>
          <a:endParaRPr lang="en-ZA" sz="1100">
            <a:solidFill>
              <a:sysClr val="windowText" lastClr="000000"/>
            </a:solidFill>
          </a:endParaRPr>
        </a:p>
      </xdr:txBody>
    </xdr:sp>
    <xdr:clientData/>
  </xdr:twoCellAnchor>
  <xdr:twoCellAnchor>
    <xdr:from>
      <xdr:col>19</xdr:col>
      <xdr:colOff>487136</xdr:colOff>
      <xdr:row>354</xdr:row>
      <xdr:rowOff>127907</xdr:rowOff>
    </xdr:from>
    <xdr:to>
      <xdr:col>21</xdr:col>
      <xdr:colOff>117022</xdr:colOff>
      <xdr:row>357</xdr:row>
      <xdr:rowOff>78922</xdr:rowOff>
    </xdr:to>
    <xdr:sp macro="" textlink="">
      <xdr:nvSpPr>
        <xdr:cNvPr id="598" name="Rectangle: Rounded Corners 597">
          <a:extLst>
            <a:ext uri="{FF2B5EF4-FFF2-40B4-BE49-F238E27FC236}">
              <a16:creationId xmlns:a16="http://schemas.microsoft.com/office/drawing/2014/main" id="{00000000-0008-0000-0200-000056020000}"/>
            </a:ext>
          </a:extLst>
        </xdr:cNvPr>
        <xdr:cNvSpPr/>
      </xdr:nvSpPr>
      <xdr:spPr>
        <a:xfrm>
          <a:off x="10850336" y="8540387"/>
          <a:ext cx="849086" cy="499655"/>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Stillbirth</a:t>
          </a:r>
        </a:p>
      </xdr:txBody>
    </xdr:sp>
    <xdr:clientData/>
  </xdr:twoCellAnchor>
  <xdr:twoCellAnchor>
    <xdr:from>
      <xdr:col>18</xdr:col>
      <xdr:colOff>13608</xdr:colOff>
      <xdr:row>348</xdr:row>
      <xdr:rowOff>21771</xdr:rowOff>
    </xdr:from>
    <xdr:to>
      <xdr:col>18</xdr:col>
      <xdr:colOff>329293</xdr:colOff>
      <xdr:row>349</xdr:row>
      <xdr:rowOff>97970</xdr:rowOff>
    </xdr:to>
    <xdr:sp macro="" textlink="">
      <xdr:nvSpPr>
        <xdr:cNvPr id="599" name="Oval 598">
          <a:extLst>
            <a:ext uri="{FF2B5EF4-FFF2-40B4-BE49-F238E27FC236}">
              <a16:creationId xmlns:a16="http://schemas.microsoft.com/office/drawing/2014/main" id="{00000000-0008-0000-0200-000057020000}"/>
            </a:ext>
          </a:extLst>
        </xdr:cNvPr>
        <xdr:cNvSpPr/>
      </xdr:nvSpPr>
      <xdr:spPr>
        <a:xfrm>
          <a:off x="9767208" y="7336971"/>
          <a:ext cx="315685" cy="259079"/>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17</xdr:col>
      <xdr:colOff>224790</xdr:colOff>
      <xdr:row>348</xdr:row>
      <xdr:rowOff>151311</xdr:rowOff>
    </xdr:from>
    <xdr:to>
      <xdr:col>18</xdr:col>
      <xdr:colOff>13608</xdr:colOff>
      <xdr:row>348</xdr:row>
      <xdr:rowOff>151312</xdr:rowOff>
    </xdr:to>
    <xdr:cxnSp macro="">
      <xdr:nvCxnSpPr>
        <xdr:cNvPr id="600" name="Connector: Elbow 42">
          <a:extLst>
            <a:ext uri="{FF2B5EF4-FFF2-40B4-BE49-F238E27FC236}">
              <a16:creationId xmlns:a16="http://schemas.microsoft.com/office/drawing/2014/main" id="{00000000-0008-0000-0200-000058020000}"/>
            </a:ext>
          </a:extLst>
        </xdr:cNvPr>
        <xdr:cNvCxnSpPr>
          <a:cxnSpLocks/>
          <a:stCxn id="590" idx="3"/>
          <a:endCxn id="599" idx="2"/>
        </xdr:cNvCxnSpPr>
      </xdr:nvCxnSpPr>
      <xdr:spPr>
        <a:xfrm flipV="1">
          <a:off x="9368790" y="7466511"/>
          <a:ext cx="398418" cy="1"/>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171450</xdr:colOff>
      <xdr:row>331</xdr:row>
      <xdr:rowOff>127908</xdr:rowOff>
    </xdr:from>
    <xdr:to>
      <xdr:col>19</xdr:col>
      <xdr:colOff>141513</xdr:colOff>
      <xdr:row>348</xdr:row>
      <xdr:rowOff>21772</xdr:rowOff>
    </xdr:to>
    <xdr:cxnSp macro="">
      <xdr:nvCxnSpPr>
        <xdr:cNvPr id="601" name="Connector: Elbow 600">
          <a:extLst>
            <a:ext uri="{FF2B5EF4-FFF2-40B4-BE49-F238E27FC236}">
              <a16:creationId xmlns:a16="http://schemas.microsoft.com/office/drawing/2014/main" id="{00000000-0008-0000-0200-000059020000}"/>
            </a:ext>
          </a:extLst>
        </xdr:cNvPr>
        <xdr:cNvCxnSpPr>
          <a:stCxn id="599" idx="0"/>
          <a:endCxn id="596" idx="1"/>
        </xdr:cNvCxnSpPr>
      </xdr:nvCxnSpPr>
      <xdr:spPr>
        <a:xfrm rot="5400000" flipH="1" flipV="1">
          <a:off x="8713470" y="5545728"/>
          <a:ext cx="3002824" cy="579663"/>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329293</xdr:colOff>
      <xdr:row>347</xdr:row>
      <xdr:rowOff>28514</xdr:rowOff>
    </xdr:from>
    <xdr:to>
      <xdr:col>19</xdr:col>
      <xdr:colOff>547042</xdr:colOff>
      <xdr:row>348</xdr:row>
      <xdr:rowOff>151311</xdr:rowOff>
    </xdr:to>
    <xdr:cxnSp macro="">
      <xdr:nvCxnSpPr>
        <xdr:cNvPr id="602" name="Connector: Elbow 601">
          <a:extLst>
            <a:ext uri="{FF2B5EF4-FFF2-40B4-BE49-F238E27FC236}">
              <a16:creationId xmlns:a16="http://schemas.microsoft.com/office/drawing/2014/main" id="{00000000-0008-0000-0200-00005A020000}"/>
            </a:ext>
          </a:extLst>
        </xdr:cNvPr>
        <xdr:cNvCxnSpPr>
          <a:stCxn id="599" idx="6"/>
          <a:endCxn id="597" idx="1"/>
        </xdr:cNvCxnSpPr>
      </xdr:nvCxnSpPr>
      <xdr:spPr>
        <a:xfrm flipV="1">
          <a:off x="10082893" y="7160834"/>
          <a:ext cx="827349" cy="305677"/>
        </a:xfrm>
        <a:prstGeom prst="bentConnector3">
          <a:avLst>
            <a:gd name="adj1" fmla="val 50000"/>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171451</xdr:colOff>
      <xdr:row>349</xdr:row>
      <xdr:rowOff>97969</xdr:rowOff>
    </xdr:from>
    <xdr:to>
      <xdr:col>19</xdr:col>
      <xdr:colOff>487136</xdr:colOff>
      <xdr:row>356</xdr:row>
      <xdr:rowOff>8164</xdr:rowOff>
    </xdr:to>
    <xdr:cxnSp macro="">
      <xdr:nvCxnSpPr>
        <xdr:cNvPr id="603" name="Connector: Elbow 602">
          <a:extLst>
            <a:ext uri="{FF2B5EF4-FFF2-40B4-BE49-F238E27FC236}">
              <a16:creationId xmlns:a16="http://schemas.microsoft.com/office/drawing/2014/main" id="{00000000-0008-0000-0200-00005B020000}"/>
            </a:ext>
          </a:extLst>
        </xdr:cNvPr>
        <xdr:cNvCxnSpPr>
          <a:stCxn id="599" idx="4"/>
          <a:endCxn id="598" idx="1"/>
        </xdr:cNvCxnSpPr>
      </xdr:nvCxnSpPr>
      <xdr:spPr>
        <a:xfrm rot="16200000" flipH="1">
          <a:off x="9792516" y="7728584"/>
          <a:ext cx="1190355" cy="925285"/>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103415</xdr:colOff>
      <xdr:row>355</xdr:row>
      <xdr:rowOff>76206</xdr:rowOff>
    </xdr:from>
    <xdr:to>
      <xdr:col>22</xdr:col>
      <xdr:colOff>310244</xdr:colOff>
      <xdr:row>356</xdr:row>
      <xdr:rowOff>130634</xdr:rowOff>
    </xdr:to>
    <xdr:sp macro="" textlink="">
      <xdr:nvSpPr>
        <xdr:cNvPr id="604" name="Isosceles Triangle 603">
          <a:extLst>
            <a:ext uri="{FF2B5EF4-FFF2-40B4-BE49-F238E27FC236}">
              <a16:creationId xmlns:a16="http://schemas.microsoft.com/office/drawing/2014/main" id="{00000000-0008-0000-0200-00005C020000}"/>
            </a:ext>
          </a:extLst>
        </xdr:cNvPr>
        <xdr:cNvSpPr/>
      </xdr:nvSpPr>
      <xdr:spPr>
        <a:xfrm rot="5400000">
          <a:off x="12280176" y="8686805"/>
          <a:ext cx="237308"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21</xdr:col>
      <xdr:colOff>117022</xdr:colOff>
      <xdr:row>356</xdr:row>
      <xdr:rowOff>8165</xdr:rowOff>
    </xdr:from>
    <xdr:to>
      <xdr:col>22</xdr:col>
      <xdr:colOff>103416</xdr:colOff>
      <xdr:row>356</xdr:row>
      <xdr:rowOff>8170</xdr:rowOff>
    </xdr:to>
    <xdr:cxnSp macro="">
      <xdr:nvCxnSpPr>
        <xdr:cNvPr id="605" name="Connector: Elbow 351">
          <a:extLst>
            <a:ext uri="{FF2B5EF4-FFF2-40B4-BE49-F238E27FC236}">
              <a16:creationId xmlns:a16="http://schemas.microsoft.com/office/drawing/2014/main" id="{00000000-0008-0000-0200-00005D020000}"/>
            </a:ext>
          </a:extLst>
        </xdr:cNvPr>
        <xdr:cNvCxnSpPr>
          <a:stCxn id="598" idx="3"/>
          <a:endCxn id="604" idx="3"/>
        </xdr:cNvCxnSpPr>
      </xdr:nvCxnSpPr>
      <xdr:spPr>
        <a:xfrm>
          <a:off x="11699422" y="8786405"/>
          <a:ext cx="595994" cy="5"/>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293546</xdr:colOff>
      <xdr:row>346</xdr:row>
      <xdr:rowOff>74114</xdr:rowOff>
    </xdr:from>
    <xdr:to>
      <xdr:col>22</xdr:col>
      <xdr:colOff>500375</xdr:colOff>
      <xdr:row>347</xdr:row>
      <xdr:rowOff>134687</xdr:rowOff>
    </xdr:to>
    <xdr:sp macro="" textlink="">
      <xdr:nvSpPr>
        <xdr:cNvPr id="606" name="Isosceles Triangle 605">
          <a:extLst>
            <a:ext uri="{FF2B5EF4-FFF2-40B4-BE49-F238E27FC236}">
              <a16:creationId xmlns:a16="http://schemas.microsoft.com/office/drawing/2014/main" id="{00000000-0008-0000-0200-00005E020000}"/>
            </a:ext>
          </a:extLst>
        </xdr:cNvPr>
        <xdr:cNvSpPr/>
      </xdr:nvSpPr>
      <xdr:spPr>
        <a:xfrm rot="5400000">
          <a:off x="12467234" y="7041866"/>
          <a:ext cx="243453"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21</xdr:col>
      <xdr:colOff>176928</xdr:colOff>
      <xdr:row>347</xdr:row>
      <xdr:rowOff>12961</xdr:rowOff>
    </xdr:from>
    <xdr:to>
      <xdr:col>22</xdr:col>
      <xdr:colOff>293546</xdr:colOff>
      <xdr:row>347</xdr:row>
      <xdr:rowOff>28514</xdr:rowOff>
    </xdr:to>
    <xdr:cxnSp macro="">
      <xdr:nvCxnSpPr>
        <xdr:cNvPr id="607" name="Connector: Elbow 351">
          <a:extLst>
            <a:ext uri="{FF2B5EF4-FFF2-40B4-BE49-F238E27FC236}">
              <a16:creationId xmlns:a16="http://schemas.microsoft.com/office/drawing/2014/main" id="{00000000-0008-0000-0200-00005F020000}"/>
            </a:ext>
          </a:extLst>
        </xdr:cNvPr>
        <xdr:cNvCxnSpPr>
          <a:stCxn id="597" idx="3"/>
          <a:endCxn id="606" idx="3"/>
        </xdr:cNvCxnSpPr>
      </xdr:nvCxnSpPr>
      <xdr:spPr>
        <a:xfrm flipV="1">
          <a:off x="11759328" y="7145281"/>
          <a:ext cx="726218" cy="15553"/>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480604</xdr:colOff>
      <xdr:row>321</xdr:row>
      <xdr:rowOff>171450</xdr:rowOff>
    </xdr:from>
    <xdr:to>
      <xdr:col>25</xdr:col>
      <xdr:colOff>110490</xdr:colOff>
      <xdr:row>324</xdr:row>
      <xdr:rowOff>130084</xdr:rowOff>
    </xdr:to>
    <xdr:sp macro="" textlink="">
      <xdr:nvSpPr>
        <xdr:cNvPr id="608" name="Rectangle: Rounded Corners 607">
          <a:extLst>
            <a:ext uri="{FF2B5EF4-FFF2-40B4-BE49-F238E27FC236}">
              <a16:creationId xmlns:a16="http://schemas.microsoft.com/office/drawing/2014/main" id="{00000000-0008-0000-0200-000060020000}"/>
            </a:ext>
          </a:extLst>
        </xdr:cNvPr>
        <xdr:cNvSpPr/>
      </xdr:nvSpPr>
      <xdr:spPr>
        <a:xfrm>
          <a:off x="13282204" y="2548890"/>
          <a:ext cx="849086" cy="507274"/>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RDS</a:t>
          </a:r>
        </a:p>
      </xdr:txBody>
    </xdr:sp>
    <xdr:clientData/>
  </xdr:twoCellAnchor>
  <xdr:twoCellAnchor>
    <xdr:from>
      <xdr:col>23</xdr:col>
      <xdr:colOff>519389</xdr:colOff>
      <xdr:row>332</xdr:row>
      <xdr:rowOff>102642</xdr:rowOff>
    </xdr:from>
    <xdr:to>
      <xdr:col>25</xdr:col>
      <xdr:colOff>149275</xdr:colOff>
      <xdr:row>335</xdr:row>
      <xdr:rowOff>59100</xdr:rowOff>
    </xdr:to>
    <xdr:sp macro="" textlink="">
      <xdr:nvSpPr>
        <xdr:cNvPr id="609" name="Rectangle: Rounded Corners 608">
          <a:extLst>
            <a:ext uri="{FF2B5EF4-FFF2-40B4-BE49-F238E27FC236}">
              <a16:creationId xmlns:a16="http://schemas.microsoft.com/office/drawing/2014/main" id="{00000000-0008-0000-0200-000061020000}"/>
            </a:ext>
          </a:extLst>
        </xdr:cNvPr>
        <xdr:cNvSpPr/>
      </xdr:nvSpPr>
      <xdr:spPr>
        <a:xfrm>
          <a:off x="13320989" y="4491762"/>
          <a:ext cx="849086" cy="505098"/>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no complications</a:t>
          </a:r>
        </a:p>
      </xdr:txBody>
    </xdr:sp>
    <xdr:clientData/>
  </xdr:twoCellAnchor>
  <xdr:twoCellAnchor>
    <xdr:from>
      <xdr:col>21</xdr:col>
      <xdr:colOff>601436</xdr:colOff>
      <xdr:row>331</xdr:row>
      <xdr:rowOff>-1</xdr:rowOff>
    </xdr:from>
    <xdr:to>
      <xdr:col>22</xdr:col>
      <xdr:colOff>307521</xdr:colOff>
      <xdr:row>332</xdr:row>
      <xdr:rowOff>76199</xdr:rowOff>
    </xdr:to>
    <xdr:sp macro="" textlink="">
      <xdr:nvSpPr>
        <xdr:cNvPr id="610" name="Oval 609">
          <a:extLst>
            <a:ext uri="{FF2B5EF4-FFF2-40B4-BE49-F238E27FC236}">
              <a16:creationId xmlns:a16="http://schemas.microsoft.com/office/drawing/2014/main" id="{00000000-0008-0000-0200-000062020000}"/>
            </a:ext>
          </a:extLst>
        </xdr:cNvPr>
        <xdr:cNvSpPr/>
      </xdr:nvSpPr>
      <xdr:spPr>
        <a:xfrm>
          <a:off x="12183836" y="4206239"/>
          <a:ext cx="315685" cy="25908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20</xdr:col>
      <xdr:colOff>381000</xdr:colOff>
      <xdr:row>331</xdr:row>
      <xdr:rowOff>127907</xdr:rowOff>
    </xdr:from>
    <xdr:to>
      <xdr:col>21</xdr:col>
      <xdr:colOff>601436</xdr:colOff>
      <xdr:row>331</xdr:row>
      <xdr:rowOff>133349</xdr:rowOff>
    </xdr:to>
    <xdr:cxnSp macro="">
      <xdr:nvCxnSpPr>
        <xdr:cNvPr id="611" name="Connector: Elbow 42">
          <a:extLst>
            <a:ext uri="{FF2B5EF4-FFF2-40B4-BE49-F238E27FC236}">
              <a16:creationId xmlns:a16="http://schemas.microsoft.com/office/drawing/2014/main" id="{00000000-0008-0000-0200-000063020000}"/>
            </a:ext>
          </a:extLst>
        </xdr:cNvPr>
        <xdr:cNvCxnSpPr>
          <a:cxnSpLocks/>
          <a:stCxn id="596" idx="3"/>
          <a:endCxn id="610" idx="2"/>
        </xdr:cNvCxnSpPr>
      </xdr:nvCxnSpPr>
      <xdr:spPr>
        <a:xfrm>
          <a:off x="11353800" y="4334147"/>
          <a:ext cx="830036" cy="5442"/>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149678</xdr:colOff>
      <xdr:row>323</xdr:row>
      <xdr:rowOff>59328</xdr:rowOff>
    </xdr:from>
    <xdr:to>
      <xdr:col>23</xdr:col>
      <xdr:colOff>480603</xdr:colOff>
      <xdr:row>331</xdr:row>
      <xdr:rowOff>0</xdr:rowOff>
    </xdr:to>
    <xdr:cxnSp macro="">
      <xdr:nvCxnSpPr>
        <xdr:cNvPr id="612" name="Connector: Elbow 611">
          <a:extLst>
            <a:ext uri="{FF2B5EF4-FFF2-40B4-BE49-F238E27FC236}">
              <a16:creationId xmlns:a16="http://schemas.microsoft.com/office/drawing/2014/main" id="{00000000-0008-0000-0200-000064020000}"/>
            </a:ext>
          </a:extLst>
        </xdr:cNvPr>
        <xdr:cNvCxnSpPr>
          <a:stCxn id="610" idx="0"/>
          <a:endCxn id="608" idx="1"/>
        </xdr:cNvCxnSpPr>
      </xdr:nvCxnSpPr>
      <xdr:spPr>
        <a:xfrm rot="5400000" flipH="1" flipV="1">
          <a:off x="12110085" y="3034121"/>
          <a:ext cx="1403712" cy="940525"/>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149679</xdr:colOff>
      <xdr:row>332</xdr:row>
      <xdr:rowOff>76199</xdr:rowOff>
    </xdr:from>
    <xdr:to>
      <xdr:col>23</xdr:col>
      <xdr:colOff>519389</xdr:colOff>
      <xdr:row>333</xdr:row>
      <xdr:rowOff>172311</xdr:rowOff>
    </xdr:to>
    <xdr:cxnSp macro="">
      <xdr:nvCxnSpPr>
        <xdr:cNvPr id="613" name="Connector: Elbow 612">
          <a:extLst>
            <a:ext uri="{FF2B5EF4-FFF2-40B4-BE49-F238E27FC236}">
              <a16:creationId xmlns:a16="http://schemas.microsoft.com/office/drawing/2014/main" id="{00000000-0008-0000-0200-000065020000}"/>
            </a:ext>
          </a:extLst>
        </xdr:cNvPr>
        <xdr:cNvCxnSpPr>
          <a:stCxn id="610" idx="4"/>
          <a:endCxn id="609" idx="1"/>
        </xdr:cNvCxnSpPr>
      </xdr:nvCxnSpPr>
      <xdr:spPr>
        <a:xfrm rot="16200000" flipH="1">
          <a:off x="12691838" y="4115160"/>
          <a:ext cx="278992" cy="979310"/>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507275</xdr:colOff>
      <xdr:row>333</xdr:row>
      <xdr:rowOff>29256</xdr:rowOff>
    </xdr:from>
    <xdr:to>
      <xdr:col>27</xdr:col>
      <xdr:colOff>104504</xdr:colOff>
      <xdr:row>334</xdr:row>
      <xdr:rowOff>83684</xdr:rowOff>
    </xdr:to>
    <xdr:sp macro="" textlink="">
      <xdr:nvSpPr>
        <xdr:cNvPr id="614" name="Isosceles Triangle 613">
          <a:extLst>
            <a:ext uri="{FF2B5EF4-FFF2-40B4-BE49-F238E27FC236}">
              <a16:creationId xmlns:a16="http://schemas.microsoft.com/office/drawing/2014/main" id="{00000000-0008-0000-0200-000066020000}"/>
            </a:ext>
          </a:extLst>
        </xdr:cNvPr>
        <xdr:cNvSpPr/>
      </xdr:nvSpPr>
      <xdr:spPr>
        <a:xfrm rot="5400000">
          <a:off x="15122436" y="4616495"/>
          <a:ext cx="237308"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25</xdr:col>
      <xdr:colOff>149275</xdr:colOff>
      <xdr:row>333</xdr:row>
      <xdr:rowOff>147910</xdr:rowOff>
    </xdr:from>
    <xdr:to>
      <xdr:col>26</xdr:col>
      <xdr:colOff>507276</xdr:colOff>
      <xdr:row>333</xdr:row>
      <xdr:rowOff>172311</xdr:rowOff>
    </xdr:to>
    <xdr:cxnSp macro="">
      <xdr:nvCxnSpPr>
        <xdr:cNvPr id="615" name="Connector: Elbow 351">
          <a:extLst>
            <a:ext uri="{FF2B5EF4-FFF2-40B4-BE49-F238E27FC236}">
              <a16:creationId xmlns:a16="http://schemas.microsoft.com/office/drawing/2014/main" id="{00000000-0008-0000-0200-000067020000}"/>
            </a:ext>
          </a:extLst>
        </xdr:cNvPr>
        <xdr:cNvCxnSpPr>
          <a:stCxn id="609" idx="3"/>
          <a:endCxn id="614" idx="3"/>
        </xdr:cNvCxnSpPr>
      </xdr:nvCxnSpPr>
      <xdr:spPr>
        <a:xfrm flipV="1">
          <a:off x="14170075" y="4719910"/>
          <a:ext cx="967601" cy="24401"/>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110490</xdr:colOff>
      <xdr:row>323</xdr:row>
      <xdr:rowOff>59327</xdr:rowOff>
    </xdr:from>
    <xdr:to>
      <xdr:col>26</xdr:col>
      <xdr:colOff>400948</xdr:colOff>
      <xdr:row>323</xdr:row>
      <xdr:rowOff>81824</xdr:rowOff>
    </xdr:to>
    <xdr:cxnSp macro="">
      <xdr:nvCxnSpPr>
        <xdr:cNvPr id="624" name="Connector: Elbow 42">
          <a:extLst>
            <a:ext uri="{FF2B5EF4-FFF2-40B4-BE49-F238E27FC236}">
              <a16:creationId xmlns:a16="http://schemas.microsoft.com/office/drawing/2014/main" id="{00000000-0008-0000-0200-000070020000}"/>
            </a:ext>
          </a:extLst>
        </xdr:cNvPr>
        <xdr:cNvCxnSpPr>
          <a:cxnSpLocks/>
          <a:stCxn id="608" idx="3"/>
          <a:endCxn id="637" idx="3"/>
        </xdr:cNvCxnSpPr>
      </xdr:nvCxnSpPr>
      <xdr:spPr>
        <a:xfrm>
          <a:off x="14131290" y="2802527"/>
          <a:ext cx="900058" cy="22497"/>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549869</xdr:colOff>
      <xdr:row>339</xdr:row>
      <xdr:rowOff>26442</xdr:rowOff>
    </xdr:from>
    <xdr:to>
      <xdr:col>25</xdr:col>
      <xdr:colOff>179755</xdr:colOff>
      <xdr:row>341</xdr:row>
      <xdr:rowOff>165780</xdr:rowOff>
    </xdr:to>
    <xdr:sp macro="" textlink="">
      <xdr:nvSpPr>
        <xdr:cNvPr id="633" name="Rectangle: Rounded Corners 632">
          <a:extLst>
            <a:ext uri="{FF2B5EF4-FFF2-40B4-BE49-F238E27FC236}">
              <a16:creationId xmlns:a16="http://schemas.microsoft.com/office/drawing/2014/main" id="{00000000-0008-0000-0200-000079020000}"/>
            </a:ext>
          </a:extLst>
        </xdr:cNvPr>
        <xdr:cNvSpPr/>
      </xdr:nvSpPr>
      <xdr:spPr>
        <a:xfrm>
          <a:off x="13351469" y="5695722"/>
          <a:ext cx="849086" cy="505098"/>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Death</a:t>
          </a:r>
        </a:p>
      </xdr:txBody>
    </xdr:sp>
    <xdr:clientData/>
  </xdr:twoCellAnchor>
  <xdr:twoCellAnchor>
    <xdr:from>
      <xdr:col>22</xdr:col>
      <xdr:colOff>149679</xdr:colOff>
      <xdr:row>332</xdr:row>
      <xdr:rowOff>76199</xdr:rowOff>
    </xdr:from>
    <xdr:to>
      <xdr:col>23</xdr:col>
      <xdr:colOff>549869</xdr:colOff>
      <xdr:row>340</xdr:row>
      <xdr:rowOff>96111</xdr:rowOff>
    </xdr:to>
    <xdr:cxnSp macro="">
      <xdr:nvCxnSpPr>
        <xdr:cNvPr id="634" name="Connector: Elbow 633">
          <a:extLst>
            <a:ext uri="{FF2B5EF4-FFF2-40B4-BE49-F238E27FC236}">
              <a16:creationId xmlns:a16="http://schemas.microsoft.com/office/drawing/2014/main" id="{00000000-0008-0000-0200-00007A020000}"/>
            </a:ext>
          </a:extLst>
        </xdr:cNvPr>
        <xdr:cNvCxnSpPr>
          <a:stCxn id="610" idx="4"/>
          <a:endCxn id="633" idx="1"/>
        </xdr:cNvCxnSpPr>
      </xdr:nvCxnSpPr>
      <xdr:spPr>
        <a:xfrm rot="16200000" flipH="1">
          <a:off x="12105098" y="4701900"/>
          <a:ext cx="1482952" cy="1009790"/>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34835</xdr:colOff>
      <xdr:row>339</xdr:row>
      <xdr:rowOff>181655</xdr:rowOff>
    </xdr:from>
    <xdr:to>
      <xdr:col>27</xdr:col>
      <xdr:colOff>241664</xdr:colOff>
      <xdr:row>341</xdr:row>
      <xdr:rowOff>53203</xdr:rowOff>
    </xdr:to>
    <xdr:sp macro="" textlink="">
      <xdr:nvSpPr>
        <xdr:cNvPr id="635" name="Isosceles Triangle 634">
          <a:extLst>
            <a:ext uri="{FF2B5EF4-FFF2-40B4-BE49-F238E27FC236}">
              <a16:creationId xmlns:a16="http://schemas.microsoft.com/office/drawing/2014/main" id="{00000000-0008-0000-0200-00007B020000}"/>
            </a:ext>
          </a:extLst>
        </xdr:cNvPr>
        <xdr:cNvSpPr/>
      </xdr:nvSpPr>
      <xdr:spPr>
        <a:xfrm rot="5400000">
          <a:off x="15259596" y="5866174"/>
          <a:ext cx="237308"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25</xdr:col>
      <xdr:colOff>179755</xdr:colOff>
      <xdr:row>340</xdr:row>
      <xdr:rowOff>96111</xdr:rowOff>
    </xdr:from>
    <xdr:to>
      <xdr:col>27</xdr:col>
      <xdr:colOff>34836</xdr:colOff>
      <xdr:row>340</xdr:row>
      <xdr:rowOff>117429</xdr:rowOff>
    </xdr:to>
    <xdr:cxnSp macro="">
      <xdr:nvCxnSpPr>
        <xdr:cNvPr id="636" name="Connector: Elbow 351">
          <a:extLst>
            <a:ext uri="{FF2B5EF4-FFF2-40B4-BE49-F238E27FC236}">
              <a16:creationId xmlns:a16="http://schemas.microsoft.com/office/drawing/2014/main" id="{00000000-0008-0000-0200-00007C020000}"/>
            </a:ext>
          </a:extLst>
        </xdr:cNvPr>
        <xdr:cNvCxnSpPr>
          <a:stCxn id="633" idx="3"/>
          <a:endCxn id="635" idx="3"/>
        </xdr:cNvCxnSpPr>
      </xdr:nvCxnSpPr>
      <xdr:spPr>
        <a:xfrm>
          <a:off x="14200555" y="5948271"/>
          <a:ext cx="1074281" cy="21318"/>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400947</xdr:colOff>
      <xdr:row>322</xdr:row>
      <xdr:rowOff>149860</xdr:rowOff>
    </xdr:from>
    <xdr:to>
      <xdr:col>26</xdr:col>
      <xdr:colOff>607776</xdr:colOff>
      <xdr:row>324</xdr:row>
      <xdr:rowOff>13788</xdr:rowOff>
    </xdr:to>
    <xdr:sp macro="" textlink="">
      <xdr:nvSpPr>
        <xdr:cNvPr id="637" name="Isosceles Triangle 636">
          <a:extLst>
            <a:ext uri="{FF2B5EF4-FFF2-40B4-BE49-F238E27FC236}">
              <a16:creationId xmlns:a16="http://schemas.microsoft.com/office/drawing/2014/main" id="{00000000-0008-0000-0200-00007D020000}"/>
            </a:ext>
          </a:extLst>
        </xdr:cNvPr>
        <xdr:cNvSpPr/>
      </xdr:nvSpPr>
      <xdr:spPr>
        <a:xfrm rot="5400000">
          <a:off x="15019918" y="2721609"/>
          <a:ext cx="229688"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21</xdr:col>
      <xdr:colOff>385354</xdr:colOff>
      <xdr:row>380</xdr:row>
      <xdr:rowOff>26670</xdr:rowOff>
    </xdr:from>
    <xdr:to>
      <xdr:col>23</xdr:col>
      <xdr:colOff>15240</xdr:colOff>
      <xdr:row>382</xdr:row>
      <xdr:rowOff>160564</xdr:rowOff>
    </xdr:to>
    <xdr:sp macro="" textlink="">
      <xdr:nvSpPr>
        <xdr:cNvPr id="638" name="Rectangle: Rounded Corners 637">
          <a:extLst>
            <a:ext uri="{FF2B5EF4-FFF2-40B4-BE49-F238E27FC236}">
              <a16:creationId xmlns:a16="http://schemas.microsoft.com/office/drawing/2014/main" id="{00000000-0008-0000-0200-00007E020000}"/>
            </a:ext>
          </a:extLst>
        </xdr:cNvPr>
        <xdr:cNvSpPr/>
      </xdr:nvSpPr>
      <xdr:spPr>
        <a:xfrm>
          <a:off x="11967754" y="13194030"/>
          <a:ext cx="849086" cy="499654"/>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SGA</a:t>
          </a:r>
        </a:p>
      </xdr:txBody>
    </xdr:sp>
    <xdr:clientData/>
  </xdr:twoCellAnchor>
  <xdr:twoCellAnchor>
    <xdr:from>
      <xdr:col>21</xdr:col>
      <xdr:colOff>547042</xdr:colOff>
      <xdr:row>395</xdr:row>
      <xdr:rowOff>144797</xdr:rowOff>
    </xdr:from>
    <xdr:to>
      <xdr:col>23</xdr:col>
      <xdr:colOff>176928</xdr:colOff>
      <xdr:row>398</xdr:row>
      <xdr:rowOff>95110</xdr:rowOff>
    </xdr:to>
    <xdr:sp macro="" textlink="">
      <xdr:nvSpPr>
        <xdr:cNvPr id="639" name="Rectangle: Rounded Corners 638">
          <a:extLst>
            <a:ext uri="{FF2B5EF4-FFF2-40B4-BE49-F238E27FC236}">
              <a16:creationId xmlns:a16="http://schemas.microsoft.com/office/drawing/2014/main" id="{00000000-0008-0000-0200-00007F020000}"/>
            </a:ext>
          </a:extLst>
        </xdr:cNvPr>
        <xdr:cNvSpPr/>
      </xdr:nvSpPr>
      <xdr:spPr>
        <a:xfrm>
          <a:off x="12129442" y="16055357"/>
          <a:ext cx="849086" cy="498953"/>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Norrmal</a:t>
          </a:r>
          <a:r>
            <a:rPr lang="en-ZA" sz="1100" baseline="0">
              <a:solidFill>
                <a:sysClr val="windowText" lastClr="000000"/>
              </a:solidFill>
            </a:rPr>
            <a:t> weight</a:t>
          </a:r>
          <a:endParaRPr lang="en-ZA" sz="1100">
            <a:solidFill>
              <a:sysClr val="windowText" lastClr="000000"/>
            </a:solidFill>
          </a:endParaRPr>
        </a:p>
      </xdr:txBody>
    </xdr:sp>
    <xdr:clientData/>
  </xdr:twoCellAnchor>
  <xdr:twoCellAnchor>
    <xdr:from>
      <xdr:col>21</xdr:col>
      <xdr:colOff>487136</xdr:colOff>
      <xdr:row>404</xdr:row>
      <xdr:rowOff>127907</xdr:rowOff>
    </xdr:from>
    <xdr:to>
      <xdr:col>23</xdr:col>
      <xdr:colOff>117022</xdr:colOff>
      <xdr:row>407</xdr:row>
      <xdr:rowOff>78922</xdr:rowOff>
    </xdr:to>
    <xdr:sp macro="" textlink="">
      <xdr:nvSpPr>
        <xdr:cNvPr id="640" name="Rectangle: Rounded Corners 639">
          <a:extLst>
            <a:ext uri="{FF2B5EF4-FFF2-40B4-BE49-F238E27FC236}">
              <a16:creationId xmlns:a16="http://schemas.microsoft.com/office/drawing/2014/main" id="{00000000-0008-0000-0200-000080020000}"/>
            </a:ext>
          </a:extLst>
        </xdr:cNvPr>
        <xdr:cNvSpPr/>
      </xdr:nvSpPr>
      <xdr:spPr>
        <a:xfrm>
          <a:off x="12069536" y="17684387"/>
          <a:ext cx="849086" cy="499655"/>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Stillbirth</a:t>
          </a:r>
        </a:p>
      </xdr:txBody>
    </xdr:sp>
    <xdr:clientData/>
  </xdr:twoCellAnchor>
  <xdr:twoCellAnchor>
    <xdr:from>
      <xdr:col>19</xdr:col>
      <xdr:colOff>516528</xdr:colOff>
      <xdr:row>387</xdr:row>
      <xdr:rowOff>37011</xdr:rowOff>
    </xdr:from>
    <xdr:to>
      <xdr:col>20</xdr:col>
      <xdr:colOff>222613</xdr:colOff>
      <xdr:row>388</xdr:row>
      <xdr:rowOff>113210</xdr:rowOff>
    </xdr:to>
    <xdr:sp macro="" textlink="">
      <xdr:nvSpPr>
        <xdr:cNvPr id="641" name="Oval 640">
          <a:extLst>
            <a:ext uri="{FF2B5EF4-FFF2-40B4-BE49-F238E27FC236}">
              <a16:creationId xmlns:a16="http://schemas.microsoft.com/office/drawing/2014/main" id="{00000000-0008-0000-0200-000081020000}"/>
            </a:ext>
          </a:extLst>
        </xdr:cNvPr>
        <xdr:cNvSpPr/>
      </xdr:nvSpPr>
      <xdr:spPr>
        <a:xfrm>
          <a:off x="10879728" y="14484531"/>
          <a:ext cx="315685" cy="259079"/>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20</xdr:col>
      <xdr:colOff>64770</xdr:colOff>
      <xdr:row>381</xdr:row>
      <xdr:rowOff>93618</xdr:rowOff>
    </xdr:from>
    <xdr:to>
      <xdr:col>21</xdr:col>
      <xdr:colOff>385353</xdr:colOff>
      <xdr:row>387</xdr:row>
      <xdr:rowOff>37012</xdr:rowOff>
    </xdr:to>
    <xdr:cxnSp macro="">
      <xdr:nvCxnSpPr>
        <xdr:cNvPr id="646" name="Connector: Elbow 645">
          <a:extLst>
            <a:ext uri="{FF2B5EF4-FFF2-40B4-BE49-F238E27FC236}">
              <a16:creationId xmlns:a16="http://schemas.microsoft.com/office/drawing/2014/main" id="{00000000-0008-0000-0200-000086020000}"/>
            </a:ext>
          </a:extLst>
        </xdr:cNvPr>
        <xdr:cNvCxnSpPr>
          <a:cxnSpLocks/>
          <a:stCxn id="641" idx="0"/>
          <a:endCxn id="638" idx="1"/>
        </xdr:cNvCxnSpPr>
      </xdr:nvCxnSpPr>
      <xdr:spPr>
        <a:xfrm rot="5400000" flipH="1" flipV="1">
          <a:off x="10982325" y="13499103"/>
          <a:ext cx="1040674" cy="930183"/>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222613</xdr:colOff>
      <xdr:row>387</xdr:row>
      <xdr:rowOff>166551</xdr:rowOff>
    </xdr:from>
    <xdr:to>
      <xdr:col>21</xdr:col>
      <xdr:colOff>547042</xdr:colOff>
      <xdr:row>397</xdr:row>
      <xdr:rowOff>28514</xdr:rowOff>
    </xdr:to>
    <xdr:cxnSp macro="">
      <xdr:nvCxnSpPr>
        <xdr:cNvPr id="647" name="Connector: Elbow 646">
          <a:extLst>
            <a:ext uri="{FF2B5EF4-FFF2-40B4-BE49-F238E27FC236}">
              <a16:creationId xmlns:a16="http://schemas.microsoft.com/office/drawing/2014/main" id="{00000000-0008-0000-0200-000087020000}"/>
            </a:ext>
          </a:extLst>
        </xdr:cNvPr>
        <xdr:cNvCxnSpPr>
          <a:stCxn id="641" idx="6"/>
          <a:endCxn id="639" idx="1"/>
        </xdr:cNvCxnSpPr>
      </xdr:nvCxnSpPr>
      <xdr:spPr>
        <a:xfrm>
          <a:off x="11195413" y="14614071"/>
          <a:ext cx="934029" cy="1690763"/>
        </a:xfrm>
        <a:prstGeom prst="bentConnector3">
          <a:avLst>
            <a:gd name="adj1" fmla="val 50000"/>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64771</xdr:colOff>
      <xdr:row>388</xdr:row>
      <xdr:rowOff>113209</xdr:rowOff>
    </xdr:from>
    <xdr:to>
      <xdr:col>21</xdr:col>
      <xdr:colOff>487136</xdr:colOff>
      <xdr:row>406</xdr:row>
      <xdr:rowOff>11974</xdr:rowOff>
    </xdr:to>
    <xdr:cxnSp macro="">
      <xdr:nvCxnSpPr>
        <xdr:cNvPr id="648" name="Connector: Elbow 647">
          <a:extLst>
            <a:ext uri="{FF2B5EF4-FFF2-40B4-BE49-F238E27FC236}">
              <a16:creationId xmlns:a16="http://schemas.microsoft.com/office/drawing/2014/main" id="{00000000-0008-0000-0200-000088020000}"/>
            </a:ext>
          </a:extLst>
        </xdr:cNvPr>
        <xdr:cNvCxnSpPr>
          <a:stCxn id="641" idx="4"/>
          <a:endCxn id="640" idx="1"/>
        </xdr:cNvCxnSpPr>
      </xdr:nvCxnSpPr>
      <xdr:spPr>
        <a:xfrm rot="16200000" flipH="1">
          <a:off x="9958251" y="15822929"/>
          <a:ext cx="3190605" cy="1031965"/>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103415</xdr:colOff>
      <xdr:row>405</xdr:row>
      <xdr:rowOff>76206</xdr:rowOff>
    </xdr:from>
    <xdr:to>
      <xdr:col>24</xdr:col>
      <xdr:colOff>310244</xdr:colOff>
      <xdr:row>406</xdr:row>
      <xdr:rowOff>130634</xdr:rowOff>
    </xdr:to>
    <xdr:sp macro="" textlink="">
      <xdr:nvSpPr>
        <xdr:cNvPr id="649" name="Isosceles Triangle 648">
          <a:extLst>
            <a:ext uri="{FF2B5EF4-FFF2-40B4-BE49-F238E27FC236}">
              <a16:creationId xmlns:a16="http://schemas.microsoft.com/office/drawing/2014/main" id="{00000000-0008-0000-0200-000089020000}"/>
            </a:ext>
          </a:extLst>
        </xdr:cNvPr>
        <xdr:cNvSpPr/>
      </xdr:nvSpPr>
      <xdr:spPr>
        <a:xfrm rot="5400000">
          <a:off x="13499376" y="17830805"/>
          <a:ext cx="237308"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23</xdr:col>
      <xdr:colOff>117022</xdr:colOff>
      <xdr:row>406</xdr:row>
      <xdr:rowOff>8165</xdr:rowOff>
    </xdr:from>
    <xdr:to>
      <xdr:col>24</xdr:col>
      <xdr:colOff>103416</xdr:colOff>
      <xdr:row>406</xdr:row>
      <xdr:rowOff>8170</xdr:rowOff>
    </xdr:to>
    <xdr:cxnSp macro="">
      <xdr:nvCxnSpPr>
        <xdr:cNvPr id="650" name="Connector: Elbow 351">
          <a:extLst>
            <a:ext uri="{FF2B5EF4-FFF2-40B4-BE49-F238E27FC236}">
              <a16:creationId xmlns:a16="http://schemas.microsoft.com/office/drawing/2014/main" id="{00000000-0008-0000-0200-00008A020000}"/>
            </a:ext>
          </a:extLst>
        </xdr:cNvPr>
        <xdr:cNvCxnSpPr>
          <a:stCxn id="640" idx="3"/>
          <a:endCxn id="649" idx="3"/>
        </xdr:cNvCxnSpPr>
      </xdr:nvCxnSpPr>
      <xdr:spPr>
        <a:xfrm>
          <a:off x="12918622" y="17930405"/>
          <a:ext cx="595994" cy="5"/>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293546</xdr:colOff>
      <xdr:row>396</xdr:row>
      <xdr:rowOff>74114</xdr:rowOff>
    </xdr:from>
    <xdr:to>
      <xdr:col>24</xdr:col>
      <xdr:colOff>500375</xdr:colOff>
      <xdr:row>397</xdr:row>
      <xdr:rowOff>134687</xdr:rowOff>
    </xdr:to>
    <xdr:sp macro="" textlink="">
      <xdr:nvSpPr>
        <xdr:cNvPr id="651" name="Isosceles Triangle 650">
          <a:extLst>
            <a:ext uri="{FF2B5EF4-FFF2-40B4-BE49-F238E27FC236}">
              <a16:creationId xmlns:a16="http://schemas.microsoft.com/office/drawing/2014/main" id="{00000000-0008-0000-0200-00008B020000}"/>
            </a:ext>
          </a:extLst>
        </xdr:cNvPr>
        <xdr:cNvSpPr/>
      </xdr:nvSpPr>
      <xdr:spPr>
        <a:xfrm rot="5400000">
          <a:off x="13686434" y="16185866"/>
          <a:ext cx="243453"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23</xdr:col>
      <xdr:colOff>176928</xdr:colOff>
      <xdr:row>397</xdr:row>
      <xdr:rowOff>12961</xdr:rowOff>
    </xdr:from>
    <xdr:to>
      <xdr:col>24</xdr:col>
      <xdr:colOff>293546</xdr:colOff>
      <xdr:row>397</xdr:row>
      <xdr:rowOff>28514</xdr:rowOff>
    </xdr:to>
    <xdr:cxnSp macro="">
      <xdr:nvCxnSpPr>
        <xdr:cNvPr id="656" name="Connector: Elbow 351">
          <a:extLst>
            <a:ext uri="{FF2B5EF4-FFF2-40B4-BE49-F238E27FC236}">
              <a16:creationId xmlns:a16="http://schemas.microsoft.com/office/drawing/2014/main" id="{00000000-0008-0000-0200-000090020000}"/>
            </a:ext>
          </a:extLst>
        </xdr:cNvPr>
        <xdr:cNvCxnSpPr>
          <a:stCxn id="639" idx="3"/>
          <a:endCxn id="651" idx="3"/>
        </xdr:cNvCxnSpPr>
      </xdr:nvCxnSpPr>
      <xdr:spPr>
        <a:xfrm flipV="1">
          <a:off x="12978528" y="16289281"/>
          <a:ext cx="726218" cy="15553"/>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519389</xdr:colOff>
      <xdr:row>382</xdr:row>
      <xdr:rowOff>102642</xdr:rowOff>
    </xdr:from>
    <xdr:to>
      <xdr:col>27</xdr:col>
      <xdr:colOff>149275</xdr:colOff>
      <xdr:row>385</xdr:row>
      <xdr:rowOff>59100</xdr:rowOff>
    </xdr:to>
    <xdr:sp macro="" textlink="">
      <xdr:nvSpPr>
        <xdr:cNvPr id="658" name="Rectangle: Rounded Corners 657">
          <a:extLst>
            <a:ext uri="{FF2B5EF4-FFF2-40B4-BE49-F238E27FC236}">
              <a16:creationId xmlns:a16="http://schemas.microsoft.com/office/drawing/2014/main" id="{00000000-0008-0000-0200-000092020000}"/>
            </a:ext>
          </a:extLst>
        </xdr:cNvPr>
        <xdr:cNvSpPr/>
      </xdr:nvSpPr>
      <xdr:spPr>
        <a:xfrm>
          <a:off x="14540189" y="13635762"/>
          <a:ext cx="849086" cy="505098"/>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no complications</a:t>
          </a:r>
        </a:p>
      </xdr:txBody>
    </xdr:sp>
    <xdr:clientData/>
  </xdr:twoCellAnchor>
  <xdr:twoCellAnchor>
    <xdr:from>
      <xdr:col>23</xdr:col>
      <xdr:colOff>601436</xdr:colOff>
      <xdr:row>381</xdr:row>
      <xdr:rowOff>-1</xdr:rowOff>
    </xdr:from>
    <xdr:to>
      <xdr:col>24</xdr:col>
      <xdr:colOff>307521</xdr:colOff>
      <xdr:row>382</xdr:row>
      <xdr:rowOff>76199</xdr:rowOff>
    </xdr:to>
    <xdr:sp macro="" textlink="">
      <xdr:nvSpPr>
        <xdr:cNvPr id="659" name="Oval 658">
          <a:extLst>
            <a:ext uri="{FF2B5EF4-FFF2-40B4-BE49-F238E27FC236}">
              <a16:creationId xmlns:a16="http://schemas.microsoft.com/office/drawing/2014/main" id="{00000000-0008-0000-0200-000093020000}"/>
            </a:ext>
          </a:extLst>
        </xdr:cNvPr>
        <xdr:cNvSpPr/>
      </xdr:nvSpPr>
      <xdr:spPr>
        <a:xfrm>
          <a:off x="13403036" y="13350239"/>
          <a:ext cx="315685" cy="25908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23</xdr:col>
      <xdr:colOff>15240</xdr:colOff>
      <xdr:row>381</xdr:row>
      <xdr:rowOff>93617</xdr:rowOff>
    </xdr:from>
    <xdr:to>
      <xdr:col>23</xdr:col>
      <xdr:colOff>601436</xdr:colOff>
      <xdr:row>381</xdr:row>
      <xdr:rowOff>129539</xdr:rowOff>
    </xdr:to>
    <xdr:cxnSp macro="">
      <xdr:nvCxnSpPr>
        <xdr:cNvPr id="660" name="Connector: Elbow 42">
          <a:extLst>
            <a:ext uri="{FF2B5EF4-FFF2-40B4-BE49-F238E27FC236}">
              <a16:creationId xmlns:a16="http://schemas.microsoft.com/office/drawing/2014/main" id="{00000000-0008-0000-0200-000094020000}"/>
            </a:ext>
          </a:extLst>
        </xdr:cNvPr>
        <xdr:cNvCxnSpPr>
          <a:cxnSpLocks/>
          <a:stCxn id="638" idx="3"/>
          <a:endCxn id="659" idx="2"/>
        </xdr:cNvCxnSpPr>
      </xdr:nvCxnSpPr>
      <xdr:spPr>
        <a:xfrm>
          <a:off x="12816840" y="13443857"/>
          <a:ext cx="586196" cy="35922"/>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149679</xdr:colOff>
      <xdr:row>382</xdr:row>
      <xdr:rowOff>76199</xdr:rowOff>
    </xdr:from>
    <xdr:to>
      <xdr:col>25</xdr:col>
      <xdr:colOff>519389</xdr:colOff>
      <xdr:row>383</xdr:row>
      <xdr:rowOff>172311</xdr:rowOff>
    </xdr:to>
    <xdr:cxnSp macro="">
      <xdr:nvCxnSpPr>
        <xdr:cNvPr id="662" name="Connector: Elbow 661">
          <a:extLst>
            <a:ext uri="{FF2B5EF4-FFF2-40B4-BE49-F238E27FC236}">
              <a16:creationId xmlns:a16="http://schemas.microsoft.com/office/drawing/2014/main" id="{00000000-0008-0000-0200-000096020000}"/>
            </a:ext>
          </a:extLst>
        </xdr:cNvPr>
        <xdr:cNvCxnSpPr>
          <a:stCxn id="659" idx="4"/>
          <a:endCxn id="658" idx="1"/>
        </xdr:cNvCxnSpPr>
      </xdr:nvCxnSpPr>
      <xdr:spPr>
        <a:xfrm rot="16200000" flipH="1">
          <a:off x="13911038" y="13259160"/>
          <a:ext cx="278992" cy="979310"/>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507275</xdr:colOff>
      <xdr:row>383</xdr:row>
      <xdr:rowOff>29256</xdr:rowOff>
    </xdr:from>
    <xdr:to>
      <xdr:col>29</xdr:col>
      <xdr:colOff>104504</xdr:colOff>
      <xdr:row>384</xdr:row>
      <xdr:rowOff>83684</xdr:rowOff>
    </xdr:to>
    <xdr:sp macro="" textlink="">
      <xdr:nvSpPr>
        <xdr:cNvPr id="663" name="Isosceles Triangle 662">
          <a:extLst>
            <a:ext uri="{FF2B5EF4-FFF2-40B4-BE49-F238E27FC236}">
              <a16:creationId xmlns:a16="http://schemas.microsoft.com/office/drawing/2014/main" id="{00000000-0008-0000-0200-000097020000}"/>
            </a:ext>
          </a:extLst>
        </xdr:cNvPr>
        <xdr:cNvSpPr/>
      </xdr:nvSpPr>
      <xdr:spPr>
        <a:xfrm rot="5400000">
          <a:off x="16341636" y="13760495"/>
          <a:ext cx="237308"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27</xdr:col>
      <xdr:colOff>149275</xdr:colOff>
      <xdr:row>383</xdr:row>
      <xdr:rowOff>147910</xdr:rowOff>
    </xdr:from>
    <xdr:to>
      <xdr:col>28</xdr:col>
      <xdr:colOff>507276</xdr:colOff>
      <xdr:row>383</xdr:row>
      <xdr:rowOff>172311</xdr:rowOff>
    </xdr:to>
    <xdr:cxnSp macro="">
      <xdr:nvCxnSpPr>
        <xdr:cNvPr id="664" name="Connector: Elbow 351">
          <a:extLst>
            <a:ext uri="{FF2B5EF4-FFF2-40B4-BE49-F238E27FC236}">
              <a16:creationId xmlns:a16="http://schemas.microsoft.com/office/drawing/2014/main" id="{00000000-0008-0000-0200-000098020000}"/>
            </a:ext>
          </a:extLst>
        </xdr:cNvPr>
        <xdr:cNvCxnSpPr>
          <a:stCxn id="658" idx="3"/>
          <a:endCxn id="663" idx="3"/>
        </xdr:cNvCxnSpPr>
      </xdr:nvCxnSpPr>
      <xdr:spPr>
        <a:xfrm flipV="1">
          <a:off x="15389275" y="13863910"/>
          <a:ext cx="967601" cy="24401"/>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428616</xdr:colOff>
      <xdr:row>371</xdr:row>
      <xdr:rowOff>131524</xdr:rowOff>
    </xdr:from>
    <xdr:to>
      <xdr:col>27</xdr:col>
      <xdr:colOff>58502</xdr:colOff>
      <xdr:row>374</xdr:row>
      <xdr:rowOff>94127</xdr:rowOff>
    </xdr:to>
    <xdr:sp macro="" textlink="">
      <xdr:nvSpPr>
        <xdr:cNvPr id="666" name="Rectangle: Rounded Corners 665">
          <a:extLst>
            <a:ext uri="{FF2B5EF4-FFF2-40B4-BE49-F238E27FC236}">
              <a16:creationId xmlns:a16="http://schemas.microsoft.com/office/drawing/2014/main" id="{00000000-0008-0000-0200-00009A020000}"/>
            </a:ext>
          </a:extLst>
        </xdr:cNvPr>
        <xdr:cNvSpPr/>
      </xdr:nvSpPr>
      <xdr:spPr>
        <a:xfrm>
          <a:off x="15668616" y="67949524"/>
          <a:ext cx="849086" cy="511243"/>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Hypoglycaemia</a:t>
          </a:r>
        </a:p>
      </xdr:txBody>
    </xdr:sp>
    <xdr:clientData/>
  </xdr:twoCellAnchor>
  <xdr:twoCellAnchor>
    <xdr:from>
      <xdr:col>24</xdr:col>
      <xdr:colOff>149679</xdr:colOff>
      <xdr:row>373</xdr:row>
      <xdr:rowOff>21387</xdr:rowOff>
    </xdr:from>
    <xdr:to>
      <xdr:col>25</xdr:col>
      <xdr:colOff>428616</xdr:colOff>
      <xdr:row>381</xdr:row>
      <xdr:rowOff>0</xdr:rowOff>
    </xdr:to>
    <xdr:cxnSp macro="">
      <xdr:nvCxnSpPr>
        <xdr:cNvPr id="668" name="Connector: Elbow 667">
          <a:extLst>
            <a:ext uri="{FF2B5EF4-FFF2-40B4-BE49-F238E27FC236}">
              <a16:creationId xmlns:a16="http://schemas.microsoft.com/office/drawing/2014/main" id="{00000000-0008-0000-0200-00009C020000}"/>
            </a:ext>
          </a:extLst>
        </xdr:cNvPr>
        <xdr:cNvCxnSpPr>
          <a:cxnSpLocks/>
          <a:stCxn id="659" idx="0"/>
          <a:endCxn id="666" idx="1"/>
        </xdr:cNvCxnSpPr>
      </xdr:nvCxnSpPr>
      <xdr:spPr>
        <a:xfrm rot="5400000" flipH="1" flipV="1">
          <a:off x="14503521" y="68481705"/>
          <a:ext cx="1441653" cy="888537"/>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309507</xdr:colOff>
      <xdr:row>372</xdr:row>
      <xdr:rowOff>73660</xdr:rowOff>
    </xdr:from>
    <xdr:to>
      <xdr:col>28</xdr:col>
      <xdr:colOff>516336</xdr:colOff>
      <xdr:row>373</xdr:row>
      <xdr:rowOff>120468</xdr:rowOff>
    </xdr:to>
    <xdr:sp macro="" textlink="">
      <xdr:nvSpPr>
        <xdr:cNvPr id="669" name="Isosceles Triangle 668">
          <a:extLst>
            <a:ext uri="{FF2B5EF4-FFF2-40B4-BE49-F238E27FC236}">
              <a16:creationId xmlns:a16="http://schemas.microsoft.com/office/drawing/2014/main" id="{00000000-0008-0000-0200-00009D020000}"/>
            </a:ext>
          </a:extLst>
        </xdr:cNvPr>
        <xdr:cNvSpPr/>
      </xdr:nvSpPr>
      <xdr:spPr>
        <a:xfrm rot="5400000">
          <a:off x="17366878" y="68085969"/>
          <a:ext cx="229688"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27</xdr:col>
      <xdr:colOff>58502</xdr:colOff>
      <xdr:row>373</xdr:row>
      <xdr:rowOff>5624</xdr:rowOff>
    </xdr:from>
    <xdr:to>
      <xdr:col>28</xdr:col>
      <xdr:colOff>309508</xdr:colOff>
      <xdr:row>373</xdr:row>
      <xdr:rowOff>21386</xdr:rowOff>
    </xdr:to>
    <xdr:cxnSp macro="">
      <xdr:nvCxnSpPr>
        <xdr:cNvPr id="670" name="Connector: Elbow 351">
          <a:extLst>
            <a:ext uri="{FF2B5EF4-FFF2-40B4-BE49-F238E27FC236}">
              <a16:creationId xmlns:a16="http://schemas.microsoft.com/office/drawing/2014/main" id="{00000000-0008-0000-0200-00009E020000}"/>
            </a:ext>
          </a:extLst>
        </xdr:cNvPr>
        <xdr:cNvCxnSpPr>
          <a:cxnSpLocks/>
          <a:stCxn id="666" idx="3"/>
          <a:endCxn id="669" idx="3"/>
        </xdr:cNvCxnSpPr>
      </xdr:nvCxnSpPr>
      <xdr:spPr>
        <a:xfrm flipV="1">
          <a:off x="16517702" y="68189384"/>
          <a:ext cx="860606" cy="15762"/>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549869</xdr:colOff>
      <xdr:row>389</xdr:row>
      <xdr:rowOff>26442</xdr:rowOff>
    </xdr:from>
    <xdr:to>
      <xdr:col>27</xdr:col>
      <xdr:colOff>179755</xdr:colOff>
      <xdr:row>391</xdr:row>
      <xdr:rowOff>165780</xdr:rowOff>
    </xdr:to>
    <xdr:sp macro="" textlink="">
      <xdr:nvSpPr>
        <xdr:cNvPr id="674" name="Rectangle: Rounded Corners 673">
          <a:extLst>
            <a:ext uri="{FF2B5EF4-FFF2-40B4-BE49-F238E27FC236}">
              <a16:creationId xmlns:a16="http://schemas.microsoft.com/office/drawing/2014/main" id="{00000000-0008-0000-0200-0000A2020000}"/>
            </a:ext>
          </a:extLst>
        </xdr:cNvPr>
        <xdr:cNvSpPr/>
      </xdr:nvSpPr>
      <xdr:spPr>
        <a:xfrm>
          <a:off x="14570669" y="14839722"/>
          <a:ext cx="849086" cy="505098"/>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Death</a:t>
          </a:r>
        </a:p>
      </xdr:txBody>
    </xdr:sp>
    <xdr:clientData/>
  </xdr:twoCellAnchor>
  <xdr:twoCellAnchor>
    <xdr:from>
      <xdr:col>24</xdr:col>
      <xdr:colOff>149679</xdr:colOff>
      <xdr:row>382</xdr:row>
      <xdr:rowOff>76199</xdr:rowOff>
    </xdr:from>
    <xdr:to>
      <xdr:col>25</xdr:col>
      <xdr:colOff>549869</xdr:colOff>
      <xdr:row>390</xdr:row>
      <xdr:rowOff>96111</xdr:rowOff>
    </xdr:to>
    <xdr:cxnSp macro="">
      <xdr:nvCxnSpPr>
        <xdr:cNvPr id="675" name="Connector: Elbow 674">
          <a:extLst>
            <a:ext uri="{FF2B5EF4-FFF2-40B4-BE49-F238E27FC236}">
              <a16:creationId xmlns:a16="http://schemas.microsoft.com/office/drawing/2014/main" id="{00000000-0008-0000-0200-0000A3020000}"/>
            </a:ext>
          </a:extLst>
        </xdr:cNvPr>
        <xdr:cNvCxnSpPr>
          <a:stCxn id="659" idx="4"/>
          <a:endCxn id="674" idx="1"/>
        </xdr:cNvCxnSpPr>
      </xdr:nvCxnSpPr>
      <xdr:spPr>
        <a:xfrm rot="16200000" flipH="1">
          <a:off x="13324298" y="13845900"/>
          <a:ext cx="1482952" cy="1009790"/>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34835</xdr:colOff>
      <xdr:row>389</xdr:row>
      <xdr:rowOff>181655</xdr:rowOff>
    </xdr:from>
    <xdr:to>
      <xdr:col>29</xdr:col>
      <xdr:colOff>241664</xdr:colOff>
      <xdr:row>391</xdr:row>
      <xdr:rowOff>53203</xdr:rowOff>
    </xdr:to>
    <xdr:sp macro="" textlink="">
      <xdr:nvSpPr>
        <xdr:cNvPr id="676" name="Isosceles Triangle 675">
          <a:extLst>
            <a:ext uri="{FF2B5EF4-FFF2-40B4-BE49-F238E27FC236}">
              <a16:creationId xmlns:a16="http://schemas.microsoft.com/office/drawing/2014/main" id="{00000000-0008-0000-0200-0000A4020000}"/>
            </a:ext>
          </a:extLst>
        </xdr:cNvPr>
        <xdr:cNvSpPr/>
      </xdr:nvSpPr>
      <xdr:spPr>
        <a:xfrm rot="5400000">
          <a:off x="16478796" y="15010174"/>
          <a:ext cx="237308"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27</xdr:col>
      <xdr:colOff>179755</xdr:colOff>
      <xdr:row>390</xdr:row>
      <xdr:rowOff>96111</xdr:rowOff>
    </xdr:from>
    <xdr:to>
      <xdr:col>29</xdr:col>
      <xdr:colOff>34836</xdr:colOff>
      <xdr:row>390</xdr:row>
      <xdr:rowOff>117429</xdr:rowOff>
    </xdr:to>
    <xdr:cxnSp macro="">
      <xdr:nvCxnSpPr>
        <xdr:cNvPr id="677" name="Connector: Elbow 351">
          <a:extLst>
            <a:ext uri="{FF2B5EF4-FFF2-40B4-BE49-F238E27FC236}">
              <a16:creationId xmlns:a16="http://schemas.microsoft.com/office/drawing/2014/main" id="{00000000-0008-0000-0200-0000A5020000}"/>
            </a:ext>
          </a:extLst>
        </xdr:cNvPr>
        <xdr:cNvCxnSpPr>
          <a:stCxn id="674" idx="3"/>
          <a:endCxn id="676" idx="3"/>
        </xdr:cNvCxnSpPr>
      </xdr:nvCxnSpPr>
      <xdr:spPr>
        <a:xfrm>
          <a:off x="15419755" y="15092271"/>
          <a:ext cx="1074281" cy="21318"/>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591339</xdr:colOff>
      <xdr:row>17</xdr:row>
      <xdr:rowOff>55130</xdr:rowOff>
    </xdr:from>
    <xdr:to>
      <xdr:col>7</xdr:col>
      <xdr:colOff>539932</xdr:colOff>
      <xdr:row>66</xdr:row>
      <xdr:rowOff>72933</xdr:rowOff>
    </xdr:to>
    <xdr:cxnSp macro="">
      <xdr:nvCxnSpPr>
        <xdr:cNvPr id="17" name="Connector: Elbow 16">
          <a:extLst>
            <a:ext uri="{FF2B5EF4-FFF2-40B4-BE49-F238E27FC236}">
              <a16:creationId xmlns:a16="http://schemas.microsoft.com/office/drawing/2014/main" id="{00000000-0008-0000-0300-000011000000}"/>
            </a:ext>
          </a:extLst>
        </xdr:cNvPr>
        <xdr:cNvCxnSpPr>
          <a:cxnSpLocks/>
          <a:stCxn id="257" idx="2"/>
          <a:endCxn id="25" idx="2"/>
        </xdr:cNvCxnSpPr>
      </xdr:nvCxnSpPr>
      <xdr:spPr>
        <a:xfrm rot="16200000" flipH="1">
          <a:off x="-1485426" y="5850455"/>
          <a:ext cx="8978923" cy="3606193"/>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8165</xdr:colOff>
      <xdr:row>149</xdr:row>
      <xdr:rowOff>155667</xdr:rowOff>
    </xdr:from>
    <xdr:to>
      <xdr:col>11</xdr:col>
      <xdr:colOff>247651</xdr:colOff>
      <xdr:row>151</xdr:row>
      <xdr:rowOff>177438</xdr:rowOff>
    </xdr:to>
    <xdr:sp macro="" textlink="">
      <xdr:nvSpPr>
        <xdr:cNvPr id="20" name="Rectangle: Rounded Corners 19">
          <a:extLst>
            <a:ext uri="{FF2B5EF4-FFF2-40B4-BE49-F238E27FC236}">
              <a16:creationId xmlns:a16="http://schemas.microsoft.com/office/drawing/2014/main" id="{00000000-0008-0000-0300-000014000000}"/>
            </a:ext>
          </a:extLst>
        </xdr:cNvPr>
        <xdr:cNvSpPr/>
      </xdr:nvSpPr>
      <xdr:spPr>
        <a:xfrm>
          <a:off x="6104165" y="27404787"/>
          <a:ext cx="849086" cy="387531"/>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No ANC</a:t>
          </a:r>
        </a:p>
      </xdr:txBody>
    </xdr:sp>
    <xdr:clientData/>
  </xdr:twoCellAnchor>
  <xdr:twoCellAnchor>
    <xdr:from>
      <xdr:col>10</xdr:col>
      <xdr:colOff>341811</xdr:colOff>
      <xdr:row>45</xdr:row>
      <xdr:rowOff>156210</xdr:rowOff>
    </xdr:from>
    <xdr:to>
      <xdr:col>11</xdr:col>
      <xdr:colOff>581297</xdr:colOff>
      <xdr:row>48</xdr:row>
      <xdr:rowOff>107224</xdr:rowOff>
    </xdr:to>
    <xdr:sp macro="" textlink="">
      <xdr:nvSpPr>
        <xdr:cNvPr id="21" name="Rectangle: Rounded Corners 20">
          <a:extLst>
            <a:ext uri="{FF2B5EF4-FFF2-40B4-BE49-F238E27FC236}">
              <a16:creationId xmlns:a16="http://schemas.microsoft.com/office/drawing/2014/main" id="{00000000-0008-0000-0300-000015000000}"/>
            </a:ext>
          </a:extLst>
        </xdr:cNvPr>
        <xdr:cNvSpPr/>
      </xdr:nvSpPr>
      <xdr:spPr>
        <a:xfrm>
          <a:off x="6437811" y="8385810"/>
          <a:ext cx="849086" cy="499654"/>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ANC visit</a:t>
          </a:r>
        </a:p>
      </xdr:txBody>
    </xdr:sp>
    <xdr:clientData/>
  </xdr:twoCellAnchor>
  <xdr:twoCellAnchor>
    <xdr:from>
      <xdr:col>8</xdr:col>
      <xdr:colOff>88175</xdr:colOff>
      <xdr:row>47</xdr:row>
      <xdr:rowOff>40277</xdr:rowOff>
    </xdr:from>
    <xdr:to>
      <xdr:col>10</xdr:col>
      <xdr:colOff>341811</xdr:colOff>
      <xdr:row>65</xdr:row>
      <xdr:rowOff>126273</xdr:rowOff>
    </xdr:to>
    <xdr:cxnSp macro="">
      <xdr:nvCxnSpPr>
        <xdr:cNvPr id="22" name="Connector: Elbow 21">
          <a:extLst>
            <a:ext uri="{FF2B5EF4-FFF2-40B4-BE49-F238E27FC236}">
              <a16:creationId xmlns:a16="http://schemas.microsoft.com/office/drawing/2014/main" id="{00000000-0008-0000-0300-000016000000}"/>
            </a:ext>
          </a:extLst>
        </xdr:cNvPr>
        <xdr:cNvCxnSpPr>
          <a:stCxn id="25" idx="0"/>
          <a:endCxn id="21" idx="1"/>
        </xdr:cNvCxnSpPr>
      </xdr:nvCxnSpPr>
      <xdr:spPr>
        <a:xfrm rot="5400000" flipH="1" flipV="1">
          <a:off x="4012475" y="9588137"/>
          <a:ext cx="3377836" cy="1472836"/>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88176</xdr:colOff>
      <xdr:row>67</xdr:row>
      <xdr:rowOff>19593</xdr:rowOff>
    </xdr:from>
    <xdr:to>
      <xdr:col>10</xdr:col>
      <xdr:colOff>8166</xdr:colOff>
      <xdr:row>150</xdr:row>
      <xdr:rowOff>166552</xdr:rowOff>
    </xdr:to>
    <xdr:cxnSp macro="">
      <xdr:nvCxnSpPr>
        <xdr:cNvPr id="23" name="Connector: Elbow 22">
          <a:extLst>
            <a:ext uri="{FF2B5EF4-FFF2-40B4-BE49-F238E27FC236}">
              <a16:creationId xmlns:a16="http://schemas.microsoft.com/office/drawing/2014/main" id="{00000000-0008-0000-0300-000017000000}"/>
            </a:ext>
          </a:extLst>
        </xdr:cNvPr>
        <xdr:cNvCxnSpPr>
          <a:stCxn id="25" idx="4"/>
          <a:endCxn id="20" idx="1"/>
        </xdr:cNvCxnSpPr>
      </xdr:nvCxnSpPr>
      <xdr:spPr>
        <a:xfrm rot="16200000" flipH="1">
          <a:off x="-2128429" y="19365958"/>
          <a:ext cx="15325999" cy="1139190"/>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539932</xdr:colOff>
      <xdr:row>65</xdr:row>
      <xdr:rowOff>126273</xdr:rowOff>
    </xdr:from>
    <xdr:to>
      <xdr:col>8</xdr:col>
      <xdr:colOff>246017</xdr:colOff>
      <xdr:row>67</xdr:row>
      <xdr:rowOff>19594</xdr:rowOff>
    </xdr:to>
    <xdr:sp macro="" textlink="">
      <xdr:nvSpPr>
        <xdr:cNvPr id="25" name="Oval 24">
          <a:extLst>
            <a:ext uri="{FF2B5EF4-FFF2-40B4-BE49-F238E27FC236}">
              <a16:creationId xmlns:a16="http://schemas.microsoft.com/office/drawing/2014/main" id="{00000000-0008-0000-0300-000019000000}"/>
            </a:ext>
          </a:extLst>
        </xdr:cNvPr>
        <xdr:cNvSpPr/>
      </xdr:nvSpPr>
      <xdr:spPr>
        <a:xfrm>
          <a:off x="4807132" y="12013473"/>
          <a:ext cx="315685" cy="259081"/>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0</xdr:col>
      <xdr:colOff>0</xdr:colOff>
      <xdr:row>1</xdr:row>
      <xdr:rowOff>0</xdr:rowOff>
    </xdr:from>
    <xdr:to>
      <xdr:col>0</xdr:col>
      <xdr:colOff>0</xdr:colOff>
      <xdr:row>1</xdr:row>
      <xdr:rowOff>174173</xdr:rowOff>
    </xdr:to>
    <xdr:cxnSp macro="">
      <xdr:nvCxnSpPr>
        <xdr:cNvPr id="49" name="Connector: Elbow 48">
          <a:extLst>
            <a:ext uri="{FF2B5EF4-FFF2-40B4-BE49-F238E27FC236}">
              <a16:creationId xmlns:a16="http://schemas.microsoft.com/office/drawing/2014/main" id="{00000000-0008-0000-0300-000031000000}"/>
            </a:ext>
          </a:extLst>
        </xdr:cNvPr>
        <xdr:cNvCxnSpPr>
          <a:cxnSpLocks/>
        </xdr:cNvCxnSpPr>
      </xdr:nvCxnSpPr>
      <xdr:spPr>
        <a:xfrm rot="5400000" flipH="1" flipV="1">
          <a:off x="8024949" y="11958504"/>
          <a:ext cx="493667" cy="443591"/>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581297</xdr:colOff>
      <xdr:row>47</xdr:row>
      <xdr:rowOff>40277</xdr:rowOff>
    </xdr:from>
    <xdr:to>
      <xdr:col>12</xdr:col>
      <xdr:colOff>451758</xdr:colOff>
      <xdr:row>47</xdr:row>
      <xdr:rowOff>46807</xdr:rowOff>
    </xdr:to>
    <xdr:cxnSp macro="">
      <xdr:nvCxnSpPr>
        <xdr:cNvPr id="57" name="Connector: Elbow 42">
          <a:extLst>
            <a:ext uri="{FF2B5EF4-FFF2-40B4-BE49-F238E27FC236}">
              <a16:creationId xmlns:a16="http://schemas.microsoft.com/office/drawing/2014/main" id="{00000000-0008-0000-0300-000039000000}"/>
            </a:ext>
          </a:extLst>
        </xdr:cNvPr>
        <xdr:cNvCxnSpPr>
          <a:cxnSpLocks/>
          <a:stCxn id="21" idx="3"/>
          <a:endCxn id="162" idx="2"/>
        </xdr:cNvCxnSpPr>
      </xdr:nvCxnSpPr>
      <xdr:spPr>
        <a:xfrm>
          <a:off x="7286897" y="8635637"/>
          <a:ext cx="480061" cy="6530"/>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247651</xdr:colOff>
      <xdr:row>150</xdr:row>
      <xdr:rowOff>166553</xdr:rowOff>
    </xdr:from>
    <xdr:to>
      <xdr:col>12</xdr:col>
      <xdr:colOff>451758</xdr:colOff>
      <xdr:row>151</xdr:row>
      <xdr:rowOff>46807</xdr:rowOff>
    </xdr:to>
    <xdr:cxnSp macro="">
      <xdr:nvCxnSpPr>
        <xdr:cNvPr id="58" name="Connector: Elbow 42">
          <a:extLst>
            <a:ext uri="{FF2B5EF4-FFF2-40B4-BE49-F238E27FC236}">
              <a16:creationId xmlns:a16="http://schemas.microsoft.com/office/drawing/2014/main" id="{00000000-0008-0000-0300-00003A000000}"/>
            </a:ext>
          </a:extLst>
        </xdr:cNvPr>
        <xdr:cNvCxnSpPr>
          <a:cxnSpLocks/>
          <a:stCxn id="20" idx="3"/>
          <a:endCxn id="273" idx="2"/>
        </xdr:cNvCxnSpPr>
      </xdr:nvCxnSpPr>
      <xdr:spPr>
        <a:xfrm>
          <a:off x="6953251" y="27598553"/>
          <a:ext cx="813707" cy="63134"/>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1</xdr:row>
      <xdr:rowOff>0</xdr:rowOff>
    </xdr:from>
    <xdr:to>
      <xdr:col>0</xdr:col>
      <xdr:colOff>0</xdr:colOff>
      <xdr:row>1</xdr:row>
      <xdr:rowOff>54428</xdr:rowOff>
    </xdr:to>
    <xdr:sp macro="" textlink="">
      <xdr:nvSpPr>
        <xdr:cNvPr id="133" name="Isosceles Triangle 132">
          <a:extLst>
            <a:ext uri="{FF2B5EF4-FFF2-40B4-BE49-F238E27FC236}">
              <a16:creationId xmlns:a16="http://schemas.microsoft.com/office/drawing/2014/main" id="{00000000-0008-0000-0300-000085000000}"/>
            </a:ext>
          </a:extLst>
        </xdr:cNvPr>
        <xdr:cNvSpPr/>
      </xdr:nvSpPr>
      <xdr:spPr>
        <a:xfrm rot="5400000">
          <a:off x="11975376" y="12085319"/>
          <a:ext cx="237308"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xdr:col>
      <xdr:colOff>166796</xdr:colOff>
      <xdr:row>14</xdr:row>
      <xdr:rowOff>98674</xdr:rowOff>
    </xdr:from>
    <xdr:to>
      <xdr:col>2</xdr:col>
      <xdr:colOff>406282</xdr:colOff>
      <xdr:row>17</xdr:row>
      <xdr:rowOff>55131</xdr:rowOff>
    </xdr:to>
    <xdr:sp macro="" textlink="">
      <xdr:nvSpPr>
        <xdr:cNvPr id="257" name="Rectangle: Rounded Corners 256">
          <a:extLst>
            <a:ext uri="{FF2B5EF4-FFF2-40B4-BE49-F238E27FC236}">
              <a16:creationId xmlns:a16="http://schemas.microsoft.com/office/drawing/2014/main" id="{00000000-0008-0000-0300-000001010000}"/>
            </a:ext>
          </a:extLst>
        </xdr:cNvPr>
        <xdr:cNvSpPr/>
      </xdr:nvSpPr>
      <xdr:spPr>
        <a:xfrm>
          <a:off x="776396" y="14729074"/>
          <a:ext cx="849086" cy="505097"/>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Comparator</a:t>
          </a:r>
        </a:p>
      </xdr:txBody>
    </xdr:sp>
    <xdr:clientData/>
  </xdr:twoCellAnchor>
  <xdr:twoCellAnchor>
    <xdr:from>
      <xdr:col>1</xdr:col>
      <xdr:colOff>583029</xdr:colOff>
      <xdr:row>1</xdr:row>
      <xdr:rowOff>0</xdr:rowOff>
    </xdr:from>
    <xdr:to>
      <xdr:col>1</xdr:col>
      <xdr:colOff>593797</xdr:colOff>
      <xdr:row>14</xdr:row>
      <xdr:rowOff>98674</xdr:rowOff>
    </xdr:to>
    <xdr:cxnSp macro="">
      <xdr:nvCxnSpPr>
        <xdr:cNvPr id="258" name="Connector: Elbow 838">
          <a:extLst>
            <a:ext uri="{FF2B5EF4-FFF2-40B4-BE49-F238E27FC236}">
              <a16:creationId xmlns:a16="http://schemas.microsoft.com/office/drawing/2014/main" id="{00000000-0008-0000-0300-000002010000}"/>
            </a:ext>
          </a:extLst>
        </xdr:cNvPr>
        <xdr:cNvCxnSpPr>
          <a:cxnSpLocks/>
          <a:endCxn id="257" idx="0"/>
        </xdr:cNvCxnSpPr>
      </xdr:nvCxnSpPr>
      <xdr:spPr>
        <a:xfrm>
          <a:off x="1192629" y="12146280"/>
          <a:ext cx="10768" cy="2582794"/>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594904</xdr:colOff>
      <xdr:row>39</xdr:row>
      <xdr:rowOff>81643</xdr:rowOff>
    </xdr:from>
    <xdr:to>
      <xdr:col>15</xdr:col>
      <xdr:colOff>224790</xdr:colOff>
      <xdr:row>42</xdr:row>
      <xdr:rowOff>38100</xdr:rowOff>
    </xdr:to>
    <xdr:sp macro="" textlink="">
      <xdr:nvSpPr>
        <xdr:cNvPr id="158" name="Rectangle: Rounded Corners 157">
          <a:extLst>
            <a:ext uri="{FF2B5EF4-FFF2-40B4-BE49-F238E27FC236}">
              <a16:creationId xmlns:a16="http://schemas.microsoft.com/office/drawing/2014/main" id="{00000000-0008-0000-0300-00009E000000}"/>
            </a:ext>
          </a:extLst>
        </xdr:cNvPr>
        <xdr:cNvSpPr/>
      </xdr:nvSpPr>
      <xdr:spPr>
        <a:xfrm>
          <a:off x="8519704" y="7213963"/>
          <a:ext cx="849086" cy="505097"/>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Preterm</a:t>
          </a:r>
        </a:p>
      </xdr:txBody>
    </xdr:sp>
    <xdr:clientData/>
  </xdr:twoCellAnchor>
  <xdr:twoCellAnchor>
    <xdr:from>
      <xdr:col>14</xdr:col>
      <xdr:colOff>283573</xdr:colOff>
      <xdr:row>78</xdr:row>
      <xdr:rowOff>81099</xdr:rowOff>
    </xdr:from>
    <xdr:to>
      <xdr:col>15</xdr:col>
      <xdr:colOff>523059</xdr:colOff>
      <xdr:row>81</xdr:row>
      <xdr:rowOff>30480</xdr:rowOff>
    </xdr:to>
    <xdr:sp macro="" textlink="">
      <xdr:nvSpPr>
        <xdr:cNvPr id="159" name="Rectangle: Rounded Corners 158">
          <a:extLst>
            <a:ext uri="{FF2B5EF4-FFF2-40B4-BE49-F238E27FC236}">
              <a16:creationId xmlns:a16="http://schemas.microsoft.com/office/drawing/2014/main" id="{00000000-0008-0000-0300-00009F000000}"/>
            </a:ext>
          </a:extLst>
        </xdr:cNvPr>
        <xdr:cNvSpPr/>
      </xdr:nvSpPr>
      <xdr:spPr>
        <a:xfrm>
          <a:off x="8817973" y="14345739"/>
          <a:ext cx="849086" cy="498021"/>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Term</a:t>
          </a:r>
        </a:p>
      </xdr:txBody>
    </xdr:sp>
    <xdr:clientData/>
  </xdr:twoCellAnchor>
  <xdr:twoCellAnchor>
    <xdr:from>
      <xdr:col>13</xdr:col>
      <xdr:colOff>1</xdr:colOff>
      <xdr:row>40</xdr:row>
      <xdr:rowOff>151313</xdr:rowOff>
    </xdr:from>
    <xdr:to>
      <xdr:col>13</xdr:col>
      <xdr:colOff>594904</xdr:colOff>
      <xdr:row>46</xdr:row>
      <xdr:rowOff>100148</xdr:rowOff>
    </xdr:to>
    <xdr:cxnSp macro="">
      <xdr:nvCxnSpPr>
        <xdr:cNvPr id="160" name="Connector: Elbow 159">
          <a:extLst>
            <a:ext uri="{FF2B5EF4-FFF2-40B4-BE49-F238E27FC236}">
              <a16:creationId xmlns:a16="http://schemas.microsoft.com/office/drawing/2014/main" id="{00000000-0008-0000-0300-0000A0000000}"/>
            </a:ext>
          </a:extLst>
        </xdr:cNvPr>
        <xdr:cNvCxnSpPr>
          <a:stCxn id="162" idx="0"/>
          <a:endCxn id="158" idx="1"/>
        </xdr:cNvCxnSpPr>
      </xdr:nvCxnSpPr>
      <xdr:spPr>
        <a:xfrm rot="5400000" flipH="1" flipV="1">
          <a:off x="7699195" y="7692119"/>
          <a:ext cx="1046115" cy="594903"/>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xdr:colOff>
      <xdr:row>47</xdr:row>
      <xdr:rowOff>176346</xdr:rowOff>
    </xdr:from>
    <xdr:to>
      <xdr:col>14</xdr:col>
      <xdr:colOff>283574</xdr:colOff>
      <xdr:row>79</xdr:row>
      <xdr:rowOff>147229</xdr:rowOff>
    </xdr:to>
    <xdr:cxnSp macro="">
      <xdr:nvCxnSpPr>
        <xdr:cNvPr id="161" name="Connector: Elbow 160">
          <a:extLst>
            <a:ext uri="{FF2B5EF4-FFF2-40B4-BE49-F238E27FC236}">
              <a16:creationId xmlns:a16="http://schemas.microsoft.com/office/drawing/2014/main" id="{00000000-0008-0000-0300-0000A1000000}"/>
            </a:ext>
          </a:extLst>
        </xdr:cNvPr>
        <xdr:cNvCxnSpPr>
          <a:stCxn id="162" idx="4"/>
          <a:endCxn id="159" idx="1"/>
        </xdr:cNvCxnSpPr>
      </xdr:nvCxnSpPr>
      <xdr:spPr>
        <a:xfrm rot="16200000" flipH="1">
          <a:off x="5459866" y="11236642"/>
          <a:ext cx="5823043" cy="893172"/>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451758</xdr:colOff>
      <xdr:row>46</xdr:row>
      <xdr:rowOff>100147</xdr:rowOff>
    </xdr:from>
    <xdr:to>
      <xdr:col>13</xdr:col>
      <xdr:colOff>157843</xdr:colOff>
      <xdr:row>47</xdr:row>
      <xdr:rowOff>176347</xdr:rowOff>
    </xdr:to>
    <xdr:sp macro="" textlink="">
      <xdr:nvSpPr>
        <xdr:cNvPr id="162" name="Oval 161">
          <a:extLst>
            <a:ext uri="{FF2B5EF4-FFF2-40B4-BE49-F238E27FC236}">
              <a16:creationId xmlns:a16="http://schemas.microsoft.com/office/drawing/2014/main" id="{00000000-0008-0000-0300-0000A2000000}"/>
            </a:ext>
          </a:extLst>
        </xdr:cNvPr>
        <xdr:cNvSpPr/>
      </xdr:nvSpPr>
      <xdr:spPr>
        <a:xfrm>
          <a:off x="7766958" y="8512627"/>
          <a:ext cx="315685" cy="25908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15</xdr:col>
      <xdr:colOff>523059</xdr:colOff>
      <xdr:row>79</xdr:row>
      <xdr:rowOff>147230</xdr:rowOff>
    </xdr:from>
    <xdr:to>
      <xdr:col>17</xdr:col>
      <xdr:colOff>516528</xdr:colOff>
      <xdr:row>79</xdr:row>
      <xdr:rowOff>166551</xdr:rowOff>
    </xdr:to>
    <xdr:cxnSp macro="">
      <xdr:nvCxnSpPr>
        <xdr:cNvPr id="163" name="Connector: Elbow 351">
          <a:extLst>
            <a:ext uri="{FF2B5EF4-FFF2-40B4-BE49-F238E27FC236}">
              <a16:creationId xmlns:a16="http://schemas.microsoft.com/office/drawing/2014/main" id="{00000000-0008-0000-0300-0000A3000000}"/>
            </a:ext>
          </a:extLst>
        </xdr:cNvPr>
        <xdr:cNvCxnSpPr>
          <a:cxnSpLocks/>
          <a:stCxn id="159" idx="3"/>
          <a:endCxn id="217" idx="2"/>
        </xdr:cNvCxnSpPr>
      </xdr:nvCxnSpPr>
      <xdr:spPr>
        <a:xfrm>
          <a:off x="9667059" y="14594750"/>
          <a:ext cx="1212669" cy="19321"/>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141514</xdr:colOff>
      <xdr:row>22</xdr:row>
      <xdr:rowOff>57150</xdr:rowOff>
    </xdr:from>
    <xdr:to>
      <xdr:col>18</xdr:col>
      <xdr:colOff>381000</xdr:colOff>
      <xdr:row>25</xdr:row>
      <xdr:rowOff>8164</xdr:rowOff>
    </xdr:to>
    <xdr:sp macro="" textlink="">
      <xdr:nvSpPr>
        <xdr:cNvPr id="164" name="Rectangle: Rounded Corners 163">
          <a:extLst>
            <a:ext uri="{FF2B5EF4-FFF2-40B4-BE49-F238E27FC236}">
              <a16:creationId xmlns:a16="http://schemas.microsoft.com/office/drawing/2014/main" id="{00000000-0008-0000-0300-0000A4000000}"/>
            </a:ext>
          </a:extLst>
        </xdr:cNvPr>
        <xdr:cNvSpPr/>
      </xdr:nvSpPr>
      <xdr:spPr>
        <a:xfrm>
          <a:off x="10504714" y="4080510"/>
          <a:ext cx="849086" cy="499654"/>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LBW</a:t>
          </a:r>
        </a:p>
      </xdr:txBody>
    </xdr:sp>
    <xdr:clientData/>
  </xdr:twoCellAnchor>
  <xdr:twoCellAnchor>
    <xdr:from>
      <xdr:col>17</xdr:col>
      <xdr:colOff>547042</xdr:colOff>
      <xdr:row>37</xdr:row>
      <xdr:rowOff>144797</xdr:rowOff>
    </xdr:from>
    <xdr:to>
      <xdr:col>19</xdr:col>
      <xdr:colOff>176928</xdr:colOff>
      <xdr:row>40</xdr:row>
      <xdr:rowOff>95110</xdr:rowOff>
    </xdr:to>
    <xdr:sp macro="" textlink="">
      <xdr:nvSpPr>
        <xdr:cNvPr id="165" name="Rectangle: Rounded Corners 164">
          <a:extLst>
            <a:ext uri="{FF2B5EF4-FFF2-40B4-BE49-F238E27FC236}">
              <a16:creationId xmlns:a16="http://schemas.microsoft.com/office/drawing/2014/main" id="{00000000-0008-0000-0300-0000A5000000}"/>
            </a:ext>
          </a:extLst>
        </xdr:cNvPr>
        <xdr:cNvSpPr/>
      </xdr:nvSpPr>
      <xdr:spPr>
        <a:xfrm>
          <a:off x="10910242" y="6911357"/>
          <a:ext cx="849086" cy="498953"/>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Norrmal</a:t>
          </a:r>
          <a:r>
            <a:rPr lang="en-ZA" sz="1100" baseline="0">
              <a:solidFill>
                <a:sysClr val="windowText" lastClr="000000"/>
              </a:solidFill>
            </a:rPr>
            <a:t> weight</a:t>
          </a:r>
          <a:endParaRPr lang="en-ZA" sz="1100">
            <a:solidFill>
              <a:sysClr val="windowText" lastClr="000000"/>
            </a:solidFill>
          </a:endParaRPr>
        </a:p>
      </xdr:txBody>
    </xdr:sp>
    <xdr:clientData/>
  </xdr:twoCellAnchor>
  <xdr:twoCellAnchor>
    <xdr:from>
      <xdr:col>17</xdr:col>
      <xdr:colOff>487136</xdr:colOff>
      <xdr:row>46</xdr:row>
      <xdr:rowOff>127907</xdr:rowOff>
    </xdr:from>
    <xdr:to>
      <xdr:col>19</xdr:col>
      <xdr:colOff>117022</xdr:colOff>
      <xdr:row>49</xdr:row>
      <xdr:rowOff>78922</xdr:rowOff>
    </xdr:to>
    <xdr:sp macro="" textlink="">
      <xdr:nvSpPr>
        <xdr:cNvPr id="166" name="Rectangle: Rounded Corners 165">
          <a:extLst>
            <a:ext uri="{FF2B5EF4-FFF2-40B4-BE49-F238E27FC236}">
              <a16:creationId xmlns:a16="http://schemas.microsoft.com/office/drawing/2014/main" id="{00000000-0008-0000-0300-0000A6000000}"/>
            </a:ext>
          </a:extLst>
        </xdr:cNvPr>
        <xdr:cNvSpPr/>
      </xdr:nvSpPr>
      <xdr:spPr>
        <a:xfrm>
          <a:off x="10850336" y="8540387"/>
          <a:ext cx="849086" cy="499655"/>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Stillbirth</a:t>
          </a:r>
        </a:p>
      </xdr:txBody>
    </xdr:sp>
    <xdr:clientData/>
  </xdr:twoCellAnchor>
  <xdr:twoCellAnchor>
    <xdr:from>
      <xdr:col>16</xdr:col>
      <xdr:colOff>13608</xdr:colOff>
      <xdr:row>40</xdr:row>
      <xdr:rowOff>21771</xdr:rowOff>
    </xdr:from>
    <xdr:to>
      <xdr:col>16</xdr:col>
      <xdr:colOff>329293</xdr:colOff>
      <xdr:row>41</xdr:row>
      <xdr:rowOff>97970</xdr:rowOff>
    </xdr:to>
    <xdr:sp macro="" textlink="">
      <xdr:nvSpPr>
        <xdr:cNvPr id="167" name="Oval 166">
          <a:extLst>
            <a:ext uri="{FF2B5EF4-FFF2-40B4-BE49-F238E27FC236}">
              <a16:creationId xmlns:a16="http://schemas.microsoft.com/office/drawing/2014/main" id="{00000000-0008-0000-0300-0000A7000000}"/>
            </a:ext>
          </a:extLst>
        </xdr:cNvPr>
        <xdr:cNvSpPr/>
      </xdr:nvSpPr>
      <xdr:spPr>
        <a:xfrm>
          <a:off x="9767208" y="7336971"/>
          <a:ext cx="315685" cy="259079"/>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15</xdr:col>
      <xdr:colOff>224790</xdr:colOff>
      <xdr:row>40</xdr:row>
      <xdr:rowOff>151311</xdr:rowOff>
    </xdr:from>
    <xdr:to>
      <xdr:col>16</xdr:col>
      <xdr:colOff>13608</xdr:colOff>
      <xdr:row>40</xdr:row>
      <xdr:rowOff>151312</xdr:rowOff>
    </xdr:to>
    <xdr:cxnSp macro="">
      <xdr:nvCxnSpPr>
        <xdr:cNvPr id="168" name="Connector: Elbow 42">
          <a:extLst>
            <a:ext uri="{FF2B5EF4-FFF2-40B4-BE49-F238E27FC236}">
              <a16:creationId xmlns:a16="http://schemas.microsoft.com/office/drawing/2014/main" id="{00000000-0008-0000-0300-0000A8000000}"/>
            </a:ext>
          </a:extLst>
        </xdr:cNvPr>
        <xdr:cNvCxnSpPr>
          <a:cxnSpLocks/>
          <a:stCxn id="158" idx="3"/>
          <a:endCxn id="167" idx="2"/>
        </xdr:cNvCxnSpPr>
      </xdr:nvCxnSpPr>
      <xdr:spPr>
        <a:xfrm flipV="1">
          <a:off x="9368790" y="7466511"/>
          <a:ext cx="398418" cy="1"/>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171450</xdr:colOff>
      <xdr:row>23</xdr:row>
      <xdr:rowOff>127908</xdr:rowOff>
    </xdr:from>
    <xdr:to>
      <xdr:col>17</xdr:col>
      <xdr:colOff>141513</xdr:colOff>
      <xdr:row>40</xdr:row>
      <xdr:rowOff>21772</xdr:rowOff>
    </xdr:to>
    <xdr:cxnSp macro="">
      <xdr:nvCxnSpPr>
        <xdr:cNvPr id="169" name="Connector: Elbow 168">
          <a:extLst>
            <a:ext uri="{FF2B5EF4-FFF2-40B4-BE49-F238E27FC236}">
              <a16:creationId xmlns:a16="http://schemas.microsoft.com/office/drawing/2014/main" id="{00000000-0008-0000-0300-0000A9000000}"/>
            </a:ext>
          </a:extLst>
        </xdr:cNvPr>
        <xdr:cNvCxnSpPr>
          <a:stCxn id="167" idx="0"/>
          <a:endCxn id="164" idx="1"/>
        </xdr:cNvCxnSpPr>
      </xdr:nvCxnSpPr>
      <xdr:spPr>
        <a:xfrm rot="5400000" flipH="1" flipV="1">
          <a:off x="8713470" y="5545728"/>
          <a:ext cx="3002824" cy="579663"/>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329293</xdr:colOff>
      <xdr:row>39</xdr:row>
      <xdr:rowOff>28514</xdr:rowOff>
    </xdr:from>
    <xdr:to>
      <xdr:col>17</xdr:col>
      <xdr:colOff>547042</xdr:colOff>
      <xdr:row>40</xdr:row>
      <xdr:rowOff>151311</xdr:rowOff>
    </xdr:to>
    <xdr:cxnSp macro="">
      <xdr:nvCxnSpPr>
        <xdr:cNvPr id="170" name="Connector: Elbow 169">
          <a:extLst>
            <a:ext uri="{FF2B5EF4-FFF2-40B4-BE49-F238E27FC236}">
              <a16:creationId xmlns:a16="http://schemas.microsoft.com/office/drawing/2014/main" id="{00000000-0008-0000-0300-0000AA000000}"/>
            </a:ext>
          </a:extLst>
        </xdr:cNvPr>
        <xdr:cNvCxnSpPr>
          <a:stCxn id="167" idx="6"/>
          <a:endCxn id="165" idx="1"/>
        </xdr:cNvCxnSpPr>
      </xdr:nvCxnSpPr>
      <xdr:spPr>
        <a:xfrm flipV="1">
          <a:off x="10082893" y="7160834"/>
          <a:ext cx="827349" cy="305677"/>
        </a:xfrm>
        <a:prstGeom prst="bentConnector3">
          <a:avLst>
            <a:gd name="adj1" fmla="val 50000"/>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171451</xdr:colOff>
      <xdr:row>41</xdr:row>
      <xdr:rowOff>97969</xdr:rowOff>
    </xdr:from>
    <xdr:to>
      <xdr:col>17</xdr:col>
      <xdr:colOff>487136</xdr:colOff>
      <xdr:row>48</xdr:row>
      <xdr:rowOff>8164</xdr:rowOff>
    </xdr:to>
    <xdr:cxnSp macro="">
      <xdr:nvCxnSpPr>
        <xdr:cNvPr id="171" name="Connector: Elbow 170">
          <a:extLst>
            <a:ext uri="{FF2B5EF4-FFF2-40B4-BE49-F238E27FC236}">
              <a16:creationId xmlns:a16="http://schemas.microsoft.com/office/drawing/2014/main" id="{00000000-0008-0000-0300-0000AB000000}"/>
            </a:ext>
          </a:extLst>
        </xdr:cNvPr>
        <xdr:cNvCxnSpPr>
          <a:stCxn id="167" idx="4"/>
          <a:endCxn id="166" idx="1"/>
        </xdr:cNvCxnSpPr>
      </xdr:nvCxnSpPr>
      <xdr:spPr>
        <a:xfrm rot="16200000" flipH="1">
          <a:off x="9792516" y="7728584"/>
          <a:ext cx="1190355" cy="925285"/>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103415</xdr:colOff>
      <xdr:row>47</xdr:row>
      <xdr:rowOff>76206</xdr:rowOff>
    </xdr:from>
    <xdr:to>
      <xdr:col>20</xdr:col>
      <xdr:colOff>310244</xdr:colOff>
      <xdr:row>48</xdr:row>
      <xdr:rowOff>130634</xdr:rowOff>
    </xdr:to>
    <xdr:sp macro="" textlink="">
      <xdr:nvSpPr>
        <xdr:cNvPr id="172" name="Isosceles Triangle 171">
          <a:extLst>
            <a:ext uri="{FF2B5EF4-FFF2-40B4-BE49-F238E27FC236}">
              <a16:creationId xmlns:a16="http://schemas.microsoft.com/office/drawing/2014/main" id="{00000000-0008-0000-0300-0000AC000000}"/>
            </a:ext>
          </a:extLst>
        </xdr:cNvPr>
        <xdr:cNvSpPr/>
      </xdr:nvSpPr>
      <xdr:spPr>
        <a:xfrm rot="5400000">
          <a:off x="12280176" y="8686805"/>
          <a:ext cx="237308"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19</xdr:col>
      <xdr:colOff>117022</xdr:colOff>
      <xdr:row>48</xdr:row>
      <xdr:rowOff>8165</xdr:rowOff>
    </xdr:from>
    <xdr:to>
      <xdr:col>20</xdr:col>
      <xdr:colOff>103416</xdr:colOff>
      <xdr:row>48</xdr:row>
      <xdr:rowOff>8170</xdr:rowOff>
    </xdr:to>
    <xdr:cxnSp macro="">
      <xdr:nvCxnSpPr>
        <xdr:cNvPr id="173" name="Connector: Elbow 351">
          <a:extLst>
            <a:ext uri="{FF2B5EF4-FFF2-40B4-BE49-F238E27FC236}">
              <a16:creationId xmlns:a16="http://schemas.microsoft.com/office/drawing/2014/main" id="{00000000-0008-0000-0300-0000AD000000}"/>
            </a:ext>
          </a:extLst>
        </xdr:cNvPr>
        <xdr:cNvCxnSpPr>
          <a:stCxn id="166" idx="3"/>
          <a:endCxn id="172" idx="3"/>
        </xdr:cNvCxnSpPr>
      </xdr:nvCxnSpPr>
      <xdr:spPr>
        <a:xfrm>
          <a:off x="11699422" y="8786405"/>
          <a:ext cx="595994" cy="5"/>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293546</xdr:colOff>
      <xdr:row>38</xdr:row>
      <xdr:rowOff>74114</xdr:rowOff>
    </xdr:from>
    <xdr:to>
      <xdr:col>20</xdr:col>
      <xdr:colOff>500375</xdr:colOff>
      <xdr:row>39</xdr:row>
      <xdr:rowOff>134687</xdr:rowOff>
    </xdr:to>
    <xdr:sp macro="" textlink="">
      <xdr:nvSpPr>
        <xdr:cNvPr id="174" name="Isosceles Triangle 173">
          <a:extLst>
            <a:ext uri="{FF2B5EF4-FFF2-40B4-BE49-F238E27FC236}">
              <a16:creationId xmlns:a16="http://schemas.microsoft.com/office/drawing/2014/main" id="{00000000-0008-0000-0300-0000AE000000}"/>
            </a:ext>
          </a:extLst>
        </xdr:cNvPr>
        <xdr:cNvSpPr/>
      </xdr:nvSpPr>
      <xdr:spPr>
        <a:xfrm rot="5400000">
          <a:off x="12467234" y="7041866"/>
          <a:ext cx="243453"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19</xdr:col>
      <xdr:colOff>176928</xdr:colOff>
      <xdr:row>39</xdr:row>
      <xdr:rowOff>12961</xdr:rowOff>
    </xdr:from>
    <xdr:to>
      <xdr:col>20</xdr:col>
      <xdr:colOff>293546</xdr:colOff>
      <xdr:row>39</xdr:row>
      <xdr:rowOff>28514</xdr:rowOff>
    </xdr:to>
    <xdr:cxnSp macro="">
      <xdr:nvCxnSpPr>
        <xdr:cNvPr id="175" name="Connector: Elbow 351">
          <a:extLst>
            <a:ext uri="{FF2B5EF4-FFF2-40B4-BE49-F238E27FC236}">
              <a16:creationId xmlns:a16="http://schemas.microsoft.com/office/drawing/2014/main" id="{00000000-0008-0000-0300-0000AF000000}"/>
            </a:ext>
          </a:extLst>
        </xdr:cNvPr>
        <xdr:cNvCxnSpPr>
          <a:stCxn id="165" idx="3"/>
          <a:endCxn id="174" idx="3"/>
        </xdr:cNvCxnSpPr>
      </xdr:nvCxnSpPr>
      <xdr:spPr>
        <a:xfrm flipV="1">
          <a:off x="11759328" y="7145281"/>
          <a:ext cx="726218" cy="15553"/>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480604</xdr:colOff>
      <xdr:row>13</xdr:row>
      <xdr:rowOff>171450</xdr:rowOff>
    </xdr:from>
    <xdr:to>
      <xdr:col>23</xdr:col>
      <xdr:colOff>110490</xdr:colOff>
      <xdr:row>16</xdr:row>
      <xdr:rowOff>130084</xdr:rowOff>
    </xdr:to>
    <xdr:sp macro="" textlink="">
      <xdr:nvSpPr>
        <xdr:cNvPr id="176" name="Rectangle: Rounded Corners 175">
          <a:extLst>
            <a:ext uri="{FF2B5EF4-FFF2-40B4-BE49-F238E27FC236}">
              <a16:creationId xmlns:a16="http://schemas.microsoft.com/office/drawing/2014/main" id="{00000000-0008-0000-0300-0000B0000000}"/>
            </a:ext>
          </a:extLst>
        </xdr:cNvPr>
        <xdr:cNvSpPr/>
      </xdr:nvSpPr>
      <xdr:spPr>
        <a:xfrm>
          <a:off x="13282204" y="2548890"/>
          <a:ext cx="849086" cy="507274"/>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RDS</a:t>
          </a:r>
        </a:p>
      </xdr:txBody>
    </xdr:sp>
    <xdr:clientData/>
  </xdr:twoCellAnchor>
  <xdr:twoCellAnchor>
    <xdr:from>
      <xdr:col>21</xdr:col>
      <xdr:colOff>519389</xdr:colOff>
      <xdr:row>24</xdr:row>
      <xdr:rowOff>102642</xdr:rowOff>
    </xdr:from>
    <xdr:to>
      <xdr:col>23</xdr:col>
      <xdr:colOff>149275</xdr:colOff>
      <xdr:row>27</xdr:row>
      <xdr:rowOff>59100</xdr:rowOff>
    </xdr:to>
    <xdr:sp macro="" textlink="">
      <xdr:nvSpPr>
        <xdr:cNvPr id="177" name="Rectangle: Rounded Corners 176">
          <a:extLst>
            <a:ext uri="{FF2B5EF4-FFF2-40B4-BE49-F238E27FC236}">
              <a16:creationId xmlns:a16="http://schemas.microsoft.com/office/drawing/2014/main" id="{00000000-0008-0000-0300-0000B1000000}"/>
            </a:ext>
          </a:extLst>
        </xdr:cNvPr>
        <xdr:cNvSpPr/>
      </xdr:nvSpPr>
      <xdr:spPr>
        <a:xfrm>
          <a:off x="13320989" y="4491762"/>
          <a:ext cx="849086" cy="505098"/>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no complications</a:t>
          </a:r>
        </a:p>
      </xdr:txBody>
    </xdr:sp>
    <xdr:clientData/>
  </xdr:twoCellAnchor>
  <xdr:twoCellAnchor>
    <xdr:from>
      <xdr:col>19</xdr:col>
      <xdr:colOff>601436</xdr:colOff>
      <xdr:row>23</xdr:row>
      <xdr:rowOff>-1</xdr:rowOff>
    </xdr:from>
    <xdr:to>
      <xdr:col>20</xdr:col>
      <xdr:colOff>307521</xdr:colOff>
      <xdr:row>24</xdr:row>
      <xdr:rowOff>76199</xdr:rowOff>
    </xdr:to>
    <xdr:sp macro="" textlink="">
      <xdr:nvSpPr>
        <xdr:cNvPr id="178" name="Oval 177">
          <a:extLst>
            <a:ext uri="{FF2B5EF4-FFF2-40B4-BE49-F238E27FC236}">
              <a16:creationId xmlns:a16="http://schemas.microsoft.com/office/drawing/2014/main" id="{00000000-0008-0000-0300-0000B2000000}"/>
            </a:ext>
          </a:extLst>
        </xdr:cNvPr>
        <xdr:cNvSpPr/>
      </xdr:nvSpPr>
      <xdr:spPr>
        <a:xfrm>
          <a:off x="12183836" y="4206239"/>
          <a:ext cx="315685" cy="25908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18</xdr:col>
      <xdr:colOff>381000</xdr:colOff>
      <xdr:row>23</xdr:row>
      <xdr:rowOff>127907</xdr:rowOff>
    </xdr:from>
    <xdr:to>
      <xdr:col>19</xdr:col>
      <xdr:colOff>601436</xdr:colOff>
      <xdr:row>23</xdr:row>
      <xdr:rowOff>133349</xdr:rowOff>
    </xdr:to>
    <xdr:cxnSp macro="">
      <xdr:nvCxnSpPr>
        <xdr:cNvPr id="195" name="Connector: Elbow 42">
          <a:extLst>
            <a:ext uri="{FF2B5EF4-FFF2-40B4-BE49-F238E27FC236}">
              <a16:creationId xmlns:a16="http://schemas.microsoft.com/office/drawing/2014/main" id="{00000000-0008-0000-0300-0000C3000000}"/>
            </a:ext>
          </a:extLst>
        </xdr:cNvPr>
        <xdr:cNvCxnSpPr>
          <a:cxnSpLocks/>
          <a:stCxn id="164" idx="3"/>
          <a:endCxn id="178" idx="2"/>
        </xdr:cNvCxnSpPr>
      </xdr:nvCxnSpPr>
      <xdr:spPr>
        <a:xfrm>
          <a:off x="11353800" y="4334147"/>
          <a:ext cx="830036" cy="5442"/>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149678</xdr:colOff>
      <xdr:row>15</xdr:row>
      <xdr:rowOff>59328</xdr:rowOff>
    </xdr:from>
    <xdr:to>
      <xdr:col>21</xdr:col>
      <xdr:colOff>480603</xdr:colOff>
      <xdr:row>23</xdr:row>
      <xdr:rowOff>0</xdr:rowOff>
    </xdr:to>
    <xdr:cxnSp macro="">
      <xdr:nvCxnSpPr>
        <xdr:cNvPr id="196" name="Connector: Elbow 195">
          <a:extLst>
            <a:ext uri="{FF2B5EF4-FFF2-40B4-BE49-F238E27FC236}">
              <a16:creationId xmlns:a16="http://schemas.microsoft.com/office/drawing/2014/main" id="{00000000-0008-0000-0300-0000C4000000}"/>
            </a:ext>
          </a:extLst>
        </xdr:cNvPr>
        <xdr:cNvCxnSpPr>
          <a:stCxn id="178" idx="0"/>
          <a:endCxn id="176" idx="1"/>
        </xdr:cNvCxnSpPr>
      </xdr:nvCxnSpPr>
      <xdr:spPr>
        <a:xfrm rot="5400000" flipH="1" flipV="1">
          <a:off x="12110085" y="3034121"/>
          <a:ext cx="1403712" cy="940525"/>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149679</xdr:colOff>
      <xdr:row>24</xdr:row>
      <xdr:rowOff>76199</xdr:rowOff>
    </xdr:from>
    <xdr:to>
      <xdr:col>21</xdr:col>
      <xdr:colOff>519389</xdr:colOff>
      <xdr:row>25</xdr:row>
      <xdr:rowOff>172311</xdr:rowOff>
    </xdr:to>
    <xdr:cxnSp macro="">
      <xdr:nvCxnSpPr>
        <xdr:cNvPr id="197" name="Connector: Elbow 196">
          <a:extLst>
            <a:ext uri="{FF2B5EF4-FFF2-40B4-BE49-F238E27FC236}">
              <a16:creationId xmlns:a16="http://schemas.microsoft.com/office/drawing/2014/main" id="{00000000-0008-0000-0300-0000C5000000}"/>
            </a:ext>
          </a:extLst>
        </xdr:cNvPr>
        <xdr:cNvCxnSpPr>
          <a:stCxn id="178" idx="4"/>
          <a:endCxn id="177" idx="1"/>
        </xdr:cNvCxnSpPr>
      </xdr:nvCxnSpPr>
      <xdr:spPr>
        <a:xfrm rot="16200000" flipH="1">
          <a:off x="12691838" y="4115160"/>
          <a:ext cx="278992" cy="979310"/>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507275</xdr:colOff>
      <xdr:row>25</xdr:row>
      <xdr:rowOff>29256</xdr:rowOff>
    </xdr:from>
    <xdr:to>
      <xdr:col>25</xdr:col>
      <xdr:colOff>104504</xdr:colOff>
      <xdr:row>26</xdr:row>
      <xdr:rowOff>83684</xdr:rowOff>
    </xdr:to>
    <xdr:sp macro="" textlink="">
      <xdr:nvSpPr>
        <xdr:cNvPr id="198" name="Isosceles Triangle 197">
          <a:extLst>
            <a:ext uri="{FF2B5EF4-FFF2-40B4-BE49-F238E27FC236}">
              <a16:creationId xmlns:a16="http://schemas.microsoft.com/office/drawing/2014/main" id="{00000000-0008-0000-0300-0000C6000000}"/>
            </a:ext>
          </a:extLst>
        </xdr:cNvPr>
        <xdr:cNvSpPr/>
      </xdr:nvSpPr>
      <xdr:spPr>
        <a:xfrm rot="5400000">
          <a:off x="15122436" y="4616495"/>
          <a:ext cx="237308"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23</xdr:col>
      <xdr:colOff>149275</xdr:colOff>
      <xdr:row>25</xdr:row>
      <xdr:rowOff>147910</xdr:rowOff>
    </xdr:from>
    <xdr:to>
      <xdr:col>24</xdr:col>
      <xdr:colOff>507276</xdr:colOff>
      <xdr:row>25</xdr:row>
      <xdr:rowOff>172311</xdr:rowOff>
    </xdr:to>
    <xdr:cxnSp macro="">
      <xdr:nvCxnSpPr>
        <xdr:cNvPr id="199" name="Connector: Elbow 351">
          <a:extLst>
            <a:ext uri="{FF2B5EF4-FFF2-40B4-BE49-F238E27FC236}">
              <a16:creationId xmlns:a16="http://schemas.microsoft.com/office/drawing/2014/main" id="{00000000-0008-0000-0300-0000C7000000}"/>
            </a:ext>
          </a:extLst>
        </xdr:cNvPr>
        <xdr:cNvCxnSpPr>
          <a:stCxn id="177" idx="3"/>
          <a:endCxn id="198" idx="3"/>
        </xdr:cNvCxnSpPr>
      </xdr:nvCxnSpPr>
      <xdr:spPr>
        <a:xfrm flipV="1">
          <a:off x="14170075" y="4719910"/>
          <a:ext cx="967601" cy="24401"/>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110490</xdr:colOff>
      <xdr:row>15</xdr:row>
      <xdr:rowOff>59327</xdr:rowOff>
    </xdr:from>
    <xdr:to>
      <xdr:col>24</xdr:col>
      <xdr:colOff>400948</xdr:colOff>
      <xdr:row>15</xdr:row>
      <xdr:rowOff>81824</xdr:rowOff>
    </xdr:to>
    <xdr:cxnSp macro="">
      <xdr:nvCxnSpPr>
        <xdr:cNvPr id="206" name="Connector: Elbow 42">
          <a:extLst>
            <a:ext uri="{FF2B5EF4-FFF2-40B4-BE49-F238E27FC236}">
              <a16:creationId xmlns:a16="http://schemas.microsoft.com/office/drawing/2014/main" id="{00000000-0008-0000-0300-0000CE000000}"/>
            </a:ext>
          </a:extLst>
        </xdr:cNvPr>
        <xdr:cNvCxnSpPr>
          <a:cxnSpLocks/>
          <a:stCxn id="176" idx="3"/>
          <a:endCxn id="213" idx="3"/>
        </xdr:cNvCxnSpPr>
      </xdr:nvCxnSpPr>
      <xdr:spPr>
        <a:xfrm>
          <a:off x="14131290" y="2802527"/>
          <a:ext cx="900058" cy="22497"/>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549869</xdr:colOff>
      <xdr:row>31</xdr:row>
      <xdr:rowOff>26442</xdr:rowOff>
    </xdr:from>
    <xdr:to>
      <xdr:col>23</xdr:col>
      <xdr:colOff>179755</xdr:colOff>
      <xdr:row>35</xdr:row>
      <xdr:rowOff>106680</xdr:rowOff>
    </xdr:to>
    <xdr:sp macro="" textlink="">
      <xdr:nvSpPr>
        <xdr:cNvPr id="209" name="Rectangle: Rounded Corners 208">
          <a:extLst>
            <a:ext uri="{FF2B5EF4-FFF2-40B4-BE49-F238E27FC236}">
              <a16:creationId xmlns:a16="http://schemas.microsoft.com/office/drawing/2014/main" id="{00000000-0008-0000-0300-0000D1000000}"/>
            </a:ext>
          </a:extLst>
        </xdr:cNvPr>
        <xdr:cNvSpPr/>
      </xdr:nvSpPr>
      <xdr:spPr>
        <a:xfrm>
          <a:off x="13351469" y="5695722"/>
          <a:ext cx="849086" cy="811758"/>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Death within</a:t>
          </a:r>
          <a:r>
            <a:rPr lang="en-ZA" sz="1100" baseline="0">
              <a:solidFill>
                <a:sysClr val="windowText" lastClr="000000"/>
              </a:solidFill>
            </a:rPr>
            <a:t> 28 days</a:t>
          </a:r>
          <a:endParaRPr lang="en-ZA" sz="1100">
            <a:solidFill>
              <a:sysClr val="windowText" lastClr="000000"/>
            </a:solidFill>
          </a:endParaRPr>
        </a:p>
      </xdr:txBody>
    </xdr:sp>
    <xdr:clientData/>
  </xdr:twoCellAnchor>
  <xdr:twoCellAnchor>
    <xdr:from>
      <xdr:col>20</xdr:col>
      <xdr:colOff>149679</xdr:colOff>
      <xdr:row>24</xdr:row>
      <xdr:rowOff>76199</xdr:rowOff>
    </xdr:from>
    <xdr:to>
      <xdr:col>21</xdr:col>
      <xdr:colOff>549869</xdr:colOff>
      <xdr:row>33</xdr:row>
      <xdr:rowOff>66561</xdr:rowOff>
    </xdr:to>
    <xdr:cxnSp macro="">
      <xdr:nvCxnSpPr>
        <xdr:cNvPr id="210" name="Connector: Elbow 209">
          <a:extLst>
            <a:ext uri="{FF2B5EF4-FFF2-40B4-BE49-F238E27FC236}">
              <a16:creationId xmlns:a16="http://schemas.microsoft.com/office/drawing/2014/main" id="{00000000-0008-0000-0300-0000D2000000}"/>
            </a:ext>
          </a:extLst>
        </xdr:cNvPr>
        <xdr:cNvCxnSpPr>
          <a:stCxn id="178" idx="4"/>
          <a:endCxn id="209" idx="1"/>
        </xdr:cNvCxnSpPr>
      </xdr:nvCxnSpPr>
      <xdr:spPr>
        <a:xfrm rot="16200000" flipH="1">
          <a:off x="12028433" y="4778565"/>
          <a:ext cx="1636282" cy="1009790"/>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34835</xdr:colOff>
      <xdr:row>32</xdr:row>
      <xdr:rowOff>90216</xdr:rowOff>
    </xdr:from>
    <xdr:to>
      <xdr:col>25</xdr:col>
      <xdr:colOff>241664</xdr:colOff>
      <xdr:row>33</xdr:row>
      <xdr:rowOff>144644</xdr:rowOff>
    </xdr:to>
    <xdr:sp macro="" textlink="">
      <xdr:nvSpPr>
        <xdr:cNvPr id="211" name="Isosceles Triangle 210">
          <a:extLst>
            <a:ext uri="{FF2B5EF4-FFF2-40B4-BE49-F238E27FC236}">
              <a16:creationId xmlns:a16="http://schemas.microsoft.com/office/drawing/2014/main" id="{00000000-0008-0000-0300-0000D3000000}"/>
            </a:ext>
          </a:extLst>
        </xdr:cNvPr>
        <xdr:cNvSpPr/>
      </xdr:nvSpPr>
      <xdr:spPr>
        <a:xfrm rot="5400000">
          <a:off x="15259596" y="5957615"/>
          <a:ext cx="237308"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23</xdr:col>
      <xdr:colOff>179755</xdr:colOff>
      <xdr:row>33</xdr:row>
      <xdr:rowOff>25990</xdr:rowOff>
    </xdr:from>
    <xdr:to>
      <xdr:col>25</xdr:col>
      <xdr:colOff>34836</xdr:colOff>
      <xdr:row>33</xdr:row>
      <xdr:rowOff>66561</xdr:rowOff>
    </xdr:to>
    <xdr:cxnSp macro="">
      <xdr:nvCxnSpPr>
        <xdr:cNvPr id="212" name="Connector: Elbow 351">
          <a:extLst>
            <a:ext uri="{FF2B5EF4-FFF2-40B4-BE49-F238E27FC236}">
              <a16:creationId xmlns:a16="http://schemas.microsoft.com/office/drawing/2014/main" id="{00000000-0008-0000-0300-0000D4000000}"/>
            </a:ext>
          </a:extLst>
        </xdr:cNvPr>
        <xdr:cNvCxnSpPr>
          <a:stCxn id="209" idx="3"/>
          <a:endCxn id="211" idx="3"/>
        </xdr:cNvCxnSpPr>
      </xdr:nvCxnSpPr>
      <xdr:spPr>
        <a:xfrm flipV="1">
          <a:off x="14200555" y="6061030"/>
          <a:ext cx="1074281" cy="40571"/>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400947</xdr:colOff>
      <xdr:row>14</xdr:row>
      <xdr:rowOff>149860</xdr:rowOff>
    </xdr:from>
    <xdr:to>
      <xdr:col>24</xdr:col>
      <xdr:colOff>607776</xdr:colOff>
      <xdr:row>16</xdr:row>
      <xdr:rowOff>13788</xdr:rowOff>
    </xdr:to>
    <xdr:sp macro="" textlink="">
      <xdr:nvSpPr>
        <xdr:cNvPr id="213" name="Isosceles Triangle 212">
          <a:extLst>
            <a:ext uri="{FF2B5EF4-FFF2-40B4-BE49-F238E27FC236}">
              <a16:creationId xmlns:a16="http://schemas.microsoft.com/office/drawing/2014/main" id="{00000000-0008-0000-0300-0000D5000000}"/>
            </a:ext>
          </a:extLst>
        </xdr:cNvPr>
        <xdr:cNvSpPr/>
      </xdr:nvSpPr>
      <xdr:spPr>
        <a:xfrm rot="5400000">
          <a:off x="15019918" y="2721609"/>
          <a:ext cx="229688"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19</xdr:col>
      <xdr:colOff>385354</xdr:colOff>
      <xdr:row>72</xdr:row>
      <xdr:rowOff>26670</xdr:rowOff>
    </xdr:from>
    <xdr:to>
      <xdr:col>21</xdr:col>
      <xdr:colOff>15240</xdr:colOff>
      <xdr:row>74</xdr:row>
      <xdr:rowOff>160564</xdr:rowOff>
    </xdr:to>
    <xdr:sp macro="" textlink="">
      <xdr:nvSpPr>
        <xdr:cNvPr id="214" name="Rectangle: Rounded Corners 213">
          <a:extLst>
            <a:ext uri="{FF2B5EF4-FFF2-40B4-BE49-F238E27FC236}">
              <a16:creationId xmlns:a16="http://schemas.microsoft.com/office/drawing/2014/main" id="{00000000-0008-0000-0300-0000D6000000}"/>
            </a:ext>
          </a:extLst>
        </xdr:cNvPr>
        <xdr:cNvSpPr/>
      </xdr:nvSpPr>
      <xdr:spPr>
        <a:xfrm>
          <a:off x="11967754" y="13194030"/>
          <a:ext cx="849086" cy="499654"/>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SGA</a:t>
          </a:r>
        </a:p>
      </xdr:txBody>
    </xdr:sp>
    <xdr:clientData/>
  </xdr:twoCellAnchor>
  <xdr:twoCellAnchor>
    <xdr:from>
      <xdr:col>19</xdr:col>
      <xdr:colOff>547042</xdr:colOff>
      <xdr:row>87</xdr:row>
      <xdr:rowOff>144797</xdr:rowOff>
    </xdr:from>
    <xdr:to>
      <xdr:col>21</xdr:col>
      <xdr:colOff>176928</xdr:colOff>
      <xdr:row>90</xdr:row>
      <xdr:rowOff>95110</xdr:rowOff>
    </xdr:to>
    <xdr:sp macro="" textlink="">
      <xdr:nvSpPr>
        <xdr:cNvPr id="215" name="Rectangle: Rounded Corners 214">
          <a:extLst>
            <a:ext uri="{FF2B5EF4-FFF2-40B4-BE49-F238E27FC236}">
              <a16:creationId xmlns:a16="http://schemas.microsoft.com/office/drawing/2014/main" id="{00000000-0008-0000-0300-0000D7000000}"/>
            </a:ext>
          </a:extLst>
        </xdr:cNvPr>
        <xdr:cNvSpPr/>
      </xdr:nvSpPr>
      <xdr:spPr>
        <a:xfrm>
          <a:off x="12129442" y="16055357"/>
          <a:ext cx="849086" cy="498953"/>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Norrmal</a:t>
          </a:r>
          <a:r>
            <a:rPr lang="en-ZA" sz="1100" baseline="0">
              <a:solidFill>
                <a:sysClr val="windowText" lastClr="000000"/>
              </a:solidFill>
            </a:rPr>
            <a:t> weight</a:t>
          </a:r>
          <a:endParaRPr lang="en-ZA" sz="1100">
            <a:solidFill>
              <a:sysClr val="windowText" lastClr="000000"/>
            </a:solidFill>
          </a:endParaRPr>
        </a:p>
      </xdr:txBody>
    </xdr:sp>
    <xdr:clientData/>
  </xdr:twoCellAnchor>
  <xdr:twoCellAnchor>
    <xdr:from>
      <xdr:col>19</xdr:col>
      <xdr:colOff>487136</xdr:colOff>
      <xdr:row>96</xdr:row>
      <xdr:rowOff>127907</xdr:rowOff>
    </xdr:from>
    <xdr:to>
      <xdr:col>21</xdr:col>
      <xdr:colOff>117022</xdr:colOff>
      <xdr:row>99</xdr:row>
      <xdr:rowOff>78922</xdr:rowOff>
    </xdr:to>
    <xdr:sp macro="" textlink="">
      <xdr:nvSpPr>
        <xdr:cNvPr id="216" name="Rectangle: Rounded Corners 215">
          <a:extLst>
            <a:ext uri="{FF2B5EF4-FFF2-40B4-BE49-F238E27FC236}">
              <a16:creationId xmlns:a16="http://schemas.microsoft.com/office/drawing/2014/main" id="{00000000-0008-0000-0300-0000D8000000}"/>
            </a:ext>
          </a:extLst>
        </xdr:cNvPr>
        <xdr:cNvSpPr/>
      </xdr:nvSpPr>
      <xdr:spPr>
        <a:xfrm>
          <a:off x="12069536" y="17684387"/>
          <a:ext cx="849086" cy="499655"/>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Stillbirth</a:t>
          </a:r>
        </a:p>
      </xdr:txBody>
    </xdr:sp>
    <xdr:clientData/>
  </xdr:twoCellAnchor>
  <xdr:twoCellAnchor>
    <xdr:from>
      <xdr:col>17</xdr:col>
      <xdr:colOff>516528</xdr:colOff>
      <xdr:row>79</xdr:row>
      <xdr:rowOff>37011</xdr:rowOff>
    </xdr:from>
    <xdr:to>
      <xdr:col>18</xdr:col>
      <xdr:colOff>222613</xdr:colOff>
      <xdr:row>80</xdr:row>
      <xdr:rowOff>113210</xdr:rowOff>
    </xdr:to>
    <xdr:sp macro="" textlink="">
      <xdr:nvSpPr>
        <xdr:cNvPr id="217" name="Oval 216">
          <a:extLst>
            <a:ext uri="{FF2B5EF4-FFF2-40B4-BE49-F238E27FC236}">
              <a16:creationId xmlns:a16="http://schemas.microsoft.com/office/drawing/2014/main" id="{00000000-0008-0000-0300-0000D9000000}"/>
            </a:ext>
          </a:extLst>
        </xdr:cNvPr>
        <xdr:cNvSpPr/>
      </xdr:nvSpPr>
      <xdr:spPr>
        <a:xfrm>
          <a:off x="10879728" y="14484531"/>
          <a:ext cx="315685" cy="259079"/>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18</xdr:col>
      <xdr:colOff>64770</xdr:colOff>
      <xdr:row>73</xdr:row>
      <xdr:rowOff>93618</xdr:rowOff>
    </xdr:from>
    <xdr:to>
      <xdr:col>19</xdr:col>
      <xdr:colOff>385353</xdr:colOff>
      <xdr:row>79</xdr:row>
      <xdr:rowOff>37012</xdr:rowOff>
    </xdr:to>
    <xdr:cxnSp macro="">
      <xdr:nvCxnSpPr>
        <xdr:cNvPr id="218" name="Connector: Elbow 217">
          <a:extLst>
            <a:ext uri="{FF2B5EF4-FFF2-40B4-BE49-F238E27FC236}">
              <a16:creationId xmlns:a16="http://schemas.microsoft.com/office/drawing/2014/main" id="{00000000-0008-0000-0300-0000DA000000}"/>
            </a:ext>
          </a:extLst>
        </xdr:cNvPr>
        <xdr:cNvCxnSpPr>
          <a:cxnSpLocks/>
          <a:stCxn id="217" idx="0"/>
          <a:endCxn id="214" idx="1"/>
        </xdr:cNvCxnSpPr>
      </xdr:nvCxnSpPr>
      <xdr:spPr>
        <a:xfrm rot="5400000" flipH="1" flipV="1">
          <a:off x="10982325" y="13499103"/>
          <a:ext cx="1040674" cy="930183"/>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222613</xdr:colOff>
      <xdr:row>79</xdr:row>
      <xdr:rowOff>166551</xdr:rowOff>
    </xdr:from>
    <xdr:to>
      <xdr:col>19</xdr:col>
      <xdr:colOff>547042</xdr:colOff>
      <xdr:row>89</xdr:row>
      <xdr:rowOff>28514</xdr:rowOff>
    </xdr:to>
    <xdr:cxnSp macro="">
      <xdr:nvCxnSpPr>
        <xdr:cNvPr id="219" name="Connector: Elbow 218">
          <a:extLst>
            <a:ext uri="{FF2B5EF4-FFF2-40B4-BE49-F238E27FC236}">
              <a16:creationId xmlns:a16="http://schemas.microsoft.com/office/drawing/2014/main" id="{00000000-0008-0000-0300-0000DB000000}"/>
            </a:ext>
          </a:extLst>
        </xdr:cNvPr>
        <xdr:cNvCxnSpPr>
          <a:stCxn id="217" idx="6"/>
          <a:endCxn id="215" idx="1"/>
        </xdr:cNvCxnSpPr>
      </xdr:nvCxnSpPr>
      <xdr:spPr>
        <a:xfrm>
          <a:off x="11195413" y="14614071"/>
          <a:ext cx="934029" cy="1690763"/>
        </a:xfrm>
        <a:prstGeom prst="bentConnector3">
          <a:avLst>
            <a:gd name="adj1" fmla="val 50000"/>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64771</xdr:colOff>
      <xdr:row>80</xdr:row>
      <xdr:rowOff>113209</xdr:rowOff>
    </xdr:from>
    <xdr:to>
      <xdr:col>19</xdr:col>
      <xdr:colOff>487136</xdr:colOff>
      <xdr:row>98</xdr:row>
      <xdr:rowOff>11974</xdr:rowOff>
    </xdr:to>
    <xdr:cxnSp macro="">
      <xdr:nvCxnSpPr>
        <xdr:cNvPr id="220" name="Connector: Elbow 219">
          <a:extLst>
            <a:ext uri="{FF2B5EF4-FFF2-40B4-BE49-F238E27FC236}">
              <a16:creationId xmlns:a16="http://schemas.microsoft.com/office/drawing/2014/main" id="{00000000-0008-0000-0300-0000DC000000}"/>
            </a:ext>
          </a:extLst>
        </xdr:cNvPr>
        <xdr:cNvCxnSpPr>
          <a:stCxn id="217" idx="4"/>
          <a:endCxn id="216" idx="1"/>
        </xdr:cNvCxnSpPr>
      </xdr:nvCxnSpPr>
      <xdr:spPr>
        <a:xfrm rot="16200000" flipH="1">
          <a:off x="9958251" y="15822929"/>
          <a:ext cx="3190605" cy="1031965"/>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103415</xdr:colOff>
      <xdr:row>97</xdr:row>
      <xdr:rowOff>76206</xdr:rowOff>
    </xdr:from>
    <xdr:to>
      <xdr:col>22</xdr:col>
      <xdr:colOff>310244</xdr:colOff>
      <xdr:row>98</xdr:row>
      <xdr:rowOff>130634</xdr:rowOff>
    </xdr:to>
    <xdr:sp macro="" textlink="">
      <xdr:nvSpPr>
        <xdr:cNvPr id="221" name="Isosceles Triangle 220">
          <a:extLst>
            <a:ext uri="{FF2B5EF4-FFF2-40B4-BE49-F238E27FC236}">
              <a16:creationId xmlns:a16="http://schemas.microsoft.com/office/drawing/2014/main" id="{00000000-0008-0000-0300-0000DD000000}"/>
            </a:ext>
          </a:extLst>
        </xdr:cNvPr>
        <xdr:cNvSpPr/>
      </xdr:nvSpPr>
      <xdr:spPr>
        <a:xfrm rot="5400000">
          <a:off x="13499376" y="17830805"/>
          <a:ext cx="237308"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21</xdr:col>
      <xdr:colOff>117022</xdr:colOff>
      <xdr:row>98</xdr:row>
      <xdr:rowOff>8165</xdr:rowOff>
    </xdr:from>
    <xdr:to>
      <xdr:col>22</xdr:col>
      <xdr:colOff>103416</xdr:colOff>
      <xdr:row>98</xdr:row>
      <xdr:rowOff>8170</xdr:rowOff>
    </xdr:to>
    <xdr:cxnSp macro="">
      <xdr:nvCxnSpPr>
        <xdr:cNvPr id="222" name="Connector: Elbow 351">
          <a:extLst>
            <a:ext uri="{FF2B5EF4-FFF2-40B4-BE49-F238E27FC236}">
              <a16:creationId xmlns:a16="http://schemas.microsoft.com/office/drawing/2014/main" id="{00000000-0008-0000-0300-0000DE000000}"/>
            </a:ext>
          </a:extLst>
        </xdr:cNvPr>
        <xdr:cNvCxnSpPr>
          <a:stCxn id="216" idx="3"/>
          <a:endCxn id="221" idx="3"/>
        </xdr:cNvCxnSpPr>
      </xdr:nvCxnSpPr>
      <xdr:spPr>
        <a:xfrm>
          <a:off x="12918622" y="17930405"/>
          <a:ext cx="595994" cy="5"/>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293546</xdr:colOff>
      <xdr:row>88</xdr:row>
      <xdr:rowOff>74114</xdr:rowOff>
    </xdr:from>
    <xdr:to>
      <xdr:col>22</xdr:col>
      <xdr:colOff>500375</xdr:colOff>
      <xdr:row>89</xdr:row>
      <xdr:rowOff>134687</xdr:rowOff>
    </xdr:to>
    <xdr:sp macro="" textlink="">
      <xdr:nvSpPr>
        <xdr:cNvPr id="223" name="Isosceles Triangle 222">
          <a:extLst>
            <a:ext uri="{FF2B5EF4-FFF2-40B4-BE49-F238E27FC236}">
              <a16:creationId xmlns:a16="http://schemas.microsoft.com/office/drawing/2014/main" id="{00000000-0008-0000-0300-0000DF000000}"/>
            </a:ext>
          </a:extLst>
        </xdr:cNvPr>
        <xdr:cNvSpPr/>
      </xdr:nvSpPr>
      <xdr:spPr>
        <a:xfrm rot="5400000">
          <a:off x="13686434" y="16185866"/>
          <a:ext cx="243453"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21</xdr:col>
      <xdr:colOff>176928</xdr:colOff>
      <xdr:row>89</xdr:row>
      <xdr:rowOff>12961</xdr:rowOff>
    </xdr:from>
    <xdr:to>
      <xdr:col>22</xdr:col>
      <xdr:colOff>293546</xdr:colOff>
      <xdr:row>89</xdr:row>
      <xdr:rowOff>28514</xdr:rowOff>
    </xdr:to>
    <xdr:cxnSp macro="">
      <xdr:nvCxnSpPr>
        <xdr:cNvPr id="224" name="Connector: Elbow 351">
          <a:extLst>
            <a:ext uri="{FF2B5EF4-FFF2-40B4-BE49-F238E27FC236}">
              <a16:creationId xmlns:a16="http://schemas.microsoft.com/office/drawing/2014/main" id="{00000000-0008-0000-0300-0000E0000000}"/>
            </a:ext>
          </a:extLst>
        </xdr:cNvPr>
        <xdr:cNvCxnSpPr>
          <a:stCxn id="215" idx="3"/>
          <a:endCxn id="223" idx="3"/>
        </xdr:cNvCxnSpPr>
      </xdr:nvCxnSpPr>
      <xdr:spPr>
        <a:xfrm flipV="1">
          <a:off x="12978528" y="16289281"/>
          <a:ext cx="726218" cy="15553"/>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480604</xdr:colOff>
      <xdr:row>63</xdr:row>
      <xdr:rowOff>125730</xdr:rowOff>
    </xdr:from>
    <xdr:to>
      <xdr:col>25</xdr:col>
      <xdr:colOff>110490</xdr:colOff>
      <xdr:row>66</xdr:row>
      <xdr:rowOff>84364</xdr:rowOff>
    </xdr:to>
    <xdr:sp macro="" textlink="">
      <xdr:nvSpPr>
        <xdr:cNvPr id="225" name="Rectangle: Rounded Corners 224">
          <a:extLst>
            <a:ext uri="{FF2B5EF4-FFF2-40B4-BE49-F238E27FC236}">
              <a16:creationId xmlns:a16="http://schemas.microsoft.com/office/drawing/2014/main" id="{00000000-0008-0000-0300-0000E1000000}"/>
            </a:ext>
          </a:extLst>
        </xdr:cNvPr>
        <xdr:cNvSpPr/>
      </xdr:nvSpPr>
      <xdr:spPr>
        <a:xfrm>
          <a:off x="14501404" y="11647170"/>
          <a:ext cx="849086" cy="507274"/>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Hypoglycaemia</a:t>
          </a:r>
        </a:p>
      </xdr:txBody>
    </xdr:sp>
    <xdr:clientData/>
  </xdr:twoCellAnchor>
  <xdr:twoCellAnchor>
    <xdr:from>
      <xdr:col>23</xdr:col>
      <xdr:colOff>519389</xdr:colOff>
      <xdr:row>74</xdr:row>
      <xdr:rowOff>102642</xdr:rowOff>
    </xdr:from>
    <xdr:to>
      <xdr:col>25</xdr:col>
      <xdr:colOff>149275</xdr:colOff>
      <xdr:row>77</xdr:row>
      <xdr:rowOff>59100</xdr:rowOff>
    </xdr:to>
    <xdr:sp macro="" textlink="">
      <xdr:nvSpPr>
        <xdr:cNvPr id="226" name="Rectangle: Rounded Corners 225">
          <a:extLst>
            <a:ext uri="{FF2B5EF4-FFF2-40B4-BE49-F238E27FC236}">
              <a16:creationId xmlns:a16="http://schemas.microsoft.com/office/drawing/2014/main" id="{00000000-0008-0000-0300-0000E2000000}"/>
            </a:ext>
          </a:extLst>
        </xdr:cNvPr>
        <xdr:cNvSpPr/>
      </xdr:nvSpPr>
      <xdr:spPr>
        <a:xfrm>
          <a:off x="14540189" y="13635762"/>
          <a:ext cx="849086" cy="505098"/>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no complications</a:t>
          </a:r>
        </a:p>
      </xdr:txBody>
    </xdr:sp>
    <xdr:clientData/>
  </xdr:twoCellAnchor>
  <xdr:twoCellAnchor>
    <xdr:from>
      <xdr:col>21</xdr:col>
      <xdr:colOff>601436</xdr:colOff>
      <xdr:row>73</xdr:row>
      <xdr:rowOff>-1</xdr:rowOff>
    </xdr:from>
    <xdr:to>
      <xdr:col>22</xdr:col>
      <xdr:colOff>307521</xdr:colOff>
      <xdr:row>74</xdr:row>
      <xdr:rowOff>76199</xdr:rowOff>
    </xdr:to>
    <xdr:sp macro="" textlink="">
      <xdr:nvSpPr>
        <xdr:cNvPr id="227" name="Oval 226">
          <a:extLst>
            <a:ext uri="{FF2B5EF4-FFF2-40B4-BE49-F238E27FC236}">
              <a16:creationId xmlns:a16="http://schemas.microsoft.com/office/drawing/2014/main" id="{00000000-0008-0000-0300-0000E3000000}"/>
            </a:ext>
          </a:extLst>
        </xdr:cNvPr>
        <xdr:cNvSpPr/>
      </xdr:nvSpPr>
      <xdr:spPr>
        <a:xfrm>
          <a:off x="13403036" y="13350239"/>
          <a:ext cx="315685" cy="25908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21</xdr:col>
      <xdr:colOff>15240</xdr:colOff>
      <xdr:row>73</xdr:row>
      <xdr:rowOff>93617</xdr:rowOff>
    </xdr:from>
    <xdr:to>
      <xdr:col>21</xdr:col>
      <xdr:colOff>601436</xdr:colOff>
      <xdr:row>73</xdr:row>
      <xdr:rowOff>129539</xdr:rowOff>
    </xdr:to>
    <xdr:cxnSp macro="">
      <xdr:nvCxnSpPr>
        <xdr:cNvPr id="228" name="Connector: Elbow 42">
          <a:extLst>
            <a:ext uri="{FF2B5EF4-FFF2-40B4-BE49-F238E27FC236}">
              <a16:creationId xmlns:a16="http://schemas.microsoft.com/office/drawing/2014/main" id="{00000000-0008-0000-0300-0000E4000000}"/>
            </a:ext>
          </a:extLst>
        </xdr:cNvPr>
        <xdr:cNvCxnSpPr>
          <a:cxnSpLocks/>
          <a:stCxn id="214" idx="3"/>
          <a:endCxn id="227" idx="2"/>
        </xdr:cNvCxnSpPr>
      </xdr:nvCxnSpPr>
      <xdr:spPr>
        <a:xfrm>
          <a:off x="12816840" y="13443857"/>
          <a:ext cx="586196" cy="35922"/>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149678</xdr:colOff>
      <xdr:row>65</xdr:row>
      <xdr:rowOff>13608</xdr:rowOff>
    </xdr:from>
    <xdr:to>
      <xdr:col>23</xdr:col>
      <xdr:colOff>480603</xdr:colOff>
      <xdr:row>73</xdr:row>
      <xdr:rowOff>0</xdr:rowOff>
    </xdr:to>
    <xdr:cxnSp macro="">
      <xdr:nvCxnSpPr>
        <xdr:cNvPr id="229" name="Connector: Elbow 228">
          <a:extLst>
            <a:ext uri="{FF2B5EF4-FFF2-40B4-BE49-F238E27FC236}">
              <a16:creationId xmlns:a16="http://schemas.microsoft.com/office/drawing/2014/main" id="{00000000-0008-0000-0300-0000E5000000}"/>
            </a:ext>
          </a:extLst>
        </xdr:cNvPr>
        <xdr:cNvCxnSpPr>
          <a:stCxn id="227" idx="0"/>
          <a:endCxn id="225" idx="1"/>
        </xdr:cNvCxnSpPr>
      </xdr:nvCxnSpPr>
      <xdr:spPr>
        <a:xfrm rot="5400000" flipH="1" flipV="1">
          <a:off x="13306425" y="12155261"/>
          <a:ext cx="1449432" cy="940525"/>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149679</xdr:colOff>
      <xdr:row>74</xdr:row>
      <xdr:rowOff>76199</xdr:rowOff>
    </xdr:from>
    <xdr:to>
      <xdr:col>23</xdr:col>
      <xdr:colOff>519389</xdr:colOff>
      <xdr:row>75</xdr:row>
      <xdr:rowOff>172311</xdr:rowOff>
    </xdr:to>
    <xdr:cxnSp macro="">
      <xdr:nvCxnSpPr>
        <xdr:cNvPr id="230" name="Connector: Elbow 229">
          <a:extLst>
            <a:ext uri="{FF2B5EF4-FFF2-40B4-BE49-F238E27FC236}">
              <a16:creationId xmlns:a16="http://schemas.microsoft.com/office/drawing/2014/main" id="{00000000-0008-0000-0300-0000E6000000}"/>
            </a:ext>
          </a:extLst>
        </xdr:cNvPr>
        <xdr:cNvCxnSpPr>
          <a:stCxn id="227" idx="4"/>
          <a:endCxn id="226" idx="1"/>
        </xdr:cNvCxnSpPr>
      </xdr:nvCxnSpPr>
      <xdr:spPr>
        <a:xfrm rot="16200000" flipH="1">
          <a:off x="13911038" y="13259160"/>
          <a:ext cx="278992" cy="979310"/>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507275</xdr:colOff>
      <xdr:row>75</xdr:row>
      <xdr:rowOff>29256</xdr:rowOff>
    </xdr:from>
    <xdr:to>
      <xdr:col>27</xdr:col>
      <xdr:colOff>104504</xdr:colOff>
      <xdr:row>76</xdr:row>
      <xdr:rowOff>83684</xdr:rowOff>
    </xdr:to>
    <xdr:sp macro="" textlink="">
      <xdr:nvSpPr>
        <xdr:cNvPr id="231" name="Isosceles Triangle 230">
          <a:extLst>
            <a:ext uri="{FF2B5EF4-FFF2-40B4-BE49-F238E27FC236}">
              <a16:creationId xmlns:a16="http://schemas.microsoft.com/office/drawing/2014/main" id="{00000000-0008-0000-0300-0000E7000000}"/>
            </a:ext>
          </a:extLst>
        </xdr:cNvPr>
        <xdr:cNvSpPr/>
      </xdr:nvSpPr>
      <xdr:spPr>
        <a:xfrm rot="5400000">
          <a:off x="16341636" y="13760495"/>
          <a:ext cx="237308"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25</xdr:col>
      <xdr:colOff>149275</xdr:colOff>
      <xdr:row>75</xdr:row>
      <xdr:rowOff>147910</xdr:rowOff>
    </xdr:from>
    <xdr:to>
      <xdr:col>26</xdr:col>
      <xdr:colOff>507276</xdr:colOff>
      <xdr:row>75</xdr:row>
      <xdr:rowOff>172311</xdr:rowOff>
    </xdr:to>
    <xdr:cxnSp macro="">
      <xdr:nvCxnSpPr>
        <xdr:cNvPr id="232" name="Connector: Elbow 351">
          <a:extLst>
            <a:ext uri="{FF2B5EF4-FFF2-40B4-BE49-F238E27FC236}">
              <a16:creationId xmlns:a16="http://schemas.microsoft.com/office/drawing/2014/main" id="{00000000-0008-0000-0300-0000E8000000}"/>
            </a:ext>
          </a:extLst>
        </xdr:cNvPr>
        <xdr:cNvCxnSpPr>
          <a:stCxn id="226" idx="3"/>
          <a:endCxn id="231" idx="3"/>
        </xdr:cNvCxnSpPr>
      </xdr:nvCxnSpPr>
      <xdr:spPr>
        <a:xfrm flipV="1">
          <a:off x="15389275" y="13863910"/>
          <a:ext cx="967601" cy="24401"/>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110490</xdr:colOff>
      <xdr:row>65</xdr:row>
      <xdr:rowOff>13607</xdr:rowOff>
    </xdr:from>
    <xdr:to>
      <xdr:col>26</xdr:col>
      <xdr:colOff>400948</xdr:colOff>
      <xdr:row>65</xdr:row>
      <xdr:rowOff>81824</xdr:rowOff>
    </xdr:to>
    <xdr:cxnSp macro="">
      <xdr:nvCxnSpPr>
        <xdr:cNvPr id="261" name="Connector: Elbow 42">
          <a:extLst>
            <a:ext uri="{FF2B5EF4-FFF2-40B4-BE49-F238E27FC236}">
              <a16:creationId xmlns:a16="http://schemas.microsoft.com/office/drawing/2014/main" id="{00000000-0008-0000-0300-000005010000}"/>
            </a:ext>
          </a:extLst>
        </xdr:cNvPr>
        <xdr:cNvCxnSpPr>
          <a:cxnSpLocks/>
          <a:stCxn id="225" idx="3"/>
          <a:endCxn id="268" idx="3"/>
        </xdr:cNvCxnSpPr>
      </xdr:nvCxnSpPr>
      <xdr:spPr>
        <a:xfrm>
          <a:off x="15350490" y="11900807"/>
          <a:ext cx="900058" cy="68217"/>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549869</xdr:colOff>
      <xdr:row>81</xdr:row>
      <xdr:rowOff>26442</xdr:rowOff>
    </xdr:from>
    <xdr:to>
      <xdr:col>25</xdr:col>
      <xdr:colOff>179755</xdr:colOff>
      <xdr:row>83</xdr:row>
      <xdr:rowOff>165780</xdr:rowOff>
    </xdr:to>
    <xdr:sp macro="" textlink="">
      <xdr:nvSpPr>
        <xdr:cNvPr id="264" name="Rectangle: Rounded Corners 263">
          <a:extLst>
            <a:ext uri="{FF2B5EF4-FFF2-40B4-BE49-F238E27FC236}">
              <a16:creationId xmlns:a16="http://schemas.microsoft.com/office/drawing/2014/main" id="{00000000-0008-0000-0300-000008010000}"/>
            </a:ext>
          </a:extLst>
        </xdr:cNvPr>
        <xdr:cNvSpPr/>
      </xdr:nvSpPr>
      <xdr:spPr>
        <a:xfrm>
          <a:off x="14570669" y="14839722"/>
          <a:ext cx="849086" cy="505098"/>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Death</a:t>
          </a:r>
        </a:p>
      </xdr:txBody>
    </xdr:sp>
    <xdr:clientData/>
  </xdr:twoCellAnchor>
  <xdr:twoCellAnchor>
    <xdr:from>
      <xdr:col>22</xdr:col>
      <xdr:colOff>149679</xdr:colOff>
      <xdr:row>74</xdr:row>
      <xdr:rowOff>76199</xdr:rowOff>
    </xdr:from>
    <xdr:to>
      <xdr:col>23</xdr:col>
      <xdr:colOff>549869</xdr:colOff>
      <xdr:row>82</xdr:row>
      <xdr:rowOff>96111</xdr:rowOff>
    </xdr:to>
    <xdr:cxnSp macro="">
      <xdr:nvCxnSpPr>
        <xdr:cNvPr id="265" name="Connector: Elbow 264">
          <a:extLst>
            <a:ext uri="{FF2B5EF4-FFF2-40B4-BE49-F238E27FC236}">
              <a16:creationId xmlns:a16="http://schemas.microsoft.com/office/drawing/2014/main" id="{00000000-0008-0000-0300-000009010000}"/>
            </a:ext>
          </a:extLst>
        </xdr:cNvPr>
        <xdr:cNvCxnSpPr>
          <a:stCxn id="227" idx="4"/>
          <a:endCxn id="264" idx="1"/>
        </xdr:cNvCxnSpPr>
      </xdr:nvCxnSpPr>
      <xdr:spPr>
        <a:xfrm rot="16200000" flipH="1">
          <a:off x="13324298" y="13845900"/>
          <a:ext cx="1482952" cy="1009790"/>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34835</xdr:colOff>
      <xdr:row>81</xdr:row>
      <xdr:rowOff>181655</xdr:rowOff>
    </xdr:from>
    <xdr:to>
      <xdr:col>27</xdr:col>
      <xdr:colOff>241664</xdr:colOff>
      <xdr:row>83</xdr:row>
      <xdr:rowOff>53203</xdr:rowOff>
    </xdr:to>
    <xdr:sp macro="" textlink="">
      <xdr:nvSpPr>
        <xdr:cNvPr id="266" name="Isosceles Triangle 265">
          <a:extLst>
            <a:ext uri="{FF2B5EF4-FFF2-40B4-BE49-F238E27FC236}">
              <a16:creationId xmlns:a16="http://schemas.microsoft.com/office/drawing/2014/main" id="{00000000-0008-0000-0300-00000A010000}"/>
            </a:ext>
          </a:extLst>
        </xdr:cNvPr>
        <xdr:cNvSpPr/>
      </xdr:nvSpPr>
      <xdr:spPr>
        <a:xfrm rot="5400000">
          <a:off x="16478796" y="15010174"/>
          <a:ext cx="237308"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25</xdr:col>
      <xdr:colOff>179755</xdr:colOff>
      <xdr:row>82</xdr:row>
      <xdr:rowOff>96111</xdr:rowOff>
    </xdr:from>
    <xdr:to>
      <xdr:col>27</xdr:col>
      <xdr:colOff>34836</xdr:colOff>
      <xdr:row>82</xdr:row>
      <xdr:rowOff>117429</xdr:rowOff>
    </xdr:to>
    <xdr:cxnSp macro="">
      <xdr:nvCxnSpPr>
        <xdr:cNvPr id="267" name="Connector: Elbow 351">
          <a:extLst>
            <a:ext uri="{FF2B5EF4-FFF2-40B4-BE49-F238E27FC236}">
              <a16:creationId xmlns:a16="http://schemas.microsoft.com/office/drawing/2014/main" id="{00000000-0008-0000-0300-00000B010000}"/>
            </a:ext>
          </a:extLst>
        </xdr:cNvPr>
        <xdr:cNvCxnSpPr>
          <a:stCxn id="264" idx="3"/>
          <a:endCxn id="266" idx="3"/>
        </xdr:cNvCxnSpPr>
      </xdr:nvCxnSpPr>
      <xdr:spPr>
        <a:xfrm>
          <a:off x="15419755" y="15092271"/>
          <a:ext cx="1074281" cy="21318"/>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400947</xdr:colOff>
      <xdr:row>64</xdr:row>
      <xdr:rowOff>149860</xdr:rowOff>
    </xdr:from>
    <xdr:to>
      <xdr:col>26</xdr:col>
      <xdr:colOff>607776</xdr:colOff>
      <xdr:row>66</xdr:row>
      <xdr:rowOff>13788</xdr:rowOff>
    </xdr:to>
    <xdr:sp macro="" textlink="">
      <xdr:nvSpPr>
        <xdr:cNvPr id="268" name="Isosceles Triangle 267">
          <a:extLst>
            <a:ext uri="{FF2B5EF4-FFF2-40B4-BE49-F238E27FC236}">
              <a16:creationId xmlns:a16="http://schemas.microsoft.com/office/drawing/2014/main" id="{00000000-0008-0000-0300-00000C010000}"/>
            </a:ext>
          </a:extLst>
        </xdr:cNvPr>
        <xdr:cNvSpPr/>
      </xdr:nvSpPr>
      <xdr:spPr>
        <a:xfrm rot="5400000">
          <a:off x="16239118" y="11865609"/>
          <a:ext cx="229688"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13</xdr:col>
      <xdr:colOff>594904</xdr:colOff>
      <xdr:row>143</xdr:row>
      <xdr:rowOff>81643</xdr:rowOff>
    </xdr:from>
    <xdr:to>
      <xdr:col>15</xdr:col>
      <xdr:colOff>224790</xdr:colOff>
      <xdr:row>146</xdr:row>
      <xdr:rowOff>38100</xdr:rowOff>
    </xdr:to>
    <xdr:sp macro="" textlink="">
      <xdr:nvSpPr>
        <xdr:cNvPr id="269" name="Rectangle: Rounded Corners 268">
          <a:extLst>
            <a:ext uri="{FF2B5EF4-FFF2-40B4-BE49-F238E27FC236}">
              <a16:creationId xmlns:a16="http://schemas.microsoft.com/office/drawing/2014/main" id="{00000000-0008-0000-0300-00000D010000}"/>
            </a:ext>
          </a:extLst>
        </xdr:cNvPr>
        <xdr:cNvSpPr/>
      </xdr:nvSpPr>
      <xdr:spPr>
        <a:xfrm>
          <a:off x="8519704" y="7213963"/>
          <a:ext cx="849086" cy="505097"/>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Preterm</a:t>
          </a:r>
        </a:p>
      </xdr:txBody>
    </xdr:sp>
    <xdr:clientData/>
  </xdr:twoCellAnchor>
  <xdr:twoCellAnchor>
    <xdr:from>
      <xdr:col>14</xdr:col>
      <xdr:colOff>283573</xdr:colOff>
      <xdr:row>182</xdr:row>
      <xdr:rowOff>81099</xdr:rowOff>
    </xdr:from>
    <xdr:to>
      <xdr:col>15</xdr:col>
      <xdr:colOff>523059</xdr:colOff>
      <xdr:row>185</xdr:row>
      <xdr:rowOff>30480</xdr:rowOff>
    </xdr:to>
    <xdr:sp macro="" textlink="">
      <xdr:nvSpPr>
        <xdr:cNvPr id="270" name="Rectangle: Rounded Corners 269">
          <a:extLst>
            <a:ext uri="{FF2B5EF4-FFF2-40B4-BE49-F238E27FC236}">
              <a16:creationId xmlns:a16="http://schemas.microsoft.com/office/drawing/2014/main" id="{00000000-0008-0000-0300-00000E010000}"/>
            </a:ext>
          </a:extLst>
        </xdr:cNvPr>
        <xdr:cNvSpPr/>
      </xdr:nvSpPr>
      <xdr:spPr>
        <a:xfrm>
          <a:off x="8817973" y="14345739"/>
          <a:ext cx="849086" cy="498021"/>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Term</a:t>
          </a:r>
        </a:p>
      </xdr:txBody>
    </xdr:sp>
    <xdr:clientData/>
  </xdr:twoCellAnchor>
  <xdr:twoCellAnchor>
    <xdr:from>
      <xdr:col>13</xdr:col>
      <xdr:colOff>1</xdr:colOff>
      <xdr:row>144</xdr:row>
      <xdr:rowOff>151313</xdr:rowOff>
    </xdr:from>
    <xdr:to>
      <xdr:col>13</xdr:col>
      <xdr:colOff>594904</xdr:colOff>
      <xdr:row>150</xdr:row>
      <xdr:rowOff>100148</xdr:rowOff>
    </xdr:to>
    <xdr:cxnSp macro="">
      <xdr:nvCxnSpPr>
        <xdr:cNvPr id="271" name="Connector: Elbow 270">
          <a:extLst>
            <a:ext uri="{FF2B5EF4-FFF2-40B4-BE49-F238E27FC236}">
              <a16:creationId xmlns:a16="http://schemas.microsoft.com/office/drawing/2014/main" id="{00000000-0008-0000-0300-00000F010000}"/>
            </a:ext>
          </a:extLst>
        </xdr:cNvPr>
        <xdr:cNvCxnSpPr>
          <a:stCxn id="273" idx="0"/>
          <a:endCxn id="269" idx="1"/>
        </xdr:cNvCxnSpPr>
      </xdr:nvCxnSpPr>
      <xdr:spPr>
        <a:xfrm rot="5400000" flipH="1" flipV="1">
          <a:off x="7699195" y="7692119"/>
          <a:ext cx="1046115" cy="594903"/>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xdr:colOff>
      <xdr:row>151</xdr:row>
      <xdr:rowOff>176346</xdr:rowOff>
    </xdr:from>
    <xdr:to>
      <xdr:col>14</xdr:col>
      <xdr:colOff>283574</xdr:colOff>
      <xdr:row>183</xdr:row>
      <xdr:rowOff>147229</xdr:rowOff>
    </xdr:to>
    <xdr:cxnSp macro="">
      <xdr:nvCxnSpPr>
        <xdr:cNvPr id="272" name="Connector: Elbow 271">
          <a:extLst>
            <a:ext uri="{FF2B5EF4-FFF2-40B4-BE49-F238E27FC236}">
              <a16:creationId xmlns:a16="http://schemas.microsoft.com/office/drawing/2014/main" id="{00000000-0008-0000-0300-000010010000}"/>
            </a:ext>
          </a:extLst>
        </xdr:cNvPr>
        <xdr:cNvCxnSpPr>
          <a:stCxn id="273" idx="4"/>
          <a:endCxn id="270" idx="1"/>
        </xdr:cNvCxnSpPr>
      </xdr:nvCxnSpPr>
      <xdr:spPr>
        <a:xfrm rot="16200000" flipH="1">
          <a:off x="5459866" y="11236642"/>
          <a:ext cx="5823043" cy="893172"/>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451758</xdr:colOff>
      <xdr:row>150</xdr:row>
      <xdr:rowOff>100147</xdr:rowOff>
    </xdr:from>
    <xdr:to>
      <xdr:col>13</xdr:col>
      <xdr:colOff>157843</xdr:colOff>
      <xdr:row>151</xdr:row>
      <xdr:rowOff>176347</xdr:rowOff>
    </xdr:to>
    <xdr:sp macro="" textlink="">
      <xdr:nvSpPr>
        <xdr:cNvPr id="273" name="Oval 272">
          <a:extLst>
            <a:ext uri="{FF2B5EF4-FFF2-40B4-BE49-F238E27FC236}">
              <a16:creationId xmlns:a16="http://schemas.microsoft.com/office/drawing/2014/main" id="{00000000-0008-0000-0300-000011010000}"/>
            </a:ext>
          </a:extLst>
        </xdr:cNvPr>
        <xdr:cNvSpPr/>
      </xdr:nvSpPr>
      <xdr:spPr>
        <a:xfrm>
          <a:off x="7766958" y="8512627"/>
          <a:ext cx="315685" cy="25908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15</xdr:col>
      <xdr:colOff>523059</xdr:colOff>
      <xdr:row>183</xdr:row>
      <xdr:rowOff>147230</xdr:rowOff>
    </xdr:from>
    <xdr:to>
      <xdr:col>17</xdr:col>
      <xdr:colOff>516528</xdr:colOff>
      <xdr:row>183</xdr:row>
      <xdr:rowOff>166551</xdr:rowOff>
    </xdr:to>
    <xdr:cxnSp macro="">
      <xdr:nvCxnSpPr>
        <xdr:cNvPr id="274" name="Connector: Elbow 351">
          <a:extLst>
            <a:ext uri="{FF2B5EF4-FFF2-40B4-BE49-F238E27FC236}">
              <a16:creationId xmlns:a16="http://schemas.microsoft.com/office/drawing/2014/main" id="{00000000-0008-0000-0300-000012010000}"/>
            </a:ext>
          </a:extLst>
        </xdr:cNvPr>
        <xdr:cNvCxnSpPr>
          <a:cxnSpLocks/>
          <a:stCxn id="270" idx="3"/>
          <a:endCxn id="316" idx="2"/>
        </xdr:cNvCxnSpPr>
      </xdr:nvCxnSpPr>
      <xdr:spPr>
        <a:xfrm>
          <a:off x="9667059" y="14594750"/>
          <a:ext cx="1212669" cy="19321"/>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141514</xdr:colOff>
      <xdr:row>126</xdr:row>
      <xdr:rowOff>57150</xdr:rowOff>
    </xdr:from>
    <xdr:to>
      <xdr:col>18</xdr:col>
      <xdr:colOff>381000</xdr:colOff>
      <xdr:row>129</xdr:row>
      <xdr:rowOff>8164</xdr:rowOff>
    </xdr:to>
    <xdr:sp macro="" textlink="">
      <xdr:nvSpPr>
        <xdr:cNvPr id="275" name="Rectangle: Rounded Corners 274">
          <a:extLst>
            <a:ext uri="{FF2B5EF4-FFF2-40B4-BE49-F238E27FC236}">
              <a16:creationId xmlns:a16="http://schemas.microsoft.com/office/drawing/2014/main" id="{00000000-0008-0000-0300-000013010000}"/>
            </a:ext>
          </a:extLst>
        </xdr:cNvPr>
        <xdr:cNvSpPr/>
      </xdr:nvSpPr>
      <xdr:spPr>
        <a:xfrm>
          <a:off x="10504714" y="4080510"/>
          <a:ext cx="849086" cy="499654"/>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LBW</a:t>
          </a:r>
        </a:p>
      </xdr:txBody>
    </xdr:sp>
    <xdr:clientData/>
  </xdr:twoCellAnchor>
  <xdr:twoCellAnchor>
    <xdr:from>
      <xdr:col>17</xdr:col>
      <xdr:colOff>547042</xdr:colOff>
      <xdr:row>141</xdr:row>
      <xdr:rowOff>144797</xdr:rowOff>
    </xdr:from>
    <xdr:to>
      <xdr:col>19</xdr:col>
      <xdr:colOff>176928</xdr:colOff>
      <xdr:row>144</xdr:row>
      <xdr:rowOff>95110</xdr:rowOff>
    </xdr:to>
    <xdr:sp macro="" textlink="">
      <xdr:nvSpPr>
        <xdr:cNvPr id="276" name="Rectangle: Rounded Corners 275">
          <a:extLst>
            <a:ext uri="{FF2B5EF4-FFF2-40B4-BE49-F238E27FC236}">
              <a16:creationId xmlns:a16="http://schemas.microsoft.com/office/drawing/2014/main" id="{00000000-0008-0000-0300-000014010000}"/>
            </a:ext>
          </a:extLst>
        </xdr:cNvPr>
        <xdr:cNvSpPr/>
      </xdr:nvSpPr>
      <xdr:spPr>
        <a:xfrm>
          <a:off x="10910242" y="6911357"/>
          <a:ext cx="849086" cy="498953"/>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Norrmal</a:t>
          </a:r>
          <a:r>
            <a:rPr lang="en-ZA" sz="1100" baseline="0">
              <a:solidFill>
                <a:sysClr val="windowText" lastClr="000000"/>
              </a:solidFill>
            </a:rPr>
            <a:t> weight</a:t>
          </a:r>
          <a:endParaRPr lang="en-ZA" sz="1100">
            <a:solidFill>
              <a:sysClr val="windowText" lastClr="000000"/>
            </a:solidFill>
          </a:endParaRPr>
        </a:p>
      </xdr:txBody>
    </xdr:sp>
    <xdr:clientData/>
  </xdr:twoCellAnchor>
  <xdr:twoCellAnchor>
    <xdr:from>
      <xdr:col>17</xdr:col>
      <xdr:colOff>487136</xdr:colOff>
      <xdr:row>150</xdr:row>
      <xdr:rowOff>127907</xdr:rowOff>
    </xdr:from>
    <xdr:to>
      <xdr:col>19</xdr:col>
      <xdr:colOff>117022</xdr:colOff>
      <xdr:row>153</xdr:row>
      <xdr:rowOff>78922</xdr:rowOff>
    </xdr:to>
    <xdr:sp macro="" textlink="">
      <xdr:nvSpPr>
        <xdr:cNvPr id="277" name="Rectangle: Rounded Corners 276">
          <a:extLst>
            <a:ext uri="{FF2B5EF4-FFF2-40B4-BE49-F238E27FC236}">
              <a16:creationId xmlns:a16="http://schemas.microsoft.com/office/drawing/2014/main" id="{00000000-0008-0000-0300-000015010000}"/>
            </a:ext>
          </a:extLst>
        </xdr:cNvPr>
        <xdr:cNvSpPr/>
      </xdr:nvSpPr>
      <xdr:spPr>
        <a:xfrm>
          <a:off x="10850336" y="8540387"/>
          <a:ext cx="849086" cy="499655"/>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Stillbirth</a:t>
          </a:r>
        </a:p>
      </xdr:txBody>
    </xdr:sp>
    <xdr:clientData/>
  </xdr:twoCellAnchor>
  <xdr:twoCellAnchor>
    <xdr:from>
      <xdr:col>16</xdr:col>
      <xdr:colOff>13608</xdr:colOff>
      <xdr:row>144</xdr:row>
      <xdr:rowOff>21771</xdr:rowOff>
    </xdr:from>
    <xdr:to>
      <xdr:col>16</xdr:col>
      <xdr:colOff>329293</xdr:colOff>
      <xdr:row>145</xdr:row>
      <xdr:rowOff>97970</xdr:rowOff>
    </xdr:to>
    <xdr:sp macro="" textlink="">
      <xdr:nvSpPr>
        <xdr:cNvPr id="278" name="Oval 277">
          <a:extLst>
            <a:ext uri="{FF2B5EF4-FFF2-40B4-BE49-F238E27FC236}">
              <a16:creationId xmlns:a16="http://schemas.microsoft.com/office/drawing/2014/main" id="{00000000-0008-0000-0300-000016010000}"/>
            </a:ext>
          </a:extLst>
        </xdr:cNvPr>
        <xdr:cNvSpPr/>
      </xdr:nvSpPr>
      <xdr:spPr>
        <a:xfrm>
          <a:off x="9767208" y="7336971"/>
          <a:ext cx="315685" cy="259079"/>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15</xdr:col>
      <xdr:colOff>224790</xdr:colOff>
      <xdr:row>144</xdr:row>
      <xdr:rowOff>151311</xdr:rowOff>
    </xdr:from>
    <xdr:to>
      <xdr:col>16</xdr:col>
      <xdr:colOff>13608</xdr:colOff>
      <xdr:row>144</xdr:row>
      <xdr:rowOff>151312</xdr:rowOff>
    </xdr:to>
    <xdr:cxnSp macro="">
      <xdr:nvCxnSpPr>
        <xdr:cNvPr id="279" name="Connector: Elbow 42">
          <a:extLst>
            <a:ext uri="{FF2B5EF4-FFF2-40B4-BE49-F238E27FC236}">
              <a16:creationId xmlns:a16="http://schemas.microsoft.com/office/drawing/2014/main" id="{00000000-0008-0000-0300-000017010000}"/>
            </a:ext>
          </a:extLst>
        </xdr:cNvPr>
        <xdr:cNvCxnSpPr>
          <a:cxnSpLocks/>
          <a:stCxn id="269" idx="3"/>
          <a:endCxn id="278" idx="2"/>
        </xdr:cNvCxnSpPr>
      </xdr:nvCxnSpPr>
      <xdr:spPr>
        <a:xfrm flipV="1">
          <a:off x="9368790" y="7466511"/>
          <a:ext cx="398418" cy="1"/>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171450</xdr:colOff>
      <xdr:row>127</xdr:row>
      <xdr:rowOff>127908</xdr:rowOff>
    </xdr:from>
    <xdr:to>
      <xdr:col>17</xdr:col>
      <xdr:colOff>141513</xdr:colOff>
      <xdr:row>144</xdr:row>
      <xdr:rowOff>21772</xdr:rowOff>
    </xdr:to>
    <xdr:cxnSp macro="">
      <xdr:nvCxnSpPr>
        <xdr:cNvPr id="280" name="Connector: Elbow 279">
          <a:extLst>
            <a:ext uri="{FF2B5EF4-FFF2-40B4-BE49-F238E27FC236}">
              <a16:creationId xmlns:a16="http://schemas.microsoft.com/office/drawing/2014/main" id="{00000000-0008-0000-0300-000018010000}"/>
            </a:ext>
          </a:extLst>
        </xdr:cNvPr>
        <xdr:cNvCxnSpPr>
          <a:stCxn id="278" idx="0"/>
          <a:endCxn id="275" idx="1"/>
        </xdr:cNvCxnSpPr>
      </xdr:nvCxnSpPr>
      <xdr:spPr>
        <a:xfrm rot="5400000" flipH="1" flipV="1">
          <a:off x="8713470" y="5545728"/>
          <a:ext cx="3002824" cy="579663"/>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329293</xdr:colOff>
      <xdr:row>143</xdr:row>
      <xdr:rowOff>28514</xdr:rowOff>
    </xdr:from>
    <xdr:to>
      <xdr:col>17</xdr:col>
      <xdr:colOff>547042</xdr:colOff>
      <xdr:row>144</xdr:row>
      <xdr:rowOff>151311</xdr:rowOff>
    </xdr:to>
    <xdr:cxnSp macro="">
      <xdr:nvCxnSpPr>
        <xdr:cNvPr id="281" name="Connector: Elbow 280">
          <a:extLst>
            <a:ext uri="{FF2B5EF4-FFF2-40B4-BE49-F238E27FC236}">
              <a16:creationId xmlns:a16="http://schemas.microsoft.com/office/drawing/2014/main" id="{00000000-0008-0000-0300-000019010000}"/>
            </a:ext>
          </a:extLst>
        </xdr:cNvPr>
        <xdr:cNvCxnSpPr>
          <a:stCxn id="278" idx="6"/>
          <a:endCxn id="276" idx="1"/>
        </xdr:cNvCxnSpPr>
      </xdr:nvCxnSpPr>
      <xdr:spPr>
        <a:xfrm flipV="1">
          <a:off x="10082893" y="7160834"/>
          <a:ext cx="827349" cy="305677"/>
        </a:xfrm>
        <a:prstGeom prst="bentConnector3">
          <a:avLst>
            <a:gd name="adj1" fmla="val 50000"/>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171451</xdr:colOff>
      <xdr:row>145</xdr:row>
      <xdr:rowOff>97969</xdr:rowOff>
    </xdr:from>
    <xdr:to>
      <xdr:col>17</xdr:col>
      <xdr:colOff>487136</xdr:colOff>
      <xdr:row>152</xdr:row>
      <xdr:rowOff>8164</xdr:rowOff>
    </xdr:to>
    <xdr:cxnSp macro="">
      <xdr:nvCxnSpPr>
        <xdr:cNvPr id="282" name="Connector: Elbow 281">
          <a:extLst>
            <a:ext uri="{FF2B5EF4-FFF2-40B4-BE49-F238E27FC236}">
              <a16:creationId xmlns:a16="http://schemas.microsoft.com/office/drawing/2014/main" id="{00000000-0008-0000-0300-00001A010000}"/>
            </a:ext>
          </a:extLst>
        </xdr:cNvPr>
        <xdr:cNvCxnSpPr>
          <a:stCxn id="278" idx="4"/>
          <a:endCxn id="277" idx="1"/>
        </xdr:cNvCxnSpPr>
      </xdr:nvCxnSpPr>
      <xdr:spPr>
        <a:xfrm rot="16200000" flipH="1">
          <a:off x="9792516" y="7728584"/>
          <a:ext cx="1190355" cy="925285"/>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103415</xdr:colOff>
      <xdr:row>151</xdr:row>
      <xdr:rowOff>76206</xdr:rowOff>
    </xdr:from>
    <xdr:to>
      <xdr:col>20</xdr:col>
      <xdr:colOff>310244</xdr:colOff>
      <xdr:row>152</xdr:row>
      <xdr:rowOff>130634</xdr:rowOff>
    </xdr:to>
    <xdr:sp macro="" textlink="">
      <xdr:nvSpPr>
        <xdr:cNvPr id="283" name="Isosceles Triangle 282">
          <a:extLst>
            <a:ext uri="{FF2B5EF4-FFF2-40B4-BE49-F238E27FC236}">
              <a16:creationId xmlns:a16="http://schemas.microsoft.com/office/drawing/2014/main" id="{00000000-0008-0000-0300-00001B010000}"/>
            </a:ext>
          </a:extLst>
        </xdr:cNvPr>
        <xdr:cNvSpPr/>
      </xdr:nvSpPr>
      <xdr:spPr>
        <a:xfrm rot="5400000">
          <a:off x="12280176" y="8686805"/>
          <a:ext cx="237308"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19</xdr:col>
      <xdr:colOff>117022</xdr:colOff>
      <xdr:row>152</xdr:row>
      <xdr:rowOff>8165</xdr:rowOff>
    </xdr:from>
    <xdr:to>
      <xdr:col>20</xdr:col>
      <xdr:colOff>103416</xdr:colOff>
      <xdr:row>152</xdr:row>
      <xdr:rowOff>8170</xdr:rowOff>
    </xdr:to>
    <xdr:cxnSp macro="">
      <xdr:nvCxnSpPr>
        <xdr:cNvPr id="284" name="Connector: Elbow 351">
          <a:extLst>
            <a:ext uri="{FF2B5EF4-FFF2-40B4-BE49-F238E27FC236}">
              <a16:creationId xmlns:a16="http://schemas.microsoft.com/office/drawing/2014/main" id="{00000000-0008-0000-0300-00001C010000}"/>
            </a:ext>
          </a:extLst>
        </xdr:cNvPr>
        <xdr:cNvCxnSpPr>
          <a:stCxn id="277" idx="3"/>
          <a:endCxn id="283" idx="3"/>
        </xdr:cNvCxnSpPr>
      </xdr:nvCxnSpPr>
      <xdr:spPr>
        <a:xfrm>
          <a:off x="11699422" y="8786405"/>
          <a:ext cx="595994" cy="5"/>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293546</xdr:colOff>
      <xdr:row>142</xdr:row>
      <xdr:rowOff>74114</xdr:rowOff>
    </xdr:from>
    <xdr:to>
      <xdr:col>20</xdr:col>
      <xdr:colOff>500375</xdr:colOff>
      <xdr:row>143</xdr:row>
      <xdr:rowOff>134687</xdr:rowOff>
    </xdr:to>
    <xdr:sp macro="" textlink="">
      <xdr:nvSpPr>
        <xdr:cNvPr id="285" name="Isosceles Triangle 284">
          <a:extLst>
            <a:ext uri="{FF2B5EF4-FFF2-40B4-BE49-F238E27FC236}">
              <a16:creationId xmlns:a16="http://schemas.microsoft.com/office/drawing/2014/main" id="{00000000-0008-0000-0300-00001D010000}"/>
            </a:ext>
          </a:extLst>
        </xdr:cNvPr>
        <xdr:cNvSpPr/>
      </xdr:nvSpPr>
      <xdr:spPr>
        <a:xfrm rot="5400000">
          <a:off x="12467234" y="7041866"/>
          <a:ext cx="243453"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19</xdr:col>
      <xdr:colOff>176928</xdr:colOff>
      <xdr:row>143</xdr:row>
      <xdr:rowOff>12961</xdr:rowOff>
    </xdr:from>
    <xdr:to>
      <xdr:col>20</xdr:col>
      <xdr:colOff>293546</xdr:colOff>
      <xdr:row>143</xdr:row>
      <xdr:rowOff>28514</xdr:rowOff>
    </xdr:to>
    <xdr:cxnSp macro="">
      <xdr:nvCxnSpPr>
        <xdr:cNvPr id="286" name="Connector: Elbow 351">
          <a:extLst>
            <a:ext uri="{FF2B5EF4-FFF2-40B4-BE49-F238E27FC236}">
              <a16:creationId xmlns:a16="http://schemas.microsoft.com/office/drawing/2014/main" id="{00000000-0008-0000-0300-00001E010000}"/>
            </a:ext>
          </a:extLst>
        </xdr:cNvPr>
        <xdr:cNvCxnSpPr>
          <a:stCxn id="276" idx="3"/>
          <a:endCxn id="285" idx="3"/>
        </xdr:cNvCxnSpPr>
      </xdr:nvCxnSpPr>
      <xdr:spPr>
        <a:xfrm flipV="1">
          <a:off x="11759328" y="7145281"/>
          <a:ext cx="726218" cy="15553"/>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480604</xdr:colOff>
      <xdr:row>117</xdr:row>
      <xdr:rowOff>171450</xdr:rowOff>
    </xdr:from>
    <xdr:to>
      <xdr:col>23</xdr:col>
      <xdr:colOff>110490</xdr:colOff>
      <xdr:row>120</xdr:row>
      <xdr:rowOff>130084</xdr:rowOff>
    </xdr:to>
    <xdr:sp macro="" textlink="">
      <xdr:nvSpPr>
        <xdr:cNvPr id="287" name="Rectangle: Rounded Corners 286">
          <a:extLst>
            <a:ext uri="{FF2B5EF4-FFF2-40B4-BE49-F238E27FC236}">
              <a16:creationId xmlns:a16="http://schemas.microsoft.com/office/drawing/2014/main" id="{00000000-0008-0000-0300-00001F010000}"/>
            </a:ext>
          </a:extLst>
        </xdr:cNvPr>
        <xdr:cNvSpPr/>
      </xdr:nvSpPr>
      <xdr:spPr>
        <a:xfrm>
          <a:off x="13282204" y="2548890"/>
          <a:ext cx="849086" cy="507274"/>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RDS</a:t>
          </a:r>
        </a:p>
      </xdr:txBody>
    </xdr:sp>
    <xdr:clientData/>
  </xdr:twoCellAnchor>
  <xdr:twoCellAnchor>
    <xdr:from>
      <xdr:col>21</xdr:col>
      <xdr:colOff>519389</xdr:colOff>
      <xdr:row>128</xdr:row>
      <xdr:rowOff>102642</xdr:rowOff>
    </xdr:from>
    <xdr:to>
      <xdr:col>23</xdr:col>
      <xdr:colOff>149275</xdr:colOff>
      <xdr:row>131</xdr:row>
      <xdr:rowOff>59100</xdr:rowOff>
    </xdr:to>
    <xdr:sp macro="" textlink="">
      <xdr:nvSpPr>
        <xdr:cNvPr id="288" name="Rectangle: Rounded Corners 287">
          <a:extLst>
            <a:ext uri="{FF2B5EF4-FFF2-40B4-BE49-F238E27FC236}">
              <a16:creationId xmlns:a16="http://schemas.microsoft.com/office/drawing/2014/main" id="{00000000-0008-0000-0300-000020010000}"/>
            </a:ext>
          </a:extLst>
        </xdr:cNvPr>
        <xdr:cNvSpPr/>
      </xdr:nvSpPr>
      <xdr:spPr>
        <a:xfrm>
          <a:off x="13320989" y="4491762"/>
          <a:ext cx="849086" cy="505098"/>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no complications</a:t>
          </a:r>
        </a:p>
      </xdr:txBody>
    </xdr:sp>
    <xdr:clientData/>
  </xdr:twoCellAnchor>
  <xdr:twoCellAnchor>
    <xdr:from>
      <xdr:col>19</xdr:col>
      <xdr:colOff>601436</xdr:colOff>
      <xdr:row>127</xdr:row>
      <xdr:rowOff>-1</xdr:rowOff>
    </xdr:from>
    <xdr:to>
      <xdr:col>20</xdr:col>
      <xdr:colOff>307521</xdr:colOff>
      <xdr:row>128</xdr:row>
      <xdr:rowOff>76199</xdr:rowOff>
    </xdr:to>
    <xdr:sp macro="" textlink="">
      <xdr:nvSpPr>
        <xdr:cNvPr id="289" name="Oval 288">
          <a:extLst>
            <a:ext uri="{FF2B5EF4-FFF2-40B4-BE49-F238E27FC236}">
              <a16:creationId xmlns:a16="http://schemas.microsoft.com/office/drawing/2014/main" id="{00000000-0008-0000-0300-000021010000}"/>
            </a:ext>
          </a:extLst>
        </xdr:cNvPr>
        <xdr:cNvSpPr/>
      </xdr:nvSpPr>
      <xdr:spPr>
        <a:xfrm>
          <a:off x="12183836" y="4206239"/>
          <a:ext cx="315685" cy="25908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18</xdr:col>
      <xdr:colOff>381000</xdr:colOff>
      <xdr:row>127</xdr:row>
      <xdr:rowOff>127907</xdr:rowOff>
    </xdr:from>
    <xdr:to>
      <xdr:col>19</xdr:col>
      <xdr:colOff>601436</xdr:colOff>
      <xdr:row>127</xdr:row>
      <xdr:rowOff>133349</xdr:rowOff>
    </xdr:to>
    <xdr:cxnSp macro="">
      <xdr:nvCxnSpPr>
        <xdr:cNvPr id="290" name="Connector: Elbow 42">
          <a:extLst>
            <a:ext uri="{FF2B5EF4-FFF2-40B4-BE49-F238E27FC236}">
              <a16:creationId xmlns:a16="http://schemas.microsoft.com/office/drawing/2014/main" id="{00000000-0008-0000-0300-000022010000}"/>
            </a:ext>
          </a:extLst>
        </xdr:cNvPr>
        <xdr:cNvCxnSpPr>
          <a:cxnSpLocks/>
          <a:stCxn id="275" idx="3"/>
          <a:endCxn id="289" idx="2"/>
        </xdr:cNvCxnSpPr>
      </xdr:nvCxnSpPr>
      <xdr:spPr>
        <a:xfrm>
          <a:off x="11353800" y="4334147"/>
          <a:ext cx="830036" cy="5442"/>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149678</xdr:colOff>
      <xdr:row>119</xdr:row>
      <xdr:rowOff>59328</xdr:rowOff>
    </xdr:from>
    <xdr:to>
      <xdr:col>21</xdr:col>
      <xdr:colOff>480603</xdr:colOff>
      <xdr:row>127</xdr:row>
      <xdr:rowOff>0</xdr:rowOff>
    </xdr:to>
    <xdr:cxnSp macro="">
      <xdr:nvCxnSpPr>
        <xdr:cNvPr id="291" name="Connector: Elbow 290">
          <a:extLst>
            <a:ext uri="{FF2B5EF4-FFF2-40B4-BE49-F238E27FC236}">
              <a16:creationId xmlns:a16="http://schemas.microsoft.com/office/drawing/2014/main" id="{00000000-0008-0000-0300-000023010000}"/>
            </a:ext>
          </a:extLst>
        </xdr:cNvPr>
        <xdr:cNvCxnSpPr>
          <a:stCxn id="289" idx="0"/>
          <a:endCxn id="287" idx="1"/>
        </xdr:cNvCxnSpPr>
      </xdr:nvCxnSpPr>
      <xdr:spPr>
        <a:xfrm rot="5400000" flipH="1" flipV="1">
          <a:off x="12110085" y="3034121"/>
          <a:ext cx="1403712" cy="940525"/>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149679</xdr:colOff>
      <xdr:row>128</xdr:row>
      <xdr:rowOff>76199</xdr:rowOff>
    </xdr:from>
    <xdr:to>
      <xdr:col>21</xdr:col>
      <xdr:colOff>519389</xdr:colOff>
      <xdr:row>129</xdr:row>
      <xdr:rowOff>172311</xdr:rowOff>
    </xdr:to>
    <xdr:cxnSp macro="">
      <xdr:nvCxnSpPr>
        <xdr:cNvPr id="292" name="Connector: Elbow 291">
          <a:extLst>
            <a:ext uri="{FF2B5EF4-FFF2-40B4-BE49-F238E27FC236}">
              <a16:creationId xmlns:a16="http://schemas.microsoft.com/office/drawing/2014/main" id="{00000000-0008-0000-0300-000024010000}"/>
            </a:ext>
          </a:extLst>
        </xdr:cNvPr>
        <xdr:cNvCxnSpPr>
          <a:stCxn id="289" idx="4"/>
          <a:endCxn id="288" idx="1"/>
        </xdr:cNvCxnSpPr>
      </xdr:nvCxnSpPr>
      <xdr:spPr>
        <a:xfrm rot="16200000" flipH="1">
          <a:off x="12691838" y="4115160"/>
          <a:ext cx="278992" cy="979310"/>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507275</xdr:colOff>
      <xdr:row>129</xdr:row>
      <xdr:rowOff>29256</xdr:rowOff>
    </xdr:from>
    <xdr:to>
      <xdr:col>25</xdr:col>
      <xdr:colOff>104504</xdr:colOff>
      <xdr:row>130</xdr:row>
      <xdr:rowOff>83684</xdr:rowOff>
    </xdr:to>
    <xdr:sp macro="" textlink="">
      <xdr:nvSpPr>
        <xdr:cNvPr id="293" name="Isosceles Triangle 292">
          <a:extLst>
            <a:ext uri="{FF2B5EF4-FFF2-40B4-BE49-F238E27FC236}">
              <a16:creationId xmlns:a16="http://schemas.microsoft.com/office/drawing/2014/main" id="{00000000-0008-0000-0300-000025010000}"/>
            </a:ext>
          </a:extLst>
        </xdr:cNvPr>
        <xdr:cNvSpPr/>
      </xdr:nvSpPr>
      <xdr:spPr>
        <a:xfrm rot="5400000">
          <a:off x="15122436" y="4616495"/>
          <a:ext cx="237308"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23</xdr:col>
      <xdr:colOff>149275</xdr:colOff>
      <xdr:row>129</xdr:row>
      <xdr:rowOff>147910</xdr:rowOff>
    </xdr:from>
    <xdr:to>
      <xdr:col>24</xdr:col>
      <xdr:colOff>507276</xdr:colOff>
      <xdr:row>129</xdr:row>
      <xdr:rowOff>172311</xdr:rowOff>
    </xdr:to>
    <xdr:cxnSp macro="">
      <xdr:nvCxnSpPr>
        <xdr:cNvPr id="294" name="Connector: Elbow 351">
          <a:extLst>
            <a:ext uri="{FF2B5EF4-FFF2-40B4-BE49-F238E27FC236}">
              <a16:creationId xmlns:a16="http://schemas.microsoft.com/office/drawing/2014/main" id="{00000000-0008-0000-0300-000026010000}"/>
            </a:ext>
          </a:extLst>
        </xdr:cNvPr>
        <xdr:cNvCxnSpPr>
          <a:stCxn id="288" idx="3"/>
          <a:endCxn id="293" idx="3"/>
        </xdr:cNvCxnSpPr>
      </xdr:nvCxnSpPr>
      <xdr:spPr>
        <a:xfrm flipV="1">
          <a:off x="14170075" y="4719910"/>
          <a:ext cx="967601" cy="24401"/>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110490</xdr:colOff>
      <xdr:row>119</xdr:row>
      <xdr:rowOff>59327</xdr:rowOff>
    </xdr:from>
    <xdr:to>
      <xdr:col>24</xdr:col>
      <xdr:colOff>400948</xdr:colOff>
      <xdr:row>119</xdr:row>
      <xdr:rowOff>81824</xdr:rowOff>
    </xdr:to>
    <xdr:cxnSp macro="">
      <xdr:nvCxnSpPr>
        <xdr:cNvPr id="301" name="Connector: Elbow 42">
          <a:extLst>
            <a:ext uri="{FF2B5EF4-FFF2-40B4-BE49-F238E27FC236}">
              <a16:creationId xmlns:a16="http://schemas.microsoft.com/office/drawing/2014/main" id="{00000000-0008-0000-0300-00002D010000}"/>
            </a:ext>
          </a:extLst>
        </xdr:cNvPr>
        <xdr:cNvCxnSpPr>
          <a:cxnSpLocks/>
          <a:stCxn id="287" idx="3"/>
          <a:endCxn id="312" idx="3"/>
        </xdr:cNvCxnSpPr>
      </xdr:nvCxnSpPr>
      <xdr:spPr>
        <a:xfrm>
          <a:off x="14131290" y="2802527"/>
          <a:ext cx="900058" cy="22497"/>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549869</xdr:colOff>
      <xdr:row>135</xdr:row>
      <xdr:rowOff>26442</xdr:rowOff>
    </xdr:from>
    <xdr:to>
      <xdr:col>23</xdr:col>
      <xdr:colOff>179755</xdr:colOff>
      <xdr:row>137</xdr:row>
      <xdr:rowOff>165780</xdr:rowOff>
    </xdr:to>
    <xdr:sp macro="" textlink="">
      <xdr:nvSpPr>
        <xdr:cNvPr id="308" name="Rectangle: Rounded Corners 307">
          <a:extLst>
            <a:ext uri="{FF2B5EF4-FFF2-40B4-BE49-F238E27FC236}">
              <a16:creationId xmlns:a16="http://schemas.microsoft.com/office/drawing/2014/main" id="{00000000-0008-0000-0300-000034010000}"/>
            </a:ext>
          </a:extLst>
        </xdr:cNvPr>
        <xdr:cNvSpPr/>
      </xdr:nvSpPr>
      <xdr:spPr>
        <a:xfrm>
          <a:off x="13351469" y="5695722"/>
          <a:ext cx="849086" cy="505098"/>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Death</a:t>
          </a:r>
        </a:p>
      </xdr:txBody>
    </xdr:sp>
    <xdr:clientData/>
  </xdr:twoCellAnchor>
  <xdr:twoCellAnchor>
    <xdr:from>
      <xdr:col>20</xdr:col>
      <xdr:colOff>149679</xdr:colOff>
      <xdr:row>128</xdr:row>
      <xdr:rowOff>76199</xdr:rowOff>
    </xdr:from>
    <xdr:to>
      <xdr:col>21</xdr:col>
      <xdr:colOff>549869</xdr:colOff>
      <xdr:row>136</xdr:row>
      <xdr:rowOff>96111</xdr:rowOff>
    </xdr:to>
    <xdr:cxnSp macro="">
      <xdr:nvCxnSpPr>
        <xdr:cNvPr id="309" name="Connector: Elbow 308">
          <a:extLst>
            <a:ext uri="{FF2B5EF4-FFF2-40B4-BE49-F238E27FC236}">
              <a16:creationId xmlns:a16="http://schemas.microsoft.com/office/drawing/2014/main" id="{00000000-0008-0000-0300-000035010000}"/>
            </a:ext>
          </a:extLst>
        </xdr:cNvPr>
        <xdr:cNvCxnSpPr>
          <a:stCxn id="289" idx="4"/>
          <a:endCxn id="308" idx="1"/>
        </xdr:cNvCxnSpPr>
      </xdr:nvCxnSpPr>
      <xdr:spPr>
        <a:xfrm rot="16200000" flipH="1">
          <a:off x="12105098" y="4701900"/>
          <a:ext cx="1482952" cy="1009790"/>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34835</xdr:colOff>
      <xdr:row>135</xdr:row>
      <xdr:rowOff>181655</xdr:rowOff>
    </xdr:from>
    <xdr:to>
      <xdr:col>25</xdr:col>
      <xdr:colOff>241664</xdr:colOff>
      <xdr:row>137</xdr:row>
      <xdr:rowOff>53203</xdr:rowOff>
    </xdr:to>
    <xdr:sp macro="" textlink="">
      <xdr:nvSpPr>
        <xdr:cNvPr id="310" name="Isosceles Triangle 309">
          <a:extLst>
            <a:ext uri="{FF2B5EF4-FFF2-40B4-BE49-F238E27FC236}">
              <a16:creationId xmlns:a16="http://schemas.microsoft.com/office/drawing/2014/main" id="{00000000-0008-0000-0300-000036010000}"/>
            </a:ext>
          </a:extLst>
        </xdr:cNvPr>
        <xdr:cNvSpPr/>
      </xdr:nvSpPr>
      <xdr:spPr>
        <a:xfrm rot="5400000">
          <a:off x="15259596" y="5866174"/>
          <a:ext cx="237308"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23</xdr:col>
      <xdr:colOff>179755</xdr:colOff>
      <xdr:row>136</xdr:row>
      <xdr:rowOff>96111</xdr:rowOff>
    </xdr:from>
    <xdr:to>
      <xdr:col>25</xdr:col>
      <xdr:colOff>34836</xdr:colOff>
      <xdr:row>136</xdr:row>
      <xdr:rowOff>117429</xdr:rowOff>
    </xdr:to>
    <xdr:cxnSp macro="">
      <xdr:nvCxnSpPr>
        <xdr:cNvPr id="311" name="Connector: Elbow 351">
          <a:extLst>
            <a:ext uri="{FF2B5EF4-FFF2-40B4-BE49-F238E27FC236}">
              <a16:creationId xmlns:a16="http://schemas.microsoft.com/office/drawing/2014/main" id="{00000000-0008-0000-0300-000037010000}"/>
            </a:ext>
          </a:extLst>
        </xdr:cNvPr>
        <xdr:cNvCxnSpPr>
          <a:stCxn id="308" idx="3"/>
          <a:endCxn id="310" idx="3"/>
        </xdr:cNvCxnSpPr>
      </xdr:nvCxnSpPr>
      <xdr:spPr>
        <a:xfrm>
          <a:off x="14200555" y="5948271"/>
          <a:ext cx="1074281" cy="21318"/>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400947</xdr:colOff>
      <xdr:row>118</xdr:row>
      <xdr:rowOff>149860</xdr:rowOff>
    </xdr:from>
    <xdr:to>
      <xdr:col>24</xdr:col>
      <xdr:colOff>607776</xdr:colOff>
      <xdr:row>120</xdr:row>
      <xdr:rowOff>13788</xdr:rowOff>
    </xdr:to>
    <xdr:sp macro="" textlink="">
      <xdr:nvSpPr>
        <xdr:cNvPr id="312" name="Isosceles Triangle 311">
          <a:extLst>
            <a:ext uri="{FF2B5EF4-FFF2-40B4-BE49-F238E27FC236}">
              <a16:creationId xmlns:a16="http://schemas.microsoft.com/office/drawing/2014/main" id="{00000000-0008-0000-0300-000038010000}"/>
            </a:ext>
          </a:extLst>
        </xdr:cNvPr>
        <xdr:cNvSpPr/>
      </xdr:nvSpPr>
      <xdr:spPr>
        <a:xfrm rot="5400000">
          <a:off x="15019918" y="2721609"/>
          <a:ext cx="229688"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19</xdr:col>
      <xdr:colOff>385354</xdr:colOff>
      <xdr:row>176</xdr:row>
      <xdr:rowOff>26670</xdr:rowOff>
    </xdr:from>
    <xdr:to>
      <xdr:col>21</xdr:col>
      <xdr:colOff>15240</xdr:colOff>
      <xdr:row>178</xdr:row>
      <xdr:rowOff>160564</xdr:rowOff>
    </xdr:to>
    <xdr:sp macro="" textlink="">
      <xdr:nvSpPr>
        <xdr:cNvPr id="313" name="Rectangle: Rounded Corners 312">
          <a:extLst>
            <a:ext uri="{FF2B5EF4-FFF2-40B4-BE49-F238E27FC236}">
              <a16:creationId xmlns:a16="http://schemas.microsoft.com/office/drawing/2014/main" id="{00000000-0008-0000-0300-000039010000}"/>
            </a:ext>
          </a:extLst>
        </xdr:cNvPr>
        <xdr:cNvSpPr/>
      </xdr:nvSpPr>
      <xdr:spPr>
        <a:xfrm>
          <a:off x="11967754" y="13194030"/>
          <a:ext cx="849086" cy="499654"/>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SGA</a:t>
          </a:r>
        </a:p>
      </xdr:txBody>
    </xdr:sp>
    <xdr:clientData/>
  </xdr:twoCellAnchor>
  <xdr:twoCellAnchor>
    <xdr:from>
      <xdr:col>19</xdr:col>
      <xdr:colOff>547042</xdr:colOff>
      <xdr:row>191</xdr:row>
      <xdr:rowOff>144797</xdr:rowOff>
    </xdr:from>
    <xdr:to>
      <xdr:col>21</xdr:col>
      <xdr:colOff>176928</xdr:colOff>
      <xdr:row>194</xdr:row>
      <xdr:rowOff>95110</xdr:rowOff>
    </xdr:to>
    <xdr:sp macro="" textlink="">
      <xdr:nvSpPr>
        <xdr:cNvPr id="314" name="Rectangle: Rounded Corners 313">
          <a:extLst>
            <a:ext uri="{FF2B5EF4-FFF2-40B4-BE49-F238E27FC236}">
              <a16:creationId xmlns:a16="http://schemas.microsoft.com/office/drawing/2014/main" id="{00000000-0008-0000-0300-00003A010000}"/>
            </a:ext>
          </a:extLst>
        </xdr:cNvPr>
        <xdr:cNvSpPr/>
      </xdr:nvSpPr>
      <xdr:spPr>
        <a:xfrm>
          <a:off x="12129442" y="16055357"/>
          <a:ext cx="849086" cy="498953"/>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Norrmal</a:t>
          </a:r>
          <a:r>
            <a:rPr lang="en-ZA" sz="1100" baseline="0">
              <a:solidFill>
                <a:sysClr val="windowText" lastClr="000000"/>
              </a:solidFill>
            </a:rPr>
            <a:t> weight</a:t>
          </a:r>
          <a:endParaRPr lang="en-ZA" sz="1100">
            <a:solidFill>
              <a:sysClr val="windowText" lastClr="000000"/>
            </a:solidFill>
          </a:endParaRPr>
        </a:p>
      </xdr:txBody>
    </xdr:sp>
    <xdr:clientData/>
  </xdr:twoCellAnchor>
  <xdr:twoCellAnchor>
    <xdr:from>
      <xdr:col>19</xdr:col>
      <xdr:colOff>487136</xdr:colOff>
      <xdr:row>200</xdr:row>
      <xdr:rowOff>127907</xdr:rowOff>
    </xdr:from>
    <xdr:to>
      <xdr:col>21</xdr:col>
      <xdr:colOff>117022</xdr:colOff>
      <xdr:row>203</xdr:row>
      <xdr:rowOff>78922</xdr:rowOff>
    </xdr:to>
    <xdr:sp macro="" textlink="">
      <xdr:nvSpPr>
        <xdr:cNvPr id="315" name="Rectangle: Rounded Corners 314">
          <a:extLst>
            <a:ext uri="{FF2B5EF4-FFF2-40B4-BE49-F238E27FC236}">
              <a16:creationId xmlns:a16="http://schemas.microsoft.com/office/drawing/2014/main" id="{00000000-0008-0000-0300-00003B010000}"/>
            </a:ext>
          </a:extLst>
        </xdr:cNvPr>
        <xdr:cNvSpPr/>
      </xdr:nvSpPr>
      <xdr:spPr>
        <a:xfrm>
          <a:off x="12069536" y="17684387"/>
          <a:ext cx="849086" cy="499655"/>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Stillbirth</a:t>
          </a:r>
        </a:p>
      </xdr:txBody>
    </xdr:sp>
    <xdr:clientData/>
  </xdr:twoCellAnchor>
  <xdr:twoCellAnchor>
    <xdr:from>
      <xdr:col>17</xdr:col>
      <xdr:colOff>516528</xdr:colOff>
      <xdr:row>183</xdr:row>
      <xdr:rowOff>37011</xdr:rowOff>
    </xdr:from>
    <xdr:to>
      <xdr:col>18</xdr:col>
      <xdr:colOff>222613</xdr:colOff>
      <xdr:row>184</xdr:row>
      <xdr:rowOff>113210</xdr:rowOff>
    </xdr:to>
    <xdr:sp macro="" textlink="">
      <xdr:nvSpPr>
        <xdr:cNvPr id="316" name="Oval 315">
          <a:extLst>
            <a:ext uri="{FF2B5EF4-FFF2-40B4-BE49-F238E27FC236}">
              <a16:creationId xmlns:a16="http://schemas.microsoft.com/office/drawing/2014/main" id="{00000000-0008-0000-0300-00003C010000}"/>
            </a:ext>
          </a:extLst>
        </xdr:cNvPr>
        <xdr:cNvSpPr/>
      </xdr:nvSpPr>
      <xdr:spPr>
        <a:xfrm>
          <a:off x="10879728" y="14484531"/>
          <a:ext cx="315685" cy="259079"/>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18</xdr:col>
      <xdr:colOff>64770</xdr:colOff>
      <xdr:row>177</xdr:row>
      <xdr:rowOff>93618</xdr:rowOff>
    </xdr:from>
    <xdr:to>
      <xdr:col>19</xdr:col>
      <xdr:colOff>385353</xdr:colOff>
      <xdr:row>183</xdr:row>
      <xdr:rowOff>37012</xdr:rowOff>
    </xdr:to>
    <xdr:cxnSp macro="">
      <xdr:nvCxnSpPr>
        <xdr:cNvPr id="317" name="Connector: Elbow 316">
          <a:extLst>
            <a:ext uri="{FF2B5EF4-FFF2-40B4-BE49-F238E27FC236}">
              <a16:creationId xmlns:a16="http://schemas.microsoft.com/office/drawing/2014/main" id="{00000000-0008-0000-0300-00003D010000}"/>
            </a:ext>
          </a:extLst>
        </xdr:cNvPr>
        <xdr:cNvCxnSpPr>
          <a:cxnSpLocks/>
          <a:stCxn id="316" idx="0"/>
          <a:endCxn id="313" idx="1"/>
        </xdr:cNvCxnSpPr>
      </xdr:nvCxnSpPr>
      <xdr:spPr>
        <a:xfrm rot="5400000" flipH="1" flipV="1">
          <a:off x="10982325" y="13499103"/>
          <a:ext cx="1040674" cy="930183"/>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222613</xdr:colOff>
      <xdr:row>183</xdr:row>
      <xdr:rowOff>166551</xdr:rowOff>
    </xdr:from>
    <xdr:to>
      <xdr:col>19</xdr:col>
      <xdr:colOff>547042</xdr:colOff>
      <xdr:row>193</xdr:row>
      <xdr:rowOff>28514</xdr:rowOff>
    </xdr:to>
    <xdr:cxnSp macro="">
      <xdr:nvCxnSpPr>
        <xdr:cNvPr id="318" name="Connector: Elbow 317">
          <a:extLst>
            <a:ext uri="{FF2B5EF4-FFF2-40B4-BE49-F238E27FC236}">
              <a16:creationId xmlns:a16="http://schemas.microsoft.com/office/drawing/2014/main" id="{00000000-0008-0000-0300-00003E010000}"/>
            </a:ext>
          </a:extLst>
        </xdr:cNvPr>
        <xdr:cNvCxnSpPr>
          <a:stCxn id="316" idx="6"/>
          <a:endCxn id="314" idx="1"/>
        </xdr:cNvCxnSpPr>
      </xdr:nvCxnSpPr>
      <xdr:spPr>
        <a:xfrm>
          <a:off x="11195413" y="14614071"/>
          <a:ext cx="934029" cy="1690763"/>
        </a:xfrm>
        <a:prstGeom prst="bentConnector3">
          <a:avLst>
            <a:gd name="adj1" fmla="val 50000"/>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64771</xdr:colOff>
      <xdr:row>184</xdr:row>
      <xdr:rowOff>113209</xdr:rowOff>
    </xdr:from>
    <xdr:to>
      <xdr:col>19</xdr:col>
      <xdr:colOff>487136</xdr:colOff>
      <xdr:row>202</xdr:row>
      <xdr:rowOff>11974</xdr:rowOff>
    </xdr:to>
    <xdr:cxnSp macro="">
      <xdr:nvCxnSpPr>
        <xdr:cNvPr id="319" name="Connector: Elbow 318">
          <a:extLst>
            <a:ext uri="{FF2B5EF4-FFF2-40B4-BE49-F238E27FC236}">
              <a16:creationId xmlns:a16="http://schemas.microsoft.com/office/drawing/2014/main" id="{00000000-0008-0000-0300-00003F010000}"/>
            </a:ext>
          </a:extLst>
        </xdr:cNvPr>
        <xdr:cNvCxnSpPr>
          <a:stCxn id="316" idx="4"/>
          <a:endCxn id="315" idx="1"/>
        </xdr:cNvCxnSpPr>
      </xdr:nvCxnSpPr>
      <xdr:spPr>
        <a:xfrm rot="16200000" flipH="1">
          <a:off x="9958251" y="15822929"/>
          <a:ext cx="3190605" cy="1031965"/>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103415</xdr:colOff>
      <xdr:row>201</xdr:row>
      <xdr:rowOff>76206</xdr:rowOff>
    </xdr:from>
    <xdr:to>
      <xdr:col>22</xdr:col>
      <xdr:colOff>310244</xdr:colOff>
      <xdr:row>202</xdr:row>
      <xdr:rowOff>130634</xdr:rowOff>
    </xdr:to>
    <xdr:sp macro="" textlink="">
      <xdr:nvSpPr>
        <xdr:cNvPr id="320" name="Isosceles Triangle 319">
          <a:extLst>
            <a:ext uri="{FF2B5EF4-FFF2-40B4-BE49-F238E27FC236}">
              <a16:creationId xmlns:a16="http://schemas.microsoft.com/office/drawing/2014/main" id="{00000000-0008-0000-0300-000040010000}"/>
            </a:ext>
          </a:extLst>
        </xdr:cNvPr>
        <xdr:cNvSpPr/>
      </xdr:nvSpPr>
      <xdr:spPr>
        <a:xfrm rot="5400000">
          <a:off x="13499376" y="17830805"/>
          <a:ext cx="237308"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21</xdr:col>
      <xdr:colOff>117022</xdr:colOff>
      <xdr:row>202</xdr:row>
      <xdr:rowOff>8165</xdr:rowOff>
    </xdr:from>
    <xdr:to>
      <xdr:col>22</xdr:col>
      <xdr:colOff>103416</xdr:colOff>
      <xdr:row>202</xdr:row>
      <xdr:rowOff>8170</xdr:rowOff>
    </xdr:to>
    <xdr:cxnSp macro="">
      <xdr:nvCxnSpPr>
        <xdr:cNvPr id="321" name="Connector: Elbow 351">
          <a:extLst>
            <a:ext uri="{FF2B5EF4-FFF2-40B4-BE49-F238E27FC236}">
              <a16:creationId xmlns:a16="http://schemas.microsoft.com/office/drawing/2014/main" id="{00000000-0008-0000-0300-000041010000}"/>
            </a:ext>
          </a:extLst>
        </xdr:cNvPr>
        <xdr:cNvCxnSpPr>
          <a:stCxn id="315" idx="3"/>
          <a:endCxn id="320" idx="3"/>
        </xdr:cNvCxnSpPr>
      </xdr:nvCxnSpPr>
      <xdr:spPr>
        <a:xfrm>
          <a:off x="12918622" y="17930405"/>
          <a:ext cx="595994" cy="5"/>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293546</xdr:colOff>
      <xdr:row>192</xdr:row>
      <xdr:rowOff>74114</xdr:rowOff>
    </xdr:from>
    <xdr:to>
      <xdr:col>22</xdr:col>
      <xdr:colOff>500375</xdr:colOff>
      <xdr:row>193</xdr:row>
      <xdr:rowOff>134687</xdr:rowOff>
    </xdr:to>
    <xdr:sp macro="" textlink="">
      <xdr:nvSpPr>
        <xdr:cNvPr id="322" name="Isosceles Triangle 321">
          <a:extLst>
            <a:ext uri="{FF2B5EF4-FFF2-40B4-BE49-F238E27FC236}">
              <a16:creationId xmlns:a16="http://schemas.microsoft.com/office/drawing/2014/main" id="{00000000-0008-0000-0300-000042010000}"/>
            </a:ext>
          </a:extLst>
        </xdr:cNvPr>
        <xdr:cNvSpPr/>
      </xdr:nvSpPr>
      <xdr:spPr>
        <a:xfrm rot="5400000">
          <a:off x="13686434" y="16185866"/>
          <a:ext cx="243453"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21</xdr:col>
      <xdr:colOff>176928</xdr:colOff>
      <xdr:row>193</xdr:row>
      <xdr:rowOff>12961</xdr:rowOff>
    </xdr:from>
    <xdr:to>
      <xdr:col>22</xdr:col>
      <xdr:colOff>293546</xdr:colOff>
      <xdr:row>193</xdr:row>
      <xdr:rowOff>28514</xdr:rowOff>
    </xdr:to>
    <xdr:cxnSp macro="">
      <xdr:nvCxnSpPr>
        <xdr:cNvPr id="323" name="Connector: Elbow 351">
          <a:extLst>
            <a:ext uri="{FF2B5EF4-FFF2-40B4-BE49-F238E27FC236}">
              <a16:creationId xmlns:a16="http://schemas.microsoft.com/office/drawing/2014/main" id="{00000000-0008-0000-0300-000043010000}"/>
            </a:ext>
          </a:extLst>
        </xdr:cNvPr>
        <xdr:cNvCxnSpPr>
          <a:stCxn id="314" idx="3"/>
          <a:endCxn id="322" idx="3"/>
        </xdr:cNvCxnSpPr>
      </xdr:nvCxnSpPr>
      <xdr:spPr>
        <a:xfrm flipV="1">
          <a:off x="12978528" y="16289281"/>
          <a:ext cx="726218" cy="15553"/>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480604</xdr:colOff>
      <xdr:row>167</xdr:row>
      <xdr:rowOff>171450</xdr:rowOff>
    </xdr:from>
    <xdr:to>
      <xdr:col>25</xdr:col>
      <xdr:colOff>110490</xdr:colOff>
      <xdr:row>170</xdr:row>
      <xdr:rowOff>130084</xdr:rowOff>
    </xdr:to>
    <xdr:sp macro="" textlink="">
      <xdr:nvSpPr>
        <xdr:cNvPr id="324" name="Rectangle: Rounded Corners 323">
          <a:extLst>
            <a:ext uri="{FF2B5EF4-FFF2-40B4-BE49-F238E27FC236}">
              <a16:creationId xmlns:a16="http://schemas.microsoft.com/office/drawing/2014/main" id="{00000000-0008-0000-0300-000044010000}"/>
            </a:ext>
          </a:extLst>
        </xdr:cNvPr>
        <xdr:cNvSpPr/>
      </xdr:nvSpPr>
      <xdr:spPr>
        <a:xfrm>
          <a:off x="14501404" y="11692890"/>
          <a:ext cx="849086" cy="507274"/>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Hypoglycaemia</a:t>
          </a:r>
        </a:p>
      </xdr:txBody>
    </xdr:sp>
    <xdr:clientData/>
  </xdr:twoCellAnchor>
  <xdr:twoCellAnchor>
    <xdr:from>
      <xdr:col>23</xdr:col>
      <xdr:colOff>595589</xdr:colOff>
      <xdr:row>175</xdr:row>
      <xdr:rowOff>72162</xdr:rowOff>
    </xdr:from>
    <xdr:to>
      <xdr:col>25</xdr:col>
      <xdr:colOff>225475</xdr:colOff>
      <xdr:row>178</xdr:row>
      <xdr:rowOff>28620</xdr:rowOff>
    </xdr:to>
    <xdr:sp macro="" textlink="">
      <xdr:nvSpPr>
        <xdr:cNvPr id="325" name="Rectangle: Rounded Corners 324">
          <a:extLst>
            <a:ext uri="{FF2B5EF4-FFF2-40B4-BE49-F238E27FC236}">
              <a16:creationId xmlns:a16="http://schemas.microsoft.com/office/drawing/2014/main" id="{00000000-0008-0000-0300-000045010000}"/>
            </a:ext>
          </a:extLst>
        </xdr:cNvPr>
        <xdr:cNvSpPr/>
      </xdr:nvSpPr>
      <xdr:spPr>
        <a:xfrm>
          <a:off x="14616389" y="32076162"/>
          <a:ext cx="849086" cy="505098"/>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no complications</a:t>
          </a:r>
        </a:p>
      </xdr:txBody>
    </xdr:sp>
    <xdr:clientData/>
  </xdr:twoCellAnchor>
  <xdr:twoCellAnchor>
    <xdr:from>
      <xdr:col>21</xdr:col>
      <xdr:colOff>601436</xdr:colOff>
      <xdr:row>177</xdr:row>
      <xdr:rowOff>-1</xdr:rowOff>
    </xdr:from>
    <xdr:to>
      <xdr:col>22</xdr:col>
      <xdr:colOff>307521</xdr:colOff>
      <xdr:row>178</xdr:row>
      <xdr:rowOff>76199</xdr:rowOff>
    </xdr:to>
    <xdr:sp macro="" textlink="">
      <xdr:nvSpPr>
        <xdr:cNvPr id="330" name="Oval 329">
          <a:extLst>
            <a:ext uri="{FF2B5EF4-FFF2-40B4-BE49-F238E27FC236}">
              <a16:creationId xmlns:a16="http://schemas.microsoft.com/office/drawing/2014/main" id="{00000000-0008-0000-0300-00004A010000}"/>
            </a:ext>
          </a:extLst>
        </xdr:cNvPr>
        <xdr:cNvSpPr/>
      </xdr:nvSpPr>
      <xdr:spPr>
        <a:xfrm>
          <a:off x="13403036" y="13350239"/>
          <a:ext cx="315685" cy="25908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21</xdr:col>
      <xdr:colOff>15240</xdr:colOff>
      <xdr:row>177</xdr:row>
      <xdr:rowOff>93617</xdr:rowOff>
    </xdr:from>
    <xdr:to>
      <xdr:col>21</xdr:col>
      <xdr:colOff>601436</xdr:colOff>
      <xdr:row>177</xdr:row>
      <xdr:rowOff>129539</xdr:rowOff>
    </xdr:to>
    <xdr:cxnSp macro="">
      <xdr:nvCxnSpPr>
        <xdr:cNvPr id="331" name="Connector: Elbow 42">
          <a:extLst>
            <a:ext uri="{FF2B5EF4-FFF2-40B4-BE49-F238E27FC236}">
              <a16:creationId xmlns:a16="http://schemas.microsoft.com/office/drawing/2014/main" id="{00000000-0008-0000-0300-00004B010000}"/>
            </a:ext>
          </a:extLst>
        </xdr:cNvPr>
        <xdr:cNvCxnSpPr>
          <a:cxnSpLocks/>
          <a:stCxn id="313" idx="3"/>
          <a:endCxn id="330" idx="2"/>
        </xdr:cNvCxnSpPr>
      </xdr:nvCxnSpPr>
      <xdr:spPr>
        <a:xfrm>
          <a:off x="12816840" y="13443857"/>
          <a:ext cx="586196" cy="35922"/>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149678</xdr:colOff>
      <xdr:row>169</xdr:row>
      <xdr:rowOff>59328</xdr:rowOff>
    </xdr:from>
    <xdr:to>
      <xdr:col>23</xdr:col>
      <xdr:colOff>480603</xdr:colOff>
      <xdr:row>177</xdr:row>
      <xdr:rowOff>0</xdr:rowOff>
    </xdr:to>
    <xdr:cxnSp macro="">
      <xdr:nvCxnSpPr>
        <xdr:cNvPr id="332" name="Connector: Elbow 331">
          <a:extLst>
            <a:ext uri="{FF2B5EF4-FFF2-40B4-BE49-F238E27FC236}">
              <a16:creationId xmlns:a16="http://schemas.microsoft.com/office/drawing/2014/main" id="{00000000-0008-0000-0300-00004C010000}"/>
            </a:ext>
          </a:extLst>
        </xdr:cNvPr>
        <xdr:cNvCxnSpPr>
          <a:cxnSpLocks/>
          <a:stCxn id="330" idx="0"/>
          <a:endCxn id="324" idx="1"/>
        </xdr:cNvCxnSpPr>
      </xdr:nvCxnSpPr>
      <xdr:spPr>
        <a:xfrm rot="5400000" flipH="1" flipV="1">
          <a:off x="13329285" y="12178121"/>
          <a:ext cx="1403712" cy="940525"/>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149679</xdr:colOff>
      <xdr:row>176</xdr:row>
      <xdr:rowOff>141831</xdr:rowOff>
    </xdr:from>
    <xdr:to>
      <xdr:col>23</xdr:col>
      <xdr:colOff>595589</xdr:colOff>
      <xdr:row>178</xdr:row>
      <xdr:rowOff>76199</xdr:rowOff>
    </xdr:to>
    <xdr:cxnSp macro="">
      <xdr:nvCxnSpPr>
        <xdr:cNvPr id="333" name="Connector: Elbow 332">
          <a:extLst>
            <a:ext uri="{FF2B5EF4-FFF2-40B4-BE49-F238E27FC236}">
              <a16:creationId xmlns:a16="http://schemas.microsoft.com/office/drawing/2014/main" id="{00000000-0008-0000-0300-00004D010000}"/>
            </a:ext>
          </a:extLst>
        </xdr:cNvPr>
        <xdr:cNvCxnSpPr>
          <a:stCxn id="330" idx="4"/>
          <a:endCxn id="325" idx="1"/>
        </xdr:cNvCxnSpPr>
      </xdr:nvCxnSpPr>
      <xdr:spPr>
        <a:xfrm rot="5400000" flipH="1" flipV="1">
          <a:off x="13938570" y="31951020"/>
          <a:ext cx="300128" cy="1055510"/>
        </a:xfrm>
        <a:prstGeom prst="bentConnector4">
          <a:avLst>
            <a:gd name="adj1" fmla="val -76168"/>
            <a:gd name="adj2" fmla="val 57477"/>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537755</xdr:colOff>
      <xdr:row>175</xdr:row>
      <xdr:rowOff>181657</xdr:rowOff>
    </xdr:from>
    <xdr:to>
      <xdr:col>27</xdr:col>
      <xdr:colOff>134984</xdr:colOff>
      <xdr:row>177</xdr:row>
      <xdr:rowOff>53205</xdr:rowOff>
    </xdr:to>
    <xdr:sp macro="" textlink="">
      <xdr:nvSpPr>
        <xdr:cNvPr id="334" name="Isosceles Triangle 333">
          <a:extLst>
            <a:ext uri="{FF2B5EF4-FFF2-40B4-BE49-F238E27FC236}">
              <a16:creationId xmlns:a16="http://schemas.microsoft.com/office/drawing/2014/main" id="{00000000-0008-0000-0300-00004E010000}"/>
            </a:ext>
          </a:extLst>
        </xdr:cNvPr>
        <xdr:cNvSpPr/>
      </xdr:nvSpPr>
      <xdr:spPr>
        <a:xfrm rot="5400000">
          <a:off x="16372116" y="32200896"/>
          <a:ext cx="237308"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25</xdr:col>
      <xdr:colOff>225475</xdr:colOff>
      <xdr:row>176</xdr:row>
      <xdr:rowOff>117431</xdr:rowOff>
    </xdr:from>
    <xdr:to>
      <xdr:col>26</xdr:col>
      <xdr:colOff>537756</xdr:colOff>
      <xdr:row>176</xdr:row>
      <xdr:rowOff>141831</xdr:rowOff>
    </xdr:to>
    <xdr:cxnSp macro="">
      <xdr:nvCxnSpPr>
        <xdr:cNvPr id="335" name="Connector: Elbow 351">
          <a:extLst>
            <a:ext uri="{FF2B5EF4-FFF2-40B4-BE49-F238E27FC236}">
              <a16:creationId xmlns:a16="http://schemas.microsoft.com/office/drawing/2014/main" id="{00000000-0008-0000-0300-00004F010000}"/>
            </a:ext>
          </a:extLst>
        </xdr:cNvPr>
        <xdr:cNvCxnSpPr>
          <a:stCxn id="325" idx="3"/>
          <a:endCxn id="334" idx="3"/>
        </xdr:cNvCxnSpPr>
      </xdr:nvCxnSpPr>
      <xdr:spPr>
        <a:xfrm flipV="1">
          <a:off x="15465475" y="32304311"/>
          <a:ext cx="921881" cy="24400"/>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110490</xdr:colOff>
      <xdr:row>169</xdr:row>
      <xdr:rowOff>59327</xdr:rowOff>
    </xdr:from>
    <xdr:to>
      <xdr:col>26</xdr:col>
      <xdr:colOff>400948</xdr:colOff>
      <xdr:row>169</xdr:row>
      <xdr:rowOff>81824</xdr:rowOff>
    </xdr:to>
    <xdr:cxnSp macro="">
      <xdr:nvCxnSpPr>
        <xdr:cNvPr id="342" name="Connector: Elbow 42">
          <a:extLst>
            <a:ext uri="{FF2B5EF4-FFF2-40B4-BE49-F238E27FC236}">
              <a16:creationId xmlns:a16="http://schemas.microsoft.com/office/drawing/2014/main" id="{00000000-0008-0000-0300-000056010000}"/>
            </a:ext>
          </a:extLst>
        </xdr:cNvPr>
        <xdr:cNvCxnSpPr>
          <a:cxnSpLocks/>
          <a:stCxn id="324" idx="3"/>
          <a:endCxn id="349" idx="3"/>
        </xdr:cNvCxnSpPr>
      </xdr:nvCxnSpPr>
      <xdr:spPr>
        <a:xfrm>
          <a:off x="15350490" y="11946527"/>
          <a:ext cx="900058" cy="22497"/>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549869</xdr:colOff>
      <xdr:row>185</xdr:row>
      <xdr:rowOff>26442</xdr:rowOff>
    </xdr:from>
    <xdr:to>
      <xdr:col>25</xdr:col>
      <xdr:colOff>179755</xdr:colOff>
      <xdr:row>187</xdr:row>
      <xdr:rowOff>165780</xdr:rowOff>
    </xdr:to>
    <xdr:sp macro="" textlink="">
      <xdr:nvSpPr>
        <xdr:cNvPr id="345" name="Rectangle: Rounded Corners 344">
          <a:extLst>
            <a:ext uri="{FF2B5EF4-FFF2-40B4-BE49-F238E27FC236}">
              <a16:creationId xmlns:a16="http://schemas.microsoft.com/office/drawing/2014/main" id="{00000000-0008-0000-0300-000059010000}"/>
            </a:ext>
          </a:extLst>
        </xdr:cNvPr>
        <xdr:cNvSpPr/>
      </xdr:nvSpPr>
      <xdr:spPr>
        <a:xfrm>
          <a:off x="14570669" y="14839722"/>
          <a:ext cx="849086" cy="505098"/>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Death</a:t>
          </a:r>
        </a:p>
      </xdr:txBody>
    </xdr:sp>
    <xdr:clientData/>
  </xdr:twoCellAnchor>
  <xdr:twoCellAnchor>
    <xdr:from>
      <xdr:col>22</xdr:col>
      <xdr:colOff>149679</xdr:colOff>
      <xdr:row>178</xdr:row>
      <xdr:rowOff>76199</xdr:rowOff>
    </xdr:from>
    <xdr:to>
      <xdr:col>23</xdr:col>
      <xdr:colOff>549869</xdr:colOff>
      <xdr:row>186</xdr:row>
      <xdr:rowOff>96111</xdr:rowOff>
    </xdr:to>
    <xdr:cxnSp macro="">
      <xdr:nvCxnSpPr>
        <xdr:cNvPr id="346" name="Connector: Elbow 345">
          <a:extLst>
            <a:ext uri="{FF2B5EF4-FFF2-40B4-BE49-F238E27FC236}">
              <a16:creationId xmlns:a16="http://schemas.microsoft.com/office/drawing/2014/main" id="{00000000-0008-0000-0300-00005A010000}"/>
            </a:ext>
          </a:extLst>
        </xdr:cNvPr>
        <xdr:cNvCxnSpPr>
          <a:stCxn id="330" idx="4"/>
          <a:endCxn id="345" idx="1"/>
        </xdr:cNvCxnSpPr>
      </xdr:nvCxnSpPr>
      <xdr:spPr>
        <a:xfrm rot="16200000" flipH="1">
          <a:off x="13324298" y="13845900"/>
          <a:ext cx="1482952" cy="1009790"/>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34835</xdr:colOff>
      <xdr:row>185</xdr:row>
      <xdr:rowOff>181655</xdr:rowOff>
    </xdr:from>
    <xdr:to>
      <xdr:col>27</xdr:col>
      <xdr:colOff>241664</xdr:colOff>
      <xdr:row>187</xdr:row>
      <xdr:rowOff>53203</xdr:rowOff>
    </xdr:to>
    <xdr:sp macro="" textlink="">
      <xdr:nvSpPr>
        <xdr:cNvPr id="347" name="Isosceles Triangle 346">
          <a:extLst>
            <a:ext uri="{FF2B5EF4-FFF2-40B4-BE49-F238E27FC236}">
              <a16:creationId xmlns:a16="http://schemas.microsoft.com/office/drawing/2014/main" id="{00000000-0008-0000-0300-00005B010000}"/>
            </a:ext>
          </a:extLst>
        </xdr:cNvPr>
        <xdr:cNvSpPr/>
      </xdr:nvSpPr>
      <xdr:spPr>
        <a:xfrm rot="5400000">
          <a:off x="16478796" y="15010174"/>
          <a:ext cx="237308"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25</xdr:col>
      <xdr:colOff>179755</xdr:colOff>
      <xdr:row>186</xdr:row>
      <xdr:rowOff>96111</xdr:rowOff>
    </xdr:from>
    <xdr:to>
      <xdr:col>27</xdr:col>
      <xdr:colOff>34836</xdr:colOff>
      <xdr:row>186</xdr:row>
      <xdr:rowOff>117429</xdr:rowOff>
    </xdr:to>
    <xdr:cxnSp macro="">
      <xdr:nvCxnSpPr>
        <xdr:cNvPr id="348" name="Connector: Elbow 351">
          <a:extLst>
            <a:ext uri="{FF2B5EF4-FFF2-40B4-BE49-F238E27FC236}">
              <a16:creationId xmlns:a16="http://schemas.microsoft.com/office/drawing/2014/main" id="{00000000-0008-0000-0300-00005C010000}"/>
            </a:ext>
          </a:extLst>
        </xdr:cNvPr>
        <xdr:cNvCxnSpPr>
          <a:stCxn id="345" idx="3"/>
          <a:endCxn id="347" idx="3"/>
        </xdr:cNvCxnSpPr>
      </xdr:nvCxnSpPr>
      <xdr:spPr>
        <a:xfrm>
          <a:off x="15419755" y="15092271"/>
          <a:ext cx="1074281" cy="21318"/>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400947</xdr:colOff>
      <xdr:row>168</xdr:row>
      <xdr:rowOff>149860</xdr:rowOff>
    </xdr:from>
    <xdr:to>
      <xdr:col>26</xdr:col>
      <xdr:colOff>607776</xdr:colOff>
      <xdr:row>170</xdr:row>
      <xdr:rowOff>13788</xdr:rowOff>
    </xdr:to>
    <xdr:sp macro="" textlink="">
      <xdr:nvSpPr>
        <xdr:cNvPr id="349" name="Isosceles Triangle 348">
          <a:extLst>
            <a:ext uri="{FF2B5EF4-FFF2-40B4-BE49-F238E27FC236}">
              <a16:creationId xmlns:a16="http://schemas.microsoft.com/office/drawing/2014/main" id="{00000000-0008-0000-0300-00005D010000}"/>
            </a:ext>
          </a:extLst>
        </xdr:cNvPr>
        <xdr:cNvSpPr/>
      </xdr:nvSpPr>
      <xdr:spPr>
        <a:xfrm rot="5400000">
          <a:off x="16239118" y="11865609"/>
          <a:ext cx="229688"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0</xdr:colOff>
      <xdr:row>14</xdr:row>
      <xdr:rowOff>190499</xdr:rowOff>
    </xdr:from>
    <xdr:to>
      <xdr:col>3</xdr:col>
      <xdr:colOff>598714</xdr:colOff>
      <xdr:row>15</xdr:row>
      <xdr:rowOff>0</xdr:rowOff>
    </xdr:to>
    <xdr:cxnSp macro="">
      <xdr:nvCxnSpPr>
        <xdr:cNvPr id="2" name="Straight Connector 1">
          <a:extLst>
            <a:ext uri="{FF2B5EF4-FFF2-40B4-BE49-F238E27FC236}">
              <a16:creationId xmlns:a16="http://schemas.microsoft.com/office/drawing/2014/main" id="{00000000-0008-0000-0C00-000002000000}"/>
            </a:ext>
          </a:extLst>
        </xdr:cNvPr>
        <xdr:cNvCxnSpPr>
          <a:endCxn id="3" idx="1"/>
        </xdr:cNvCxnSpPr>
      </xdr:nvCxnSpPr>
      <xdr:spPr>
        <a:xfrm flipV="1">
          <a:off x="1219200" y="2743199"/>
          <a:ext cx="1208314" cy="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598714</xdr:colOff>
      <xdr:row>14</xdr:row>
      <xdr:rowOff>126999</xdr:rowOff>
    </xdr:from>
    <xdr:to>
      <xdr:col>4</xdr:col>
      <xdr:colOff>60960</xdr:colOff>
      <xdr:row>15</xdr:row>
      <xdr:rowOff>63499</xdr:rowOff>
    </xdr:to>
    <xdr:sp macro="" textlink="">
      <xdr:nvSpPr>
        <xdr:cNvPr id="3" name="Rectangle 2">
          <a:extLst>
            <a:ext uri="{FF2B5EF4-FFF2-40B4-BE49-F238E27FC236}">
              <a16:creationId xmlns:a16="http://schemas.microsoft.com/office/drawing/2014/main" id="{00000000-0008-0000-0C00-000003000000}"/>
            </a:ext>
          </a:extLst>
        </xdr:cNvPr>
        <xdr:cNvSpPr/>
      </xdr:nvSpPr>
      <xdr:spPr>
        <a:xfrm>
          <a:off x="2427514" y="2687319"/>
          <a:ext cx="71846" cy="1193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3</xdr:col>
      <xdr:colOff>601980</xdr:colOff>
      <xdr:row>10</xdr:row>
      <xdr:rowOff>10026</xdr:rowOff>
    </xdr:from>
    <xdr:to>
      <xdr:col>4</xdr:col>
      <xdr:colOff>5014</xdr:colOff>
      <xdr:row>21</xdr:row>
      <xdr:rowOff>15240</xdr:rowOff>
    </xdr:to>
    <xdr:cxnSp macro="">
      <xdr:nvCxnSpPr>
        <xdr:cNvPr id="4" name="Straight Connector 3">
          <a:extLst>
            <a:ext uri="{FF2B5EF4-FFF2-40B4-BE49-F238E27FC236}">
              <a16:creationId xmlns:a16="http://schemas.microsoft.com/office/drawing/2014/main" id="{00000000-0008-0000-0C00-000004000000}"/>
            </a:ext>
          </a:extLst>
        </xdr:cNvPr>
        <xdr:cNvCxnSpPr/>
      </xdr:nvCxnSpPr>
      <xdr:spPr>
        <a:xfrm flipH="1">
          <a:off x="2430780" y="1838826"/>
          <a:ext cx="12634" cy="201689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xdr:colOff>
      <xdr:row>20</xdr:row>
      <xdr:rowOff>179071</xdr:rowOff>
    </xdr:from>
    <xdr:to>
      <xdr:col>12</xdr:col>
      <xdr:colOff>524466</xdr:colOff>
      <xdr:row>21</xdr:row>
      <xdr:rowOff>0</xdr:rowOff>
    </xdr:to>
    <xdr:cxnSp macro="">
      <xdr:nvCxnSpPr>
        <xdr:cNvPr id="5" name="Straight Connector 4">
          <a:extLst>
            <a:ext uri="{FF2B5EF4-FFF2-40B4-BE49-F238E27FC236}">
              <a16:creationId xmlns:a16="http://schemas.microsoft.com/office/drawing/2014/main" id="{00000000-0008-0000-0C00-000005000000}"/>
            </a:ext>
          </a:extLst>
        </xdr:cNvPr>
        <xdr:cNvCxnSpPr>
          <a:endCxn id="7" idx="2"/>
        </xdr:cNvCxnSpPr>
      </xdr:nvCxnSpPr>
      <xdr:spPr>
        <a:xfrm flipV="1">
          <a:off x="2446020" y="3836671"/>
          <a:ext cx="5393646" cy="3809"/>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548640</xdr:colOff>
      <xdr:row>9</xdr:row>
      <xdr:rowOff>121920</xdr:rowOff>
    </xdr:from>
    <xdr:to>
      <xdr:col>10</xdr:col>
      <xdr:colOff>68580</xdr:colOff>
      <xdr:row>10</xdr:row>
      <xdr:rowOff>68580</xdr:rowOff>
    </xdr:to>
    <xdr:sp macro="" textlink="">
      <xdr:nvSpPr>
        <xdr:cNvPr id="6" name="Flowchart: Connector 5">
          <a:extLst>
            <a:ext uri="{FF2B5EF4-FFF2-40B4-BE49-F238E27FC236}">
              <a16:creationId xmlns:a16="http://schemas.microsoft.com/office/drawing/2014/main" id="{00000000-0008-0000-0C00-000006000000}"/>
            </a:ext>
          </a:extLst>
        </xdr:cNvPr>
        <xdr:cNvSpPr/>
      </xdr:nvSpPr>
      <xdr:spPr>
        <a:xfrm>
          <a:off x="6035040" y="1767840"/>
          <a:ext cx="129540" cy="12954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12</xdr:col>
      <xdr:colOff>524466</xdr:colOff>
      <xdr:row>20</xdr:row>
      <xdr:rowOff>114301</xdr:rowOff>
    </xdr:from>
    <xdr:to>
      <xdr:col>13</xdr:col>
      <xdr:colOff>44406</xdr:colOff>
      <xdr:row>21</xdr:row>
      <xdr:rowOff>60960</xdr:rowOff>
    </xdr:to>
    <xdr:sp macro="" textlink="">
      <xdr:nvSpPr>
        <xdr:cNvPr id="7" name="Flowchart: Connector 6">
          <a:extLst>
            <a:ext uri="{FF2B5EF4-FFF2-40B4-BE49-F238E27FC236}">
              <a16:creationId xmlns:a16="http://schemas.microsoft.com/office/drawing/2014/main" id="{00000000-0008-0000-0C00-000007000000}"/>
            </a:ext>
          </a:extLst>
        </xdr:cNvPr>
        <xdr:cNvSpPr/>
      </xdr:nvSpPr>
      <xdr:spPr>
        <a:xfrm>
          <a:off x="7839666" y="3771901"/>
          <a:ext cx="129540" cy="129539"/>
        </a:xfrm>
        <a:prstGeom prst="flowChartConnector">
          <a:avLst/>
        </a:prstGeom>
        <a:solidFill>
          <a:srgbClr val="4472C4"/>
        </a:solidFill>
        <a:ln w="12700" cap="flat" cmpd="sng" algn="ctr">
          <a:solidFill>
            <a:srgbClr val="4472C4">
              <a:shade val="50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ZA" sz="1100" b="0" i="0" u="none" strike="noStrike" kern="0" cap="none" spc="0" normalizeH="0" baseline="0" noProof="0">
            <a:ln>
              <a:noFill/>
            </a:ln>
            <a:solidFill>
              <a:sysClr val="window" lastClr="FFFFFF"/>
            </a:solidFill>
            <a:effectLst/>
            <a:uLnTx/>
            <a:uFillTx/>
            <a:latin typeface="Calibri" panose="020F0502020204030204"/>
            <a:ea typeface="+mn-ea"/>
            <a:cs typeface="+mn-cs"/>
          </a:endParaRPr>
        </a:p>
      </xdr:txBody>
    </xdr:sp>
    <xdr:clientData/>
  </xdr:twoCellAnchor>
  <xdr:twoCellAnchor>
    <xdr:from>
      <xdr:col>4</xdr:col>
      <xdr:colOff>9236</xdr:colOff>
      <xdr:row>9</xdr:row>
      <xdr:rowOff>179070</xdr:rowOff>
    </xdr:from>
    <xdr:to>
      <xdr:col>9</xdr:col>
      <xdr:colOff>556260</xdr:colOff>
      <xdr:row>10</xdr:row>
      <xdr:rowOff>4619</xdr:rowOff>
    </xdr:to>
    <xdr:cxnSp macro="">
      <xdr:nvCxnSpPr>
        <xdr:cNvPr id="8" name="Straight Connector 7">
          <a:extLst>
            <a:ext uri="{FF2B5EF4-FFF2-40B4-BE49-F238E27FC236}">
              <a16:creationId xmlns:a16="http://schemas.microsoft.com/office/drawing/2014/main" id="{00000000-0008-0000-0C00-000008000000}"/>
            </a:ext>
          </a:extLst>
        </xdr:cNvPr>
        <xdr:cNvCxnSpPr/>
      </xdr:nvCxnSpPr>
      <xdr:spPr>
        <a:xfrm flipV="1">
          <a:off x="2447636" y="1824990"/>
          <a:ext cx="3595024" cy="8429"/>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5255</xdr:colOff>
      <xdr:row>7</xdr:row>
      <xdr:rowOff>3629</xdr:rowOff>
    </xdr:from>
    <xdr:to>
      <xdr:col>10</xdr:col>
      <xdr:colOff>7257</xdr:colOff>
      <xdr:row>13</xdr:row>
      <xdr:rowOff>2503</xdr:rowOff>
    </xdr:to>
    <xdr:cxnSp macro="">
      <xdr:nvCxnSpPr>
        <xdr:cNvPr id="9" name="Straight Connector 8">
          <a:extLst>
            <a:ext uri="{FF2B5EF4-FFF2-40B4-BE49-F238E27FC236}">
              <a16:creationId xmlns:a16="http://schemas.microsoft.com/office/drawing/2014/main" id="{00000000-0008-0000-0C00-000009000000}"/>
            </a:ext>
          </a:extLst>
        </xdr:cNvPr>
        <xdr:cNvCxnSpPr/>
      </xdr:nvCxnSpPr>
      <xdr:spPr>
        <a:xfrm flipH="1">
          <a:off x="6101255" y="1283789"/>
          <a:ext cx="2002" cy="109615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601980</xdr:colOff>
      <xdr:row>18</xdr:row>
      <xdr:rowOff>21021</xdr:rowOff>
    </xdr:from>
    <xdr:to>
      <xdr:col>12</xdr:col>
      <xdr:colOff>601980</xdr:colOff>
      <xdr:row>24</xdr:row>
      <xdr:rowOff>36883</xdr:rowOff>
    </xdr:to>
    <xdr:cxnSp macro="">
      <xdr:nvCxnSpPr>
        <xdr:cNvPr id="10" name="Straight Connector 9">
          <a:extLst>
            <a:ext uri="{FF2B5EF4-FFF2-40B4-BE49-F238E27FC236}">
              <a16:creationId xmlns:a16="http://schemas.microsoft.com/office/drawing/2014/main" id="{00000000-0008-0000-0C00-00000A000000}"/>
            </a:ext>
          </a:extLst>
        </xdr:cNvPr>
        <xdr:cNvCxnSpPr/>
      </xdr:nvCxnSpPr>
      <xdr:spPr>
        <a:xfrm>
          <a:off x="7917180" y="3312861"/>
          <a:ext cx="0" cy="1113142"/>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11814</xdr:colOff>
      <xdr:row>7</xdr:row>
      <xdr:rowOff>0</xdr:rowOff>
    </xdr:from>
    <xdr:to>
      <xdr:col>13</xdr:col>
      <xdr:colOff>30480</xdr:colOff>
      <xdr:row>7</xdr:row>
      <xdr:rowOff>5907</xdr:rowOff>
    </xdr:to>
    <xdr:cxnSp macro="">
      <xdr:nvCxnSpPr>
        <xdr:cNvPr id="11" name="Straight Connector 10">
          <a:extLst>
            <a:ext uri="{FF2B5EF4-FFF2-40B4-BE49-F238E27FC236}">
              <a16:creationId xmlns:a16="http://schemas.microsoft.com/office/drawing/2014/main" id="{00000000-0008-0000-0C00-00000B000000}"/>
            </a:ext>
          </a:extLst>
        </xdr:cNvPr>
        <xdr:cNvCxnSpPr/>
      </xdr:nvCxnSpPr>
      <xdr:spPr>
        <a:xfrm flipV="1">
          <a:off x="6107814" y="1280160"/>
          <a:ext cx="1847466" cy="590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5255</xdr:colOff>
      <xdr:row>12</xdr:row>
      <xdr:rowOff>175260</xdr:rowOff>
    </xdr:from>
    <xdr:to>
      <xdr:col>12</xdr:col>
      <xdr:colOff>601980</xdr:colOff>
      <xdr:row>12</xdr:row>
      <xdr:rowOff>178676</xdr:rowOff>
    </xdr:to>
    <xdr:cxnSp macro="">
      <xdr:nvCxnSpPr>
        <xdr:cNvPr id="12" name="Straight Connector 11">
          <a:extLst>
            <a:ext uri="{FF2B5EF4-FFF2-40B4-BE49-F238E27FC236}">
              <a16:creationId xmlns:a16="http://schemas.microsoft.com/office/drawing/2014/main" id="{00000000-0008-0000-0C00-00000C000000}"/>
            </a:ext>
          </a:extLst>
        </xdr:cNvPr>
        <xdr:cNvCxnSpPr/>
      </xdr:nvCxnSpPr>
      <xdr:spPr>
        <a:xfrm flipV="1">
          <a:off x="6101255" y="2369820"/>
          <a:ext cx="1815925" cy="341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601980</xdr:colOff>
      <xdr:row>17</xdr:row>
      <xdr:rowOff>171674</xdr:rowOff>
    </xdr:from>
    <xdr:to>
      <xdr:col>14</xdr:col>
      <xdr:colOff>608383</xdr:colOff>
      <xdr:row>17</xdr:row>
      <xdr:rowOff>175260</xdr:rowOff>
    </xdr:to>
    <xdr:cxnSp macro="">
      <xdr:nvCxnSpPr>
        <xdr:cNvPr id="14" name="Straight Connector 13">
          <a:extLst>
            <a:ext uri="{FF2B5EF4-FFF2-40B4-BE49-F238E27FC236}">
              <a16:creationId xmlns:a16="http://schemas.microsoft.com/office/drawing/2014/main" id="{00000000-0008-0000-0C00-00000E000000}"/>
            </a:ext>
          </a:extLst>
        </xdr:cNvPr>
        <xdr:cNvCxnSpPr/>
      </xdr:nvCxnSpPr>
      <xdr:spPr>
        <a:xfrm flipV="1">
          <a:off x="7917180" y="3280634"/>
          <a:ext cx="1225603" cy="358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15176</xdr:colOff>
      <xdr:row>24</xdr:row>
      <xdr:rowOff>11654</xdr:rowOff>
    </xdr:from>
    <xdr:to>
      <xdr:col>15</xdr:col>
      <xdr:colOff>8772</xdr:colOff>
      <xdr:row>24</xdr:row>
      <xdr:rowOff>11654</xdr:rowOff>
    </xdr:to>
    <xdr:cxnSp macro="">
      <xdr:nvCxnSpPr>
        <xdr:cNvPr id="16" name="Straight Connector 15">
          <a:extLst>
            <a:ext uri="{FF2B5EF4-FFF2-40B4-BE49-F238E27FC236}">
              <a16:creationId xmlns:a16="http://schemas.microsoft.com/office/drawing/2014/main" id="{00000000-0008-0000-0C00-000010000000}"/>
            </a:ext>
          </a:extLst>
        </xdr:cNvPr>
        <xdr:cNvCxnSpPr/>
      </xdr:nvCxnSpPr>
      <xdr:spPr>
        <a:xfrm>
          <a:off x="7939976" y="4400774"/>
          <a:ext cx="1212796"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5255</xdr:colOff>
      <xdr:row>2</xdr:row>
      <xdr:rowOff>171269</xdr:rowOff>
    </xdr:from>
    <xdr:to>
      <xdr:col>13</xdr:col>
      <xdr:colOff>7257</xdr:colOff>
      <xdr:row>8</xdr:row>
      <xdr:rowOff>170143</xdr:rowOff>
    </xdr:to>
    <xdr:cxnSp macro="">
      <xdr:nvCxnSpPr>
        <xdr:cNvPr id="18" name="Straight Connector 17">
          <a:extLst>
            <a:ext uri="{FF2B5EF4-FFF2-40B4-BE49-F238E27FC236}">
              <a16:creationId xmlns:a16="http://schemas.microsoft.com/office/drawing/2014/main" id="{00000000-0008-0000-0C00-000012000000}"/>
            </a:ext>
          </a:extLst>
        </xdr:cNvPr>
        <xdr:cNvCxnSpPr/>
      </xdr:nvCxnSpPr>
      <xdr:spPr>
        <a:xfrm flipH="1">
          <a:off x="7930055" y="537029"/>
          <a:ext cx="2002" cy="109615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5255</xdr:colOff>
      <xdr:row>10</xdr:row>
      <xdr:rowOff>18869</xdr:rowOff>
    </xdr:from>
    <xdr:to>
      <xdr:col>13</xdr:col>
      <xdr:colOff>7257</xdr:colOff>
      <xdr:row>16</xdr:row>
      <xdr:rowOff>17743</xdr:rowOff>
    </xdr:to>
    <xdr:cxnSp macro="">
      <xdr:nvCxnSpPr>
        <xdr:cNvPr id="19" name="Straight Connector 18">
          <a:extLst>
            <a:ext uri="{FF2B5EF4-FFF2-40B4-BE49-F238E27FC236}">
              <a16:creationId xmlns:a16="http://schemas.microsoft.com/office/drawing/2014/main" id="{00000000-0008-0000-0C00-000013000000}"/>
            </a:ext>
          </a:extLst>
        </xdr:cNvPr>
        <xdr:cNvCxnSpPr/>
      </xdr:nvCxnSpPr>
      <xdr:spPr>
        <a:xfrm flipH="1">
          <a:off x="7930055" y="1847669"/>
          <a:ext cx="2002" cy="109615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554946</xdr:colOff>
      <xdr:row>12</xdr:row>
      <xdr:rowOff>129541</xdr:rowOff>
    </xdr:from>
    <xdr:to>
      <xdr:col>13</xdr:col>
      <xdr:colOff>74886</xdr:colOff>
      <xdr:row>13</xdr:row>
      <xdr:rowOff>76200</xdr:rowOff>
    </xdr:to>
    <xdr:sp macro="" textlink="">
      <xdr:nvSpPr>
        <xdr:cNvPr id="23" name="Flowchart: Connector 22">
          <a:extLst>
            <a:ext uri="{FF2B5EF4-FFF2-40B4-BE49-F238E27FC236}">
              <a16:creationId xmlns:a16="http://schemas.microsoft.com/office/drawing/2014/main" id="{00000000-0008-0000-0C00-000017000000}"/>
            </a:ext>
          </a:extLst>
        </xdr:cNvPr>
        <xdr:cNvSpPr/>
      </xdr:nvSpPr>
      <xdr:spPr>
        <a:xfrm>
          <a:off x="7870146" y="2324101"/>
          <a:ext cx="129540" cy="129539"/>
        </a:xfrm>
        <a:prstGeom prst="flowChartConnector">
          <a:avLst/>
        </a:prstGeom>
        <a:solidFill>
          <a:srgbClr val="4472C4"/>
        </a:solidFill>
        <a:ln w="12700" cap="flat" cmpd="sng" algn="ctr">
          <a:solidFill>
            <a:srgbClr val="4472C4">
              <a:shade val="50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ZA" sz="1100" b="0" i="0" u="none" strike="noStrike" kern="0" cap="none" spc="0" normalizeH="0" baseline="0" noProof="0">
            <a:ln>
              <a:noFill/>
            </a:ln>
            <a:solidFill>
              <a:sysClr val="window" lastClr="FFFFFF"/>
            </a:solidFill>
            <a:effectLst/>
            <a:uLnTx/>
            <a:uFillTx/>
            <a:latin typeface="Calibri" panose="020F0502020204030204"/>
            <a:ea typeface="+mn-ea"/>
            <a:cs typeface="+mn-cs"/>
          </a:endParaRPr>
        </a:p>
      </xdr:txBody>
    </xdr:sp>
    <xdr:clientData/>
  </xdr:twoCellAnchor>
  <xdr:twoCellAnchor>
    <xdr:from>
      <xdr:col>12</xdr:col>
      <xdr:colOff>532086</xdr:colOff>
      <xdr:row>6</xdr:row>
      <xdr:rowOff>99061</xdr:rowOff>
    </xdr:from>
    <xdr:to>
      <xdr:col>13</xdr:col>
      <xdr:colOff>52026</xdr:colOff>
      <xdr:row>7</xdr:row>
      <xdr:rowOff>45720</xdr:rowOff>
    </xdr:to>
    <xdr:sp macro="" textlink="">
      <xdr:nvSpPr>
        <xdr:cNvPr id="24" name="Flowchart: Connector 23">
          <a:extLst>
            <a:ext uri="{FF2B5EF4-FFF2-40B4-BE49-F238E27FC236}">
              <a16:creationId xmlns:a16="http://schemas.microsoft.com/office/drawing/2014/main" id="{00000000-0008-0000-0C00-000018000000}"/>
            </a:ext>
          </a:extLst>
        </xdr:cNvPr>
        <xdr:cNvSpPr/>
      </xdr:nvSpPr>
      <xdr:spPr>
        <a:xfrm>
          <a:off x="7847286" y="1196341"/>
          <a:ext cx="129540" cy="129539"/>
        </a:xfrm>
        <a:prstGeom prst="flowChartConnector">
          <a:avLst/>
        </a:prstGeom>
        <a:solidFill>
          <a:srgbClr val="4472C4"/>
        </a:solidFill>
        <a:ln w="12700" cap="flat" cmpd="sng" algn="ctr">
          <a:solidFill>
            <a:srgbClr val="4472C4">
              <a:shade val="50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ZA" sz="1100" b="0" i="0" u="none" strike="noStrike" kern="0" cap="none" spc="0" normalizeH="0" baseline="0" noProof="0">
            <a:ln>
              <a:noFill/>
            </a:ln>
            <a:solidFill>
              <a:sysClr val="window" lastClr="FFFFFF"/>
            </a:solidFill>
            <a:effectLst/>
            <a:uLnTx/>
            <a:uFillTx/>
            <a:latin typeface="Calibri" panose="020F0502020204030204"/>
            <a:ea typeface="+mn-ea"/>
            <a:cs typeface="+mn-cs"/>
          </a:endParaRPr>
        </a:p>
      </xdr:txBody>
    </xdr:sp>
    <xdr:clientData/>
  </xdr:twoCellAnchor>
  <xdr:twoCellAnchor>
    <xdr:from>
      <xdr:col>12</xdr:col>
      <xdr:colOff>601980</xdr:colOff>
      <xdr:row>9</xdr:row>
      <xdr:rowOff>179294</xdr:rowOff>
    </xdr:from>
    <xdr:to>
      <xdr:col>14</xdr:col>
      <xdr:colOff>608383</xdr:colOff>
      <xdr:row>10</xdr:row>
      <xdr:rowOff>0</xdr:rowOff>
    </xdr:to>
    <xdr:cxnSp macro="">
      <xdr:nvCxnSpPr>
        <xdr:cNvPr id="27" name="Straight Connector 26">
          <a:extLst>
            <a:ext uri="{FF2B5EF4-FFF2-40B4-BE49-F238E27FC236}">
              <a16:creationId xmlns:a16="http://schemas.microsoft.com/office/drawing/2014/main" id="{00000000-0008-0000-0C00-00001B000000}"/>
            </a:ext>
          </a:extLst>
        </xdr:cNvPr>
        <xdr:cNvCxnSpPr/>
      </xdr:nvCxnSpPr>
      <xdr:spPr>
        <a:xfrm flipV="1">
          <a:off x="7917180" y="1825214"/>
          <a:ext cx="1225603" cy="358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15</xdr:row>
      <xdr:rowOff>179294</xdr:rowOff>
    </xdr:from>
    <xdr:to>
      <xdr:col>15</xdr:col>
      <xdr:colOff>6403</xdr:colOff>
      <xdr:row>16</xdr:row>
      <xdr:rowOff>0</xdr:rowOff>
    </xdr:to>
    <xdr:cxnSp macro="">
      <xdr:nvCxnSpPr>
        <xdr:cNvPr id="28" name="Straight Connector 27">
          <a:extLst>
            <a:ext uri="{FF2B5EF4-FFF2-40B4-BE49-F238E27FC236}">
              <a16:creationId xmlns:a16="http://schemas.microsoft.com/office/drawing/2014/main" id="{00000000-0008-0000-0C00-00001C000000}"/>
            </a:ext>
          </a:extLst>
        </xdr:cNvPr>
        <xdr:cNvCxnSpPr/>
      </xdr:nvCxnSpPr>
      <xdr:spPr>
        <a:xfrm flipV="1">
          <a:off x="7924800" y="2922494"/>
          <a:ext cx="1225603" cy="358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8</xdr:row>
      <xdr:rowOff>171674</xdr:rowOff>
    </xdr:from>
    <xdr:to>
      <xdr:col>15</xdr:col>
      <xdr:colOff>6403</xdr:colOff>
      <xdr:row>8</xdr:row>
      <xdr:rowOff>175260</xdr:rowOff>
    </xdr:to>
    <xdr:cxnSp macro="">
      <xdr:nvCxnSpPr>
        <xdr:cNvPr id="29" name="Straight Connector 28">
          <a:extLst>
            <a:ext uri="{FF2B5EF4-FFF2-40B4-BE49-F238E27FC236}">
              <a16:creationId xmlns:a16="http://schemas.microsoft.com/office/drawing/2014/main" id="{00000000-0008-0000-0C00-00001D000000}"/>
            </a:ext>
          </a:extLst>
        </xdr:cNvPr>
        <xdr:cNvCxnSpPr/>
      </xdr:nvCxnSpPr>
      <xdr:spPr>
        <a:xfrm flipV="1">
          <a:off x="7924800" y="1634714"/>
          <a:ext cx="1225603" cy="358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15240</xdr:colOff>
      <xdr:row>3</xdr:row>
      <xdr:rowOff>4034</xdr:rowOff>
    </xdr:from>
    <xdr:to>
      <xdr:col>15</xdr:col>
      <xdr:colOff>21643</xdr:colOff>
      <xdr:row>3</xdr:row>
      <xdr:rowOff>7620</xdr:rowOff>
    </xdr:to>
    <xdr:cxnSp macro="">
      <xdr:nvCxnSpPr>
        <xdr:cNvPr id="30" name="Straight Connector 29">
          <a:extLst>
            <a:ext uri="{FF2B5EF4-FFF2-40B4-BE49-F238E27FC236}">
              <a16:creationId xmlns:a16="http://schemas.microsoft.com/office/drawing/2014/main" id="{00000000-0008-0000-0C00-00001E000000}"/>
            </a:ext>
          </a:extLst>
        </xdr:cNvPr>
        <xdr:cNvCxnSpPr/>
      </xdr:nvCxnSpPr>
      <xdr:spPr>
        <a:xfrm flipV="1">
          <a:off x="7940040" y="552674"/>
          <a:ext cx="1225603" cy="358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10</xdr:row>
      <xdr:rowOff>190499</xdr:rowOff>
    </xdr:from>
    <xdr:to>
      <xdr:col>2</xdr:col>
      <xdr:colOff>598714</xdr:colOff>
      <xdr:row>11</xdr:row>
      <xdr:rowOff>0</xdr:rowOff>
    </xdr:to>
    <xdr:cxnSp macro="">
      <xdr:nvCxnSpPr>
        <xdr:cNvPr id="36" name="Straight Connector 35">
          <a:extLst>
            <a:ext uri="{FF2B5EF4-FFF2-40B4-BE49-F238E27FC236}">
              <a16:creationId xmlns:a16="http://schemas.microsoft.com/office/drawing/2014/main" id="{00000000-0008-0000-0D00-000024000000}"/>
            </a:ext>
          </a:extLst>
        </xdr:cNvPr>
        <xdr:cNvCxnSpPr>
          <a:cxnSpLocks/>
        </xdr:cNvCxnSpPr>
      </xdr:nvCxnSpPr>
      <xdr:spPr>
        <a:xfrm flipV="1">
          <a:off x="0" y="2750819"/>
          <a:ext cx="1208314" cy="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524466</xdr:colOff>
      <xdr:row>22</xdr:row>
      <xdr:rowOff>114301</xdr:rowOff>
    </xdr:from>
    <xdr:to>
      <xdr:col>1</xdr:col>
      <xdr:colOff>44406</xdr:colOff>
      <xdr:row>23</xdr:row>
      <xdr:rowOff>60960</xdr:rowOff>
    </xdr:to>
    <xdr:sp macro="" textlink="">
      <xdr:nvSpPr>
        <xdr:cNvPr id="19" name="Flowchart: Connector 18">
          <a:extLst>
            <a:ext uri="{FF2B5EF4-FFF2-40B4-BE49-F238E27FC236}">
              <a16:creationId xmlns:a16="http://schemas.microsoft.com/office/drawing/2014/main" id="{00000000-0008-0000-0D00-000013000000}"/>
            </a:ext>
          </a:extLst>
        </xdr:cNvPr>
        <xdr:cNvSpPr/>
      </xdr:nvSpPr>
      <xdr:spPr>
        <a:xfrm>
          <a:off x="7839666" y="3771901"/>
          <a:ext cx="129540" cy="129539"/>
        </a:xfrm>
        <a:prstGeom prst="flowChartConnector">
          <a:avLst/>
        </a:prstGeom>
        <a:solidFill>
          <a:srgbClr val="4472C4"/>
        </a:solidFill>
        <a:ln w="12700" cap="flat" cmpd="sng" algn="ctr">
          <a:solidFill>
            <a:srgbClr val="4472C4">
              <a:shade val="50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ZA" sz="1100" b="0" i="0" u="none" strike="noStrike" kern="0" cap="none" spc="0" normalizeH="0" baseline="0" noProof="0">
            <a:ln>
              <a:noFill/>
            </a:ln>
            <a:solidFill>
              <a:sysClr val="window" lastClr="FFFFFF"/>
            </a:solidFill>
            <a:effectLst/>
            <a:uLnTx/>
            <a:uFillTx/>
            <a:latin typeface="Calibri" panose="020F0502020204030204"/>
            <a:ea typeface="+mn-ea"/>
            <a:cs typeface="+mn-cs"/>
          </a:endParaRPr>
        </a:p>
      </xdr:txBody>
    </xdr:sp>
    <xdr:clientData/>
  </xdr:twoCellAnchor>
  <xdr:twoCellAnchor>
    <xdr:from>
      <xdr:col>0</xdr:col>
      <xdr:colOff>601980</xdr:colOff>
      <xdr:row>19</xdr:row>
      <xdr:rowOff>171674</xdr:rowOff>
    </xdr:from>
    <xdr:to>
      <xdr:col>2</xdr:col>
      <xdr:colOff>608383</xdr:colOff>
      <xdr:row>19</xdr:row>
      <xdr:rowOff>175260</xdr:rowOff>
    </xdr:to>
    <xdr:cxnSp macro="">
      <xdr:nvCxnSpPr>
        <xdr:cNvPr id="20" name="Straight Connector 19">
          <a:extLst>
            <a:ext uri="{FF2B5EF4-FFF2-40B4-BE49-F238E27FC236}">
              <a16:creationId xmlns:a16="http://schemas.microsoft.com/office/drawing/2014/main" id="{00000000-0008-0000-0D00-000014000000}"/>
            </a:ext>
          </a:extLst>
        </xdr:cNvPr>
        <xdr:cNvCxnSpPr/>
      </xdr:nvCxnSpPr>
      <xdr:spPr>
        <a:xfrm flipV="1">
          <a:off x="7917180" y="3280634"/>
          <a:ext cx="1225603" cy="358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15176</xdr:colOff>
      <xdr:row>26</xdr:row>
      <xdr:rowOff>11654</xdr:rowOff>
    </xdr:from>
    <xdr:to>
      <xdr:col>3</xdr:col>
      <xdr:colOff>8772</xdr:colOff>
      <xdr:row>26</xdr:row>
      <xdr:rowOff>11654</xdr:rowOff>
    </xdr:to>
    <xdr:cxnSp macro="">
      <xdr:nvCxnSpPr>
        <xdr:cNvPr id="21" name="Straight Connector 20">
          <a:extLst>
            <a:ext uri="{FF2B5EF4-FFF2-40B4-BE49-F238E27FC236}">
              <a16:creationId xmlns:a16="http://schemas.microsoft.com/office/drawing/2014/main" id="{00000000-0008-0000-0D00-000015000000}"/>
            </a:ext>
          </a:extLst>
        </xdr:cNvPr>
        <xdr:cNvCxnSpPr/>
      </xdr:nvCxnSpPr>
      <xdr:spPr>
        <a:xfrm>
          <a:off x="7939976" y="4400774"/>
          <a:ext cx="1212796"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5255</xdr:colOff>
      <xdr:row>4</xdr:row>
      <xdr:rowOff>171269</xdr:rowOff>
    </xdr:from>
    <xdr:to>
      <xdr:col>1</xdr:col>
      <xdr:colOff>7257</xdr:colOff>
      <xdr:row>10</xdr:row>
      <xdr:rowOff>170143</xdr:rowOff>
    </xdr:to>
    <xdr:cxnSp macro="">
      <xdr:nvCxnSpPr>
        <xdr:cNvPr id="22" name="Straight Connector 21">
          <a:extLst>
            <a:ext uri="{FF2B5EF4-FFF2-40B4-BE49-F238E27FC236}">
              <a16:creationId xmlns:a16="http://schemas.microsoft.com/office/drawing/2014/main" id="{00000000-0008-0000-0D00-000016000000}"/>
            </a:ext>
          </a:extLst>
        </xdr:cNvPr>
        <xdr:cNvCxnSpPr/>
      </xdr:nvCxnSpPr>
      <xdr:spPr>
        <a:xfrm flipH="1">
          <a:off x="7930055" y="537029"/>
          <a:ext cx="2002" cy="109615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5255</xdr:colOff>
      <xdr:row>12</xdr:row>
      <xdr:rowOff>18869</xdr:rowOff>
    </xdr:from>
    <xdr:to>
      <xdr:col>1</xdr:col>
      <xdr:colOff>7257</xdr:colOff>
      <xdr:row>18</xdr:row>
      <xdr:rowOff>17743</xdr:rowOff>
    </xdr:to>
    <xdr:cxnSp macro="">
      <xdr:nvCxnSpPr>
        <xdr:cNvPr id="23" name="Straight Connector 22">
          <a:extLst>
            <a:ext uri="{FF2B5EF4-FFF2-40B4-BE49-F238E27FC236}">
              <a16:creationId xmlns:a16="http://schemas.microsoft.com/office/drawing/2014/main" id="{00000000-0008-0000-0D00-000017000000}"/>
            </a:ext>
          </a:extLst>
        </xdr:cNvPr>
        <xdr:cNvCxnSpPr/>
      </xdr:nvCxnSpPr>
      <xdr:spPr>
        <a:xfrm flipH="1">
          <a:off x="7930055" y="1847669"/>
          <a:ext cx="2002" cy="109615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554946</xdr:colOff>
      <xdr:row>14</xdr:row>
      <xdr:rowOff>129541</xdr:rowOff>
    </xdr:from>
    <xdr:to>
      <xdr:col>1</xdr:col>
      <xdr:colOff>74886</xdr:colOff>
      <xdr:row>15</xdr:row>
      <xdr:rowOff>76200</xdr:rowOff>
    </xdr:to>
    <xdr:sp macro="" textlink="">
      <xdr:nvSpPr>
        <xdr:cNvPr id="24" name="Flowchart: Connector 23">
          <a:extLst>
            <a:ext uri="{FF2B5EF4-FFF2-40B4-BE49-F238E27FC236}">
              <a16:creationId xmlns:a16="http://schemas.microsoft.com/office/drawing/2014/main" id="{00000000-0008-0000-0D00-000018000000}"/>
            </a:ext>
          </a:extLst>
        </xdr:cNvPr>
        <xdr:cNvSpPr/>
      </xdr:nvSpPr>
      <xdr:spPr>
        <a:xfrm>
          <a:off x="7870146" y="2324101"/>
          <a:ext cx="129540" cy="129539"/>
        </a:xfrm>
        <a:prstGeom prst="flowChartConnector">
          <a:avLst/>
        </a:prstGeom>
        <a:solidFill>
          <a:srgbClr val="4472C4"/>
        </a:solidFill>
        <a:ln w="12700" cap="flat" cmpd="sng" algn="ctr">
          <a:solidFill>
            <a:srgbClr val="4472C4">
              <a:shade val="50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ZA" sz="1100" b="0" i="0" u="none" strike="noStrike" kern="0" cap="none" spc="0" normalizeH="0" baseline="0" noProof="0">
            <a:ln>
              <a:noFill/>
            </a:ln>
            <a:solidFill>
              <a:sysClr val="window" lastClr="FFFFFF"/>
            </a:solidFill>
            <a:effectLst/>
            <a:uLnTx/>
            <a:uFillTx/>
            <a:latin typeface="Calibri" panose="020F0502020204030204"/>
            <a:ea typeface="+mn-ea"/>
            <a:cs typeface="+mn-cs"/>
          </a:endParaRPr>
        </a:p>
      </xdr:txBody>
    </xdr:sp>
    <xdr:clientData/>
  </xdr:twoCellAnchor>
  <xdr:twoCellAnchor>
    <xdr:from>
      <xdr:col>0</xdr:col>
      <xdr:colOff>532086</xdr:colOff>
      <xdr:row>8</xdr:row>
      <xdr:rowOff>99061</xdr:rowOff>
    </xdr:from>
    <xdr:to>
      <xdr:col>1</xdr:col>
      <xdr:colOff>52026</xdr:colOff>
      <xdr:row>9</xdr:row>
      <xdr:rowOff>45720</xdr:rowOff>
    </xdr:to>
    <xdr:sp macro="" textlink="">
      <xdr:nvSpPr>
        <xdr:cNvPr id="25" name="Flowchart: Connector 24">
          <a:extLst>
            <a:ext uri="{FF2B5EF4-FFF2-40B4-BE49-F238E27FC236}">
              <a16:creationId xmlns:a16="http://schemas.microsoft.com/office/drawing/2014/main" id="{00000000-0008-0000-0D00-000019000000}"/>
            </a:ext>
          </a:extLst>
        </xdr:cNvPr>
        <xdr:cNvSpPr/>
      </xdr:nvSpPr>
      <xdr:spPr>
        <a:xfrm>
          <a:off x="7847286" y="1196341"/>
          <a:ext cx="129540" cy="129539"/>
        </a:xfrm>
        <a:prstGeom prst="flowChartConnector">
          <a:avLst/>
        </a:prstGeom>
        <a:solidFill>
          <a:srgbClr val="4472C4"/>
        </a:solidFill>
        <a:ln w="12700" cap="flat" cmpd="sng" algn="ctr">
          <a:solidFill>
            <a:srgbClr val="4472C4">
              <a:shade val="50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ZA" sz="1100" b="0" i="0" u="none" strike="noStrike" kern="0" cap="none" spc="0" normalizeH="0" baseline="0" noProof="0">
            <a:ln>
              <a:noFill/>
            </a:ln>
            <a:solidFill>
              <a:sysClr val="window" lastClr="FFFFFF"/>
            </a:solidFill>
            <a:effectLst/>
            <a:uLnTx/>
            <a:uFillTx/>
            <a:latin typeface="Calibri" panose="020F0502020204030204"/>
            <a:ea typeface="+mn-ea"/>
            <a:cs typeface="+mn-cs"/>
          </a:endParaRPr>
        </a:p>
      </xdr:txBody>
    </xdr:sp>
    <xdr:clientData/>
  </xdr:twoCellAnchor>
  <xdr:twoCellAnchor>
    <xdr:from>
      <xdr:col>0</xdr:col>
      <xdr:colOff>601980</xdr:colOff>
      <xdr:row>11</xdr:row>
      <xdr:rowOff>179294</xdr:rowOff>
    </xdr:from>
    <xdr:to>
      <xdr:col>2</xdr:col>
      <xdr:colOff>608383</xdr:colOff>
      <xdr:row>12</xdr:row>
      <xdr:rowOff>0</xdr:rowOff>
    </xdr:to>
    <xdr:cxnSp macro="">
      <xdr:nvCxnSpPr>
        <xdr:cNvPr id="26" name="Straight Connector 25">
          <a:extLst>
            <a:ext uri="{FF2B5EF4-FFF2-40B4-BE49-F238E27FC236}">
              <a16:creationId xmlns:a16="http://schemas.microsoft.com/office/drawing/2014/main" id="{00000000-0008-0000-0D00-00001A000000}"/>
            </a:ext>
          </a:extLst>
        </xdr:cNvPr>
        <xdr:cNvCxnSpPr/>
      </xdr:nvCxnSpPr>
      <xdr:spPr>
        <a:xfrm flipV="1">
          <a:off x="7917180" y="1825214"/>
          <a:ext cx="1225603" cy="358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17</xdr:row>
      <xdr:rowOff>179294</xdr:rowOff>
    </xdr:from>
    <xdr:to>
      <xdr:col>3</xdr:col>
      <xdr:colOff>6403</xdr:colOff>
      <xdr:row>18</xdr:row>
      <xdr:rowOff>0</xdr:rowOff>
    </xdr:to>
    <xdr:cxnSp macro="">
      <xdr:nvCxnSpPr>
        <xdr:cNvPr id="27" name="Straight Connector 26">
          <a:extLst>
            <a:ext uri="{FF2B5EF4-FFF2-40B4-BE49-F238E27FC236}">
              <a16:creationId xmlns:a16="http://schemas.microsoft.com/office/drawing/2014/main" id="{00000000-0008-0000-0D00-00001B000000}"/>
            </a:ext>
          </a:extLst>
        </xdr:cNvPr>
        <xdr:cNvCxnSpPr/>
      </xdr:nvCxnSpPr>
      <xdr:spPr>
        <a:xfrm flipV="1">
          <a:off x="7924800" y="2922494"/>
          <a:ext cx="1225603" cy="358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10</xdr:row>
      <xdr:rowOff>171674</xdr:rowOff>
    </xdr:from>
    <xdr:to>
      <xdr:col>3</xdr:col>
      <xdr:colOff>6403</xdr:colOff>
      <xdr:row>10</xdr:row>
      <xdr:rowOff>175260</xdr:rowOff>
    </xdr:to>
    <xdr:cxnSp macro="">
      <xdr:nvCxnSpPr>
        <xdr:cNvPr id="28" name="Straight Connector 27">
          <a:extLst>
            <a:ext uri="{FF2B5EF4-FFF2-40B4-BE49-F238E27FC236}">
              <a16:creationId xmlns:a16="http://schemas.microsoft.com/office/drawing/2014/main" id="{00000000-0008-0000-0D00-00001C000000}"/>
            </a:ext>
          </a:extLst>
        </xdr:cNvPr>
        <xdr:cNvCxnSpPr/>
      </xdr:nvCxnSpPr>
      <xdr:spPr>
        <a:xfrm flipV="1">
          <a:off x="7924800" y="1634714"/>
          <a:ext cx="1225603" cy="358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15240</xdr:colOff>
      <xdr:row>5</xdr:row>
      <xdr:rowOff>4034</xdr:rowOff>
    </xdr:from>
    <xdr:to>
      <xdr:col>3</xdr:col>
      <xdr:colOff>21643</xdr:colOff>
      <xdr:row>5</xdr:row>
      <xdr:rowOff>7620</xdr:rowOff>
    </xdr:to>
    <xdr:cxnSp macro="">
      <xdr:nvCxnSpPr>
        <xdr:cNvPr id="29" name="Straight Connector 28">
          <a:extLst>
            <a:ext uri="{FF2B5EF4-FFF2-40B4-BE49-F238E27FC236}">
              <a16:creationId xmlns:a16="http://schemas.microsoft.com/office/drawing/2014/main" id="{00000000-0008-0000-0D00-00001D000000}"/>
            </a:ext>
          </a:extLst>
        </xdr:cNvPr>
        <xdr:cNvCxnSpPr/>
      </xdr:nvCxnSpPr>
      <xdr:spPr>
        <a:xfrm flipV="1">
          <a:off x="7940040" y="552674"/>
          <a:ext cx="1225603" cy="358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599615</xdr:colOff>
      <xdr:row>19</xdr:row>
      <xdr:rowOff>171269</xdr:rowOff>
    </xdr:from>
    <xdr:to>
      <xdr:col>0</xdr:col>
      <xdr:colOff>601617</xdr:colOff>
      <xdr:row>25</xdr:row>
      <xdr:rowOff>170143</xdr:rowOff>
    </xdr:to>
    <xdr:cxnSp macro="">
      <xdr:nvCxnSpPr>
        <xdr:cNvPr id="30" name="Straight Connector 29">
          <a:extLst>
            <a:ext uri="{FF2B5EF4-FFF2-40B4-BE49-F238E27FC236}">
              <a16:creationId xmlns:a16="http://schemas.microsoft.com/office/drawing/2014/main" id="{00000000-0008-0000-0D00-00001E000000}"/>
            </a:ext>
          </a:extLst>
        </xdr:cNvPr>
        <xdr:cNvCxnSpPr/>
      </xdr:nvCxnSpPr>
      <xdr:spPr>
        <a:xfrm flipH="1">
          <a:off x="1209215" y="4377509"/>
          <a:ext cx="2002" cy="109615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10</xdr:row>
      <xdr:rowOff>190499</xdr:rowOff>
    </xdr:from>
    <xdr:to>
      <xdr:col>6</xdr:col>
      <xdr:colOff>598714</xdr:colOff>
      <xdr:row>11</xdr:row>
      <xdr:rowOff>0</xdr:rowOff>
    </xdr:to>
    <xdr:cxnSp macro="">
      <xdr:nvCxnSpPr>
        <xdr:cNvPr id="31" name="Straight Connector 30">
          <a:extLst>
            <a:ext uri="{FF2B5EF4-FFF2-40B4-BE49-F238E27FC236}">
              <a16:creationId xmlns:a16="http://schemas.microsoft.com/office/drawing/2014/main" id="{00000000-0008-0000-0D00-00001F000000}"/>
            </a:ext>
          </a:extLst>
        </xdr:cNvPr>
        <xdr:cNvCxnSpPr>
          <a:cxnSpLocks/>
        </xdr:cNvCxnSpPr>
      </xdr:nvCxnSpPr>
      <xdr:spPr>
        <a:xfrm flipV="1">
          <a:off x="1219200" y="2743199"/>
          <a:ext cx="1208314" cy="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5255</xdr:colOff>
      <xdr:row>4</xdr:row>
      <xdr:rowOff>171269</xdr:rowOff>
    </xdr:from>
    <xdr:to>
      <xdr:col>5</xdr:col>
      <xdr:colOff>7257</xdr:colOff>
      <xdr:row>10</xdr:row>
      <xdr:rowOff>170143</xdr:rowOff>
    </xdr:to>
    <xdr:cxnSp macro="">
      <xdr:nvCxnSpPr>
        <xdr:cNvPr id="32" name="Straight Connector 31">
          <a:extLst>
            <a:ext uri="{FF2B5EF4-FFF2-40B4-BE49-F238E27FC236}">
              <a16:creationId xmlns:a16="http://schemas.microsoft.com/office/drawing/2014/main" id="{00000000-0008-0000-0D00-000020000000}"/>
            </a:ext>
          </a:extLst>
        </xdr:cNvPr>
        <xdr:cNvCxnSpPr/>
      </xdr:nvCxnSpPr>
      <xdr:spPr>
        <a:xfrm flipH="1">
          <a:off x="1224455" y="1634309"/>
          <a:ext cx="2002" cy="109615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532086</xdr:colOff>
      <xdr:row>7</xdr:row>
      <xdr:rowOff>129541</xdr:rowOff>
    </xdr:from>
    <xdr:to>
      <xdr:col>5</xdr:col>
      <xdr:colOff>52026</xdr:colOff>
      <xdr:row>8</xdr:row>
      <xdr:rowOff>76200</xdr:rowOff>
    </xdr:to>
    <xdr:sp macro="" textlink="">
      <xdr:nvSpPr>
        <xdr:cNvPr id="33" name="Flowchart: Connector 32">
          <a:extLst>
            <a:ext uri="{FF2B5EF4-FFF2-40B4-BE49-F238E27FC236}">
              <a16:creationId xmlns:a16="http://schemas.microsoft.com/office/drawing/2014/main" id="{00000000-0008-0000-0D00-000021000000}"/>
            </a:ext>
          </a:extLst>
        </xdr:cNvPr>
        <xdr:cNvSpPr/>
      </xdr:nvSpPr>
      <xdr:spPr>
        <a:xfrm>
          <a:off x="4189686" y="2141221"/>
          <a:ext cx="129540" cy="129539"/>
        </a:xfrm>
        <a:prstGeom prst="flowChartConnector">
          <a:avLst/>
        </a:prstGeom>
        <a:solidFill>
          <a:srgbClr val="4472C4"/>
        </a:solidFill>
        <a:ln w="12700" cap="flat" cmpd="sng" algn="ctr">
          <a:solidFill>
            <a:srgbClr val="4472C4">
              <a:shade val="50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ZA" sz="1100" b="0" i="0" u="none" strike="noStrike" kern="0" cap="none" spc="0" normalizeH="0" baseline="0" noProof="0">
            <a:ln>
              <a:noFill/>
            </a:ln>
            <a:solidFill>
              <a:sysClr val="window" lastClr="FFFFFF"/>
            </a:solidFill>
            <a:effectLst/>
            <a:uLnTx/>
            <a:uFillTx/>
            <a:latin typeface="Calibri" panose="020F0502020204030204"/>
            <a:ea typeface="+mn-ea"/>
            <a:cs typeface="+mn-cs"/>
          </a:endParaRPr>
        </a:p>
      </xdr:txBody>
    </xdr:sp>
    <xdr:clientData/>
  </xdr:twoCellAnchor>
  <xdr:twoCellAnchor>
    <xdr:from>
      <xdr:col>5</xdr:col>
      <xdr:colOff>0</xdr:colOff>
      <xdr:row>10</xdr:row>
      <xdr:rowOff>171674</xdr:rowOff>
    </xdr:from>
    <xdr:to>
      <xdr:col>7</xdr:col>
      <xdr:colOff>6403</xdr:colOff>
      <xdr:row>10</xdr:row>
      <xdr:rowOff>175260</xdr:rowOff>
    </xdr:to>
    <xdr:cxnSp macro="">
      <xdr:nvCxnSpPr>
        <xdr:cNvPr id="35" name="Straight Connector 34">
          <a:extLst>
            <a:ext uri="{FF2B5EF4-FFF2-40B4-BE49-F238E27FC236}">
              <a16:creationId xmlns:a16="http://schemas.microsoft.com/office/drawing/2014/main" id="{00000000-0008-0000-0D00-000023000000}"/>
            </a:ext>
          </a:extLst>
        </xdr:cNvPr>
        <xdr:cNvCxnSpPr/>
      </xdr:nvCxnSpPr>
      <xdr:spPr>
        <a:xfrm flipV="1">
          <a:off x="1219200" y="2731994"/>
          <a:ext cx="1225603" cy="358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15240</xdr:colOff>
      <xdr:row>5</xdr:row>
      <xdr:rowOff>4034</xdr:rowOff>
    </xdr:from>
    <xdr:to>
      <xdr:col>7</xdr:col>
      <xdr:colOff>21643</xdr:colOff>
      <xdr:row>5</xdr:row>
      <xdr:rowOff>7620</xdr:rowOff>
    </xdr:to>
    <xdr:cxnSp macro="">
      <xdr:nvCxnSpPr>
        <xdr:cNvPr id="53" name="Straight Connector 52">
          <a:extLst>
            <a:ext uri="{FF2B5EF4-FFF2-40B4-BE49-F238E27FC236}">
              <a16:creationId xmlns:a16="http://schemas.microsoft.com/office/drawing/2014/main" id="{00000000-0008-0000-0D00-000035000000}"/>
            </a:ext>
          </a:extLst>
        </xdr:cNvPr>
        <xdr:cNvCxnSpPr/>
      </xdr:nvCxnSpPr>
      <xdr:spPr>
        <a:xfrm flipV="1">
          <a:off x="1234440" y="1649954"/>
          <a:ext cx="1225603" cy="358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7621</xdr:colOff>
      <xdr:row>10</xdr:row>
      <xdr:rowOff>114300</xdr:rowOff>
    </xdr:from>
    <xdr:to>
      <xdr:col>7</xdr:col>
      <xdr:colOff>89683</xdr:colOff>
      <xdr:row>11</xdr:row>
      <xdr:rowOff>55685</xdr:rowOff>
    </xdr:to>
    <xdr:sp macro="" textlink="">
      <xdr:nvSpPr>
        <xdr:cNvPr id="58" name="Isosceles Triangle 57">
          <a:extLst>
            <a:ext uri="{FF2B5EF4-FFF2-40B4-BE49-F238E27FC236}">
              <a16:creationId xmlns:a16="http://schemas.microsoft.com/office/drawing/2014/main" id="{00000000-0008-0000-0D00-00003A000000}"/>
            </a:ext>
          </a:extLst>
        </xdr:cNvPr>
        <xdr:cNvSpPr/>
      </xdr:nvSpPr>
      <xdr:spPr>
        <a:xfrm rot="16200000">
          <a:off x="5472919" y="2695722"/>
          <a:ext cx="124265" cy="82062"/>
        </a:xfrm>
        <a:prstGeom prst="triangle">
          <a:avLst/>
        </a:prstGeom>
        <a:solidFill>
          <a:srgbClr val="4472C4"/>
        </a:solidFill>
        <a:ln w="12700" cap="flat" cmpd="sng" algn="ctr">
          <a:solidFill>
            <a:srgbClr val="4472C4">
              <a:shade val="50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ZA" sz="1100" b="0" i="0" u="none" strike="noStrike" kern="0" cap="none" spc="0" normalizeH="0" baseline="0" noProof="0">
            <a:ln>
              <a:noFill/>
            </a:ln>
            <a:solidFill>
              <a:sysClr val="window" lastClr="FFFFFF"/>
            </a:solidFill>
            <a:effectLst/>
            <a:uLnTx/>
            <a:uFillTx/>
            <a:latin typeface="Calibri" panose="020F0502020204030204"/>
            <a:ea typeface="+mn-ea"/>
            <a:cs typeface="+mn-cs"/>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548640</xdr:colOff>
      <xdr:row>10</xdr:row>
      <xdr:rowOff>121920</xdr:rowOff>
    </xdr:from>
    <xdr:to>
      <xdr:col>5</xdr:col>
      <xdr:colOff>68580</xdr:colOff>
      <xdr:row>11</xdr:row>
      <xdr:rowOff>68580</xdr:rowOff>
    </xdr:to>
    <xdr:sp macro="" textlink="">
      <xdr:nvSpPr>
        <xdr:cNvPr id="2" name="Flowchart: Connector 1">
          <a:extLst>
            <a:ext uri="{FF2B5EF4-FFF2-40B4-BE49-F238E27FC236}">
              <a16:creationId xmlns:a16="http://schemas.microsoft.com/office/drawing/2014/main" id="{00000000-0008-0000-0E00-000002000000}"/>
            </a:ext>
          </a:extLst>
        </xdr:cNvPr>
        <xdr:cNvSpPr/>
      </xdr:nvSpPr>
      <xdr:spPr>
        <a:xfrm>
          <a:off x="6035040" y="1767840"/>
          <a:ext cx="129540" cy="12954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5</xdr:col>
      <xdr:colOff>5255</xdr:colOff>
      <xdr:row>8</xdr:row>
      <xdr:rowOff>3629</xdr:rowOff>
    </xdr:from>
    <xdr:to>
      <xdr:col>5</xdr:col>
      <xdr:colOff>7257</xdr:colOff>
      <xdr:row>14</xdr:row>
      <xdr:rowOff>2503</xdr:rowOff>
    </xdr:to>
    <xdr:cxnSp macro="">
      <xdr:nvCxnSpPr>
        <xdr:cNvPr id="4" name="Straight Connector 3">
          <a:extLst>
            <a:ext uri="{FF2B5EF4-FFF2-40B4-BE49-F238E27FC236}">
              <a16:creationId xmlns:a16="http://schemas.microsoft.com/office/drawing/2014/main" id="{00000000-0008-0000-0E00-000004000000}"/>
            </a:ext>
          </a:extLst>
        </xdr:cNvPr>
        <xdr:cNvCxnSpPr/>
      </xdr:nvCxnSpPr>
      <xdr:spPr>
        <a:xfrm flipH="1">
          <a:off x="6101255" y="1283789"/>
          <a:ext cx="2002" cy="109615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11814</xdr:colOff>
      <xdr:row>8</xdr:row>
      <xdr:rowOff>0</xdr:rowOff>
    </xdr:from>
    <xdr:to>
      <xdr:col>7</xdr:col>
      <xdr:colOff>601980</xdr:colOff>
      <xdr:row>8</xdr:row>
      <xdr:rowOff>5907</xdr:rowOff>
    </xdr:to>
    <xdr:cxnSp macro="">
      <xdr:nvCxnSpPr>
        <xdr:cNvPr id="6" name="Straight Connector 5">
          <a:extLst>
            <a:ext uri="{FF2B5EF4-FFF2-40B4-BE49-F238E27FC236}">
              <a16:creationId xmlns:a16="http://schemas.microsoft.com/office/drawing/2014/main" id="{00000000-0008-0000-0E00-000006000000}"/>
            </a:ext>
          </a:extLst>
        </xdr:cNvPr>
        <xdr:cNvCxnSpPr/>
      </xdr:nvCxnSpPr>
      <xdr:spPr>
        <a:xfrm flipV="1">
          <a:off x="4279014" y="1828800"/>
          <a:ext cx="1809366" cy="590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5255</xdr:colOff>
      <xdr:row>13</xdr:row>
      <xdr:rowOff>178676</xdr:rowOff>
    </xdr:from>
    <xdr:to>
      <xdr:col>7</xdr:col>
      <xdr:colOff>5255</xdr:colOff>
      <xdr:row>13</xdr:row>
      <xdr:rowOff>178676</xdr:rowOff>
    </xdr:to>
    <xdr:cxnSp macro="">
      <xdr:nvCxnSpPr>
        <xdr:cNvPr id="7" name="Straight Connector 6">
          <a:extLst>
            <a:ext uri="{FF2B5EF4-FFF2-40B4-BE49-F238E27FC236}">
              <a16:creationId xmlns:a16="http://schemas.microsoft.com/office/drawing/2014/main" id="{00000000-0008-0000-0E00-000007000000}"/>
            </a:ext>
          </a:extLst>
        </xdr:cNvPr>
        <xdr:cNvCxnSpPr/>
      </xdr:nvCxnSpPr>
      <xdr:spPr>
        <a:xfrm>
          <a:off x="6101255" y="2373236"/>
          <a:ext cx="12192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68580</xdr:colOff>
      <xdr:row>11</xdr:row>
      <xdr:rowOff>4210</xdr:rowOff>
    </xdr:from>
    <xdr:to>
      <xdr:col>6</xdr:col>
      <xdr:colOff>602022</xdr:colOff>
      <xdr:row>11</xdr:row>
      <xdr:rowOff>4736</xdr:rowOff>
    </xdr:to>
    <xdr:cxnSp macro="">
      <xdr:nvCxnSpPr>
        <xdr:cNvPr id="8" name="Straight Connector 7">
          <a:extLst>
            <a:ext uri="{FF2B5EF4-FFF2-40B4-BE49-F238E27FC236}">
              <a16:creationId xmlns:a16="http://schemas.microsoft.com/office/drawing/2014/main" id="{00000000-0008-0000-0E00-000008000000}"/>
            </a:ext>
          </a:extLst>
        </xdr:cNvPr>
        <xdr:cNvCxnSpPr>
          <a:stCxn id="2" idx="6"/>
        </xdr:cNvCxnSpPr>
      </xdr:nvCxnSpPr>
      <xdr:spPr>
        <a:xfrm flipV="1">
          <a:off x="6164580" y="1833010"/>
          <a:ext cx="1143042" cy="52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17983</xdr:colOff>
      <xdr:row>13</xdr:row>
      <xdr:rowOff>122703</xdr:rowOff>
    </xdr:from>
    <xdr:to>
      <xdr:col>7</xdr:col>
      <xdr:colOff>100045</xdr:colOff>
      <xdr:row>14</xdr:row>
      <xdr:rowOff>64088</xdr:rowOff>
    </xdr:to>
    <xdr:sp macro="" textlink="">
      <xdr:nvSpPr>
        <xdr:cNvPr id="13" name="Isosceles Triangle 12">
          <a:extLst>
            <a:ext uri="{FF2B5EF4-FFF2-40B4-BE49-F238E27FC236}">
              <a16:creationId xmlns:a16="http://schemas.microsoft.com/office/drawing/2014/main" id="{00000000-0008-0000-0E00-00000D000000}"/>
            </a:ext>
          </a:extLst>
        </xdr:cNvPr>
        <xdr:cNvSpPr/>
      </xdr:nvSpPr>
      <xdr:spPr>
        <a:xfrm rot="16200000">
          <a:off x="5483281" y="2887005"/>
          <a:ext cx="124265" cy="82062"/>
        </a:xfrm>
        <a:prstGeom prst="triangle">
          <a:avLst/>
        </a:prstGeom>
        <a:solidFill>
          <a:srgbClr val="4472C4"/>
        </a:solidFill>
        <a:ln w="12700" cap="flat" cmpd="sng" algn="ctr">
          <a:solidFill>
            <a:srgbClr val="4472C4">
              <a:shade val="50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ZA" sz="1100" b="0" i="0" u="none" strike="noStrike" kern="0" cap="none" spc="0" normalizeH="0" baseline="0" noProof="0">
            <a:ln>
              <a:noFill/>
            </a:ln>
            <a:solidFill>
              <a:sysClr val="window" lastClr="FFFFFF"/>
            </a:solidFill>
            <a:effectLst/>
            <a:uLnTx/>
            <a:uFillTx/>
            <a:latin typeface="Calibri" panose="020F0502020204030204"/>
            <a:ea typeface="+mn-ea"/>
            <a:cs typeface="+mn-cs"/>
          </a:endParaRPr>
        </a:p>
      </xdr:txBody>
    </xdr:sp>
    <xdr:clientData/>
  </xdr:twoCellAnchor>
  <xdr:twoCellAnchor>
    <xdr:from>
      <xdr:col>7</xdr:col>
      <xdr:colOff>25603</xdr:colOff>
      <xdr:row>10</xdr:row>
      <xdr:rowOff>115083</xdr:rowOff>
    </xdr:from>
    <xdr:to>
      <xdr:col>7</xdr:col>
      <xdr:colOff>107665</xdr:colOff>
      <xdr:row>11</xdr:row>
      <xdr:rowOff>56468</xdr:rowOff>
    </xdr:to>
    <xdr:sp macro="" textlink="">
      <xdr:nvSpPr>
        <xdr:cNvPr id="15" name="Isosceles Triangle 14">
          <a:extLst>
            <a:ext uri="{FF2B5EF4-FFF2-40B4-BE49-F238E27FC236}">
              <a16:creationId xmlns:a16="http://schemas.microsoft.com/office/drawing/2014/main" id="{00000000-0008-0000-0E00-00000F000000}"/>
            </a:ext>
          </a:extLst>
        </xdr:cNvPr>
        <xdr:cNvSpPr/>
      </xdr:nvSpPr>
      <xdr:spPr>
        <a:xfrm rot="16200000">
          <a:off x="5490901" y="2330745"/>
          <a:ext cx="124265" cy="82062"/>
        </a:xfrm>
        <a:prstGeom prst="triangle">
          <a:avLst/>
        </a:prstGeom>
        <a:solidFill>
          <a:srgbClr val="4472C4"/>
        </a:solidFill>
        <a:ln w="12700" cap="flat" cmpd="sng" algn="ctr">
          <a:solidFill>
            <a:srgbClr val="4472C4">
              <a:shade val="50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ZA" sz="1100" b="0" i="0" u="none" strike="noStrike" kern="0" cap="none" spc="0" normalizeH="0" baseline="0" noProof="0">
            <a:ln>
              <a:noFill/>
            </a:ln>
            <a:solidFill>
              <a:sysClr val="window" lastClr="FFFFFF"/>
            </a:solidFill>
            <a:effectLst/>
            <a:uLnTx/>
            <a:uFillTx/>
            <a:latin typeface="Calibri" panose="020F0502020204030204"/>
            <a:ea typeface="+mn-ea"/>
            <a:cs typeface="+mn-cs"/>
          </a:endParaRPr>
        </a:p>
      </xdr:txBody>
    </xdr:sp>
    <xdr:clientData/>
  </xdr:twoCellAnchor>
  <xdr:twoCellAnchor>
    <xdr:from>
      <xdr:col>7</xdr:col>
      <xdr:colOff>548640</xdr:colOff>
      <xdr:row>7</xdr:row>
      <xdr:rowOff>121920</xdr:rowOff>
    </xdr:from>
    <xdr:to>
      <xdr:col>8</xdr:col>
      <xdr:colOff>68580</xdr:colOff>
      <xdr:row>8</xdr:row>
      <xdr:rowOff>68580</xdr:rowOff>
    </xdr:to>
    <xdr:sp macro="" textlink="">
      <xdr:nvSpPr>
        <xdr:cNvPr id="17" name="Flowchart: Connector 16">
          <a:extLst>
            <a:ext uri="{FF2B5EF4-FFF2-40B4-BE49-F238E27FC236}">
              <a16:creationId xmlns:a16="http://schemas.microsoft.com/office/drawing/2014/main" id="{00000000-0008-0000-0E00-000011000000}"/>
            </a:ext>
          </a:extLst>
        </xdr:cNvPr>
        <xdr:cNvSpPr/>
      </xdr:nvSpPr>
      <xdr:spPr>
        <a:xfrm>
          <a:off x="6035040" y="1767840"/>
          <a:ext cx="129540" cy="12954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8</xdr:col>
      <xdr:colOff>5255</xdr:colOff>
      <xdr:row>5</xdr:row>
      <xdr:rowOff>3629</xdr:rowOff>
    </xdr:from>
    <xdr:to>
      <xdr:col>8</xdr:col>
      <xdr:colOff>7257</xdr:colOff>
      <xdr:row>11</xdr:row>
      <xdr:rowOff>2503</xdr:rowOff>
    </xdr:to>
    <xdr:cxnSp macro="">
      <xdr:nvCxnSpPr>
        <xdr:cNvPr id="18" name="Straight Connector 17">
          <a:extLst>
            <a:ext uri="{FF2B5EF4-FFF2-40B4-BE49-F238E27FC236}">
              <a16:creationId xmlns:a16="http://schemas.microsoft.com/office/drawing/2014/main" id="{00000000-0008-0000-0E00-000012000000}"/>
            </a:ext>
          </a:extLst>
        </xdr:cNvPr>
        <xdr:cNvCxnSpPr/>
      </xdr:nvCxnSpPr>
      <xdr:spPr>
        <a:xfrm flipH="1">
          <a:off x="6101255" y="1283789"/>
          <a:ext cx="2002" cy="109615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68580</xdr:colOff>
      <xdr:row>8</xdr:row>
      <xdr:rowOff>4210</xdr:rowOff>
    </xdr:from>
    <xdr:to>
      <xdr:col>9</xdr:col>
      <xdr:colOff>602022</xdr:colOff>
      <xdr:row>8</xdr:row>
      <xdr:rowOff>4736</xdr:rowOff>
    </xdr:to>
    <xdr:cxnSp macro="">
      <xdr:nvCxnSpPr>
        <xdr:cNvPr id="19" name="Straight Connector 18">
          <a:extLst>
            <a:ext uri="{FF2B5EF4-FFF2-40B4-BE49-F238E27FC236}">
              <a16:creationId xmlns:a16="http://schemas.microsoft.com/office/drawing/2014/main" id="{00000000-0008-0000-0E00-000013000000}"/>
            </a:ext>
          </a:extLst>
        </xdr:cNvPr>
        <xdr:cNvCxnSpPr/>
      </xdr:nvCxnSpPr>
      <xdr:spPr>
        <a:xfrm flipV="1">
          <a:off x="6164580" y="1833010"/>
          <a:ext cx="1143042" cy="52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10</xdr:row>
      <xdr:rowOff>179470</xdr:rowOff>
    </xdr:from>
    <xdr:to>
      <xdr:col>9</xdr:col>
      <xdr:colOff>533442</xdr:colOff>
      <xdr:row>10</xdr:row>
      <xdr:rowOff>179996</xdr:rowOff>
    </xdr:to>
    <xdr:cxnSp macro="">
      <xdr:nvCxnSpPr>
        <xdr:cNvPr id="20" name="Straight Connector 19">
          <a:extLst>
            <a:ext uri="{FF2B5EF4-FFF2-40B4-BE49-F238E27FC236}">
              <a16:creationId xmlns:a16="http://schemas.microsoft.com/office/drawing/2014/main" id="{00000000-0008-0000-0E00-000014000000}"/>
            </a:ext>
          </a:extLst>
        </xdr:cNvPr>
        <xdr:cNvCxnSpPr/>
      </xdr:nvCxnSpPr>
      <xdr:spPr>
        <a:xfrm flipV="1">
          <a:off x="6096000" y="2374030"/>
          <a:ext cx="1143042" cy="52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xdr:colOff>
      <xdr:row>4</xdr:row>
      <xdr:rowOff>179470</xdr:rowOff>
    </xdr:from>
    <xdr:to>
      <xdr:col>9</xdr:col>
      <xdr:colOff>541062</xdr:colOff>
      <xdr:row>4</xdr:row>
      <xdr:rowOff>179996</xdr:rowOff>
    </xdr:to>
    <xdr:cxnSp macro="">
      <xdr:nvCxnSpPr>
        <xdr:cNvPr id="21" name="Straight Connector 20">
          <a:extLst>
            <a:ext uri="{FF2B5EF4-FFF2-40B4-BE49-F238E27FC236}">
              <a16:creationId xmlns:a16="http://schemas.microsoft.com/office/drawing/2014/main" id="{00000000-0008-0000-0E00-000015000000}"/>
            </a:ext>
          </a:extLst>
        </xdr:cNvPr>
        <xdr:cNvCxnSpPr/>
      </xdr:nvCxnSpPr>
      <xdr:spPr>
        <a:xfrm flipV="1">
          <a:off x="6103620" y="1276750"/>
          <a:ext cx="1143042" cy="52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16</xdr:row>
      <xdr:rowOff>190499</xdr:rowOff>
    </xdr:from>
    <xdr:to>
      <xdr:col>2</xdr:col>
      <xdr:colOff>598714</xdr:colOff>
      <xdr:row>17</xdr:row>
      <xdr:rowOff>0</xdr:rowOff>
    </xdr:to>
    <xdr:cxnSp macro="">
      <xdr:nvCxnSpPr>
        <xdr:cNvPr id="45" name="Straight Connector 44">
          <a:extLst>
            <a:ext uri="{FF2B5EF4-FFF2-40B4-BE49-F238E27FC236}">
              <a16:creationId xmlns:a16="http://schemas.microsoft.com/office/drawing/2014/main" id="{00000000-0008-0000-0E00-00002D000000}"/>
            </a:ext>
          </a:extLst>
        </xdr:cNvPr>
        <xdr:cNvCxnSpPr>
          <a:cxnSpLocks/>
        </xdr:cNvCxnSpPr>
      </xdr:nvCxnSpPr>
      <xdr:spPr>
        <a:xfrm flipV="1">
          <a:off x="4267200" y="2743199"/>
          <a:ext cx="1208314" cy="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5255</xdr:colOff>
      <xdr:row>10</xdr:row>
      <xdr:rowOff>171269</xdr:rowOff>
    </xdr:from>
    <xdr:to>
      <xdr:col>1</xdr:col>
      <xdr:colOff>7257</xdr:colOff>
      <xdr:row>16</xdr:row>
      <xdr:rowOff>170143</xdr:rowOff>
    </xdr:to>
    <xdr:cxnSp macro="">
      <xdr:nvCxnSpPr>
        <xdr:cNvPr id="46" name="Straight Connector 45">
          <a:extLst>
            <a:ext uri="{FF2B5EF4-FFF2-40B4-BE49-F238E27FC236}">
              <a16:creationId xmlns:a16="http://schemas.microsoft.com/office/drawing/2014/main" id="{00000000-0008-0000-0E00-00002E000000}"/>
            </a:ext>
          </a:extLst>
        </xdr:cNvPr>
        <xdr:cNvCxnSpPr/>
      </xdr:nvCxnSpPr>
      <xdr:spPr>
        <a:xfrm flipH="1">
          <a:off x="4272455" y="1634309"/>
          <a:ext cx="2002" cy="109615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532086</xdr:colOff>
      <xdr:row>13</xdr:row>
      <xdr:rowOff>129541</xdr:rowOff>
    </xdr:from>
    <xdr:to>
      <xdr:col>1</xdr:col>
      <xdr:colOff>52026</xdr:colOff>
      <xdr:row>14</xdr:row>
      <xdr:rowOff>76200</xdr:rowOff>
    </xdr:to>
    <xdr:sp macro="" textlink="">
      <xdr:nvSpPr>
        <xdr:cNvPr id="47" name="Flowchart: Connector 46">
          <a:extLst>
            <a:ext uri="{FF2B5EF4-FFF2-40B4-BE49-F238E27FC236}">
              <a16:creationId xmlns:a16="http://schemas.microsoft.com/office/drawing/2014/main" id="{00000000-0008-0000-0E00-00002F000000}"/>
            </a:ext>
          </a:extLst>
        </xdr:cNvPr>
        <xdr:cNvSpPr/>
      </xdr:nvSpPr>
      <xdr:spPr>
        <a:xfrm>
          <a:off x="4189686" y="2141221"/>
          <a:ext cx="129540" cy="129539"/>
        </a:xfrm>
        <a:prstGeom prst="flowChartConnector">
          <a:avLst/>
        </a:prstGeom>
        <a:solidFill>
          <a:srgbClr val="4472C4"/>
        </a:solidFill>
        <a:ln w="12700" cap="flat" cmpd="sng" algn="ctr">
          <a:solidFill>
            <a:srgbClr val="4472C4">
              <a:shade val="50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ZA" sz="1100" b="0" i="0" u="none" strike="noStrike" kern="0" cap="none" spc="0" normalizeH="0" baseline="0" noProof="0">
            <a:ln>
              <a:noFill/>
            </a:ln>
            <a:solidFill>
              <a:sysClr val="window" lastClr="FFFFFF"/>
            </a:solidFill>
            <a:effectLst/>
            <a:uLnTx/>
            <a:uFillTx/>
            <a:latin typeface="Calibri" panose="020F0502020204030204"/>
            <a:ea typeface="+mn-ea"/>
            <a:cs typeface="+mn-cs"/>
          </a:endParaRPr>
        </a:p>
      </xdr:txBody>
    </xdr:sp>
    <xdr:clientData/>
  </xdr:twoCellAnchor>
  <xdr:twoCellAnchor>
    <xdr:from>
      <xdr:col>1</xdr:col>
      <xdr:colOff>0</xdr:colOff>
      <xdr:row>16</xdr:row>
      <xdr:rowOff>171674</xdr:rowOff>
    </xdr:from>
    <xdr:to>
      <xdr:col>3</xdr:col>
      <xdr:colOff>6403</xdr:colOff>
      <xdr:row>16</xdr:row>
      <xdr:rowOff>175260</xdr:rowOff>
    </xdr:to>
    <xdr:cxnSp macro="">
      <xdr:nvCxnSpPr>
        <xdr:cNvPr id="48" name="Straight Connector 47">
          <a:extLst>
            <a:ext uri="{FF2B5EF4-FFF2-40B4-BE49-F238E27FC236}">
              <a16:creationId xmlns:a16="http://schemas.microsoft.com/office/drawing/2014/main" id="{00000000-0008-0000-0E00-000030000000}"/>
            </a:ext>
          </a:extLst>
        </xdr:cNvPr>
        <xdr:cNvCxnSpPr/>
      </xdr:nvCxnSpPr>
      <xdr:spPr>
        <a:xfrm flipV="1">
          <a:off x="4267200" y="2731994"/>
          <a:ext cx="1225603" cy="358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15240</xdr:colOff>
      <xdr:row>11</xdr:row>
      <xdr:rowOff>4034</xdr:rowOff>
    </xdr:from>
    <xdr:to>
      <xdr:col>3</xdr:col>
      <xdr:colOff>21643</xdr:colOff>
      <xdr:row>11</xdr:row>
      <xdr:rowOff>7620</xdr:rowOff>
    </xdr:to>
    <xdr:cxnSp macro="">
      <xdr:nvCxnSpPr>
        <xdr:cNvPr id="49" name="Straight Connector 48">
          <a:extLst>
            <a:ext uri="{FF2B5EF4-FFF2-40B4-BE49-F238E27FC236}">
              <a16:creationId xmlns:a16="http://schemas.microsoft.com/office/drawing/2014/main" id="{00000000-0008-0000-0E00-000031000000}"/>
            </a:ext>
          </a:extLst>
        </xdr:cNvPr>
        <xdr:cNvCxnSpPr/>
      </xdr:nvCxnSpPr>
      <xdr:spPr>
        <a:xfrm flipV="1">
          <a:off x="4282440" y="1649954"/>
          <a:ext cx="1225603" cy="358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7621</xdr:colOff>
      <xdr:row>16</xdr:row>
      <xdr:rowOff>114300</xdr:rowOff>
    </xdr:from>
    <xdr:to>
      <xdr:col>3</xdr:col>
      <xdr:colOff>89683</xdr:colOff>
      <xdr:row>17</xdr:row>
      <xdr:rowOff>55685</xdr:rowOff>
    </xdr:to>
    <xdr:sp macro="" textlink="">
      <xdr:nvSpPr>
        <xdr:cNvPr id="50" name="Isosceles Triangle 49">
          <a:extLst>
            <a:ext uri="{FF2B5EF4-FFF2-40B4-BE49-F238E27FC236}">
              <a16:creationId xmlns:a16="http://schemas.microsoft.com/office/drawing/2014/main" id="{00000000-0008-0000-0E00-000032000000}"/>
            </a:ext>
          </a:extLst>
        </xdr:cNvPr>
        <xdr:cNvSpPr/>
      </xdr:nvSpPr>
      <xdr:spPr>
        <a:xfrm rot="16200000">
          <a:off x="5472919" y="2695722"/>
          <a:ext cx="124265" cy="82062"/>
        </a:xfrm>
        <a:prstGeom prst="triangle">
          <a:avLst/>
        </a:prstGeom>
        <a:solidFill>
          <a:srgbClr val="4472C4"/>
        </a:solidFill>
        <a:ln w="12700" cap="flat" cmpd="sng" algn="ctr">
          <a:solidFill>
            <a:srgbClr val="4472C4">
              <a:shade val="50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ZA" sz="1100" b="0" i="0" u="none" strike="noStrike" kern="0" cap="none" spc="0" normalizeH="0" baseline="0" noProof="0">
            <a:ln>
              <a:noFill/>
            </a:ln>
            <a:solidFill>
              <a:sysClr val="window" lastClr="FFFFFF"/>
            </a:solidFill>
            <a:effectLst/>
            <a:uLnTx/>
            <a:uFillTx/>
            <a:latin typeface="Calibri" panose="020F0502020204030204"/>
            <a:ea typeface="+mn-ea"/>
            <a:cs typeface="+mn-cs"/>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548640</xdr:colOff>
      <xdr:row>11</xdr:row>
      <xdr:rowOff>121920</xdr:rowOff>
    </xdr:from>
    <xdr:to>
      <xdr:col>1</xdr:col>
      <xdr:colOff>68580</xdr:colOff>
      <xdr:row>12</xdr:row>
      <xdr:rowOff>68580</xdr:rowOff>
    </xdr:to>
    <xdr:sp macro="" textlink="">
      <xdr:nvSpPr>
        <xdr:cNvPr id="2" name="Flowchart: Connector 1">
          <a:extLst>
            <a:ext uri="{FF2B5EF4-FFF2-40B4-BE49-F238E27FC236}">
              <a16:creationId xmlns:a16="http://schemas.microsoft.com/office/drawing/2014/main" id="{00000000-0008-0000-0F00-000002000000}"/>
            </a:ext>
          </a:extLst>
        </xdr:cNvPr>
        <xdr:cNvSpPr/>
      </xdr:nvSpPr>
      <xdr:spPr>
        <a:xfrm>
          <a:off x="6035040" y="1767840"/>
          <a:ext cx="129540" cy="12954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xdr:col>
      <xdr:colOff>5255</xdr:colOff>
      <xdr:row>9</xdr:row>
      <xdr:rowOff>3629</xdr:rowOff>
    </xdr:from>
    <xdr:to>
      <xdr:col>1</xdr:col>
      <xdr:colOff>7257</xdr:colOff>
      <xdr:row>15</xdr:row>
      <xdr:rowOff>2503</xdr:rowOff>
    </xdr:to>
    <xdr:cxnSp macro="">
      <xdr:nvCxnSpPr>
        <xdr:cNvPr id="3" name="Straight Connector 2">
          <a:extLst>
            <a:ext uri="{FF2B5EF4-FFF2-40B4-BE49-F238E27FC236}">
              <a16:creationId xmlns:a16="http://schemas.microsoft.com/office/drawing/2014/main" id="{00000000-0008-0000-0F00-000003000000}"/>
            </a:ext>
          </a:extLst>
        </xdr:cNvPr>
        <xdr:cNvCxnSpPr/>
      </xdr:nvCxnSpPr>
      <xdr:spPr>
        <a:xfrm flipH="1">
          <a:off x="6101255" y="1283789"/>
          <a:ext cx="2002" cy="109615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68580</xdr:colOff>
      <xdr:row>12</xdr:row>
      <xdr:rowOff>4210</xdr:rowOff>
    </xdr:from>
    <xdr:to>
      <xdr:col>2</xdr:col>
      <xdr:colOff>602022</xdr:colOff>
      <xdr:row>12</xdr:row>
      <xdr:rowOff>4736</xdr:rowOff>
    </xdr:to>
    <xdr:cxnSp macro="">
      <xdr:nvCxnSpPr>
        <xdr:cNvPr id="4" name="Straight Connector 3">
          <a:extLst>
            <a:ext uri="{FF2B5EF4-FFF2-40B4-BE49-F238E27FC236}">
              <a16:creationId xmlns:a16="http://schemas.microsoft.com/office/drawing/2014/main" id="{00000000-0008-0000-0F00-000004000000}"/>
            </a:ext>
          </a:extLst>
        </xdr:cNvPr>
        <xdr:cNvCxnSpPr/>
      </xdr:nvCxnSpPr>
      <xdr:spPr>
        <a:xfrm flipV="1">
          <a:off x="6164580" y="1833010"/>
          <a:ext cx="1143042" cy="52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14</xdr:row>
      <xdr:rowOff>179470</xdr:rowOff>
    </xdr:from>
    <xdr:to>
      <xdr:col>2</xdr:col>
      <xdr:colOff>533442</xdr:colOff>
      <xdr:row>14</xdr:row>
      <xdr:rowOff>179996</xdr:rowOff>
    </xdr:to>
    <xdr:cxnSp macro="">
      <xdr:nvCxnSpPr>
        <xdr:cNvPr id="5" name="Straight Connector 4">
          <a:extLst>
            <a:ext uri="{FF2B5EF4-FFF2-40B4-BE49-F238E27FC236}">
              <a16:creationId xmlns:a16="http://schemas.microsoft.com/office/drawing/2014/main" id="{00000000-0008-0000-0F00-000005000000}"/>
            </a:ext>
          </a:extLst>
        </xdr:cNvPr>
        <xdr:cNvCxnSpPr/>
      </xdr:nvCxnSpPr>
      <xdr:spPr>
        <a:xfrm flipV="1">
          <a:off x="6096000" y="2374030"/>
          <a:ext cx="1143042" cy="52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7620</xdr:colOff>
      <xdr:row>8</xdr:row>
      <xdr:rowOff>179470</xdr:rowOff>
    </xdr:from>
    <xdr:to>
      <xdr:col>2</xdr:col>
      <xdr:colOff>541062</xdr:colOff>
      <xdr:row>8</xdr:row>
      <xdr:rowOff>179996</xdr:rowOff>
    </xdr:to>
    <xdr:cxnSp macro="">
      <xdr:nvCxnSpPr>
        <xdr:cNvPr id="6" name="Straight Connector 5">
          <a:extLst>
            <a:ext uri="{FF2B5EF4-FFF2-40B4-BE49-F238E27FC236}">
              <a16:creationId xmlns:a16="http://schemas.microsoft.com/office/drawing/2014/main" id="{00000000-0008-0000-0F00-000006000000}"/>
            </a:ext>
          </a:extLst>
        </xdr:cNvPr>
        <xdr:cNvCxnSpPr/>
      </xdr:nvCxnSpPr>
      <xdr:spPr>
        <a:xfrm flipV="1">
          <a:off x="6103620" y="1276750"/>
          <a:ext cx="1143042" cy="52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601980</xdr:colOff>
      <xdr:row>7</xdr:row>
      <xdr:rowOff>152400</xdr:rowOff>
    </xdr:from>
    <xdr:to>
      <xdr:col>5</xdr:col>
      <xdr:colOff>7622</xdr:colOff>
      <xdr:row>26</xdr:row>
      <xdr:rowOff>30480</xdr:rowOff>
    </xdr:to>
    <xdr:cxnSp macro="">
      <xdr:nvCxnSpPr>
        <xdr:cNvPr id="12" name="Straight Connector 11">
          <a:extLst>
            <a:ext uri="{FF2B5EF4-FFF2-40B4-BE49-F238E27FC236}">
              <a16:creationId xmlns:a16="http://schemas.microsoft.com/office/drawing/2014/main" id="{00000000-0008-0000-0F00-00000C000000}"/>
            </a:ext>
          </a:extLst>
        </xdr:cNvPr>
        <xdr:cNvCxnSpPr/>
      </xdr:nvCxnSpPr>
      <xdr:spPr>
        <a:xfrm flipH="1">
          <a:off x="4259580" y="1432560"/>
          <a:ext cx="15242" cy="33528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554946</xdr:colOff>
      <xdr:row>15</xdr:row>
      <xdr:rowOff>30481</xdr:rowOff>
    </xdr:from>
    <xdr:to>
      <xdr:col>5</xdr:col>
      <xdr:colOff>74886</xdr:colOff>
      <xdr:row>15</xdr:row>
      <xdr:rowOff>160020</xdr:rowOff>
    </xdr:to>
    <xdr:sp macro="" textlink="">
      <xdr:nvSpPr>
        <xdr:cNvPr id="13" name="Flowchart: Connector 12">
          <a:extLst>
            <a:ext uri="{FF2B5EF4-FFF2-40B4-BE49-F238E27FC236}">
              <a16:creationId xmlns:a16="http://schemas.microsoft.com/office/drawing/2014/main" id="{00000000-0008-0000-0F00-00000D000000}"/>
            </a:ext>
          </a:extLst>
        </xdr:cNvPr>
        <xdr:cNvSpPr/>
      </xdr:nvSpPr>
      <xdr:spPr>
        <a:xfrm>
          <a:off x="2993346" y="2773681"/>
          <a:ext cx="129540" cy="129539"/>
        </a:xfrm>
        <a:prstGeom prst="flowChartConnector">
          <a:avLst/>
        </a:prstGeom>
        <a:solidFill>
          <a:srgbClr val="4472C4"/>
        </a:solidFill>
        <a:ln w="12700" cap="flat" cmpd="sng" algn="ctr">
          <a:solidFill>
            <a:srgbClr val="4472C4">
              <a:shade val="50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ZA" sz="1100" b="0" i="0" u="none" strike="noStrike" kern="0" cap="none" spc="0" normalizeH="0" baseline="0" noProof="0">
            <a:ln>
              <a:noFill/>
            </a:ln>
            <a:solidFill>
              <a:sysClr val="window" lastClr="FFFFFF"/>
            </a:solidFill>
            <a:effectLst/>
            <a:uLnTx/>
            <a:uFillTx/>
            <a:latin typeface="Calibri" panose="020F0502020204030204"/>
            <a:ea typeface="+mn-ea"/>
            <a:cs typeface="+mn-cs"/>
          </a:endParaRPr>
        </a:p>
      </xdr:txBody>
    </xdr:sp>
    <xdr:clientData/>
  </xdr:twoCellAnchor>
  <xdr:twoCellAnchor>
    <xdr:from>
      <xdr:col>5</xdr:col>
      <xdr:colOff>0</xdr:colOff>
      <xdr:row>13</xdr:row>
      <xdr:rowOff>171674</xdr:rowOff>
    </xdr:from>
    <xdr:to>
      <xdr:col>7</xdr:col>
      <xdr:colOff>6403</xdr:colOff>
      <xdr:row>13</xdr:row>
      <xdr:rowOff>175260</xdr:rowOff>
    </xdr:to>
    <xdr:cxnSp macro="">
      <xdr:nvCxnSpPr>
        <xdr:cNvPr id="15" name="Straight Connector 14">
          <a:extLst>
            <a:ext uri="{FF2B5EF4-FFF2-40B4-BE49-F238E27FC236}">
              <a16:creationId xmlns:a16="http://schemas.microsoft.com/office/drawing/2014/main" id="{00000000-0008-0000-0F00-00000F000000}"/>
            </a:ext>
          </a:extLst>
        </xdr:cNvPr>
        <xdr:cNvCxnSpPr/>
      </xdr:nvCxnSpPr>
      <xdr:spPr>
        <a:xfrm flipV="1">
          <a:off x="7924800" y="1634714"/>
          <a:ext cx="1225603" cy="358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15240</xdr:colOff>
      <xdr:row>8</xdr:row>
      <xdr:rowOff>4034</xdr:rowOff>
    </xdr:from>
    <xdr:to>
      <xdr:col>7</xdr:col>
      <xdr:colOff>21643</xdr:colOff>
      <xdr:row>8</xdr:row>
      <xdr:rowOff>7620</xdr:rowOff>
    </xdr:to>
    <xdr:cxnSp macro="">
      <xdr:nvCxnSpPr>
        <xdr:cNvPr id="16" name="Straight Connector 15">
          <a:extLst>
            <a:ext uri="{FF2B5EF4-FFF2-40B4-BE49-F238E27FC236}">
              <a16:creationId xmlns:a16="http://schemas.microsoft.com/office/drawing/2014/main" id="{00000000-0008-0000-0F00-000010000000}"/>
            </a:ext>
          </a:extLst>
        </xdr:cNvPr>
        <xdr:cNvCxnSpPr/>
      </xdr:nvCxnSpPr>
      <xdr:spPr>
        <a:xfrm flipV="1">
          <a:off x="7940040" y="552674"/>
          <a:ext cx="1225603" cy="358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5255</xdr:colOff>
      <xdr:row>4</xdr:row>
      <xdr:rowOff>171269</xdr:rowOff>
    </xdr:from>
    <xdr:to>
      <xdr:col>7</xdr:col>
      <xdr:colOff>7257</xdr:colOff>
      <xdr:row>10</xdr:row>
      <xdr:rowOff>170143</xdr:rowOff>
    </xdr:to>
    <xdr:cxnSp macro="">
      <xdr:nvCxnSpPr>
        <xdr:cNvPr id="21" name="Straight Connector 20">
          <a:extLst>
            <a:ext uri="{FF2B5EF4-FFF2-40B4-BE49-F238E27FC236}">
              <a16:creationId xmlns:a16="http://schemas.microsoft.com/office/drawing/2014/main" id="{00000000-0008-0000-0F00-000015000000}"/>
            </a:ext>
          </a:extLst>
        </xdr:cNvPr>
        <xdr:cNvCxnSpPr/>
      </xdr:nvCxnSpPr>
      <xdr:spPr>
        <a:xfrm flipH="1">
          <a:off x="4272455" y="1451429"/>
          <a:ext cx="2002" cy="109615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554946</xdr:colOff>
      <xdr:row>7</xdr:row>
      <xdr:rowOff>121921</xdr:rowOff>
    </xdr:from>
    <xdr:to>
      <xdr:col>7</xdr:col>
      <xdr:colOff>74886</xdr:colOff>
      <xdr:row>8</xdr:row>
      <xdr:rowOff>68580</xdr:rowOff>
    </xdr:to>
    <xdr:sp macro="" textlink="">
      <xdr:nvSpPr>
        <xdr:cNvPr id="22" name="Flowchart: Connector 21">
          <a:extLst>
            <a:ext uri="{FF2B5EF4-FFF2-40B4-BE49-F238E27FC236}">
              <a16:creationId xmlns:a16="http://schemas.microsoft.com/office/drawing/2014/main" id="{00000000-0008-0000-0F00-000016000000}"/>
            </a:ext>
          </a:extLst>
        </xdr:cNvPr>
        <xdr:cNvSpPr/>
      </xdr:nvSpPr>
      <xdr:spPr>
        <a:xfrm>
          <a:off x="4212546" y="1950721"/>
          <a:ext cx="129540" cy="129539"/>
        </a:xfrm>
        <a:prstGeom prst="flowChartConnector">
          <a:avLst/>
        </a:prstGeom>
        <a:solidFill>
          <a:srgbClr val="4472C4"/>
        </a:solidFill>
        <a:ln w="12700" cap="flat" cmpd="sng" algn="ctr">
          <a:solidFill>
            <a:srgbClr val="4472C4">
              <a:shade val="50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ZA" sz="1100" b="0" i="0" u="none" strike="noStrike" kern="0" cap="none" spc="0" normalizeH="0" baseline="0" noProof="0">
            <a:ln>
              <a:noFill/>
            </a:ln>
            <a:solidFill>
              <a:sysClr val="window" lastClr="FFFFFF"/>
            </a:solidFill>
            <a:effectLst/>
            <a:uLnTx/>
            <a:uFillTx/>
            <a:latin typeface="Calibri" panose="020F0502020204030204"/>
            <a:ea typeface="+mn-ea"/>
            <a:cs typeface="+mn-cs"/>
          </a:endParaRPr>
        </a:p>
      </xdr:txBody>
    </xdr:sp>
    <xdr:clientData/>
  </xdr:twoCellAnchor>
  <xdr:twoCellAnchor>
    <xdr:from>
      <xdr:col>7</xdr:col>
      <xdr:colOff>0</xdr:colOff>
      <xdr:row>10</xdr:row>
      <xdr:rowOff>171674</xdr:rowOff>
    </xdr:from>
    <xdr:to>
      <xdr:col>9</xdr:col>
      <xdr:colOff>6403</xdr:colOff>
      <xdr:row>10</xdr:row>
      <xdr:rowOff>175260</xdr:rowOff>
    </xdr:to>
    <xdr:cxnSp macro="">
      <xdr:nvCxnSpPr>
        <xdr:cNvPr id="23" name="Straight Connector 22">
          <a:extLst>
            <a:ext uri="{FF2B5EF4-FFF2-40B4-BE49-F238E27FC236}">
              <a16:creationId xmlns:a16="http://schemas.microsoft.com/office/drawing/2014/main" id="{00000000-0008-0000-0F00-000017000000}"/>
            </a:ext>
          </a:extLst>
        </xdr:cNvPr>
        <xdr:cNvCxnSpPr/>
      </xdr:nvCxnSpPr>
      <xdr:spPr>
        <a:xfrm flipV="1">
          <a:off x="4267200" y="2549114"/>
          <a:ext cx="1225603" cy="358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601980</xdr:colOff>
      <xdr:row>5</xdr:row>
      <xdr:rowOff>4034</xdr:rowOff>
    </xdr:from>
    <xdr:to>
      <xdr:col>8</xdr:col>
      <xdr:colOff>608383</xdr:colOff>
      <xdr:row>5</xdr:row>
      <xdr:rowOff>7620</xdr:rowOff>
    </xdr:to>
    <xdr:cxnSp macro="">
      <xdr:nvCxnSpPr>
        <xdr:cNvPr id="24" name="Straight Connector 23">
          <a:extLst>
            <a:ext uri="{FF2B5EF4-FFF2-40B4-BE49-F238E27FC236}">
              <a16:creationId xmlns:a16="http://schemas.microsoft.com/office/drawing/2014/main" id="{00000000-0008-0000-0F00-000018000000}"/>
            </a:ext>
          </a:extLst>
        </xdr:cNvPr>
        <xdr:cNvCxnSpPr/>
      </xdr:nvCxnSpPr>
      <xdr:spPr>
        <a:xfrm flipV="1">
          <a:off x="5478780" y="918434"/>
          <a:ext cx="1225603" cy="358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22861</xdr:colOff>
      <xdr:row>4</xdr:row>
      <xdr:rowOff>144780</xdr:rowOff>
    </xdr:from>
    <xdr:to>
      <xdr:col>9</xdr:col>
      <xdr:colOff>104923</xdr:colOff>
      <xdr:row>5</xdr:row>
      <xdr:rowOff>86165</xdr:rowOff>
    </xdr:to>
    <xdr:sp macro="" textlink="">
      <xdr:nvSpPr>
        <xdr:cNvPr id="25" name="Isosceles Triangle 24">
          <a:extLst>
            <a:ext uri="{FF2B5EF4-FFF2-40B4-BE49-F238E27FC236}">
              <a16:creationId xmlns:a16="http://schemas.microsoft.com/office/drawing/2014/main" id="{00000000-0008-0000-0F00-000019000000}"/>
            </a:ext>
          </a:extLst>
        </xdr:cNvPr>
        <xdr:cNvSpPr/>
      </xdr:nvSpPr>
      <xdr:spPr>
        <a:xfrm rot="16200000">
          <a:off x="6707359" y="897402"/>
          <a:ext cx="124265" cy="82062"/>
        </a:xfrm>
        <a:prstGeom prst="triangle">
          <a:avLst/>
        </a:prstGeom>
        <a:solidFill>
          <a:srgbClr val="4472C4"/>
        </a:solidFill>
        <a:ln w="12700" cap="flat" cmpd="sng" algn="ctr">
          <a:solidFill>
            <a:srgbClr val="4472C4">
              <a:shade val="50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ZA" sz="1100" b="0" i="0" u="none" strike="noStrike" kern="0" cap="none" spc="0" normalizeH="0" baseline="0" noProof="0">
            <a:ln>
              <a:noFill/>
            </a:ln>
            <a:solidFill>
              <a:sysClr val="window" lastClr="FFFFFF"/>
            </a:solidFill>
            <a:effectLst/>
            <a:uLnTx/>
            <a:uFillTx/>
            <a:latin typeface="Calibri" panose="020F0502020204030204"/>
            <a:ea typeface="+mn-ea"/>
            <a:cs typeface="+mn-cs"/>
          </a:endParaRPr>
        </a:p>
      </xdr:txBody>
    </xdr:sp>
    <xdr:clientData/>
  </xdr:twoCellAnchor>
  <xdr:twoCellAnchor>
    <xdr:from>
      <xdr:col>9</xdr:col>
      <xdr:colOff>22861</xdr:colOff>
      <xdr:row>10</xdr:row>
      <xdr:rowOff>99060</xdr:rowOff>
    </xdr:from>
    <xdr:to>
      <xdr:col>9</xdr:col>
      <xdr:colOff>104923</xdr:colOff>
      <xdr:row>11</xdr:row>
      <xdr:rowOff>40445</xdr:rowOff>
    </xdr:to>
    <xdr:sp macro="" textlink="">
      <xdr:nvSpPr>
        <xdr:cNvPr id="26" name="Isosceles Triangle 25">
          <a:extLst>
            <a:ext uri="{FF2B5EF4-FFF2-40B4-BE49-F238E27FC236}">
              <a16:creationId xmlns:a16="http://schemas.microsoft.com/office/drawing/2014/main" id="{00000000-0008-0000-0F00-00001A000000}"/>
            </a:ext>
          </a:extLst>
        </xdr:cNvPr>
        <xdr:cNvSpPr/>
      </xdr:nvSpPr>
      <xdr:spPr>
        <a:xfrm rot="16200000">
          <a:off x="6707359" y="1948962"/>
          <a:ext cx="124265" cy="82062"/>
        </a:xfrm>
        <a:prstGeom prst="triangle">
          <a:avLst/>
        </a:prstGeom>
        <a:solidFill>
          <a:srgbClr val="4472C4"/>
        </a:solidFill>
        <a:ln w="12700" cap="flat" cmpd="sng" algn="ctr">
          <a:solidFill>
            <a:srgbClr val="4472C4">
              <a:shade val="50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ZA" sz="1100" b="0" i="0" u="none" strike="noStrike" kern="0" cap="none" spc="0" normalizeH="0" baseline="0" noProof="0">
            <a:ln>
              <a:noFill/>
            </a:ln>
            <a:solidFill>
              <a:sysClr val="window" lastClr="FFFFFF"/>
            </a:solidFill>
            <a:effectLst/>
            <a:uLnTx/>
            <a:uFillTx/>
            <a:latin typeface="Calibri" panose="020F0502020204030204"/>
            <a:ea typeface="+mn-ea"/>
            <a:cs typeface="+mn-cs"/>
          </a:endParaRPr>
        </a:p>
      </xdr:txBody>
    </xdr:sp>
    <xdr:clientData/>
  </xdr:twoCellAnchor>
  <xdr:twoCellAnchor>
    <xdr:from>
      <xdr:col>7</xdr:col>
      <xdr:colOff>22860</xdr:colOff>
      <xdr:row>13</xdr:row>
      <xdr:rowOff>114300</xdr:rowOff>
    </xdr:from>
    <xdr:to>
      <xdr:col>7</xdr:col>
      <xdr:colOff>104922</xdr:colOff>
      <xdr:row>14</xdr:row>
      <xdr:rowOff>55685</xdr:rowOff>
    </xdr:to>
    <xdr:sp macro="" textlink="">
      <xdr:nvSpPr>
        <xdr:cNvPr id="27" name="Isosceles Triangle 26">
          <a:extLst>
            <a:ext uri="{FF2B5EF4-FFF2-40B4-BE49-F238E27FC236}">
              <a16:creationId xmlns:a16="http://schemas.microsoft.com/office/drawing/2014/main" id="{00000000-0008-0000-0F00-00001B000000}"/>
            </a:ext>
          </a:extLst>
        </xdr:cNvPr>
        <xdr:cNvSpPr/>
      </xdr:nvSpPr>
      <xdr:spPr>
        <a:xfrm rot="16200000">
          <a:off x="5488158" y="2512842"/>
          <a:ext cx="124265" cy="82062"/>
        </a:xfrm>
        <a:prstGeom prst="triangle">
          <a:avLst/>
        </a:prstGeom>
        <a:solidFill>
          <a:srgbClr val="4472C4"/>
        </a:solidFill>
        <a:ln w="12700" cap="flat" cmpd="sng" algn="ctr">
          <a:solidFill>
            <a:srgbClr val="4472C4">
              <a:shade val="50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ZA" sz="1100" b="0" i="0" u="none" strike="noStrike" kern="0" cap="none" spc="0" normalizeH="0" baseline="0" noProof="0">
            <a:ln>
              <a:noFill/>
            </a:ln>
            <a:solidFill>
              <a:sysClr val="window" lastClr="FFFFFF"/>
            </a:solidFill>
            <a:effectLst/>
            <a:uLnTx/>
            <a:uFillTx/>
            <a:latin typeface="Calibri" panose="020F0502020204030204"/>
            <a:ea typeface="+mn-ea"/>
            <a:cs typeface="+mn-cs"/>
          </a:endParaRPr>
        </a:p>
      </xdr:txBody>
    </xdr:sp>
    <xdr:clientData/>
  </xdr:twoCellAnchor>
  <xdr:twoCellAnchor>
    <xdr:from>
      <xdr:col>4</xdr:col>
      <xdr:colOff>601980</xdr:colOff>
      <xdr:row>19</xdr:row>
      <xdr:rowOff>4210</xdr:rowOff>
    </xdr:from>
    <xdr:to>
      <xdr:col>6</xdr:col>
      <xdr:colOff>579162</xdr:colOff>
      <xdr:row>19</xdr:row>
      <xdr:rowOff>7620</xdr:rowOff>
    </xdr:to>
    <xdr:cxnSp macro="">
      <xdr:nvCxnSpPr>
        <xdr:cNvPr id="32" name="Straight Connector 31">
          <a:extLst>
            <a:ext uri="{FF2B5EF4-FFF2-40B4-BE49-F238E27FC236}">
              <a16:creationId xmlns:a16="http://schemas.microsoft.com/office/drawing/2014/main" id="{00000000-0008-0000-0F00-000020000000}"/>
            </a:ext>
          </a:extLst>
        </xdr:cNvPr>
        <xdr:cNvCxnSpPr/>
      </xdr:nvCxnSpPr>
      <xdr:spPr>
        <a:xfrm flipV="1">
          <a:off x="4259580" y="3478930"/>
          <a:ext cx="1196382" cy="341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5255</xdr:colOff>
      <xdr:row>15</xdr:row>
      <xdr:rowOff>171269</xdr:rowOff>
    </xdr:from>
    <xdr:to>
      <xdr:col>7</xdr:col>
      <xdr:colOff>7257</xdr:colOff>
      <xdr:row>21</xdr:row>
      <xdr:rowOff>170143</xdr:rowOff>
    </xdr:to>
    <xdr:cxnSp macro="">
      <xdr:nvCxnSpPr>
        <xdr:cNvPr id="33" name="Straight Connector 32">
          <a:extLst>
            <a:ext uri="{FF2B5EF4-FFF2-40B4-BE49-F238E27FC236}">
              <a16:creationId xmlns:a16="http://schemas.microsoft.com/office/drawing/2014/main" id="{00000000-0008-0000-0F00-000021000000}"/>
            </a:ext>
          </a:extLst>
        </xdr:cNvPr>
        <xdr:cNvCxnSpPr/>
      </xdr:nvCxnSpPr>
      <xdr:spPr>
        <a:xfrm flipH="1">
          <a:off x="5491655" y="902789"/>
          <a:ext cx="2002" cy="109615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554946</xdr:colOff>
      <xdr:row>18</xdr:row>
      <xdr:rowOff>121921</xdr:rowOff>
    </xdr:from>
    <xdr:to>
      <xdr:col>7</xdr:col>
      <xdr:colOff>74886</xdr:colOff>
      <xdr:row>19</xdr:row>
      <xdr:rowOff>68580</xdr:rowOff>
    </xdr:to>
    <xdr:sp macro="" textlink="">
      <xdr:nvSpPr>
        <xdr:cNvPr id="34" name="Flowchart: Connector 33">
          <a:extLst>
            <a:ext uri="{FF2B5EF4-FFF2-40B4-BE49-F238E27FC236}">
              <a16:creationId xmlns:a16="http://schemas.microsoft.com/office/drawing/2014/main" id="{00000000-0008-0000-0F00-000022000000}"/>
            </a:ext>
          </a:extLst>
        </xdr:cNvPr>
        <xdr:cNvSpPr/>
      </xdr:nvSpPr>
      <xdr:spPr>
        <a:xfrm>
          <a:off x="5431746" y="1402081"/>
          <a:ext cx="129540" cy="129539"/>
        </a:xfrm>
        <a:prstGeom prst="flowChartConnector">
          <a:avLst/>
        </a:prstGeom>
        <a:solidFill>
          <a:srgbClr val="4472C4"/>
        </a:solidFill>
        <a:ln w="12700" cap="flat" cmpd="sng" algn="ctr">
          <a:solidFill>
            <a:srgbClr val="4472C4">
              <a:shade val="50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ZA" sz="1100" b="0" i="0" u="none" strike="noStrike" kern="0" cap="none" spc="0" normalizeH="0" baseline="0" noProof="0">
            <a:ln>
              <a:noFill/>
            </a:ln>
            <a:solidFill>
              <a:sysClr val="window" lastClr="FFFFFF"/>
            </a:solidFill>
            <a:effectLst/>
            <a:uLnTx/>
            <a:uFillTx/>
            <a:latin typeface="Calibri" panose="020F0502020204030204"/>
            <a:ea typeface="+mn-ea"/>
            <a:cs typeface="+mn-cs"/>
          </a:endParaRPr>
        </a:p>
      </xdr:txBody>
    </xdr:sp>
    <xdr:clientData/>
  </xdr:twoCellAnchor>
  <xdr:twoCellAnchor>
    <xdr:from>
      <xdr:col>7</xdr:col>
      <xdr:colOff>0</xdr:colOff>
      <xdr:row>21</xdr:row>
      <xdr:rowOff>171674</xdr:rowOff>
    </xdr:from>
    <xdr:to>
      <xdr:col>9</xdr:col>
      <xdr:colOff>6403</xdr:colOff>
      <xdr:row>21</xdr:row>
      <xdr:rowOff>175260</xdr:rowOff>
    </xdr:to>
    <xdr:cxnSp macro="">
      <xdr:nvCxnSpPr>
        <xdr:cNvPr id="35" name="Straight Connector 34">
          <a:extLst>
            <a:ext uri="{FF2B5EF4-FFF2-40B4-BE49-F238E27FC236}">
              <a16:creationId xmlns:a16="http://schemas.microsoft.com/office/drawing/2014/main" id="{00000000-0008-0000-0F00-000023000000}"/>
            </a:ext>
          </a:extLst>
        </xdr:cNvPr>
        <xdr:cNvCxnSpPr/>
      </xdr:nvCxnSpPr>
      <xdr:spPr>
        <a:xfrm flipV="1">
          <a:off x="5486400" y="2000474"/>
          <a:ext cx="1225603" cy="358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601980</xdr:colOff>
      <xdr:row>16</xdr:row>
      <xdr:rowOff>4034</xdr:rowOff>
    </xdr:from>
    <xdr:to>
      <xdr:col>8</xdr:col>
      <xdr:colOff>608383</xdr:colOff>
      <xdr:row>16</xdr:row>
      <xdr:rowOff>7620</xdr:rowOff>
    </xdr:to>
    <xdr:cxnSp macro="">
      <xdr:nvCxnSpPr>
        <xdr:cNvPr id="36" name="Straight Connector 35">
          <a:extLst>
            <a:ext uri="{FF2B5EF4-FFF2-40B4-BE49-F238E27FC236}">
              <a16:creationId xmlns:a16="http://schemas.microsoft.com/office/drawing/2014/main" id="{00000000-0008-0000-0F00-000024000000}"/>
            </a:ext>
          </a:extLst>
        </xdr:cNvPr>
        <xdr:cNvCxnSpPr/>
      </xdr:nvCxnSpPr>
      <xdr:spPr>
        <a:xfrm flipV="1">
          <a:off x="5478780" y="918434"/>
          <a:ext cx="1225603" cy="358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22861</xdr:colOff>
      <xdr:row>15</xdr:row>
      <xdr:rowOff>144780</xdr:rowOff>
    </xdr:from>
    <xdr:to>
      <xdr:col>9</xdr:col>
      <xdr:colOff>104923</xdr:colOff>
      <xdr:row>16</xdr:row>
      <xdr:rowOff>86165</xdr:rowOff>
    </xdr:to>
    <xdr:sp macro="" textlink="">
      <xdr:nvSpPr>
        <xdr:cNvPr id="37" name="Isosceles Triangle 36">
          <a:extLst>
            <a:ext uri="{FF2B5EF4-FFF2-40B4-BE49-F238E27FC236}">
              <a16:creationId xmlns:a16="http://schemas.microsoft.com/office/drawing/2014/main" id="{00000000-0008-0000-0F00-000025000000}"/>
            </a:ext>
          </a:extLst>
        </xdr:cNvPr>
        <xdr:cNvSpPr/>
      </xdr:nvSpPr>
      <xdr:spPr>
        <a:xfrm rot="16200000">
          <a:off x="6707359" y="897402"/>
          <a:ext cx="124265" cy="82062"/>
        </a:xfrm>
        <a:prstGeom prst="triangle">
          <a:avLst/>
        </a:prstGeom>
        <a:solidFill>
          <a:srgbClr val="4472C4"/>
        </a:solidFill>
        <a:ln w="12700" cap="flat" cmpd="sng" algn="ctr">
          <a:solidFill>
            <a:srgbClr val="4472C4">
              <a:shade val="50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ZA" sz="1100" b="0" i="0" u="none" strike="noStrike" kern="0" cap="none" spc="0" normalizeH="0" baseline="0" noProof="0">
            <a:ln>
              <a:noFill/>
            </a:ln>
            <a:solidFill>
              <a:sysClr val="window" lastClr="FFFFFF"/>
            </a:solidFill>
            <a:effectLst/>
            <a:uLnTx/>
            <a:uFillTx/>
            <a:latin typeface="Calibri" panose="020F0502020204030204"/>
            <a:ea typeface="+mn-ea"/>
            <a:cs typeface="+mn-cs"/>
          </a:endParaRPr>
        </a:p>
      </xdr:txBody>
    </xdr:sp>
    <xdr:clientData/>
  </xdr:twoCellAnchor>
  <xdr:twoCellAnchor>
    <xdr:from>
      <xdr:col>9</xdr:col>
      <xdr:colOff>22861</xdr:colOff>
      <xdr:row>21</xdr:row>
      <xdr:rowOff>99060</xdr:rowOff>
    </xdr:from>
    <xdr:to>
      <xdr:col>9</xdr:col>
      <xdr:colOff>104923</xdr:colOff>
      <xdr:row>22</xdr:row>
      <xdr:rowOff>40445</xdr:rowOff>
    </xdr:to>
    <xdr:sp macro="" textlink="">
      <xdr:nvSpPr>
        <xdr:cNvPr id="38" name="Isosceles Triangle 37">
          <a:extLst>
            <a:ext uri="{FF2B5EF4-FFF2-40B4-BE49-F238E27FC236}">
              <a16:creationId xmlns:a16="http://schemas.microsoft.com/office/drawing/2014/main" id="{00000000-0008-0000-0F00-000026000000}"/>
            </a:ext>
          </a:extLst>
        </xdr:cNvPr>
        <xdr:cNvSpPr/>
      </xdr:nvSpPr>
      <xdr:spPr>
        <a:xfrm rot="16200000">
          <a:off x="6707359" y="1948962"/>
          <a:ext cx="124265" cy="82062"/>
        </a:xfrm>
        <a:prstGeom prst="triangle">
          <a:avLst/>
        </a:prstGeom>
        <a:solidFill>
          <a:srgbClr val="4472C4"/>
        </a:solidFill>
        <a:ln w="12700" cap="flat" cmpd="sng" algn="ctr">
          <a:solidFill>
            <a:srgbClr val="4472C4">
              <a:shade val="50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ZA" sz="1100" b="0" i="0" u="none" strike="noStrike" kern="0" cap="none" spc="0" normalizeH="0" baseline="0" noProof="0">
            <a:ln>
              <a:noFill/>
            </a:ln>
            <a:solidFill>
              <a:sysClr val="window" lastClr="FFFFFF"/>
            </a:solidFill>
            <a:effectLst/>
            <a:uLnTx/>
            <a:uFillTx/>
            <a:latin typeface="Calibri" panose="020F0502020204030204"/>
            <a:ea typeface="+mn-ea"/>
            <a:cs typeface="+mn-cs"/>
          </a:endParaRPr>
        </a:p>
      </xdr:txBody>
    </xdr:sp>
    <xdr:clientData/>
  </xdr:twoCellAnchor>
  <xdr:twoCellAnchor>
    <xdr:from>
      <xdr:col>7</xdr:col>
      <xdr:colOff>5255</xdr:colOff>
      <xdr:row>22</xdr:row>
      <xdr:rowOff>171269</xdr:rowOff>
    </xdr:from>
    <xdr:to>
      <xdr:col>7</xdr:col>
      <xdr:colOff>7257</xdr:colOff>
      <xdr:row>28</xdr:row>
      <xdr:rowOff>170143</xdr:rowOff>
    </xdr:to>
    <xdr:cxnSp macro="">
      <xdr:nvCxnSpPr>
        <xdr:cNvPr id="39" name="Straight Connector 38">
          <a:extLst>
            <a:ext uri="{FF2B5EF4-FFF2-40B4-BE49-F238E27FC236}">
              <a16:creationId xmlns:a16="http://schemas.microsoft.com/office/drawing/2014/main" id="{00000000-0008-0000-0F00-000027000000}"/>
            </a:ext>
          </a:extLst>
        </xdr:cNvPr>
        <xdr:cNvCxnSpPr/>
      </xdr:nvCxnSpPr>
      <xdr:spPr>
        <a:xfrm flipH="1">
          <a:off x="5491655" y="902789"/>
          <a:ext cx="2002" cy="109615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554946</xdr:colOff>
      <xdr:row>25</xdr:row>
      <xdr:rowOff>121921</xdr:rowOff>
    </xdr:from>
    <xdr:to>
      <xdr:col>7</xdr:col>
      <xdr:colOff>74886</xdr:colOff>
      <xdr:row>26</xdr:row>
      <xdr:rowOff>68580</xdr:rowOff>
    </xdr:to>
    <xdr:sp macro="" textlink="">
      <xdr:nvSpPr>
        <xdr:cNvPr id="40" name="Flowchart: Connector 39">
          <a:extLst>
            <a:ext uri="{FF2B5EF4-FFF2-40B4-BE49-F238E27FC236}">
              <a16:creationId xmlns:a16="http://schemas.microsoft.com/office/drawing/2014/main" id="{00000000-0008-0000-0F00-000028000000}"/>
            </a:ext>
          </a:extLst>
        </xdr:cNvPr>
        <xdr:cNvSpPr/>
      </xdr:nvSpPr>
      <xdr:spPr>
        <a:xfrm>
          <a:off x="5431746" y="1402081"/>
          <a:ext cx="129540" cy="129539"/>
        </a:xfrm>
        <a:prstGeom prst="flowChartConnector">
          <a:avLst/>
        </a:prstGeom>
        <a:solidFill>
          <a:srgbClr val="4472C4"/>
        </a:solidFill>
        <a:ln w="12700" cap="flat" cmpd="sng" algn="ctr">
          <a:solidFill>
            <a:srgbClr val="4472C4">
              <a:shade val="50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ZA" sz="1100" b="0" i="0" u="none" strike="noStrike" kern="0" cap="none" spc="0" normalizeH="0" baseline="0" noProof="0">
            <a:ln>
              <a:noFill/>
            </a:ln>
            <a:solidFill>
              <a:sysClr val="window" lastClr="FFFFFF"/>
            </a:solidFill>
            <a:effectLst/>
            <a:uLnTx/>
            <a:uFillTx/>
            <a:latin typeface="Calibri" panose="020F0502020204030204"/>
            <a:ea typeface="+mn-ea"/>
            <a:cs typeface="+mn-cs"/>
          </a:endParaRPr>
        </a:p>
      </xdr:txBody>
    </xdr:sp>
    <xdr:clientData/>
  </xdr:twoCellAnchor>
  <xdr:twoCellAnchor>
    <xdr:from>
      <xdr:col>7</xdr:col>
      <xdr:colOff>0</xdr:colOff>
      <xdr:row>28</xdr:row>
      <xdr:rowOff>171674</xdr:rowOff>
    </xdr:from>
    <xdr:to>
      <xdr:col>9</xdr:col>
      <xdr:colOff>6403</xdr:colOff>
      <xdr:row>28</xdr:row>
      <xdr:rowOff>175260</xdr:rowOff>
    </xdr:to>
    <xdr:cxnSp macro="">
      <xdr:nvCxnSpPr>
        <xdr:cNvPr id="41" name="Straight Connector 40">
          <a:extLst>
            <a:ext uri="{FF2B5EF4-FFF2-40B4-BE49-F238E27FC236}">
              <a16:creationId xmlns:a16="http://schemas.microsoft.com/office/drawing/2014/main" id="{00000000-0008-0000-0F00-000029000000}"/>
            </a:ext>
          </a:extLst>
        </xdr:cNvPr>
        <xdr:cNvCxnSpPr/>
      </xdr:nvCxnSpPr>
      <xdr:spPr>
        <a:xfrm flipV="1">
          <a:off x="5486400" y="2000474"/>
          <a:ext cx="1225603" cy="358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601980</xdr:colOff>
      <xdr:row>23</xdr:row>
      <xdr:rowOff>4034</xdr:rowOff>
    </xdr:from>
    <xdr:to>
      <xdr:col>8</xdr:col>
      <xdr:colOff>608383</xdr:colOff>
      <xdr:row>23</xdr:row>
      <xdr:rowOff>7620</xdr:rowOff>
    </xdr:to>
    <xdr:cxnSp macro="">
      <xdr:nvCxnSpPr>
        <xdr:cNvPr id="42" name="Straight Connector 41">
          <a:extLst>
            <a:ext uri="{FF2B5EF4-FFF2-40B4-BE49-F238E27FC236}">
              <a16:creationId xmlns:a16="http://schemas.microsoft.com/office/drawing/2014/main" id="{00000000-0008-0000-0F00-00002A000000}"/>
            </a:ext>
          </a:extLst>
        </xdr:cNvPr>
        <xdr:cNvCxnSpPr/>
      </xdr:nvCxnSpPr>
      <xdr:spPr>
        <a:xfrm flipV="1">
          <a:off x="5478780" y="918434"/>
          <a:ext cx="1225603" cy="358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22861</xdr:colOff>
      <xdr:row>22</xdr:row>
      <xdr:rowOff>144780</xdr:rowOff>
    </xdr:from>
    <xdr:to>
      <xdr:col>9</xdr:col>
      <xdr:colOff>104923</xdr:colOff>
      <xdr:row>23</xdr:row>
      <xdr:rowOff>86165</xdr:rowOff>
    </xdr:to>
    <xdr:sp macro="" textlink="">
      <xdr:nvSpPr>
        <xdr:cNvPr id="43" name="Isosceles Triangle 42">
          <a:extLst>
            <a:ext uri="{FF2B5EF4-FFF2-40B4-BE49-F238E27FC236}">
              <a16:creationId xmlns:a16="http://schemas.microsoft.com/office/drawing/2014/main" id="{00000000-0008-0000-0F00-00002B000000}"/>
            </a:ext>
          </a:extLst>
        </xdr:cNvPr>
        <xdr:cNvSpPr/>
      </xdr:nvSpPr>
      <xdr:spPr>
        <a:xfrm rot="16200000">
          <a:off x="6707359" y="897402"/>
          <a:ext cx="124265" cy="82062"/>
        </a:xfrm>
        <a:prstGeom prst="triangle">
          <a:avLst/>
        </a:prstGeom>
        <a:solidFill>
          <a:srgbClr val="4472C4"/>
        </a:solidFill>
        <a:ln w="12700" cap="flat" cmpd="sng" algn="ctr">
          <a:solidFill>
            <a:srgbClr val="4472C4">
              <a:shade val="50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ZA" sz="1100" b="0" i="0" u="none" strike="noStrike" kern="0" cap="none" spc="0" normalizeH="0" baseline="0" noProof="0">
            <a:ln>
              <a:noFill/>
            </a:ln>
            <a:solidFill>
              <a:sysClr val="window" lastClr="FFFFFF"/>
            </a:solidFill>
            <a:effectLst/>
            <a:uLnTx/>
            <a:uFillTx/>
            <a:latin typeface="Calibri" panose="020F0502020204030204"/>
            <a:ea typeface="+mn-ea"/>
            <a:cs typeface="+mn-cs"/>
          </a:endParaRPr>
        </a:p>
      </xdr:txBody>
    </xdr:sp>
    <xdr:clientData/>
  </xdr:twoCellAnchor>
  <xdr:twoCellAnchor>
    <xdr:from>
      <xdr:col>9</xdr:col>
      <xdr:colOff>22861</xdr:colOff>
      <xdr:row>28</xdr:row>
      <xdr:rowOff>99060</xdr:rowOff>
    </xdr:from>
    <xdr:to>
      <xdr:col>9</xdr:col>
      <xdr:colOff>104923</xdr:colOff>
      <xdr:row>29</xdr:row>
      <xdr:rowOff>40445</xdr:rowOff>
    </xdr:to>
    <xdr:sp macro="" textlink="">
      <xdr:nvSpPr>
        <xdr:cNvPr id="44" name="Isosceles Triangle 43">
          <a:extLst>
            <a:ext uri="{FF2B5EF4-FFF2-40B4-BE49-F238E27FC236}">
              <a16:creationId xmlns:a16="http://schemas.microsoft.com/office/drawing/2014/main" id="{00000000-0008-0000-0F00-00002C000000}"/>
            </a:ext>
          </a:extLst>
        </xdr:cNvPr>
        <xdr:cNvSpPr/>
      </xdr:nvSpPr>
      <xdr:spPr>
        <a:xfrm rot="16200000">
          <a:off x="6707359" y="1948962"/>
          <a:ext cx="124265" cy="82062"/>
        </a:xfrm>
        <a:prstGeom prst="triangle">
          <a:avLst/>
        </a:prstGeom>
        <a:solidFill>
          <a:srgbClr val="4472C4"/>
        </a:solidFill>
        <a:ln w="12700" cap="flat" cmpd="sng" algn="ctr">
          <a:solidFill>
            <a:srgbClr val="4472C4">
              <a:shade val="50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ZA" sz="1100" b="0" i="0" u="none" strike="noStrike" kern="0" cap="none" spc="0" normalizeH="0" baseline="0" noProof="0">
            <a:ln>
              <a:noFill/>
            </a:ln>
            <a:solidFill>
              <a:sysClr val="window" lastClr="FFFFFF"/>
            </a:solidFill>
            <a:effectLst/>
            <a:uLnTx/>
            <a:uFillTx/>
            <a:latin typeface="Calibri" panose="020F0502020204030204"/>
            <a:ea typeface="+mn-ea"/>
            <a:cs typeface="+mn-cs"/>
          </a:endParaRPr>
        </a:p>
      </xdr:txBody>
    </xdr:sp>
    <xdr:clientData/>
  </xdr:twoCellAnchor>
  <xdr:twoCellAnchor>
    <xdr:from>
      <xdr:col>4</xdr:col>
      <xdr:colOff>601980</xdr:colOff>
      <xdr:row>25</xdr:row>
      <xdr:rowOff>179470</xdr:rowOff>
    </xdr:from>
    <xdr:to>
      <xdr:col>6</xdr:col>
      <xdr:colOff>579162</xdr:colOff>
      <xdr:row>26</xdr:row>
      <xdr:rowOff>0</xdr:rowOff>
    </xdr:to>
    <xdr:cxnSp macro="">
      <xdr:nvCxnSpPr>
        <xdr:cNvPr id="45" name="Straight Connector 44">
          <a:extLst>
            <a:ext uri="{FF2B5EF4-FFF2-40B4-BE49-F238E27FC236}">
              <a16:creationId xmlns:a16="http://schemas.microsoft.com/office/drawing/2014/main" id="{00000000-0008-0000-0F00-00002D000000}"/>
            </a:ext>
          </a:extLst>
        </xdr:cNvPr>
        <xdr:cNvCxnSpPr/>
      </xdr:nvCxnSpPr>
      <xdr:spPr>
        <a:xfrm flipV="1">
          <a:off x="4259580" y="4751470"/>
          <a:ext cx="1196382" cy="341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264885</xdr:colOff>
      <xdr:row>65</xdr:row>
      <xdr:rowOff>72571</xdr:rowOff>
    </xdr:from>
    <xdr:to>
      <xdr:col>2</xdr:col>
      <xdr:colOff>286656</xdr:colOff>
      <xdr:row>66</xdr:row>
      <xdr:rowOff>76200</xdr:rowOff>
    </xdr:to>
    <xdr:sp macro="" textlink="">
      <xdr:nvSpPr>
        <xdr:cNvPr id="2" name="Rectangle 1">
          <a:extLst>
            <a:ext uri="{FF2B5EF4-FFF2-40B4-BE49-F238E27FC236}">
              <a16:creationId xmlns:a16="http://schemas.microsoft.com/office/drawing/2014/main" id="{00000000-0008-0000-1000-000002000000}"/>
            </a:ext>
          </a:extLst>
        </xdr:cNvPr>
        <xdr:cNvSpPr/>
      </xdr:nvSpPr>
      <xdr:spPr>
        <a:xfrm>
          <a:off x="874485" y="10562771"/>
          <a:ext cx="631371" cy="18142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97971</xdr:colOff>
      <xdr:row>61</xdr:row>
      <xdr:rowOff>65313</xdr:rowOff>
    </xdr:from>
    <xdr:to>
      <xdr:col>8</xdr:col>
      <xdr:colOff>261257</xdr:colOff>
      <xdr:row>63</xdr:row>
      <xdr:rowOff>32656</xdr:rowOff>
    </xdr:to>
    <xdr:sp macro="" textlink="">
      <xdr:nvSpPr>
        <xdr:cNvPr id="3" name="Rectangle: Rounded Corners 2">
          <a:extLst>
            <a:ext uri="{FF2B5EF4-FFF2-40B4-BE49-F238E27FC236}">
              <a16:creationId xmlns:a16="http://schemas.microsoft.com/office/drawing/2014/main" id="{00000000-0008-0000-1000-000003000000}"/>
            </a:ext>
          </a:extLst>
        </xdr:cNvPr>
        <xdr:cNvSpPr/>
      </xdr:nvSpPr>
      <xdr:spPr>
        <a:xfrm>
          <a:off x="4365171" y="8577942"/>
          <a:ext cx="772886" cy="337457"/>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No grant</a:t>
          </a:r>
        </a:p>
      </xdr:txBody>
    </xdr:sp>
    <xdr:clientData/>
  </xdr:twoCellAnchor>
  <xdr:twoCellAnchor>
    <xdr:from>
      <xdr:col>6</xdr:col>
      <xdr:colOff>326571</xdr:colOff>
      <xdr:row>34</xdr:row>
      <xdr:rowOff>43542</xdr:rowOff>
    </xdr:from>
    <xdr:to>
      <xdr:col>7</xdr:col>
      <xdr:colOff>566057</xdr:colOff>
      <xdr:row>37</xdr:row>
      <xdr:rowOff>0</xdr:rowOff>
    </xdr:to>
    <xdr:sp macro="" textlink="">
      <xdr:nvSpPr>
        <xdr:cNvPr id="4" name="Rectangle: Rounded Corners 3">
          <a:extLst>
            <a:ext uri="{FF2B5EF4-FFF2-40B4-BE49-F238E27FC236}">
              <a16:creationId xmlns:a16="http://schemas.microsoft.com/office/drawing/2014/main" id="{00000000-0008-0000-1000-000004000000}"/>
            </a:ext>
          </a:extLst>
        </xdr:cNvPr>
        <xdr:cNvSpPr/>
      </xdr:nvSpPr>
      <xdr:spPr>
        <a:xfrm>
          <a:off x="3984171" y="3559628"/>
          <a:ext cx="849086" cy="511629"/>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Received grant</a:t>
          </a:r>
        </a:p>
      </xdr:txBody>
    </xdr:sp>
    <xdr:clientData/>
  </xdr:twoCellAnchor>
  <xdr:twoCellAnchor>
    <xdr:from>
      <xdr:col>4</xdr:col>
      <xdr:colOff>468086</xdr:colOff>
      <xdr:row>43</xdr:row>
      <xdr:rowOff>0</xdr:rowOff>
    </xdr:from>
    <xdr:to>
      <xdr:col>5</xdr:col>
      <xdr:colOff>174171</xdr:colOff>
      <xdr:row>44</xdr:row>
      <xdr:rowOff>76200</xdr:rowOff>
    </xdr:to>
    <xdr:sp macro="" textlink="">
      <xdr:nvSpPr>
        <xdr:cNvPr id="5" name="Oval 4">
          <a:extLst>
            <a:ext uri="{FF2B5EF4-FFF2-40B4-BE49-F238E27FC236}">
              <a16:creationId xmlns:a16="http://schemas.microsoft.com/office/drawing/2014/main" id="{00000000-0008-0000-1000-000005000000}"/>
            </a:ext>
          </a:extLst>
        </xdr:cNvPr>
        <xdr:cNvSpPr/>
      </xdr:nvSpPr>
      <xdr:spPr>
        <a:xfrm>
          <a:off x="2906486" y="5181600"/>
          <a:ext cx="315685" cy="261257"/>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xdr:col>
      <xdr:colOff>613461</xdr:colOff>
      <xdr:row>43</xdr:row>
      <xdr:rowOff>130279</xdr:rowOff>
    </xdr:from>
    <xdr:to>
      <xdr:col>4</xdr:col>
      <xdr:colOff>468085</xdr:colOff>
      <xdr:row>46</xdr:row>
      <xdr:rowOff>7726</xdr:rowOff>
    </xdr:to>
    <xdr:cxnSp macro="">
      <xdr:nvCxnSpPr>
        <xdr:cNvPr id="7" name="Connector: Elbow 6">
          <a:extLst>
            <a:ext uri="{FF2B5EF4-FFF2-40B4-BE49-F238E27FC236}">
              <a16:creationId xmlns:a16="http://schemas.microsoft.com/office/drawing/2014/main" id="{00000000-0008-0000-1000-000007000000}"/>
            </a:ext>
          </a:extLst>
        </xdr:cNvPr>
        <xdr:cNvCxnSpPr>
          <a:stCxn id="832" idx="0"/>
          <a:endCxn id="5" idx="2"/>
        </xdr:cNvCxnSpPr>
      </xdr:nvCxnSpPr>
      <xdr:spPr>
        <a:xfrm rot="5400000" flipH="1" flipV="1">
          <a:off x="1861808" y="7423706"/>
          <a:ext cx="430512" cy="1698173"/>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16330</xdr:colOff>
      <xdr:row>35</xdr:row>
      <xdr:rowOff>114300</xdr:rowOff>
    </xdr:from>
    <xdr:to>
      <xdr:col>6</xdr:col>
      <xdr:colOff>326572</xdr:colOff>
      <xdr:row>43</xdr:row>
      <xdr:rowOff>0</xdr:rowOff>
    </xdr:to>
    <xdr:cxnSp macro="">
      <xdr:nvCxnSpPr>
        <xdr:cNvPr id="9" name="Connector: Elbow 8">
          <a:extLst>
            <a:ext uri="{FF2B5EF4-FFF2-40B4-BE49-F238E27FC236}">
              <a16:creationId xmlns:a16="http://schemas.microsoft.com/office/drawing/2014/main" id="{00000000-0008-0000-1000-000009000000}"/>
            </a:ext>
          </a:extLst>
        </xdr:cNvPr>
        <xdr:cNvCxnSpPr>
          <a:stCxn id="5" idx="0"/>
          <a:endCxn id="4" idx="1"/>
        </xdr:cNvCxnSpPr>
      </xdr:nvCxnSpPr>
      <xdr:spPr>
        <a:xfrm rot="5400000" flipH="1" flipV="1">
          <a:off x="2841172" y="4038601"/>
          <a:ext cx="1366157" cy="919842"/>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16329</xdr:colOff>
      <xdr:row>44</xdr:row>
      <xdr:rowOff>76200</xdr:rowOff>
    </xdr:from>
    <xdr:to>
      <xdr:col>7</xdr:col>
      <xdr:colOff>97971</xdr:colOff>
      <xdr:row>62</xdr:row>
      <xdr:rowOff>48985</xdr:rowOff>
    </xdr:to>
    <xdr:cxnSp macro="">
      <xdr:nvCxnSpPr>
        <xdr:cNvPr id="11" name="Connector: Elbow 10">
          <a:extLst>
            <a:ext uri="{FF2B5EF4-FFF2-40B4-BE49-F238E27FC236}">
              <a16:creationId xmlns:a16="http://schemas.microsoft.com/office/drawing/2014/main" id="{00000000-0008-0000-1000-00000B000000}"/>
            </a:ext>
          </a:extLst>
        </xdr:cNvPr>
        <xdr:cNvCxnSpPr>
          <a:stCxn id="5" idx="4"/>
          <a:endCxn id="3" idx="1"/>
        </xdr:cNvCxnSpPr>
      </xdr:nvCxnSpPr>
      <xdr:spPr>
        <a:xfrm rot="16200000" flipH="1">
          <a:off x="2062843" y="6444343"/>
          <a:ext cx="3303814" cy="1300842"/>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21772</xdr:colOff>
      <xdr:row>42</xdr:row>
      <xdr:rowOff>130629</xdr:rowOff>
    </xdr:from>
    <xdr:to>
      <xdr:col>12</xdr:col>
      <xdr:colOff>261258</xdr:colOff>
      <xdr:row>44</xdr:row>
      <xdr:rowOff>152401</xdr:rowOff>
    </xdr:to>
    <xdr:sp macro="" textlink="">
      <xdr:nvSpPr>
        <xdr:cNvPr id="13" name="Rectangle: Rounded Corners 12">
          <a:extLst>
            <a:ext uri="{FF2B5EF4-FFF2-40B4-BE49-F238E27FC236}">
              <a16:creationId xmlns:a16="http://schemas.microsoft.com/office/drawing/2014/main" id="{00000000-0008-0000-1000-00000D000000}"/>
            </a:ext>
          </a:extLst>
        </xdr:cNvPr>
        <xdr:cNvSpPr/>
      </xdr:nvSpPr>
      <xdr:spPr>
        <a:xfrm>
          <a:off x="6727372" y="5127172"/>
          <a:ext cx="849086" cy="391886"/>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No ANC</a:t>
          </a:r>
        </a:p>
      </xdr:txBody>
    </xdr:sp>
    <xdr:clientData/>
  </xdr:twoCellAnchor>
  <xdr:twoCellAnchor>
    <xdr:from>
      <xdr:col>10</xdr:col>
      <xdr:colOff>587827</xdr:colOff>
      <xdr:row>27</xdr:row>
      <xdr:rowOff>108857</xdr:rowOff>
    </xdr:from>
    <xdr:to>
      <xdr:col>12</xdr:col>
      <xdr:colOff>217713</xdr:colOff>
      <xdr:row>30</xdr:row>
      <xdr:rowOff>65315</xdr:rowOff>
    </xdr:to>
    <xdr:sp macro="" textlink="">
      <xdr:nvSpPr>
        <xdr:cNvPr id="14" name="Rectangle: Rounded Corners 13">
          <a:extLst>
            <a:ext uri="{FF2B5EF4-FFF2-40B4-BE49-F238E27FC236}">
              <a16:creationId xmlns:a16="http://schemas.microsoft.com/office/drawing/2014/main" id="{00000000-0008-0000-1000-00000E000000}"/>
            </a:ext>
          </a:extLst>
        </xdr:cNvPr>
        <xdr:cNvSpPr/>
      </xdr:nvSpPr>
      <xdr:spPr>
        <a:xfrm>
          <a:off x="6683827" y="4109357"/>
          <a:ext cx="849086" cy="527958"/>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ANC visit</a:t>
          </a:r>
        </a:p>
      </xdr:txBody>
    </xdr:sp>
    <xdr:clientData/>
  </xdr:twoCellAnchor>
  <xdr:twoCellAnchor>
    <xdr:from>
      <xdr:col>10</xdr:col>
      <xdr:colOff>595995</xdr:colOff>
      <xdr:row>67</xdr:row>
      <xdr:rowOff>89809</xdr:rowOff>
    </xdr:from>
    <xdr:to>
      <xdr:col>12</xdr:col>
      <xdr:colOff>225881</xdr:colOff>
      <xdr:row>69</xdr:row>
      <xdr:rowOff>111580</xdr:rowOff>
    </xdr:to>
    <xdr:sp macro="" textlink="">
      <xdr:nvSpPr>
        <xdr:cNvPr id="15" name="Rectangle: Rounded Corners 14">
          <a:extLst>
            <a:ext uri="{FF2B5EF4-FFF2-40B4-BE49-F238E27FC236}">
              <a16:creationId xmlns:a16="http://schemas.microsoft.com/office/drawing/2014/main" id="{00000000-0008-0000-1000-00000F000000}"/>
            </a:ext>
          </a:extLst>
        </xdr:cNvPr>
        <xdr:cNvSpPr/>
      </xdr:nvSpPr>
      <xdr:spPr>
        <a:xfrm>
          <a:off x="6691995" y="11710309"/>
          <a:ext cx="849086" cy="402771"/>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No ANC</a:t>
          </a:r>
        </a:p>
      </xdr:txBody>
    </xdr:sp>
    <xdr:clientData/>
  </xdr:twoCellAnchor>
  <xdr:twoCellAnchor>
    <xdr:from>
      <xdr:col>11</xdr:col>
      <xdr:colOff>16328</xdr:colOff>
      <xdr:row>54</xdr:row>
      <xdr:rowOff>152399</xdr:rowOff>
    </xdr:from>
    <xdr:to>
      <xdr:col>12</xdr:col>
      <xdr:colOff>255814</xdr:colOff>
      <xdr:row>57</xdr:row>
      <xdr:rowOff>108857</xdr:rowOff>
    </xdr:to>
    <xdr:sp macro="" textlink="">
      <xdr:nvSpPr>
        <xdr:cNvPr id="16" name="Rectangle: Rounded Corners 15">
          <a:extLst>
            <a:ext uri="{FF2B5EF4-FFF2-40B4-BE49-F238E27FC236}">
              <a16:creationId xmlns:a16="http://schemas.microsoft.com/office/drawing/2014/main" id="{00000000-0008-0000-1000-000010000000}"/>
            </a:ext>
          </a:extLst>
        </xdr:cNvPr>
        <xdr:cNvSpPr/>
      </xdr:nvSpPr>
      <xdr:spPr>
        <a:xfrm>
          <a:off x="6721928" y="9296399"/>
          <a:ext cx="849086" cy="527958"/>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ANC visit</a:t>
          </a:r>
        </a:p>
      </xdr:txBody>
    </xdr:sp>
    <xdr:clientData/>
  </xdr:twoCellAnchor>
  <xdr:twoCellAnchor>
    <xdr:from>
      <xdr:col>10</xdr:col>
      <xdr:colOff>5444</xdr:colOff>
      <xdr:row>28</xdr:row>
      <xdr:rowOff>182336</xdr:rowOff>
    </xdr:from>
    <xdr:to>
      <xdr:col>10</xdr:col>
      <xdr:colOff>587828</xdr:colOff>
      <xdr:row>34</xdr:row>
      <xdr:rowOff>168727</xdr:rowOff>
    </xdr:to>
    <xdr:cxnSp macro="">
      <xdr:nvCxnSpPr>
        <xdr:cNvPr id="18" name="Connector: Elbow 17">
          <a:extLst>
            <a:ext uri="{FF2B5EF4-FFF2-40B4-BE49-F238E27FC236}">
              <a16:creationId xmlns:a16="http://schemas.microsoft.com/office/drawing/2014/main" id="{00000000-0008-0000-1000-000012000000}"/>
            </a:ext>
          </a:extLst>
        </xdr:cNvPr>
        <xdr:cNvCxnSpPr>
          <a:stCxn id="30" idx="0"/>
          <a:endCxn id="14" idx="1"/>
        </xdr:cNvCxnSpPr>
      </xdr:nvCxnSpPr>
      <xdr:spPr>
        <a:xfrm rot="5400000" flipH="1" flipV="1">
          <a:off x="5827940" y="4646840"/>
          <a:ext cx="1129391" cy="582384"/>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5443</xdr:colOff>
      <xdr:row>36</xdr:row>
      <xdr:rowOff>59869</xdr:rowOff>
    </xdr:from>
    <xdr:to>
      <xdr:col>11</xdr:col>
      <xdr:colOff>21772</xdr:colOff>
      <xdr:row>43</xdr:row>
      <xdr:rowOff>141514</xdr:rowOff>
    </xdr:to>
    <xdr:cxnSp macro="">
      <xdr:nvCxnSpPr>
        <xdr:cNvPr id="20" name="Connector: Elbow 19">
          <a:extLst>
            <a:ext uri="{FF2B5EF4-FFF2-40B4-BE49-F238E27FC236}">
              <a16:creationId xmlns:a16="http://schemas.microsoft.com/office/drawing/2014/main" id="{00000000-0008-0000-1000-000014000000}"/>
            </a:ext>
          </a:extLst>
        </xdr:cNvPr>
        <xdr:cNvCxnSpPr>
          <a:stCxn id="30" idx="4"/>
          <a:endCxn id="13" idx="1"/>
        </xdr:cNvCxnSpPr>
      </xdr:nvCxnSpPr>
      <xdr:spPr>
        <a:xfrm rot="16200000" flipH="1">
          <a:off x="5706835" y="6169477"/>
          <a:ext cx="1415145" cy="625929"/>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62595</xdr:colOff>
      <xdr:row>56</xdr:row>
      <xdr:rowOff>35378</xdr:rowOff>
    </xdr:from>
    <xdr:to>
      <xdr:col>11</xdr:col>
      <xdr:colOff>16329</xdr:colOff>
      <xdr:row>61</xdr:row>
      <xdr:rowOff>92529</xdr:rowOff>
    </xdr:to>
    <xdr:cxnSp macro="">
      <xdr:nvCxnSpPr>
        <xdr:cNvPr id="24" name="Connector: Elbow 23">
          <a:extLst>
            <a:ext uri="{FF2B5EF4-FFF2-40B4-BE49-F238E27FC236}">
              <a16:creationId xmlns:a16="http://schemas.microsoft.com/office/drawing/2014/main" id="{00000000-0008-0000-1000-000018000000}"/>
            </a:ext>
          </a:extLst>
        </xdr:cNvPr>
        <xdr:cNvCxnSpPr>
          <a:stCxn id="31" idx="0"/>
          <a:endCxn id="16" idx="1"/>
        </xdr:cNvCxnSpPr>
      </xdr:nvCxnSpPr>
      <xdr:spPr>
        <a:xfrm rot="5400000" flipH="1" flipV="1">
          <a:off x="5935436" y="9783537"/>
          <a:ext cx="1009651" cy="563334"/>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62594</xdr:colOff>
      <xdr:row>62</xdr:row>
      <xdr:rowOff>174171</xdr:rowOff>
    </xdr:from>
    <xdr:to>
      <xdr:col>10</xdr:col>
      <xdr:colOff>595995</xdr:colOff>
      <xdr:row>68</xdr:row>
      <xdr:rowOff>100694</xdr:rowOff>
    </xdr:to>
    <xdr:cxnSp macro="">
      <xdr:nvCxnSpPr>
        <xdr:cNvPr id="26" name="Connector: Elbow 25">
          <a:extLst>
            <a:ext uri="{FF2B5EF4-FFF2-40B4-BE49-F238E27FC236}">
              <a16:creationId xmlns:a16="http://schemas.microsoft.com/office/drawing/2014/main" id="{00000000-0008-0000-1000-00001A000000}"/>
            </a:ext>
          </a:extLst>
        </xdr:cNvPr>
        <xdr:cNvCxnSpPr>
          <a:stCxn id="31" idx="4"/>
          <a:endCxn id="15" idx="1"/>
        </xdr:cNvCxnSpPr>
      </xdr:nvCxnSpPr>
      <xdr:spPr>
        <a:xfrm rot="16200000" flipH="1">
          <a:off x="5890533" y="11110232"/>
          <a:ext cx="1069523" cy="533401"/>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593798</xdr:colOff>
      <xdr:row>83</xdr:row>
      <xdr:rowOff>55130</xdr:rowOff>
    </xdr:from>
    <xdr:to>
      <xdr:col>9</xdr:col>
      <xdr:colOff>326573</xdr:colOff>
      <xdr:row>90</xdr:row>
      <xdr:rowOff>11236</xdr:rowOff>
    </xdr:to>
    <xdr:cxnSp macro="">
      <xdr:nvCxnSpPr>
        <xdr:cNvPr id="29" name="Connector: Elbow 28">
          <a:extLst>
            <a:ext uri="{FF2B5EF4-FFF2-40B4-BE49-F238E27FC236}">
              <a16:creationId xmlns:a16="http://schemas.microsoft.com/office/drawing/2014/main" id="{00000000-0008-0000-1000-00001D000000}"/>
            </a:ext>
          </a:extLst>
        </xdr:cNvPr>
        <xdr:cNvCxnSpPr>
          <a:cxnSpLocks/>
          <a:stCxn id="837" idx="2"/>
          <a:endCxn id="44" idx="2"/>
        </xdr:cNvCxnSpPr>
      </xdr:nvCxnSpPr>
      <xdr:spPr>
        <a:xfrm rot="16200000" flipH="1">
          <a:off x="2909471" y="13655425"/>
          <a:ext cx="1246589" cy="4648904"/>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457200</xdr:colOff>
      <xdr:row>34</xdr:row>
      <xdr:rowOff>168727</xdr:rowOff>
    </xdr:from>
    <xdr:to>
      <xdr:col>10</xdr:col>
      <xdr:colOff>163285</xdr:colOff>
      <xdr:row>36</xdr:row>
      <xdr:rowOff>59870</xdr:rowOff>
    </xdr:to>
    <xdr:sp macro="" textlink="">
      <xdr:nvSpPr>
        <xdr:cNvPr id="30" name="Oval 29">
          <a:extLst>
            <a:ext uri="{FF2B5EF4-FFF2-40B4-BE49-F238E27FC236}">
              <a16:creationId xmlns:a16="http://schemas.microsoft.com/office/drawing/2014/main" id="{00000000-0008-0000-1000-00001E000000}"/>
            </a:ext>
          </a:extLst>
        </xdr:cNvPr>
        <xdr:cNvSpPr/>
      </xdr:nvSpPr>
      <xdr:spPr>
        <a:xfrm>
          <a:off x="5943600" y="5502727"/>
          <a:ext cx="315685" cy="272143"/>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9</xdr:col>
      <xdr:colOff>514351</xdr:colOff>
      <xdr:row>61</xdr:row>
      <xdr:rowOff>92529</xdr:rowOff>
    </xdr:from>
    <xdr:to>
      <xdr:col>10</xdr:col>
      <xdr:colOff>220436</xdr:colOff>
      <xdr:row>62</xdr:row>
      <xdr:rowOff>174172</xdr:rowOff>
    </xdr:to>
    <xdr:sp macro="" textlink="">
      <xdr:nvSpPr>
        <xdr:cNvPr id="31" name="Oval 30">
          <a:extLst>
            <a:ext uri="{FF2B5EF4-FFF2-40B4-BE49-F238E27FC236}">
              <a16:creationId xmlns:a16="http://schemas.microsoft.com/office/drawing/2014/main" id="{00000000-0008-0000-1000-00001F000000}"/>
            </a:ext>
          </a:extLst>
        </xdr:cNvPr>
        <xdr:cNvSpPr/>
      </xdr:nvSpPr>
      <xdr:spPr>
        <a:xfrm>
          <a:off x="6000751" y="10570029"/>
          <a:ext cx="315685" cy="272143"/>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11</xdr:col>
      <xdr:colOff>160565</xdr:colOff>
      <xdr:row>102</xdr:row>
      <xdr:rowOff>125187</xdr:rowOff>
    </xdr:from>
    <xdr:to>
      <xdr:col>12</xdr:col>
      <xdr:colOff>400051</xdr:colOff>
      <xdr:row>104</xdr:row>
      <xdr:rowOff>146958</xdr:rowOff>
    </xdr:to>
    <xdr:sp macro="" textlink="">
      <xdr:nvSpPr>
        <xdr:cNvPr id="36" name="Rectangle: Rounded Corners 35">
          <a:extLst>
            <a:ext uri="{FF2B5EF4-FFF2-40B4-BE49-F238E27FC236}">
              <a16:creationId xmlns:a16="http://schemas.microsoft.com/office/drawing/2014/main" id="{00000000-0008-0000-1000-000024000000}"/>
            </a:ext>
          </a:extLst>
        </xdr:cNvPr>
        <xdr:cNvSpPr/>
      </xdr:nvSpPr>
      <xdr:spPr>
        <a:xfrm>
          <a:off x="6866165" y="18413187"/>
          <a:ext cx="849086" cy="402771"/>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No ANC</a:t>
          </a:r>
        </a:p>
      </xdr:txBody>
    </xdr:sp>
    <xdr:clientData/>
  </xdr:twoCellAnchor>
  <xdr:twoCellAnchor>
    <xdr:from>
      <xdr:col>11</xdr:col>
      <xdr:colOff>21771</xdr:colOff>
      <xdr:row>80</xdr:row>
      <xdr:rowOff>95250</xdr:rowOff>
    </xdr:from>
    <xdr:to>
      <xdr:col>12</xdr:col>
      <xdr:colOff>261257</xdr:colOff>
      <xdr:row>83</xdr:row>
      <xdr:rowOff>46264</xdr:rowOff>
    </xdr:to>
    <xdr:sp macro="" textlink="">
      <xdr:nvSpPr>
        <xdr:cNvPr id="37" name="Rectangle: Rounded Corners 36">
          <a:extLst>
            <a:ext uri="{FF2B5EF4-FFF2-40B4-BE49-F238E27FC236}">
              <a16:creationId xmlns:a16="http://schemas.microsoft.com/office/drawing/2014/main" id="{00000000-0008-0000-1000-000025000000}"/>
            </a:ext>
          </a:extLst>
        </xdr:cNvPr>
        <xdr:cNvSpPr/>
      </xdr:nvSpPr>
      <xdr:spPr>
        <a:xfrm>
          <a:off x="6727371" y="15335250"/>
          <a:ext cx="849086" cy="522514"/>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ANC visit</a:t>
          </a:r>
        </a:p>
      </xdr:txBody>
    </xdr:sp>
    <xdr:clientData/>
  </xdr:twoCellAnchor>
  <xdr:twoCellAnchor>
    <xdr:from>
      <xdr:col>9</xdr:col>
      <xdr:colOff>484415</xdr:colOff>
      <xdr:row>81</xdr:row>
      <xdr:rowOff>166007</xdr:rowOff>
    </xdr:from>
    <xdr:to>
      <xdr:col>11</xdr:col>
      <xdr:colOff>21771</xdr:colOff>
      <xdr:row>89</xdr:row>
      <xdr:rowOff>65313</xdr:rowOff>
    </xdr:to>
    <xdr:cxnSp macro="">
      <xdr:nvCxnSpPr>
        <xdr:cNvPr id="40" name="Connector: Elbow 39">
          <a:extLst>
            <a:ext uri="{FF2B5EF4-FFF2-40B4-BE49-F238E27FC236}">
              <a16:creationId xmlns:a16="http://schemas.microsoft.com/office/drawing/2014/main" id="{00000000-0008-0000-1000-000028000000}"/>
            </a:ext>
          </a:extLst>
        </xdr:cNvPr>
        <xdr:cNvCxnSpPr>
          <a:stCxn id="44" idx="0"/>
          <a:endCxn id="37" idx="1"/>
        </xdr:cNvCxnSpPr>
      </xdr:nvCxnSpPr>
      <xdr:spPr>
        <a:xfrm rot="5400000" flipH="1" flipV="1">
          <a:off x="5637440" y="15929882"/>
          <a:ext cx="1423306" cy="756556"/>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484416</xdr:colOff>
      <xdr:row>90</xdr:row>
      <xdr:rowOff>141513</xdr:rowOff>
    </xdr:from>
    <xdr:to>
      <xdr:col>11</xdr:col>
      <xdr:colOff>160566</xdr:colOff>
      <xdr:row>103</xdr:row>
      <xdr:rowOff>136072</xdr:rowOff>
    </xdr:to>
    <xdr:cxnSp macro="">
      <xdr:nvCxnSpPr>
        <xdr:cNvPr id="41" name="Connector: Elbow 40">
          <a:extLst>
            <a:ext uri="{FF2B5EF4-FFF2-40B4-BE49-F238E27FC236}">
              <a16:creationId xmlns:a16="http://schemas.microsoft.com/office/drawing/2014/main" id="{00000000-0008-0000-1000-000029000000}"/>
            </a:ext>
          </a:extLst>
        </xdr:cNvPr>
        <xdr:cNvCxnSpPr>
          <a:stCxn id="44" idx="4"/>
          <a:endCxn id="36" idx="1"/>
        </xdr:cNvCxnSpPr>
      </xdr:nvCxnSpPr>
      <xdr:spPr>
        <a:xfrm rot="16200000" flipH="1">
          <a:off x="5182961" y="16931368"/>
          <a:ext cx="2471059" cy="895350"/>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566057</xdr:colOff>
      <xdr:row>35</xdr:row>
      <xdr:rowOff>114299</xdr:rowOff>
    </xdr:from>
    <xdr:to>
      <xdr:col>9</xdr:col>
      <xdr:colOff>457200</xdr:colOff>
      <xdr:row>35</xdr:row>
      <xdr:rowOff>117021</xdr:rowOff>
    </xdr:to>
    <xdr:cxnSp macro="">
      <xdr:nvCxnSpPr>
        <xdr:cNvPr id="43" name="Connector: Elbow 42">
          <a:extLst>
            <a:ext uri="{FF2B5EF4-FFF2-40B4-BE49-F238E27FC236}">
              <a16:creationId xmlns:a16="http://schemas.microsoft.com/office/drawing/2014/main" id="{00000000-0008-0000-1000-00002B000000}"/>
            </a:ext>
          </a:extLst>
        </xdr:cNvPr>
        <xdr:cNvCxnSpPr>
          <a:cxnSpLocks/>
          <a:stCxn id="4" idx="3"/>
          <a:endCxn id="30" idx="2"/>
        </xdr:cNvCxnSpPr>
      </xdr:nvCxnSpPr>
      <xdr:spPr>
        <a:xfrm flipV="1">
          <a:off x="4833257" y="5638799"/>
          <a:ext cx="1110343" cy="2722"/>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326572</xdr:colOff>
      <xdr:row>89</xdr:row>
      <xdr:rowOff>65313</xdr:rowOff>
    </xdr:from>
    <xdr:to>
      <xdr:col>10</xdr:col>
      <xdr:colOff>32657</xdr:colOff>
      <xdr:row>90</xdr:row>
      <xdr:rowOff>141514</xdr:rowOff>
    </xdr:to>
    <xdr:sp macro="" textlink="">
      <xdr:nvSpPr>
        <xdr:cNvPr id="44" name="Oval 43">
          <a:extLst>
            <a:ext uri="{FF2B5EF4-FFF2-40B4-BE49-F238E27FC236}">
              <a16:creationId xmlns:a16="http://schemas.microsoft.com/office/drawing/2014/main" id="{00000000-0008-0000-1000-00002C000000}"/>
            </a:ext>
          </a:extLst>
        </xdr:cNvPr>
        <xdr:cNvSpPr/>
      </xdr:nvSpPr>
      <xdr:spPr>
        <a:xfrm>
          <a:off x="5812972" y="13759542"/>
          <a:ext cx="315685" cy="261258"/>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8</xdr:col>
      <xdr:colOff>261257</xdr:colOff>
      <xdr:row>62</xdr:row>
      <xdr:rowOff>38101</xdr:rowOff>
    </xdr:from>
    <xdr:to>
      <xdr:col>9</xdr:col>
      <xdr:colOff>514351</xdr:colOff>
      <xdr:row>62</xdr:row>
      <xdr:rowOff>48985</xdr:rowOff>
    </xdr:to>
    <xdr:cxnSp macro="">
      <xdr:nvCxnSpPr>
        <xdr:cNvPr id="48" name="Connector: Elbow 47">
          <a:extLst>
            <a:ext uri="{FF2B5EF4-FFF2-40B4-BE49-F238E27FC236}">
              <a16:creationId xmlns:a16="http://schemas.microsoft.com/office/drawing/2014/main" id="{00000000-0008-0000-1000-000030000000}"/>
            </a:ext>
          </a:extLst>
        </xdr:cNvPr>
        <xdr:cNvCxnSpPr>
          <a:cxnSpLocks/>
          <a:stCxn id="3" idx="3"/>
          <a:endCxn id="31" idx="2"/>
        </xdr:cNvCxnSpPr>
      </xdr:nvCxnSpPr>
      <xdr:spPr>
        <a:xfrm flipV="1">
          <a:off x="5138057" y="10706101"/>
          <a:ext cx="862694" cy="10884"/>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560614</xdr:colOff>
      <xdr:row>22</xdr:row>
      <xdr:rowOff>100693</xdr:rowOff>
    </xdr:from>
    <xdr:to>
      <xdr:col>15</xdr:col>
      <xdr:colOff>190500</xdr:colOff>
      <xdr:row>25</xdr:row>
      <xdr:rowOff>57150</xdr:rowOff>
    </xdr:to>
    <xdr:sp macro="" textlink="">
      <xdr:nvSpPr>
        <xdr:cNvPr id="59" name="Rectangle: Rounded Corners 58">
          <a:extLst>
            <a:ext uri="{FF2B5EF4-FFF2-40B4-BE49-F238E27FC236}">
              <a16:creationId xmlns:a16="http://schemas.microsoft.com/office/drawing/2014/main" id="{00000000-0008-0000-1000-00003B000000}"/>
            </a:ext>
          </a:extLst>
        </xdr:cNvPr>
        <xdr:cNvSpPr/>
      </xdr:nvSpPr>
      <xdr:spPr>
        <a:xfrm>
          <a:off x="8485414" y="4291693"/>
          <a:ext cx="849086" cy="527957"/>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Preterm</a:t>
          </a:r>
        </a:p>
      </xdr:txBody>
    </xdr:sp>
    <xdr:clientData/>
  </xdr:twoCellAnchor>
  <xdr:twoCellAnchor>
    <xdr:from>
      <xdr:col>13</xdr:col>
      <xdr:colOff>519793</xdr:colOff>
      <xdr:row>30</xdr:row>
      <xdr:rowOff>54429</xdr:rowOff>
    </xdr:from>
    <xdr:to>
      <xdr:col>15</xdr:col>
      <xdr:colOff>149679</xdr:colOff>
      <xdr:row>33</xdr:row>
      <xdr:rowOff>10886</xdr:rowOff>
    </xdr:to>
    <xdr:sp macro="" textlink="">
      <xdr:nvSpPr>
        <xdr:cNvPr id="60" name="Rectangle: Rounded Corners 59">
          <a:extLst>
            <a:ext uri="{FF2B5EF4-FFF2-40B4-BE49-F238E27FC236}">
              <a16:creationId xmlns:a16="http://schemas.microsoft.com/office/drawing/2014/main" id="{00000000-0008-0000-1000-00003C000000}"/>
            </a:ext>
          </a:extLst>
        </xdr:cNvPr>
        <xdr:cNvSpPr/>
      </xdr:nvSpPr>
      <xdr:spPr>
        <a:xfrm>
          <a:off x="8444593" y="4626429"/>
          <a:ext cx="849086" cy="527957"/>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Term</a:t>
          </a:r>
        </a:p>
      </xdr:txBody>
    </xdr:sp>
    <xdr:clientData/>
  </xdr:twoCellAnchor>
  <xdr:twoCellAnchor>
    <xdr:from>
      <xdr:col>12</xdr:col>
      <xdr:colOff>571501</xdr:colOff>
      <xdr:row>23</xdr:row>
      <xdr:rowOff>174173</xdr:rowOff>
    </xdr:from>
    <xdr:to>
      <xdr:col>13</xdr:col>
      <xdr:colOff>560614</xdr:colOff>
      <xdr:row>28</xdr:row>
      <xdr:rowOff>54428</xdr:rowOff>
    </xdr:to>
    <xdr:cxnSp macro="">
      <xdr:nvCxnSpPr>
        <xdr:cNvPr id="61" name="Connector: Elbow 60">
          <a:extLst>
            <a:ext uri="{FF2B5EF4-FFF2-40B4-BE49-F238E27FC236}">
              <a16:creationId xmlns:a16="http://schemas.microsoft.com/office/drawing/2014/main" id="{00000000-0008-0000-1000-00003D000000}"/>
            </a:ext>
          </a:extLst>
        </xdr:cNvPr>
        <xdr:cNvCxnSpPr>
          <a:stCxn id="63" idx="0"/>
          <a:endCxn id="59" idx="1"/>
        </xdr:cNvCxnSpPr>
      </xdr:nvCxnSpPr>
      <xdr:spPr>
        <a:xfrm rot="5400000" flipH="1" flipV="1">
          <a:off x="7769680" y="4672694"/>
          <a:ext cx="832755" cy="598713"/>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571502</xdr:colOff>
      <xdr:row>29</xdr:row>
      <xdr:rowOff>130626</xdr:rowOff>
    </xdr:from>
    <xdr:to>
      <xdr:col>13</xdr:col>
      <xdr:colOff>519794</xdr:colOff>
      <xdr:row>31</xdr:row>
      <xdr:rowOff>127907</xdr:rowOff>
    </xdr:to>
    <xdr:cxnSp macro="">
      <xdr:nvCxnSpPr>
        <xdr:cNvPr id="62" name="Connector: Elbow 61">
          <a:extLst>
            <a:ext uri="{FF2B5EF4-FFF2-40B4-BE49-F238E27FC236}">
              <a16:creationId xmlns:a16="http://schemas.microsoft.com/office/drawing/2014/main" id="{00000000-0008-0000-1000-00003E000000}"/>
            </a:ext>
          </a:extLst>
        </xdr:cNvPr>
        <xdr:cNvCxnSpPr>
          <a:stCxn id="63" idx="4"/>
          <a:endCxn id="60" idx="1"/>
        </xdr:cNvCxnSpPr>
      </xdr:nvCxnSpPr>
      <xdr:spPr>
        <a:xfrm rot="16200000" flipH="1">
          <a:off x="7976507" y="4422321"/>
          <a:ext cx="378281" cy="557892"/>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413658</xdr:colOff>
      <xdr:row>28</xdr:row>
      <xdr:rowOff>54427</xdr:rowOff>
    </xdr:from>
    <xdr:to>
      <xdr:col>13</xdr:col>
      <xdr:colOff>119743</xdr:colOff>
      <xdr:row>29</xdr:row>
      <xdr:rowOff>130627</xdr:rowOff>
    </xdr:to>
    <xdr:sp macro="" textlink="">
      <xdr:nvSpPr>
        <xdr:cNvPr id="63" name="Oval 62">
          <a:extLst>
            <a:ext uri="{FF2B5EF4-FFF2-40B4-BE49-F238E27FC236}">
              <a16:creationId xmlns:a16="http://schemas.microsoft.com/office/drawing/2014/main" id="{00000000-0008-0000-1000-00003F000000}"/>
            </a:ext>
          </a:extLst>
        </xdr:cNvPr>
        <xdr:cNvSpPr/>
      </xdr:nvSpPr>
      <xdr:spPr>
        <a:xfrm>
          <a:off x="7728858" y="2460170"/>
          <a:ext cx="315685" cy="261257"/>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12</xdr:col>
      <xdr:colOff>217713</xdr:colOff>
      <xdr:row>28</xdr:row>
      <xdr:rowOff>182336</xdr:rowOff>
    </xdr:from>
    <xdr:to>
      <xdr:col>12</xdr:col>
      <xdr:colOff>413658</xdr:colOff>
      <xdr:row>28</xdr:row>
      <xdr:rowOff>187777</xdr:rowOff>
    </xdr:to>
    <xdr:cxnSp macro="">
      <xdr:nvCxnSpPr>
        <xdr:cNvPr id="64" name="Connector: Elbow 42">
          <a:extLst>
            <a:ext uri="{FF2B5EF4-FFF2-40B4-BE49-F238E27FC236}">
              <a16:creationId xmlns:a16="http://schemas.microsoft.com/office/drawing/2014/main" id="{00000000-0008-0000-1000-000040000000}"/>
            </a:ext>
          </a:extLst>
        </xdr:cNvPr>
        <xdr:cNvCxnSpPr>
          <a:cxnSpLocks/>
          <a:stCxn id="14" idx="3"/>
          <a:endCxn id="63" idx="2"/>
        </xdr:cNvCxnSpPr>
      </xdr:nvCxnSpPr>
      <xdr:spPr>
        <a:xfrm>
          <a:off x="7532913" y="4373336"/>
          <a:ext cx="195945" cy="5441"/>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21771</xdr:colOff>
      <xdr:row>36</xdr:row>
      <xdr:rowOff>108857</xdr:rowOff>
    </xdr:from>
    <xdr:to>
      <xdr:col>15</xdr:col>
      <xdr:colOff>261257</xdr:colOff>
      <xdr:row>39</xdr:row>
      <xdr:rowOff>65315</xdr:rowOff>
    </xdr:to>
    <xdr:sp macro="" textlink="">
      <xdr:nvSpPr>
        <xdr:cNvPr id="208" name="Rectangle: Rounded Corners 207">
          <a:extLst>
            <a:ext uri="{FF2B5EF4-FFF2-40B4-BE49-F238E27FC236}">
              <a16:creationId xmlns:a16="http://schemas.microsoft.com/office/drawing/2014/main" id="{00000000-0008-0000-1000-0000D0000000}"/>
            </a:ext>
          </a:extLst>
        </xdr:cNvPr>
        <xdr:cNvSpPr/>
      </xdr:nvSpPr>
      <xdr:spPr>
        <a:xfrm>
          <a:off x="8556171" y="3995057"/>
          <a:ext cx="849086" cy="511629"/>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Preterm</a:t>
          </a:r>
        </a:p>
      </xdr:txBody>
    </xdr:sp>
    <xdr:clientData/>
  </xdr:twoCellAnchor>
  <xdr:twoCellAnchor>
    <xdr:from>
      <xdr:col>14</xdr:col>
      <xdr:colOff>16327</xdr:colOff>
      <xdr:row>44</xdr:row>
      <xdr:rowOff>149678</xdr:rowOff>
    </xdr:from>
    <xdr:to>
      <xdr:col>15</xdr:col>
      <xdr:colOff>255813</xdr:colOff>
      <xdr:row>47</xdr:row>
      <xdr:rowOff>106135</xdr:rowOff>
    </xdr:to>
    <xdr:sp macro="" textlink="">
      <xdr:nvSpPr>
        <xdr:cNvPr id="209" name="Rectangle: Rounded Corners 208">
          <a:extLst>
            <a:ext uri="{FF2B5EF4-FFF2-40B4-BE49-F238E27FC236}">
              <a16:creationId xmlns:a16="http://schemas.microsoft.com/office/drawing/2014/main" id="{00000000-0008-0000-1000-0000D1000000}"/>
            </a:ext>
          </a:extLst>
        </xdr:cNvPr>
        <xdr:cNvSpPr/>
      </xdr:nvSpPr>
      <xdr:spPr>
        <a:xfrm>
          <a:off x="8550727" y="8531678"/>
          <a:ext cx="849086" cy="527957"/>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Term</a:t>
          </a:r>
        </a:p>
      </xdr:txBody>
    </xdr:sp>
    <xdr:clientData/>
  </xdr:twoCellAnchor>
  <xdr:twoCellAnchor>
    <xdr:from>
      <xdr:col>13</xdr:col>
      <xdr:colOff>24494</xdr:colOff>
      <xdr:row>43</xdr:row>
      <xdr:rowOff>2721</xdr:rowOff>
    </xdr:from>
    <xdr:to>
      <xdr:col>13</xdr:col>
      <xdr:colOff>340179</xdr:colOff>
      <xdr:row>44</xdr:row>
      <xdr:rowOff>84364</xdr:rowOff>
    </xdr:to>
    <xdr:sp macro="" textlink="">
      <xdr:nvSpPr>
        <xdr:cNvPr id="210" name="Oval 209">
          <a:extLst>
            <a:ext uri="{FF2B5EF4-FFF2-40B4-BE49-F238E27FC236}">
              <a16:creationId xmlns:a16="http://schemas.microsoft.com/office/drawing/2014/main" id="{00000000-0008-0000-1000-0000D2000000}"/>
            </a:ext>
          </a:extLst>
        </xdr:cNvPr>
        <xdr:cNvSpPr/>
      </xdr:nvSpPr>
      <xdr:spPr>
        <a:xfrm>
          <a:off x="7949294" y="7051221"/>
          <a:ext cx="315685" cy="272143"/>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12</xdr:col>
      <xdr:colOff>261258</xdr:colOff>
      <xdr:row>43</xdr:row>
      <xdr:rowOff>138793</xdr:rowOff>
    </xdr:from>
    <xdr:to>
      <xdr:col>13</xdr:col>
      <xdr:colOff>24494</xdr:colOff>
      <xdr:row>43</xdr:row>
      <xdr:rowOff>141515</xdr:rowOff>
    </xdr:to>
    <xdr:cxnSp macro="">
      <xdr:nvCxnSpPr>
        <xdr:cNvPr id="211" name="Connector: Elbow 42">
          <a:extLst>
            <a:ext uri="{FF2B5EF4-FFF2-40B4-BE49-F238E27FC236}">
              <a16:creationId xmlns:a16="http://schemas.microsoft.com/office/drawing/2014/main" id="{00000000-0008-0000-1000-0000D3000000}"/>
            </a:ext>
          </a:extLst>
        </xdr:cNvPr>
        <xdr:cNvCxnSpPr>
          <a:cxnSpLocks/>
          <a:stCxn id="13" idx="3"/>
          <a:endCxn id="210" idx="2"/>
        </xdr:cNvCxnSpPr>
      </xdr:nvCxnSpPr>
      <xdr:spPr>
        <a:xfrm flipV="1">
          <a:off x="7576458" y="7187293"/>
          <a:ext cx="372836" cy="2722"/>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182338</xdr:colOff>
      <xdr:row>37</xdr:row>
      <xdr:rowOff>182336</xdr:rowOff>
    </xdr:from>
    <xdr:to>
      <xdr:col>14</xdr:col>
      <xdr:colOff>21772</xdr:colOff>
      <xdr:row>43</xdr:row>
      <xdr:rowOff>2721</xdr:rowOff>
    </xdr:to>
    <xdr:cxnSp macro="">
      <xdr:nvCxnSpPr>
        <xdr:cNvPr id="214" name="Connector: Elbow 213">
          <a:extLst>
            <a:ext uri="{FF2B5EF4-FFF2-40B4-BE49-F238E27FC236}">
              <a16:creationId xmlns:a16="http://schemas.microsoft.com/office/drawing/2014/main" id="{00000000-0008-0000-1000-0000D6000000}"/>
            </a:ext>
          </a:extLst>
        </xdr:cNvPr>
        <xdr:cNvCxnSpPr>
          <a:stCxn id="210" idx="0"/>
          <a:endCxn id="208" idx="1"/>
        </xdr:cNvCxnSpPr>
      </xdr:nvCxnSpPr>
      <xdr:spPr>
        <a:xfrm rot="5400000" flipH="1" flipV="1">
          <a:off x="7849962" y="6345012"/>
          <a:ext cx="963385" cy="449034"/>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182338</xdr:colOff>
      <xdr:row>44</xdr:row>
      <xdr:rowOff>84363</xdr:rowOff>
    </xdr:from>
    <xdr:to>
      <xdr:col>14</xdr:col>
      <xdr:colOff>16328</xdr:colOff>
      <xdr:row>46</xdr:row>
      <xdr:rowOff>32656</xdr:rowOff>
    </xdr:to>
    <xdr:cxnSp macro="">
      <xdr:nvCxnSpPr>
        <xdr:cNvPr id="217" name="Connector: Elbow 216">
          <a:extLst>
            <a:ext uri="{FF2B5EF4-FFF2-40B4-BE49-F238E27FC236}">
              <a16:creationId xmlns:a16="http://schemas.microsoft.com/office/drawing/2014/main" id="{00000000-0008-0000-1000-0000D9000000}"/>
            </a:ext>
          </a:extLst>
        </xdr:cNvPr>
        <xdr:cNvCxnSpPr>
          <a:stCxn id="210" idx="4"/>
          <a:endCxn id="209" idx="1"/>
        </xdr:cNvCxnSpPr>
      </xdr:nvCxnSpPr>
      <xdr:spPr>
        <a:xfrm rot="16200000" flipH="1">
          <a:off x="8164286" y="8409215"/>
          <a:ext cx="329293" cy="443590"/>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5442</xdr:colOff>
      <xdr:row>51</xdr:row>
      <xdr:rowOff>29935</xdr:rowOff>
    </xdr:from>
    <xdr:to>
      <xdr:col>15</xdr:col>
      <xdr:colOff>244928</xdr:colOff>
      <xdr:row>53</xdr:row>
      <xdr:rowOff>187778</xdr:rowOff>
    </xdr:to>
    <xdr:sp macro="" textlink="">
      <xdr:nvSpPr>
        <xdr:cNvPr id="220" name="Rectangle: Rounded Corners 219">
          <a:extLst>
            <a:ext uri="{FF2B5EF4-FFF2-40B4-BE49-F238E27FC236}">
              <a16:creationId xmlns:a16="http://schemas.microsoft.com/office/drawing/2014/main" id="{00000000-0008-0000-1000-0000DC000000}"/>
            </a:ext>
          </a:extLst>
        </xdr:cNvPr>
        <xdr:cNvSpPr/>
      </xdr:nvSpPr>
      <xdr:spPr>
        <a:xfrm>
          <a:off x="8539842" y="8602435"/>
          <a:ext cx="849086" cy="538843"/>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Preterm</a:t>
          </a:r>
        </a:p>
      </xdr:txBody>
    </xdr:sp>
    <xdr:clientData/>
  </xdr:twoCellAnchor>
  <xdr:twoCellAnchor>
    <xdr:from>
      <xdr:col>14</xdr:col>
      <xdr:colOff>10886</xdr:colOff>
      <xdr:row>58</xdr:row>
      <xdr:rowOff>163285</xdr:rowOff>
    </xdr:from>
    <xdr:to>
      <xdr:col>15</xdr:col>
      <xdr:colOff>250372</xdr:colOff>
      <xdr:row>61</xdr:row>
      <xdr:rowOff>119742</xdr:rowOff>
    </xdr:to>
    <xdr:sp macro="" textlink="">
      <xdr:nvSpPr>
        <xdr:cNvPr id="221" name="Rectangle: Rounded Corners 220">
          <a:extLst>
            <a:ext uri="{FF2B5EF4-FFF2-40B4-BE49-F238E27FC236}">
              <a16:creationId xmlns:a16="http://schemas.microsoft.com/office/drawing/2014/main" id="{00000000-0008-0000-1000-0000DD000000}"/>
            </a:ext>
          </a:extLst>
        </xdr:cNvPr>
        <xdr:cNvSpPr/>
      </xdr:nvSpPr>
      <xdr:spPr>
        <a:xfrm>
          <a:off x="8545286" y="10069285"/>
          <a:ext cx="849086" cy="527957"/>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Term</a:t>
          </a:r>
        </a:p>
      </xdr:txBody>
    </xdr:sp>
    <xdr:clientData/>
  </xdr:twoCellAnchor>
  <xdr:twoCellAnchor>
    <xdr:from>
      <xdr:col>13</xdr:col>
      <xdr:colOff>97972</xdr:colOff>
      <xdr:row>55</xdr:row>
      <xdr:rowOff>97971</xdr:rowOff>
    </xdr:from>
    <xdr:to>
      <xdr:col>13</xdr:col>
      <xdr:colOff>413657</xdr:colOff>
      <xdr:row>56</xdr:row>
      <xdr:rowOff>174171</xdr:rowOff>
    </xdr:to>
    <xdr:sp macro="" textlink="">
      <xdr:nvSpPr>
        <xdr:cNvPr id="222" name="Oval 221">
          <a:extLst>
            <a:ext uri="{FF2B5EF4-FFF2-40B4-BE49-F238E27FC236}">
              <a16:creationId xmlns:a16="http://schemas.microsoft.com/office/drawing/2014/main" id="{00000000-0008-0000-1000-0000DE000000}"/>
            </a:ext>
          </a:extLst>
        </xdr:cNvPr>
        <xdr:cNvSpPr/>
      </xdr:nvSpPr>
      <xdr:spPr>
        <a:xfrm>
          <a:off x="8022772" y="7500257"/>
          <a:ext cx="315685" cy="261257"/>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12</xdr:col>
      <xdr:colOff>255814</xdr:colOff>
      <xdr:row>56</xdr:row>
      <xdr:rowOff>35378</xdr:rowOff>
    </xdr:from>
    <xdr:to>
      <xdr:col>13</xdr:col>
      <xdr:colOff>97972</xdr:colOff>
      <xdr:row>56</xdr:row>
      <xdr:rowOff>40821</xdr:rowOff>
    </xdr:to>
    <xdr:cxnSp macro="">
      <xdr:nvCxnSpPr>
        <xdr:cNvPr id="223" name="Connector: Elbow 42">
          <a:extLst>
            <a:ext uri="{FF2B5EF4-FFF2-40B4-BE49-F238E27FC236}">
              <a16:creationId xmlns:a16="http://schemas.microsoft.com/office/drawing/2014/main" id="{00000000-0008-0000-1000-0000DF000000}"/>
            </a:ext>
          </a:extLst>
        </xdr:cNvPr>
        <xdr:cNvCxnSpPr>
          <a:cxnSpLocks/>
          <a:stCxn id="16" idx="3"/>
          <a:endCxn id="222" idx="2"/>
        </xdr:cNvCxnSpPr>
      </xdr:nvCxnSpPr>
      <xdr:spPr>
        <a:xfrm>
          <a:off x="7571014" y="9560378"/>
          <a:ext cx="451758" cy="5443"/>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255814</xdr:colOff>
      <xdr:row>52</xdr:row>
      <xdr:rowOff>105048</xdr:rowOff>
    </xdr:from>
    <xdr:to>
      <xdr:col>14</xdr:col>
      <xdr:colOff>5441</xdr:colOff>
      <xdr:row>55</xdr:row>
      <xdr:rowOff>97972</xdr:rowOff>
    </xdr:to>
    <xdr:cxnSp macro="">
      <xdr:nvCxnSpPr>
        <xdr:cNvPr id="227" name="Connector: Elbow 226">
          <a:extLst>
            <a:ext uri="{FF2B5EF4-FFF2-40B4-BE49-F238E27FC236}">
              <a16:creationId xmlns:a16="http://schemas.microsoft.com/office/drawing/2014/main" id="{00000000-0008-0000-1000-0000E3000000}"/>
            </a:ext>
          </a:extLst>
        </xdr:cNvPr>
        <xdr:cNvCxnSpPr>
          <a:stCxn id="222" idx="0"/>
          <a:endCxn id="220" idx="1"/>
        </xdr:cNvCxnSpPr>
      </xdr:nvCxnSpPr>
      <xdr:spPr>
        <a:xfrm rot="5400000" flipH="1" flipV="1">
          <a:off x="8078016" y="8970646"/>
          <a:ext cx="564424" cy="359227"/>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255815</xdr:colOff>
      <xdr:row>56</xdr:row>
      <xdr:rowOff>174170</xdr:rowOff>
    </xdr:from>
    <xdr:to>
      <xdr:col>14</xdr:col>
      <xdr:colOff>10886</xdr:colOff>
      <xdr:row>60</xdr:row>
      <xdr:rowOff>46263</xdr:rowOff>
    </xdr:to>
    <xdr:cxnSp macro="">
      <xdr:nvCxnSpPr>
        <xdr:cNvPr id="230" name="Connector: Elbow 229">
          <a:extLst>
            <a:ext uri="{FF2B5EF4-FFF2-40B4-BE49-F238E27FC236}">
              <a16:creationId xmlns:a16="http://schemas.microsoft.com/office/drawing/2014/main" id="{00000000-0008-0000-1000-0000E6000000}"/>
            </a:ext>
          </a:extLst>
        </xdr:cNvPr>
        <xdr:cNvCxnSpPr>
          <a:stCxn id="222" idx="4"/>
          <a:endCxn id="221" idx="1"/>
        </xdr:cNvCxnSpPr>
      </xdr:nvCxnSpPr>
      <xdr:spPr>
        <a:xfrm rot="16200000" flipH="1">
          <a:off x="8045904" y="9833881"/>
          <a:ext cx="634093" cy="364671"/>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568778</xdr:colOff>
      <xdr:row>63</xdr:row>
      <xdr:rowOff>166007</xdr:rowOff>
    </xdr:from>
    <xdr:to>
      <xdr:col>15</xdr:col>
      <xdr:colOff>198664</xdr:colOff>
      <xdr:row>66</xdr:row>
      <xdr:rowOff>117022</xdr:rowOff>
    </xdr:to>
    <xdr:sp macro="" textlink="">
      <xdr:nvSpPr>
        <xdr:cNvPr id="233" name="Rectangle: Rounded Corners 232">
          <a:extLst>
            <a:ext uri="{FF2B5EF4-FFF2-40B4-BE49-F238E27FC236}">
              <a16:creationId xmlns:a16="http://schemas.microsoft.com/office/drawing/2014/main" id="{00000000-0008-0000-1000-0000E9000000}"/>
            </a:ext>
          </a:extLst>
        </xdr:cNvPr>
        <xdr:cNvSpPr/>
      </xdr:nvSpPr>
      <xdr:spPr>
        <a:xfrm>
          <a:off x="8493578" y="11024507"/>
          <a:ext cx="849086" cy="522515"/>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Preterm</a:t>
          </a:r>
        </a:p>
      </xdr:txBody>
    </xdr:sp>
    <xdr:clientData/>
  </xdr:twoCellAnchor>
  <xdr:twoCellAnchor>
    <xdr:from>
      <xdr:col>14</xdr:col>
      <xdr:colOff>13606</xdr:colOff>
      <xdr:row>71</xdr:row>
      <xdr:rowOff>97970</xdr:rowOff>
    </xdr:from>
    <xdr:to>
      <xdr:col>15</xdr:col>
      <xdr:colOff>253092</xdr:colOff>
      <xdr:row>74</xdr:row>
      <xdr:rowOff>54428</xdr:rowOff>
    </xdr:to>
    <xdr:sp macro="" textlink="">
      <xdr:nvSpPr>
        <xdr:cNvPr id="234" name="Rectangle: Rounded Corners 233">
          <a:extLst>
            <a:ext uri="{FF2B5EF4-FFF2-40B4-BE49-F238E27FC236}">
              <a16:creationId xmlns:a16="http://schemas.microsoft.com/office/drawing/2014/main" id="{00000000-0008-0000-1000-0000EA000000}"/>
            </a:ext>
          </a:extLst>
        </xdr:cNvPr>
        <xdr:cNvSpPr/>
      </xdr:nvSpPr>
      <xdr:spPr>
        <a:xfrm>
          <a:off x="8548006" y="13623470"/>
          <a:ext cx="849086" cy="527958"/>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Term</a:t>
          </a:r>
        </a:p>
      </xdr:txBody>
    </xdr:sp>
    <xdr:clientData/>
  </xdr:twoCellAnchor>
  <xdr:twoCellAnchor>
    <xdr:from>
      <xdr:col>12</xdr:col>
      <xdr:colOff>576944</xdr:colOff>
      <xdr:row>67</xdr:row>
      <xdr:rowOff>174172</xdr:rowOff>
    </xdr:from>
    <xdr:to>
      <xdr:col>13</xdr:col>
      <xdr:colOff>283029</xdr:colOff>
      <xdr:row>69</xdr:row>
      <xdr:rowOff>65314</xdr:rowOff>
    </xdr:to>
    <xdr:sp macro="" textlink="">
      <xdr:nvSpPr>
        <xdr:cNvPr id="235" name="Oval 234">
          <a:extLst>
            <a:ext uri="{FF2B5EF4-FFF2-40B4-BE49-F238E27FC236}">
              <a16:creationId xmlns:a16="http://schemas.microsoft.com/office/drawing/2014/main" id="{00000000-0008-0000-1000-0000EB000000}"/>
            </a:ext>
          </a:extLst>
        </xdr:cNvPr>
        <xdr:cNvSpPr/>
      </xdr:nvSpPr>
      <xdr:spPr>
        <a:xfrm>
          <a:off x="7892144" y="9797143"/>
          <a:ext cx="315685" cy="261257"/>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12</xdr:col>
      <xdr:colOff>225881</xdr:colOff>
      <xdr:row>68</xdr:row>
      <xdr:rowOff>100695</xdr:rowOff>
    </xdr:from>
    <xdr:to>
      <xdr:col>12</xdr:col>
      <xdr:colOff>576944</xdr:colOff>
      <xdr:row>68</xdr:row>
      <xdr:rowOff>119743</xdr:rowOff>
    </xdr:to>
    <xdr:cxnSp macro="">
      <xdr:nvCxnSpPr>
        <xdr:cNvPr id="236" name="Connector: Elbow 42">
          <a:extLst>
            <a:ext uri="{FF2B5EF4-FFF2-40B4-BE49-F238E27FC236}">
              <a16:creationId xmlns:a16="http://schemas.microsoft.com/office/drawing/2014/main" id="{00000000-0008-0000-1000-0000EC000000}"/>
            </a:ext>
          </a:extLst>
        </xdr:cNvPr>
        <xdr:cNvCxnSpPr>
          <a:cxnSpLocks/>
          <a:stCxn id="15" idx="3"/>
          <a:endCxn id="235" idx="2"/>
        </xdr:cNvCxnSpPr>
      </xdr:nvCxnSpPr>
      <xdr:spPr>
        <a:xfrm>
          <a:off x="7541081" y="11911695"/>
          <a:ext cx="351063" cy="19048"/>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125187</xdr:colOff>
      <xdr:row>65</xdr:row>
      <xdr:rowOff>46266</xdr:rowOff>
    </xdr:from>
    <xdr:to>
      <xdr:col>13</xdr:col>
      <xdr:colOff>568778</xdr:colOff>
      <xdr:row>67</xdr:row>
      <xdr:rowOff>174173</xdr:rowOff>
    </xdr:to>
    <xdr:cxnSp macro="">
      <xdr:nvCxnSpPr>
        <xdr:cNvPr id="240" name="Connector: Elbow 239">
          <a:extLst>
            <a:ext uri="{FF2B5EF4-FFF2-40B4-BE49-F238E27FC236}">
              <a16:creationId xmlns:a16="http://schemas.microsoft.com/office/drawing/2014/main" id="{00000000-0008-0000-1000-0000F0000000}"/>
            </a:ext>
          </a:extLst>
        </xdr:cNvPr>
        <xdr:cNvCxnSpPr>
          <a:stCxn id="235" idx="0"/>
          <a:endCxn id="233" idx="1"/>
        </xdr:cNvCxnSpPr>
      </xdr:nvCxnSpPr>
      <xdr:spPr>
        <a:xfrm rot="5400000" flipH="1" flipV="1">
          <a:off x="8017329" y="11318424"/>
          <a:ext cx="508907" cy="443591"/>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125187</xdr:colOff>
      <xdr:row>69</xdr:row>
      <xdr:rowOff>65313</xdr:rowOff>
    </xdr:from>
    <xdr:to>
      <xdr:col>14</xdr:col>
      <xdr:colOff>13606</xdr:colOff>
      <xdr:row>72</xdr:row>
      <xdr:rowOff>171448</xdr:rowOff>
    </xdr:to>
    <xdr:cxnSp macro="">
      <xdr:nvCxnSpPr>
        <xdr:cNvPr id="243" name="Connector: Elbow 242">
          <a:extLst>
            <a:ext uri="{FF2B5EF4-FFF2-40B4-BE49-F238E27FC236}">
              <a16:creationId xmlns:a16="http://schemas.microsoft.com/office/drawing/2014/main" id="{00000000-0008-0000-1000-0000F3000000}"/>
            </a:ext>
          </a:extLst>
        </xdr:cNvPr>
        <xdr:cNvCxnSpPr>
          <a:stCxn id="235" idx="4"/>
          <a:endCxn id="234" idx="1"/>
        </xdr:cNvCxnSpPr>
      </xdr:nvCxnSpPr>
      <xdr:spPr>
        <a:xfrm rot="16200000" flipH="1">
          <a:off x="7960179" y="13299621"/>
          <a:ext cx="677635" cy="498019"/>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48984</xdr:colOff>
      <xdr:row>77</xdr:row>
      <xdr:rowOff>46262</xdr:rowOff>
    </xdr:from>
    <xdr:to>
      <xdr:col>15</xdr:col>
      <xdr:colOff>288470</xdr:colOff>
      <xdr:row>80</xdr:row>
      <xdr:rowOff>2720</xdr:rowOff>
    </xdr:to>
    <xdr:sp macro="" textlink="">
      <xdr:nvSpPr>
        <xdr:cNvPr id="246" name="Rectangle: Rounded Corners 245">
          <a:extLst>
            <a:ext uri="{FF2B5EF4-FFF2-40B4-BE49-F238E27FC236}">
              <a16:creationId xmlns:a16="http://schemas.microsoft.com/office/drawing/2014/main" id="{00000000-0008-0000-1000-0000F6000000}"/>
            </a:ext>
          </a:extLst>
        </xdr:cNvPr>
        <xdr:cNvSpPr/>
      </xdr:nvSpPr>
      <xdr:spPr>
        <a:xfrm>
          <a:off x="8583384" y="14714762"/>
          <a:ext cx="849086" cy="527958"/>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Preterm</a:t>
          </a:r>
        </a:p>
      </xdr:txBody>
    </xdr:sp>
    <xdr:clientData/>
  </xdr:twoCellAnchor>
  <xdr:twoCellAnchor>
    <xdr:from>
      <xdr:col>14</xdr:col>
      <xdr:colOff>62592</xdr:colOff>
      <xdr:row>98</xdr:row>
      <xdr:rowOff>130627</xdr:rowOff>
    </xdr:from>
    <xdr:to>
      <xdr:col>15</xdr:col>
      <xdr:colOff>302078</xdr:colOff>
      <xdr:row>101</xdr:row>
      <xdr:rowOff>87084</xdr:rowOff>
    </xdr:to>
    <xdr:sp macro="" textlink="">
      <xdr:nvSpPr>
        <xdr:cNvPr id="252" name="Rectangle: Rounded Corners 251">
          <a:extLst>
            <a:ext uri="{FF2B5EF4-FFF2-40B4-BE49-F238E27FC236}">
              <a16:creationId xmlns:a16="http://schemas.microsoft.com/office/drawing/2014/main" id="{00000000-0008-0000-1000-0000FC000000}"/>
            </a:ext>
          </a:extLst>
        </xdr:cNvPr>
        <xdr:cNvSpPr/>
      </xdr:nvSpPr>
      <xdr:spPr>
        <a:xfrm>
          <a:off x="8596992" y="17656627"/>
          <a:ext cx="849086" cy="527957"/>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b="1">
              <a:solidFill>
                <a:sysClr val="windowText" lastClr="000000"/>
              </a:solidFill>
            </a:rPr>
            <a:t>Preterm</a:t>
          </a:r>
        </a:p>
      </xdr:txBody>
    </xdr:sp>
    <xdr:clientData/>
  </xdr:twoCellAnchor>
  <xdr:twoCellAnchor>
    <xdr:from>
      <xdr:col>14</xdr:col>
      <xdr:colOff>76198</xdr:colOff>
      <xdr:row>87</xdr:row>
      <xdr:rowOff>43543</xdr:rowOff>
    </xdr:from>
    <xdr:to>
      <xdr:col>15</xdr:col>
      <xdr:colOff>315684</xdr:colOff>
      <xdr:row>90</xdr:row>
      <xdr:rowOff>0</xdr:rowOff>
    </xdr:to>
    <xdr:sp macro="" textlink="">
      <xdr:nvSpPr>
        <xdr:cNvPr id="254" name="Rectangle: Rounded Corners 253">
          <a:extLst>
            <a:ext uri="{FF2B5EF4-FFF2-40B4-BE49-F238E27FC236}">
              <a16:creationId xmlns:a16="http://schemas.microsoft.com/office/drawing/2014/main" id="{00000000-0008-0000-1000-0000FE000000}"/>
            </a:ext>
          </a:extLst>
        </xdr:cNvPr>
        <xdr:cNvSpPr/>
      </xdr:nvSpPr>
      <xdr:spPr>
        <a:xfrm>
          <a:off x="8610598" y="16617043"/>
          <a:ext cx="849086" cy="527957"/>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Term</a:t>
          </a:r>
        </a:p>
      </xdr:txBody>
    </xdr:sp>
    <xdr:clientData/>
  </xdr:twoCellAnchor>
  <xdr:twoCellAnchor>
    <xdr:from>
      <xdr:col>14</xdr:col>
      <xdr:colOff>43542</xdr:colOff>
      <xdr:row>109</xdr:row>
      <xdr:rowOff>163284</xdr:rowOff>
    </xdr:from>
    <xdr:to>
      <xdr:col>15</xdr:col>
      <xdr:colOff>283028</xdr:colOff>
      <xdr:row>112</xdr:row>
      <xdr:rowOff>119741</xdr:rowOff>
    </xdr:to>
    <xdr:sp macro="" textlink="">
      <xdr:nvSpPr>
        <xdr:cNvPr id="255" name="Rectangle: Rounded Corners 254">
          <a:extLst>
            <a:ext uri="{FF2B5EF4-FFF2-40B4-BE49-F238E27FC236}">
              <a16:creationId xmlns:a16="http://schemas.microsoft.com/office/drawing/2014/main" id="{00000000-0008-0000-1000-0000FF000000}"/>
            </a:ext>
          </a:extLst>
        </xdr:cNvPr>
        <xdr:cNvSpPr/>
      </xdr:nvSpPr>
      <xdr:spPr>
        <a:xfrm>
          <a:off x="8577942" y="17558655"/>
          <a:ext cx="849086" cy="511629"/>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Term</a:t>
          </a:r>
        </a:p>
      </xdr:txBody>
    </xdr:sp>
    <xdr:clientData/>
  </xdr:twoCellAnchor>
  <xdr:twoCellAnchor>
    <xdr:from>
      <xdr:col>13</xdr:col>
      <xdr:colOff>144236</xdr:colOff>
      <xdr:row>81</xdr:row>
      <xdr:rowOff>40822</xdr:rowOff>
    </xdr:from>
    <xdr:to>
      <xdr:col>13</xdr:col>
      <xdr:colOff>459921</xdr:colOff>
      <xdr:row>82</xdr:row>
      <xdr:rowOff>117022</xdr:rowOff>
    </xdr:to>
    <xdr:sp macro="" textlink="">
      <xdr:nvSpPr>
        <xdr:cNvPr id="256" name="Oval 255">
          <a:extLst>
            <a:ext uri="{FF2B5EF4-FFF2-40B4-BE49-F238E27FC236}">
              <a16:creationId xmlns:a16="http://schemas.microsoft.com/office/drawing/2014/main" id="{00000000-0008-0000-1000-000000010000}"/>
            </a:ext>
          </a:extLst>
        </xdr:cNvPr>
        <xdr:cNvSpPr/>
      </xdr:nvSpPr>
      <xdr:spPr>
        <a:xfrm>
          <a:off x="8069036" y="15471322"/>
          <a:ext cx="315685" cy="2667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13</xdr:col>
      <xdr:colOff>119744</xdr:colOff>
      <xdr:row>103</xdr:row>
      <xdr:rowOff>0</xdr:rowOff>
    </xdr:from>
    <xdr:to>
      <xdr:col>13</xdr:col>
      <xdr:colOff>435429</xdr:colOff>
      <xdr:row>104</xdr:row>
      <xdr:rowOff>76200</xdr:rowOff>
    </xdr:to>
    <xdr:sp macro="" textlink="">
      <xdr:nvSpPr>
        <xdr:cNvPr id="257" name="Oval 256">
          <a:extLst>
            <a:ext uri="{FF2B5EF4-FFF2-40B4-BE49-F238E27FC236}">
              <a16:creationId xmlns:a16="http://schemas.microsoft.com/office/drawing/2014/main" id="{00000000-0008-0000-1000-000001010000}"/>
            </a:ext>
          </a:extLst>
        </xdr:cNvPr>
        <xdr:cNvSpPr/>
      </xdr:nvSpPr>
      <xdr:spPr>
        <a:xfrm>
          <a:off x="8044544" y="16285029"/>
          <a:ext cx="315685" cy="261257"/>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12</xdr:col>
      <xdr:colOff>261257</xdr:colOff>
      <xdr:row>81</xdr:row>
      <xdr:rowOff>166007</xdr:rowOff>
    </xdr:from>
    <xdr:to>
      <xdr:col>13</xdr:col>
      <xdr:colOff>144236</xdr:colOff>
      <xdr:row>81</xdr:row>
      <xdr:rowOff>174172</xdr:rowOff>
    </xdr:to>
    <xdr:cxnSp macro="">
      <xdr:nvCxnSpPr>
        <xdr:cNvPr id="258" name="Connector: Elbow 42">
          <a:extLst>
            <a:ext uri="{FF2B5EF4-FFF2-40B4-BE49-F238E27FC236}">
              <a16:creationId xmlns:a16="http://schemas.microsoft.com/office/drawing/2014/main" id="{00000000-0008-0000-1000-000002010000}"/>
            </a:ext>
          </a:extLst>
        </xdr:cNvPr>
        <xdr:cNvCxnSpPr>
          <a:cxnSpLocks/>
          <a:stCxn id="37" idx="3"/>
          <a:endCxn id="256" idx="2"/>
        </xdr:cNvCxnSpPr>
      </xdr:nvCxnSpPr>
      <xdr:spPr>
        <a:xfrm>
          <a:off x="7576457" y="15596507"/>
          <a:ext cx="492579" cy="8165"/>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400051</xdr:colOff>
      <xdr:row>103</xdr:row>
      <xdr:rowOff>133350</xdr:rowOff>
    </xdr:from>
    <xdr:to>
      <xdr:col>13</xdr:col>
      <xdr:colOff>119744</xdr:colOff>
      <xdr:row>103</xdr:row>
      <xdr:rowOff>136073</xdr:rowOff>
    </xdr:to>
    <xdr:cxnSp macro="">
      <xdr:nvCxnSpPr>
        <xdr:cNvPr id="259" name="Connector: Elbow 42">
          <a:extLst>
            <a:ext uri="{FF2B5EF4-FFF2-40B4-BE49-F238E27FC236}">
              <a16:creationId xmlns:a16="http://schemas.microsoft.com/office/drawing/2014/main" id="{00000000-0008-0000-1000-000003010000}"/>
            </a:ext>
          </a:extLst>
        </xdr:cNvPr>
        <xdr:cNvCxnSpPr>
          <a:cxnSpLocks/>
          <a:stCxn id="36" idx="3"/>
          <a:endCxn id="257" idx="2"/>
        </xdr:cNvCxnSpPr>
      </xdr:nvCxnSpPr>
      <xdr:spPr>
        <a:xfrm flipV="1">
          <a:off x="7715251" y="18611850"/>
          <a:ext cx="329293" cy="2723"/>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302080</xdr:colOff>
      <xdr:row>78</xdr:row>
      <xdr:rowOff>119740</xdr:rowOff>
    </xdr:from>
    <xdr:to>
      <xdr:col>14</xdr:col>
      <xdr:colOff>48985</xdr:colOff>
      <xdr:row>81</xdr:row>
      <xdr:rowOff>40821</xdr:rowOff>
    </xdr:to>
    <xdr:cxnSp macro="">
      <xdr:nvCxnSpPr>
        <xdr:cNvPr id="264" name="Connector: Elbow 263">
          <a:extLst>
            <a:ext uri="{FF2B5EF4-FFF2-40B4-BE49-F238E27FC236}">
              <a16:creationId xmlns:a16="http://schemas.microsoft.com/office/drawing/2014/main" id="{00000000-0008-0000-1000-000008010000}"/>
            </a:ext>
          </a:extLst>
        </xdr:cNvPr>
        <xdr:cNvCxnSpPr>
          <a:stCxn id="246" idx="1"/>
          <a:endCxn id="256" idx="0"/>
        </xdr:cNvCxnSpPr>
      </xdr:nvCxnSpPr>
      <xdr:spPr>
        <a:xfrm rot="10800000" flipV="1">
          <a:off x="8226880" y="14978740"/>
          <a:ext cx="356505" cy="492581"/>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277588</xdr:colOff>
      <xdr:row>100</xdr:row>
      <xdr:rowOff>13606</xdr:rowOff>
    </xdr:from>
    <xdr:to>
      <xdr:col>14</xdr:col>
      <xdr:colOff>62593</xdr:colOff>
      <xdr:row>103</xdr:row>
      <xdr:rowOff>0</xdr:rowOff>
    </xdr:to>
    <xdr:cxnSp macro="">
      <xdr:nvCxnSpPr>
        <xdr:cNvPr id="267" name="Connector: Elbow 266">
          <a:extLst>
            <a:ext uri="{FF2B5EF4-FFF2-40B4-BE49-F238E27FC236}">
              <a16:creationId xmlns:a16="http://schemas.microsoft.com/office/drawing/2014/main" id="{00000000-0008-0000-1000-00000B010000}"/>
            </a:ext>
          </a:extLst>
        </xdr:cNvPr>
        <xdr:cNvCxnSpPr>
          <a:stCxn id="252" idx="1"/>
          <a:endCxn id="257" idx="0"/>
        </xdr:cNvCxnSpPr>
      </xdr:nvCxnSpPr>
      <xdr:spPr>
        <a:xfrm rot="10800000" flipV="1">
          <a:off x="8202388" y="17920606"/>
          <a:ext cx="394605" cy="557894"/>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277588</xdr:colOff>
      <xdr:row>104</xdr:row>
      <xdr:rowOff>76200</xdr:rowOff>
    </xdr:from>
    <xdr:to>
      <xdr:col>14</xdr:col>
      <xdr:colOff>43543</xdr:colOff>
      <xdr:row>111</xdr:row>
      <xdr:rowOff>48984</xdr:rowOff>
    </xdr:to>
    <xdr:cxnSp macro="">
      <xdr:nvCxnSpPr>
        <xdr:cNvPr id="270" name="Connector: Elbow 269">
          <a:extLst>
            <a:ext uri="{FF2B5EF4-FFF2-40B4-BE49-F238E27FC236}">
              <a16:creationId xmlns:a16="http://schemas.microsoft.com/office/drawing/2014/main" id="{00000000-0008-0000-1000-00000E010000}"/>
            </a:ext>
          </a:extLst>
        </xdr:cNvPr>
        <xdr:cNvCxnSpPr>
          <a:stCxn id="255" idx="1"/>
          <a:endCxn id="257" idx="4"/>
        </xdr:cNvCxnSpPr>
      </xdr:nvCxnSpPr>
      <xdr:spPr>
        <a:xfrm rot="10800000">
          <a:off x="8202388" y="16546286"/>
          <a:ext cx="375555" cy="1268184"/>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302080</xdr:colOff>
      <xdr:row>82</xdr:row>
      <xdr:rowOff>117022</xdr:rowOff>
    </xdr:from>
    <xdr:to>
      <xdr:col>14</xdr:col>
      <xdr:colOff>76199</xdr:colOff>
      <xdr:row>88</xdr:row>
      <xdr:rowOff>117022</xdr:rowOff>
    </xdr:to>
    <xdr:cxnSp macro="">
      <xdr:nvCxnSpPr>
        <xdr:cNvPr id="273" name="Connector: Elbow 272">
          <a:extLst>
            <a:ext uri="{FF2B5EF4-FFF2-40B4-BE49-F238E27FC236}">
              <a16:creationId xmlns:a16="http://schemas.microsoft.com/office/drawing/2014/main" id="{00000000-0008-0000-1000-000011010000}"/>
            </a:ext>
          </a:extLst>
        </xdr:cNvPr>
        <xdr:cNvCxnSpPr>
          <a:stCxn id="254" idx="1"/>
          <a:endCxn id="256" idx="4"/>
        </xdr:cNvCxnSpPr>
      </xdr:nvCxnSpPr>
      <xdr:spPr>
        <a:xfrm rot="10800000">
          <a:off x="8226880" y="15738022"/>
          <a:ext cx="383719" cy="1143000"/>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487136</xdr:colOff>
      <xdr:row>31</xdr:row>
      <xdr:rowOff>8712</xdr:rowOff>
    </xdr:from>
    <xdr:to>
      <xdr:col>16</xdr:col>
      <xdr:colOff>84365</xdr:colOff>
      <xdr:row>32</xdr:row>
      <xdr:rowOff>70760</xdr:rowOff>
    </xdr:to>
    <xdr:sp macro="" textlink="">
      <xdr:nvSpPr>
        <xdr:cNvPr id="350" name="Isosceles Triangle 349">
          <a:extLst>
            <a:ext uri="{FF2B5EF4-FFF2-40B4-BE49-F238E27FC236}">
              <a16:creationId xmlns:a16="http://schemas.microsoft.com/office/drawing/2014/main" id="{00000000-0008-0000-1000-00005E010000}"/>
            </a:ext>
          </a:extLst>
        </xdr:cNvPr>
        <xdr:cNvSpPr/>
      </xdr:nvSpPr>
      <xdr:spPr>
        <a:xfrm rot="5400000">
          <a:off x="9608277" y="4794071"/>
          <a:ext cx="252548"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15</xdr:col>
      <xdr:colOff>149679</xdr:colOff>
      <xdr:row>31</xdr:row>
      <xdr:rowOff>127908</xdr:rowOff>
    </xdr:from>
    <xdr:to>
      <xdr:col>15</xdr:col>
      <xdr:colOff>487137</xdr:colOff>
      <xdr:row>31</xdr:row>
      <xdr:rowOff>134986</xdr:rowOff>
    </xdr:to>
    <xdr:cxnSp macro="">
      <xdr:nvCxnSpPr>
        <xdr:cNvPr id="352" name="Connector: Elbow 351">
          <a:extLst>
            <a:ext uri="{FF2B5EF4-FFF2-40B4-BE49-F238E27FC236}">
              <a16:creationId xmlns:a16="http://schemas.microsoft.com/office/drawing/2014/main" id="{00000000-0008-0000-1000-000060010000}"/>
            </a:ext>
          </a:extLst>
        </xdr:cNvPr>
        <xdr:cNvCxnSpPr>
          <a:stCxn id="60" idx="3"/>
          <a:endCxn id="350" idx="3"/>
        </xdr:cNvCxnSpPr>
      </xdr:nvCxnSpPr>
      <xdr:spPr>
        <a:xfrm>
          <a:off x="9293679" y="4890408"/>
          <a:ext cx="337458" cy="7078"/>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484503</xdr:colOff>
      <xdr:row>45</xdr:row>
      <xdr:rowOff>99553</xdr:rowOff>
    </xdr:from>
    <xdr:to>
      <xdr:col>16</xdr:col>
      <xdr:colOff>81732</xdr:colOff>
      <xdr:row>46</xdr:row>
      <xdr:rowOff>153980</xdr:rowOff>
    </xdr:to>
    <xdr:sp macro="" textlink="">
      <xdr:nvSpPr>
        <xdr:cNvPr id="356" name="Isosceles Triangle 355">
          <a:extLst>
            <a:ext uri="{FF2B5EF4-FFF2-40B4-BE49-F238E27FC236}">
              <a16:creationId xmlns:a16="http://schemas.microsoft.com/office/drawing/2014/main" id="{00000000-0008-0000-1000-000064010000}"/>
            </a:ext>
          </a:extLst>
        </xdr:cNvPr>
        <xdr:cNvSpPr/>
      </xdr:nvSpPr>
      <xdr:spPr>
        <a:xfrm rot="5400000">
          <a:off x="9688727" y="8409039"/>
          <a:ext cx="238782" cy="211745"/>
        </a:xfrm>
        <a:prstGeom prst="triangle">
          <a:avLst/>
        </a:prstGeom>
        <a:solidFill>
          <a:srgbClr val="4472C4"/>
        </a:solidFill>
        <a:ln w="12700" cap="flat" cmpd="sng" algn="ctr">
          <a:solidFill>
            <a:srgbClr val="4472C4">
              <a:shade val="50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ZA" sz="1100" b="0" i="0" u="none" strike="noStrike" kern="0" cap="none" spc="0" normalizeH="0" baseline="0" noProof="0">
            <a:ln>
              <a:noFill/>
            </a:ln>
            <a:solidFill>
              <a:sysClr val="window" lastClr="FFFFFF"/>
            </a:solidFill>
            <a:effectLst/>
            <a:uLnTx/>
            <a:uFillTx/>
            <a:latin typeface="Calibri" panose="020F0502020204030204"/>
            <a:ea typeface="+mn-ea"/>
            <a:cs typeface="+mn-cs"/>
          </a:endParaRPr>
        </a:p>
      </xdr:txBody>
    </xdr:sp>
    <xdr:clientData/>
  </xdr:twoCellAnchor>
  <xdr:twoCellAnchor>
    <xdr:from>
      <xdr:col>15</xdr:col>
      <xdr:colOff>255813</xdr:colOff>
      <xdr:row>46</xdr:row>
      <xdr:rowOff>34589</xdr:rowOff>
    </xdr:from>
    <xdr:to>
      <xdr:col>15</xdr:col>
      <xdr:colOff>484504</xdr:colOff>
      <xdr:row>46</xdr:row>
      <xdr:rowOff>35729</xdr:rowOff>
    </xdr:to>
    <xdr:cxnSp macro="">
      <xdr:nvCxnSpPr>
        <xdr:cNvPr id="357" name="Connector: Elbow 351">
          <a:extLst>
            <a:ext uri="{FF2B5EF4-FFF2-40B4-BE49-F238E27FC236}">
              <a16:creationId xmlns:a16="http://schemas.microsoft.com/office/drawing/2014/main" id="{00000000-0008-0000-1000-000065010000}"/>
            </a:ext>
          </a:extLst>
        </xdr:cNvPr>
        <xdr:cNvCxnSpPr>
          <a:stCxn id="209" idx="3"/>
          <a:endCxn id="356" idx="3"/>
        </xdr:cNvCxnSpPr>
      </xdr:nvCxnSpPr>
      <xdr:spPr>
        <a:xfrm flipV="1">
          <a:off x="9473555" y="8514912"/>
          <a:ext cx="228691" cy="1140"/>
        </a:xfrm>
        <a:prstGeom prst="straightConnector1">
          <a:avLst/>
        </a:prstGeom>
        <a:noFill/>
        <a:ln w="6350" cap="flat" cmpd="sng" algn="ctr">
          <a:solidFill>
            <a:srgbClr val="4472C4"/>
          </a:solidFill>
          <a:prstDash val="solid"/>
          <a:miter lim="800000"/>
        </a:ln>
        <a:effectLst/>
      </xdr:spPr>
    </xdr:cxnSp>
    <xdr:clientData/>
  </xdr:twoCellAnchor>
  <xdr:twoCellAnchor>
    <xdr:from>
      <xdr:col>15</xdr:col>
      <xdr:colOff>538843</xdr:colOff>
      <xdr:row>59</xdr:row>
      <xdr:rowOff>108857</xdr:rowOff>
    </xdr:from>
    <xdr:to>
      <xdr:col>16</xdr:col>
      <xdr:colOff>136072</xdr:colOff>
      <xdr:row>60</xdr:row>
      <xdr:rowOff>163285</xdr:rowOff>
    </xdr:to>
    <xdr:sp macro="" textlink="">
      <xdr:nvSpPr>
        <xdr:cNvPr id="360" name="Isosceles Triangle 359">
          <a:extLst>
            <a:ext uri="{FF2B5EF4-FFF2-40B4-BE49-F238E27FC236}">
              <a16:creationId xmlns:a16="http://schemas.microsoft.com/office/drawing/2014/main" id="{00000000-0008-0000-1000-000068010000}"/>
            </a:ext>
          </a:extLst>
        </xdr:cNvPr>
        <xdr:cNvSpPr/>
      </xdr:nvSpPr>
      <xdr:spPr>
        <a:xfrm rot="5400000">
          <a:off x="9666515" y="8267699"/>
          <a:ext cx="239485"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15</xdr:col>
      <xdr:colOff>250372</xdr:colOff>
      <xdr:row>60</xdr:row>
      <xdr:rowOff>40821</xdr:rowOff>
    </xdr:from>
    <xdr:to>
      <xdr:col>15</xdr:col>
      <xdr:colOff>538844</xdr:colOff>
      <xdr:row>60</xdr:row>
      <xdr:rowOff>46264</xdr:rowOff>
    </xdr:to>
    <xdr:cxnSp macro="">
      <xdr:nvCxnSpPr>
        <xdr:cNvPr id="361" name="Connector: Elbow 351">
          <a:extLst>
            <a:ext uri="{FF2B5EF4-FFF2-40B4-BE49-F238E27FC236}">
              <a16:creationId xmlns:a16="http://schemas.microsoft.com/office/drawing/2014/main" id="{00000000-0008-0000-1000-000069010000}"/>
            </a:ext>
          </a:extLst>
        </xdr:cNvPr>
        <xdr:cNvCxnSpPr>
          <a:stCxn id="221" idx="3"/>
          <a:endCxn id="360" idx="3"/>
        </xdr:cNvCxnSpPr>
      </xdr:nvCxnSpPr>
      <xdr:spPr>
        <a:xfrm flipV="1">
          <a:off x="9394372" y="10327821"/>
          <a:ext cx="288472" cy="5443"/>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508906</xdr:colOff>
      <xdr:row>72</xdr:row>
      <xdr:rowOff>73479</xdr:rowOff>
    </xdr:from>
    <xdr:to>
      <xdr:col>16</xdr:col>
      <xdr:colOff>106135</xdr:colOff>
      <xdr:row>73</xdr:row>
      <xdr:rowOff>127907</xdr:rowOff>
    </xdr:to>
    <xdr:sp macro="" textlink="">
      <xdr:nvSpPr>
        <xdr:cNvPr id="375" name="Isosceles Triangle 374">
          <a:extLst>
            <a:ext uri="{FF2B5EF4-FFF2-40B4-BE49-F238E27FC236}">
              <a16:creationId xmlns:a16="http://schemas.microsoft.com/office/drawing/2014/main" id="{00000000-0008-0000-1000-000077010000}"/>
            </a:ext>
          </a:extLst>
        </xdr:cNvPr>
        <xdr:cNvSpPr/>
      </xdr:nvSpPr>
      <xdr:spPr>
        <a:xfrm rot="5400000">
          <a:off x="9633857" y="13808528"/>
          <a:ext cx="244928"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15</xdr:col>
      <xdr:colOff>253092</xdr:colOff>
      <xdr:row>72</xdr:row>
      <xdr:rowOff>171449</xdr:rowOff>
    </xdr:from>
    <xdr:to>
      <xdr:col>15</xdr:col>
      <xdr:colOff>508907</xdr:colOff>
      <xdr:row>73</xdr:row>
      <xdr:rowOff>5443</xdr:rowOff>
    </xdr:to>
    <xdr:cxnSp macro="">
      <xdr:nvCxnSpPr>
        <xdr:cNvPr id="376" name="Connector: Elbow 351">
          <a:extLst>
            <a:ext uri="{FF2B5EF4-FFF2-40B4-BE49-F238E27FC236}">
              <a16:creationId xmlns:a16="http://schemas.microsoft.com/office/drawing/2014/main" id="{00000000-0008-0000-1000-000078010000}"/>
            </a:ext>
          </a:extLst>
        </xdr:cNvPr>
        <xdr:cNvCxnSpPr>
          <a:stCxn id="234" idx="3"/>
          <a:endCxn id="375" idx="3"/>
        </xdr:cNvCxnSpPr>
      </xdr:nvCxnSpPr>
      <xdr:spPr>
        <a:xfrm>
          <a:off x="9397092" y="13887449"/>
          <a:ext cx="255815" cy="24494"/>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593271</xdr:colOff>
      <xdr:row>87</xdr:row>
      <xdr:rowOff>174524</xdr:rowOff>
    </xdr:from>
    <xdr:to>
      <xdr:col>16</xdr:col>
      <xdr:colOff>190500</xdr:colOff>
      <xdr:row>89</xdr:row>
      <xdr:rowOff>44597</xdr:rowOff>
    </xdr:to>
    <xdr:sp macro="" textlink="">
      <xdr:nvSpPr>
        <xdr:cNvPr id="379" name="Isosceles Triangle 378">
          <a:extLst>
            <a:ext uri="{FF2B5EF4-FFF2-40B4-BE49-F238E27FC236}">
              <a16:creationId xmlns:a16="http://schemas.microsoft.com/office/drawing/2014/main" id="{00000000-0008-0000-1000-00007B010000}"/>
            </a:ext>
          </a:extLst>
        </xdr:cNvPr>
        <xdr:cNvSpPr/>
      </xdr:nvSpPr>
      <xdr:spPr>
        <a:xfrm rot="5400000">
          <a:off x="9797494" y="16226914"/>
          <a:ext cx="238783" cy="211745"/>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15</xdr:col>
      <xdr:colOff>315684</xdr:colOff>
      <xdr:row>88</xdr:row>
      <xdr:rowOff>109561</xdr:rowOff>
    </xdr:from>
    <xdr:to>
      <xdr:col>15</xdr:col>
      <xdr:colOff>593271</xdr:colOff>
      <xdr:row>88</xdr:row>
      <xdr:rowOff>113949</xdr:rowOff>
    </xdr:to>
    <xdr:cxnSp macro="">
      <xdr:nvCxnSpPr>
        <xdr:cNvPr id="380" name="Connector: Elbow 351">
          <a:extLst>
            <a:ext uri="{FF2B5EF4-FFF2-40B4-BE49-F238E27FC236}">
              <a16:creationId xmlns:a16="http://schemas.microsoft.com/office/drawing/2014/main" id="{00000000-0008-0000-1000-00007C010000}"/>
            </a:ext>
          </a:extLst>
        </xdr:cNvPr>
        <xdr:cNvCxnSpPr>
          <a:stCxn id="254" idx="3"/>
          <a:endCxn id="379" idx="3"/>
        </xdr:cNvCxnSpPr>
      </xdr:nvCxnSpPr>
      <xdr:spPr>
        <a:xfrm flipV="1">
          <a:off x="9533426" y="16332787"/>
          <a:ext cx="277587" cy="4388"/>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81643</xdr:colOff>
      <xdr:row>110</xdr:row>
      <xdr:rowOff>108857</xdr:rowOff>
    </xdr:from>
    <xdr:to>
      <xdr:col>16</xdr:col>
      <xdr:colOff>288472</xdr:colOff>
      <xdr:row>111</xdr:row>
      <xdr:rowOff>163285</xdr:rowOff>
    </xdr:to>
    <xdr:sp macro="" textlink="">
      <xdr:nvSpPr>
        <xdr:cNvPr id="383" name="Isosceles Triangle 382">
          <a:extLst>
            <a:ext uri="{FF2B5EF4-FFF2-40B4-BE49-F238E27FC236}">
              <a16:creationId xmlns:a16="http://schemas.microsoft.com/office/drawing/2014/main" id="{00000000-0008-0000-1000-00007F010000}"/>
            </a:ext>
          </a:extLst>
        </xdr:cNvPr>
        <xdr:cNvSpPr/>
      </xdr:nvSpPr>
      <xdr:spPr>
        <a:xfrm rot="5400000">
          <a:off x="9818915" y="17705614"/>
          <a:ext cx="239485"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15</xdr:col>
      <xdr:colOff>283028</xdr:colOff>
      <xdr:row>111</xdr:row>
      <xdr:rowOff>43543</xdr:rowOff>
    </xdr:from>
    <xdr:to>
      <xdr:col>16</xdr:col>
      <xdr:colOff>81643</xdr:colOff>
      <xdr:row>111</xdr:row>
      <xdr:rowOff>48984</xdr:rowOff>
    </xdr:to>
    <xdr:cxnSp macro="">
      <xdr:nvCxnSpPr>
        <xdr:cNvPr id="384" name="Connector: Elbow 351">
          <a:extLst>
            <a:ext uri="{FF2B5EF4-FFF2-40B4-BE49-F238E27FC236}">
              <a16:creationId xmlns:a16="http://schemas.microsoft.com/office/drawing/2014/main" id="{00000000-0008-0000-1000-000080010000}"/>
            </a:ext>
          </a:extLst>
        </xdr:cNvPr>
        <xdr:cNvCxnSpPr>
          <a:stCxn id="255" idx="3"/>
          <a:endCxn id="383" idx="3"/>
        </xdr:cNvCxnSpPr>
      </xdr:nvCxnSpPr>
      <xdr:spPr>
        <a:xfrm flipV="1">
          <a:off x="9427028" y="17809029"/>
          <a:ext cx="408215" cy="5441"/>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370114</xdr:colOff>
      <xdr:row>9</xdr:row>
      <xdr:rowOff>19050</xdr:rowOff>
    </xdr:from>
    <xdr:to>
      <xdr:col>19</xdr:col>
      <xdr:colOff>0</xdr:colOff>
      <xdr:row>11</xdr:row>
      <xdr:rowOff>160564</xdr:rowOff>
    </xdr:to>
    <xdr:sp macro="" textlink="">
      <xdr:nvSpPr>
        <xdr:cNvPr id="387" name="Rectangle: Rounded Corners 386">
          <a:extLst>
            <a:ext uri="{FF2B5EF4-FFF2-40B4-BE49-F238E27FC236}">
              <a16:creationId xmlns:a16="http://schemas.microsoft.com/office/drawing/2014/main" id="{00000000-0008-0000-1000-000083010000}"/>
            </a:ext>
          </a:extLst>
        </xdr:cNvPr>
        <xdr:cNvSpPr/>
      </xdr:nvSpPr>
      <xdr:spPr>
        <a:xfrm>
          <a:off x="10733314" y="1733550"/>
          <a:ext cx="849086" cy="522514"/>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LBW</a:t>
          </a:r>
        </a:p>
      </xdr:txBody>
    </xdr:sp>
    <xdr:clientData/>
  </xdr:twoCellAnchor>
  <xdr:twoCellAnchor>
    <xdr:from>
      <xdr:col>17</xdr:col>
      <xdr:colOff>467032</xdr:colOff>
      <xdr:row>18</xdr:row>
      <xdr:rowOff>26687</xdr:rowOff>
    </xdr:from>
    <xdr:to>
      <xdr:col>19</xdr:col>
      <xdr:colOff>96918</xdr:colOff>
      <xdr:row>20</xdr:row>
      <xdr:rowOff>167500</xdr:rowOff>
    </xdr:to>
    <xdr:sp macro="" textlink="">
      <xdr:nvSpPr>
        <xdr:cNvPr id="388" name="Rectangle: Rounded Corners 387">
          <a:extLst>
            <a:ext uri="{FF2B5EF4-FFF2-40B4-BE49-F238E27FC236}">
              <a16:creationId xmlns:a16="http://schemas.microsoft.com/office/drawing/2014/main" id="{00000000-0008-0000-1000-000084010000}"/>
            </a:ext>
          </a:extLst>
        </xdr:cNvPr>
        <xdr:cNvSpPr/>
      </xdr:nvSpPr>
      <xdr:spPr>
        <a:xfrm>
          <a:off x="10913806" y="3345074"/>
          <a:ext cx="858918" cy="509523"/>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Healthy</a:t>
          </a:r>
        </a:p>
      </xdr:txBody>
    </xdr:sp>
    <xdr:clientData/>
  </xdr:twoCellAnchor>
  <xdr:twoCellAnchor>
    <xdr:from>
      <xdr:col>17</xdr:col>
      <xdr:colOff>334736</xdr:colOff>
      <xdr:row>23</xdr:row>
      <xdr:rowOff>185057</xdr:rowOff>
    </xdr:from>
    <xdr:to>
      <xdr:col>18</xdr:col>
      <xdr:colOff>574222</xdr:colOff>
      <xdr:row>26</xdr:row>
      <xdr:rowOff>136072</xdr:rowOff>
    </xdr:to>
    <xdr:sp macro="" textlink="">
      <xdr:nvSpPr>
        <xdr:cNvPr id="389" name="Rectangle: Rounded Corners 388">
          <a:extLst>
            <a:ext uri="{FF2B5EF4-FFF2-40B4-BE49-F238E27FC236}">
              <a16:creationId xmlns:a16="http://schemas.microsoft.com/office/drawing/2014/main" id="{00000000-0008-0000-1000-000085010000}"/>
            </a:ext>
          </a:extLst>
        </xdr:cNvPr>
        <xdr:cNvSpPr/>
      </xdr:nvSpPr>
      <xdr:spPr>
        <a:xfrm>
          <a:off x="10697936" y="4566557"/>
          <a:ext cx="849086" cy="522515"/>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Stillbirth</a:t>
          </a:r>
        </a:p>
      </xdr:txBody>
    </xdr:sp>
    <xdr:clientData/>
  </xdr:twoCellAnchor>
  <xdr:twoCellAnchor>
    <xdr:from>
      <xdr:col>16</xdr:col>
      <xdr:colOff>32658</xdr:colOff>
      <xdr:row>23</xdr:row>
      <xdr:rowOff>21771</xdr:rowOff>
    </xdr:from>
    <xdr:to>
      <xdr:col>16</xdr:col>
      <xdr:colOff>348343</xdr:colOff>
      <xdr:row>24</xdr:row>
      <xdr:rowOff>97970</xdr:rowOff>
    </xdr:to>
    <xdr:sp macro="" textlink="">
      <xdr:nvSpPr>
        <xdr:cNvPr id="390" name="Oval 389">
          <a:extLst>
            <a:ext uri="{FF2B5EF4-FFF2-40B4-BE49-F238E27FC236}">
              <a16:creationId xmlns:a16="http://schemas.microsoft.com/office/drawing/2014/main" id="{00000000-0008-0000-1000-000086010000}"/>
            </a:ext>
          </a:extLst>
        </xdr:cNvPr>
        <xdr:cNvSpPr/>
      </xdr:nvSpPr>
      <xdr:spPr>
        <a:xfrm>
          <a:off x="9786258" y="4403271"/>
          <a:ext cx="315685" cy="266699"/>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15</xdr:col>
      <xdr:colOff>190500</xdr:colOff>
      <xdr:row>23</xdr:row>
      <xdr:rowOff>155121</xdr:rowOff>
    </xdr:from>
    <xdr:to>
      <xdr:col>16</xdr:col>
      <xdr:colOff>32658</xdr:colOff>
      <xdr:row>23</xdr:row>
      <xdr:rowOff>174172</xdr:rowOff>
    </xdr:to>
    <xdr:cxnSp macro="">
      <xdr:nvCxnSpPr>
        <xdr:cNvPr id="391" name="Connector: Elbow 42">
          <a:extLst>
            <a:ext uri="{FF2B5EF4-FFF2-40B4-BE49-F238E27FC236}">
              <a16:creationId xmlns:a16="http://schemas.microsoft.com/office/drawing/2014/main" id="{00000000-0008-0000-1000-000087010000}"/>
            </a:ext>
          </a:extLst>
        </xdr:cNvPr>
        <xdr:cNvCxnSpPr>
          <a:cxnSpLocks/>
          <a:stCxn id="59" idx="3"/>
          <a:endCxn id="390" idx="2"/>
        </xdr:cNvCxnSpPr>
      </xdr:nvCxnSpPr>
      <xdr:spPr>
        <a:xfrm flipV="1">
          <a:off x="9334500" y="4536621"/>
          <a:ext cx="451758" cy="19051"/>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190500</xdr:colOff>
      <xdr:row>10</xdr:row>
      <xdr:rowOff>89808</xdr:rowOff>
    </xdr:from>
    <xdr:to>
      <xdr:col>17</xdr:col>
      <xdr:colOff>370113</xdr:colOff>
      <xdr:row>23</xdr:row>
      <xdr:rowOff>21772</xdr:rowOff>
    </xdr:to>
    <xdr:cxnSp macro="">
      <xdr:nvCxnSpPr>
        <xdr:cNvPr id="394" name="Connector: Elbow 393">
          <a:extLst>
            <a:ext uri="{FF2B5EF4-FFF2-40B4-BE49-F238E27FC236}">
              <a16:creationId xmlns:a16="http://schemas.microsoft.com/office/drawing/2014/main" id="{00000000-0008-0000-1000-00008A010000}"/>
            </a:ext>
          </a:extLst>
        </xdr:cNvPr>
        <xdr:cNvCxnSpPr>
          <a:stCxn id="390" idx="0"/>
          <a:endCxn id="387" idx="1"/>
        </xdr:cNvCxnSpPr>
      </xdr:nvCxnSpPr>
      <xdr:spPr>
        <a:xfrm rot="5400000" flipH="1" flipV="1">
          <a:off x="9134475" y="2804433"/>
          <a:ext cx="2408464" cy="789213"/>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348343</xdr:colOff>
      <xdr:row>19</xdr:row>
      <xdr:rowOff>97094</xdr:rowOff>
    </xdr:from>
    <xdr:to>
      <xdr:col>17</xdr:col>
      <xdr:colOff>467032</xdr:colOff>
      <xdr:row>23</xdr:row>
      <xdr:rowOff>152048</xdr:rowOff>
    </xdr:to>
    <xdr:cxnSp macro="">
      <xdr:nvCxnSpPr>
        <xdr:cNvPr id="397" name="Connector: Elbow 396">
          <a:extLst>
            <a:ext uri="{FF2B5EF4-FFF2-40B4-BE49-F238E27FC236}">
              <a16:creationId xmlns:a16="http://schemas.microsoft.com/office/drawing/2014/main" id="{00000000-0008-0000-1000-00008D010000}"/>
            </a:ext>
          </a:extLst>
        </xdr:cNvPr>
        <xdr:cNvCxnSpPr>
          <a:stCxn id="390" idx="6"/>
          <a:endCxn id="388" idx="1"/>
        </xdr:cNvCxnSpPr>
      </xdr:nvCxnSpPr>
      <xdr:spPr>
        <a:xfrm flipV="1">
          <a:off x="10180601" y="3599836"/>
          <a:ext cx="733205" cy="792373"/>
        </a:xfrm>
        <a:prstGeom prst="bentConnector3">
          <a:avLst>
            <a:gd name="adj1" fmla="val 50000"/>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190501</xdr:colOff>
      <xdr:row>24</xdr:row>
      <xdr:rowOff>97969</xdr:rowOff>
    </xdr:from>
    <xdr:to>
      <xdr:col>17</xdr:col>
      <xdr:colOff>334736</xdr:colOff>
      <xdr:row>25</xdr:row>
      <xdr:rowOff>65314</xdr:rowOff>
    </xdr:to>
    <xdr:cxnSp macro="">
      <xdr:nvCxnSpPr>
        <xdr:cNvPr id="400" name="Connector: Elbow 399">
          <a:extLst>
            <a:ext uri="{FF2B5EF4-FFF2-40B4-BE49-F238E27FC236}">
              <a16:creationId xmlns:a16="http://schemas.microsoft.com/office/drawing/2014/main" id="{00000000-0008-0000-1000-000090010000}"/>
            </a:ext>
          </a:extLst>
        </xdr:cNvPr>
        <xdr:cNvCxnSpPr>
          <a:stCxn id="390" idx="4"/>
          <a:endCxn id="389" idx="1"/>
        </xdr:cNvCxnSpPr>
      </xdr:nvCxnSpPr>
      <xdr:spPr>
        <a:xfrm rot="16200000" flipH="1">
          <a:off x="10242096" y="4371974"/>
          <a:ext cx="157845" cy="753835"/>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332014</xdr:colOff>
      <xdr:row>28</xdr:row>
      <xdr:rowOff>182335</xdr:rowOff>
    </xdr:from>
    <xdr:to>
      <xdr:col>18</xdr:col>
      <xdr:colOff>571500</xdr:colOff>
      <xdr:row>31</xdr:row>
      <xdr:rowOff>138792</xdr:rowOff>
    </xdr:to>
    <xdr:sp macro="" textlink="">
      <xdr:nvSpPr>
        <xdr:cNvPr id="404" name="Rectangle: Rounded Corners 403">
          <a:extLst>
            <a:ext uri="{FF2B5EF4-FFF2-40B4-BE49-F238E27FC236}">
              <a16:creationId xmlns:a16="http://schemas.microsoft.com/office/drawing/2014/main" id="{00000000-0008-0000-1000-000094010000}"/>
            </a:ext>
          </a:extLst>
        </xdr:cNvPr>
        <xdr:cNvSpPr/>
      </xdr:nvSpPr>
      <xdr:spPr>
        <a:xfrm>
          <a:off x="10695214" y="5516335"/>
          <a:ext cx="849086" cy="527957"/>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LBW</a:t>
          </a:r>
        </a:p>
      </xdr:txBody>
    </xdr:sp>
    <xdr:clientData/>
  </xdr:twoCellAnchor>
  <xdr:twoCellAnchor>
    <xdr:from>
      <xdr:col>17</xdr:col>
      <xdr:colOff>310243</xdr:colOff>
      <xdr:row>34</xdr:row>
      <xdr:rowOff>57149</xdr:rowOff>
    </xdr:from>
    <xdr:to>
      <xdr:col>18</xdr:col>
      <xdr:colOff>549729</xdr:colOff>
      <xdr:row>37</xdr:row>
      <xdr:rowOff>13607</xdr:rowOff>
    </xdr:to>
    <xdr:sp macro="" textlink="">
      <xdr:nvSpPr>
        <xdr:cNvPr id="405" name="Rectangle: Rounded Corners 404">
          <a:extLst>
            <a:ext uri="{FF2B5EF4-FFF2-40B4-BE49-F238E27FC236}">
              <a16:creationId xmlns:a16="http://schemas.microsoft.com/office/drawing/2014/main" id="{00000000-0008-0000-1000-000095010000}"/>
            </a:ext>
          </a:extLst>
        </xdr:cNvPr>
        <xdr:cNvSpPr/>
      </xdr:nvSpPr>
      <xdr:spPr>
        <a:xfrm>
          <a:off x="10673443" y="6534149"/>
          <a:ext cx="849086" cy="527958"/>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Healthy</a:t>
          </a:r>
        </a:p>
      </xdr:txBody>
    </xdr:sp>
    <xdr:clientData/>
  </xdr:twoCellAnchor>
  <xdr:twoCellAnchor>
    <xdr:from>
      <xdr:col>17</xdr:col>
      <xdr:colOff>367393</xdr:colOff>
      <xdr:row>40</xdr:row>
      <xdr:rowOff>73479</xdr:rowOff>
    </xdr:from>
    <xdr:to>
      <xdr:col>18</xdr:col>
      <xdr:colOff>606879</xdr:colOff>
      <xdr:row>43</xdr:row>
      <xdr:rowOff>29937</xdr:rowOff>
    </xdr:to>
    <xdr:sp macro="" textlink="">
      <xdr:nvSpPr>
        <xdr:cNvPr id="406" name="Rectangle: Rounded Corners 405">
          <a:extLst>
            <a:ext uri="{FF2B5EF4-FFF2-40B4-BE49-F238E27FC236}">
              <a16:creationId xmlns:a16="http://schemas.microsoft.com/office/drawing/2014/main" id="{00000000-0008-0000-1000-000096010000}"/>
            </a:ext>
          </a:extLst>
        </xdr:cNvPr>
        <xdr:cNvSpPr/>
      </xdr:nvSpPr>
      <xdr:spPr>
        <a:xfrm>
          <a:off x="10730593" y="6550479"/>
          <a:ext cx="849086" cy="527958"/>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Stillbirth</a:t>
          </a:r>
        </a:p>
      </xdr:txBody>
    </xdr:sp>
    <xdr:clientData/>
  </xdr:twoCellAnchor>
  <xdr:twoCellAnchor>
    <xdr:from>
      <xdr:col>16</xdr:col>
      <xdr:colOff>65315</xdr:colOff>
      <xdr:row>37</xdr:row>
      <xdr:rowOff>32657</xdr:rowOff>
    </xdr:from>
    <xdr:to>
      <xdr:col>16</xdr:col>
      <xdr:colOff>381000</xdr:colOff>
      <xdr:row>38</xdr:row>
      <xdr:rowOff>108857</xdr:rowOff>
    </xdr:to>
    <xdr:sp macro="" textlink="">
      <xdr:nvSpPr>
        <xdr:cNvPr id="407" name="Oval 406">
          <a:extLst>
            <a:ext uri="{FF2B5EF4-FFF2-40B4-BE49-F238E27FC236}">
              <a16:creationId xmlns:a16="http://schemas.microsoft.com/office/drawing/2014/main" id="{00000000-0008-0000-1000-000097010000}"/>
            </a:ext>
          </a:extLst>
        </xdr:cNvPr>
        <xdr:cNvSpPr/>
      </xdr:nvSpPr>
      <xdr:spPr>
        <a:xfrm>
          <a:off x="9818915" y="4103914"/>
          <a:ext cx="315685" cy="261257"/>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15</xdr:col>
      <xdr:colOff>261257</xdr:colOff>
      <xdr:row>37</xdr:row>
      <xdr:rowOff>163286</xdr:rowOff>
    </xdr:from>
    <xdr:to>
      <xdr:col>16</xdr:col>
      <xdr:colOff>65315</xdr:colOff>
      <xdr:row>37</xdr:row>
      <xdr:rowOff>179615</xdr:rowOff>
    </xdr:to>
    <xdr:cxnSp macro="">
      <xdr:nvCxnSpPr>
        <xdr:cNvPr id="408" name="Connector: Elbow 42">
          <a:extLst>
            <a:ext uri="{FF2B5EF4-FFF2-40B4-BE49-F238E27FC236}">
              <a16:creationId xmlns:a16="http://schemas.microsoft.com/office/drawing/2014/main" id="{00000000-0008-0000-1000-000098010000}"/>
            </a:ext>
          </a:extLst>
        </xdr:cNvPr>
        <xdr:cNvCxnSpPr>
          <a:cxnSpLocks/>
          <a:stCxn id="208" idx="3"/>
          <a:endCxn id="407" idx="2"/>
        </xdr:cNvCxnSpPr>
      </xdr:nvCxnSpPr>
      <xdr:spPr>
        <a:xfrm flipV="1">
          <a:off x="9405257" y="4234543"/>
          <a:ext cx="413658" cy="16329"/>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223159</xdr:colOff>
      <xdr:row>30</xdr:row>
      <xdr:rowOff>65314</xdr:rowOff>
    </xdr:from>
    <xdr:to>
      <xdr:col>17</xdr:col>
      <xdr:colOff>332015</xdr:colOff>
      <xdr:row>37</xdr:row>
      <xdr:rowOff>32657</xdr:rowOff>
    </xdr:to>
    <xdr:cxnSp macro="">
      <xdr:nvCxnSpPr>
        <xdr:cNvPr id="411" name="Connector: Elbow 410">
          <a:extLst>
            <a:ext uri="{FF2B5EF4-FFF2-40B4-BE49-F238E27FC236}">
              <a16:creationId xmlns:a16="http://schemas.microsoft.com/office/drawing/2014/main" id="{00000000-0008-0000-1000-00009B010000}"/>
            </a:ext>
          </a:extLst>
        </xdr:cNvPr>
        <xdr:cNvCxnSpPr>
          <a:stCxn id="407" idx="0"/>
          <a:endCxn id="404" idx="1"/>
        </xdr:cNvCxnSpPr>
      </xdr:nvCxnSpPr>
      <xdr:spPr>
        <a:xfrm rot="5400000" flipH="1" flipV="1">
          <a:off x="9685565" y="6071508"/>
          <a:ext cx="1300843" cy="718456"/>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381000</xdr:colOff>
      <xdr:row>35</xdr:row>
      <xdr:rowOff>130628</xdr:rowOff>
    </xdr:from>
    <xdr:to>
      <xdr:col>17</xdr:col>
      <xdr:colOff>310243</xdr:colOff>
      <xdr:row>37</xdr:row>
      <xdr:rowOff>166007</xdr:rowOff>
    </xdr:to>
    <xdr:cxnSp macro="">
      <xdr:nvCxnSpPr>
        <xdr:cNvPr id="414" name="Connector: Elbow 413">
          <a:extLst>
            <a:ext uri="{FF2B5EF4-FFF2-40B4-BE49-F238E27FC236}">
              <a16:creationId xmlns:a16="http://schemas.microsoft.com/office/drawing/2014/main" id="{00000000-0008-0000-1000-00009E010000}"/>
            </a:ext>
          </a:extLst>
        </xdr:cNvPr>
        <xdr:cNvCxnSpPr>
          <a:stCxn id="407" idx="6"/>
          <a:endCxn id="405" idx="1"/>
        </xdr:cNvCxnSpPr>
      </xdr:nvCxnSpPr>
      <xdr:spPr>
        <a:xfrm flipV="1">
          <a:off x="10134600" y="6798128"/>
          <a:ext cx="538843" cy="416379"/>
        </a:xfrm>
        <a:prstGeom prst="bentConnector3">
          <a:avLst>
            <a:gd name="adj1" fmla="val 50000"/>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223158</xdr:colOff>
      <xdr:row>38</xdr:row>
      <xdr:rowOff>108856</xdr:rowOff>
    </xdr:from>
    <xdr:to>
      <xdr:col>17</xdr:col>
      <xdr:colOff>367393</xdr:colOff>
      <xdr:row>41</xdr:row>
      <xdr:rowOff>146957</xdr:rowOff>
    </xdr:to>
    <xdr:cxnSp macro="">
      <xdr:nvCxnSpPr>
        <xdr:cNvPr id="417" name="Connector: Elbow 416">
          <a:extLst>
            <a:ext uri="{FF2B5EF4-FFF2-40B4-BE49-F238E27FC236}">
              <a16:creationId xmlns:a16="http://schemas.microsoft.com/office/drawing/2014/main" id="{00000000-0008-0000-1000-0000A1010000}"/>
            </a:ext>
          </a:extLst>
        </xdr:cNvPr>
        <xdr:cNvCxnSpPr>
          <a:stCxn id="407" idx="4"/>
          <a:endCxn id="406" idx="1"/>
        </xdr:cNvCxnSpPr>
      </xdr:nvCxnSpPr>
      <xdr:spPr>
        <a:xfrm rot="16200000" flipH="1">
          <a:off x="10048875" y="6132739"/>
          <a:ext cx="609601" cy="753835"/>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342899</xdr:colOff>
      <xdr:row>46</xdr:row>
      <xdr:rowOff>43541</xdr:rowOff>
    </xdr:from>
    <xdr:to>
      <xdr:col>18</xdr:col>
      <xdr:colOff>582385</xdr:colOff>
      <xdr:row>49</xdr:row>
      <xdr:rowOff>-1</xdr:rowOff>
    </xdr:to>
    <xdr:sp macro="" textlink="">
      <xdr:nvSpPr>
        <xdr:cNvPr id="420" name="Rectangle: Rounded Corners 419">
          <a:extLst>
            <a:ext uri="{FF2B5EF4-FFF2-40B4-BE49-F238E27FC236}">
              <a16:creationId xmlns:a16="http://schemas.microsoft.com/office/drawing/2014/main" id="{00000000-0008-0000-1000-0000A4010000}"/>
            </a:ext>
          </a:extLst>
        </xdr:cNvPr>
        <xdr:cNvSpPr/>
      </xdr:nvSpPr>
      <xdr:spPr>
        <a:xfrm>
          <a:off x="10706099" y="7663541"/>
          <a:ext cx="849086" cy="527958"/>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LBW</a:t>
          </a:r>
        </a:p>
      </xdr:txBody>
    </xdr:sp>
    <xdr:clientData/>
  </xdr:twoCellAnchor>
  <xdr:twoCellAnchor>
    <xdr:from>
      <xdr:col>17</xdr:col>
      <xdr:colOff>432707</xdr:colOff>
      <xdr:row>51</xdr:row>
      <xdr:rowOff>38099</xdr:rowOff>
    </xdr:from>
    <xdr:to>
      <xdr:col>19</xdr:col>
      <xdr:colOff>62593</xdr:colOff>
      <xdr:row>53</xdr:row>
      <xdr:rowOff>185056</xdr:rowOff>
    </xdr:to>
    <xdr:sp macro="" textlink="">
      <xdr:nvSpPr>
        <xdr:cNvPr id="421" name="Rectangle: Rounded Corners 420">
          <a:extLst>
            <a:ext uri="{FF2B5EF4-FFF2-40B4-BE49-F238E27FC236}">
              <a16:creationId xmlns:a16="http://schemas.microsoft.com/office/drawing/2014/main" id="{00000000-0008-0000-1000-0000A5010000}"/>
            </a:ext>
          </a:extLst>
        </xdr:cNvPr>
        <xdr:cNvSpPr/>
      </xdr:nvSpPr>
      <xdr:spPr>
        <a:xfrm>
          <a:off x="10795907" y="8610599"/>
          <a:ext cx="849086" cy="527957"/>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Healthy</a:t>
          </a:r>
        </a:p>
      </xdr:txBody>
    </xdr:sp>
    <xdr:clientData/>
  </xdr:twoCellAnchor>
  <xdr:twoCellAnchor>
    <xdr:from>
      <xdr:col>17</xdr:col>
      <xdr:colOff>465365</xdr:colOff>
      <xdr:row>55</xdr:row>
      <xdr:rowOff>185058</xdr:rowOff>
    </xdr:from>
    <xdr:to>
      <xdr:col>19</xdr:col>
      <xdr:colOff>95251</xdr:colOff>
      <xdr:row>58</xdr:row>
      <xdr:rowOff>141516</xdr:rowOff>
    </xdr:to>
    <xdr:sp macro="" textlink="">
      <xdr:nvSpPr>
        <xdr:cNvPr id="422" name="Rectangle: Rounded Corners 421">
          <a:extLst>
            <a:ext uri="{FF2B5EF4-FFF2-40B4-BE49-F238E27FC236}">
              <a16:creationId xmlns:a16="http://schemas.microsoft.com/office/drawing/2014/main" id="{00000000-0008-0000-1000-0000A6010000}"/>
            </a:ext>
          </a:extLst>
        </xdr:cNvPr>
        <xdr:cNvSpPr/>
      </xdr:nvSpPr>
      <xdr:spPr>
        <a:xfrm>
          <a:off x="10828565" y="9519558"/>
          <a:ext cx="849086" cy="527958"/>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Stillbirth</a:t>
          </a:r>
        </a:p>
      </xdr:txBody>
    </xdr:sp>
    <xdr:clientData/>
  </xdr:twoCellAnchor>
  <xdr:twoCellAnchor>
    <xdr:from>
      <xdr:col>16</xdr:col>
      <xdr:colOff>293915</xdr:colOff>
      <xdr:row>52</xdr:row>
      <xdr:rowOff>54429</xdr:rowOff>
    </xdr:from>
    <xdr:to>
      <xdr:col>17</xdr:col>
      <xdr:colOff>0</xdr:colOff>
      <xdr:row>53</xdr:row>
      <xdr:rowOff>130629</xdr:rowOff>
    </xdr:to>
    <xdr:sp macro="" textlink="">
      <xdr:nvSpPr>
        <xdr:cNvPr id="423" name="Oval 422">
          <a:extLst>
            <a:ext uri="{FF2B5EF4-FFF2-40B4-BE49-F238E27FC236}">
              <a16:creationId xmlns:a16="http://schemas.microsoft.com/office/drawing/2014/main" id="{00000000-0008-0000-1000-0000A7010000}"/>
            </a:ext>
          </a:extLst>
        </xdr:cNvPr>
        <xdr:cNvSpPr/>
      </xdr:nvSpPr>
      <xdr:spPr>
        <a:xfrm>
          <a:off x="10047515" y="6901543"/>
          <a:ext cx="315685" cy="261257"/>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15</xdr:col>
      <xdr:colOff>244928</xdr:colOff>
      <xdr:row>52</xdr:row>
      <xdr:rowOff>105047</xdr:rowOff>
    </xdr:from>
    <xdr:to>
      <xdr:col>16</xdr:col>
      <xdr:colOff>293915</xdr:colOff>
      <xdr:row>52</xdr:row>
      <xdr:rowOff>187779</xdr:rowOff>
    </xdr:to>
    <xdr:cxnSp macro="">
      <xdr:nvCxnSpPr>
        <xdr:cNvPr id="424" name="Connector: Elbow 42">
          <a:extLst>
            <a:ext uri="{FF2B5EF4-FFF2-40B4-BE49-F238E27FC236}">
              <a16:creationId xmlns:a16="http://schemas.microsoft.com/office/drawing/2014/main" id="{00000000-0008-0000-1000-0000A8010000}"/>
            </a:ext>
          </a:extLst>
        </xdr:cNvPr>
        <xdr:cNvCxnSpPr>
          <a:cxnSpLocks/>
          <a:stCxn id="220" idx="3"/>
          <a:endCxn id="423" idx="2"/>
        </xdr:cNvCxnSpPr>
      </xdr:nvCxnSpPr>
      <xdr:spPr>
        <a:xfrm>
          <a:off x="9388928" y="8868047"/>
          <a:ext cx="658587" cy="82732"/>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451757</xdr:colOff>
      <xdr:row>53</xdr:row>
      <xdr:rowOff>130629</xdr:rowOff>
    </xdr:from>
    <xdr:to>
      <xdr:col>17</xdr:col>
      <xdr:colOff>465364</xdr:colOff>
      <xdr:row>57</xdr:row>
      <xdr:rowOff>68037</xdr:rowOff>
    </xdr:to>
    <xdr:cxnSp macro="">
      <xdr:nvCxnSpPr>
        <xdr:cNvPr id="427" name="Connector: Elbow 426">
          <a:extLst>
            <a:ext uri="{FF2B5EF4-FFF2-40B4-BE49-F238E27FC236}">
              <a16:creationId xmlns:a16="http://schemas.microsoft.com/office/drawing/2014/main" id="{00000000-0008-0000-1000-0000AB010000}"/>
            </a:ext>
          </a:extLst>
        </xdr:cNvPr>
        <xdr:cNvCxnSpPr>
          <a:stCxn id="423" idx="4"/>
          <a:endCxn id="422" idx="1"/>
        </xdr:cNvCxnSpPr>
      </xdr:nvCxnSpPr>
      <xdr:spPr>
        <a:xfrm rot="16200000" flipH="1">
          <a:off x="10167257" y="9122229"/>
          <a:ext cx="699408" cy="623207"/>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451758</xdr:colOff>
      <xdr:row>47</xdr:row>
      <xdr:rowOff>117021</xdr:rowOff>
    </xdr:from>
    <xdr:to>
      <xdr:col>17</xdr:col>
      <xdr:colOff>342899</xdr:colOff>
      <xdr:row>52</xdr:row>
      <xdr:rowOff>54430</xdr:rowOff>
    </xdr:to>
    <xdr:cxnSp macro="">
      <xdr:nvCxnSpPr>
        <xdr:cNvPr id="430" name="Connector: Elbow 429">
          <a:extLst>
            <a:ext uri="{FF2B5EF4-FFF2-40B4-BE49-F238E27FC236}">
              <a16:creationId xmlns:a16="http://schemas.microsoft.com/office/drawing/2014/main" id="{00000000-0008-0000-1000-0000AE010000}"/>
            </a:ext>
          </a:extLst>
        </xdr:cNvPr>
        <xdr:cNvCxnSpPr>
          <a:stCxn id="423" idx="0"/>
          <a:endCxn id="420" idx="1"/>
        </xdr:cNvCxnSpPr>
      </xdr:nvCxnSpPr>
      <xdr:spPr>
        <a:xfrm rot="5400000" flipH="1" flipV="1">
          <a:off x="10010774" y="8122105"/>
          <a:ext cx="889909" cy="500741"/>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0</xdr:colOff>
      <xdr:row>52</xdr:row>
      <xdr:rowOff>111578</xdr:rowOff>
    </xdr:from>
    <xdr:to>
      <xdr:col>17</xdr:col>
      <xdr:colOff>432707</xdr:colOff>
      <xdr:row>52</xdr:row>
      <xdr:rowOff>187779</xdr:rowOff>
    </xdr:to>
    <xdr:cxnSp macro="">
      <xdr:nvCxnSpPr>
        <xdr:cNvPr id="433" name="Connector: Elbow 432">
          <a:extLst>
            <a:ext uri="{FF2B5EF4-FFF2-40B4-BE49-F238E27FC236}">
              <a16:creationId xmlns:a16="http://schemas.microsoft.com/office/drawing/2014/main" id="{00000000-0008-0000-1000-0000B1010000}"/>
            </a:ext>
          </a:extLst>
        </xdr:cNvPr>
        <xdr:cNvCxnSpPr>
          <a:stCxn id="423" idx="6"/>
          <a:endCxn id="421" idx="1"/>
        </xdr:cNvCxnSpPr>
      </xdr:nvCxnSpPr>
      <xdr:spPr>
        <a:xfrm flipV="1">
          <a:off x="10363200" y="8874578"/>
          <a:ext cx="432707" cy="76201"/>
        </a:xfrm>
        <a:prstGeom prst="bentConnector3">
          <a:avLst>
            <a:gd name="adj1" fmla="val 50000"/>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293913</xdr:colOff>
      <xdr:row>61</xdr:row>
      <xdr:rowOff>32656</xdr:rowOff>
    </xdr:from>
    <xdr:to>
      <xdr:col>18</xdr:col>
      <xdr:colOff>533399</xdr:colOff>
      <xdr:row>63</xdr:row>
      <xdr:rowOff>174171</xdr:rowOff>
    </xdr:to>
    <xdr:sp macro="" textlink="">
      <xdr:nvSpPr>
        <xdr:cNvPr id="436" name="Rectangle: Rounded Corners 435">
          <a:extLst>
            <a:ext uri="{FF2B5EF4-FFF2-40B4-BE49-F238E27FC236}">
              <a16:creationId xmlns:a16="http://schemas.microsoft.com/office/drawing/2014/main" id="{00000000-0008-0000-1000-0000B4010000}"/>
            </a:ext>
          </a:extLst>
        </xdr:cNvPr>
        <xdr:cNvSpPr/>
      </xdr:nvSpPr>
      <xdr:spPr>
        <a:xfrm>
          <a:off x="10657113" y="8545285"/>
          <a:ext cx="849086" cy="511629"/>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LBW</a:t>
          </a:r>
        </a:p>
      </xdr:txBody>
    </xdr:sp>
    <xdr:clientData/>
  </xdr:twoCellAnchor>
  <xdr:twoCellAnchor>
    <xdr:from>
      <xdr:col>17</xdr:col>
      <xdr:colOff>250371</xdr:colOff>
      <xdr:row>65</xdr:row>
      <xdr:rowOff>65313</xdr:rowOff>
    </xdr:from>
    <xdr:to>
      <xdr:col>18</xdr:col>
      <xdr:colOff>489857</xdr:colOff>
      <xdr:row>68</xdr:row>
      <xdr:rowOff>21770</xdr:rowOff>
    </xdr:to>
    <xdr:sp macro="" textlink="">
      <xdr:nvSpPr>
        <xdr:cNvPr id="437" name="Rectangle: Rounded Corners 436">
          <a:extLst>
            <a:ext uri="{FF2B5EF4-FFF2-40B4-BE49-F238E27FC236}">
              <a16:creationId xmlns:a16="http://schemas.microsoft.com/office/drawing/2014/main" id="{00000000-0008-0000-1000-0000B5010000}"/>
            </a:ext>
          </a:extLst>
        </xdr:cNvPr>
        <xdr:cNvSpPr/>
      </xdr:nvSpPr>
      <xdr:spPr>
        <a:xfrm>
          <a:off x="10613571" y="9318170"/>
          <a:ext cx="849086" cy="511629"/>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Healthy</a:t>
          </a:r>
        </a:p>
      </xdr:txBody>
    </xdr:sp>
    <xdr:clientData/>
  </xdr:twoCellAnchor>
  <xdr:twoCellAnchor>
    <xdr:from>
      <xdr:col>17</xdr:col>
      <xdr:colOff>206830</xdr:colOff>
      <xdr:row>69</xdr:row>
      <xdr:rowOff>108858</xdr:rowOff>
    </xdr:from>
    <xdr:to>
      <xdr:col>18</xdr:col>
      <xdr:colOff>446316</xdr:colOff>
      <xdr:row>72</xdr:row>
      <xdr:rowOff>65316</xdr:rowOff>
    </xdr:to>
    <xdr:sp macro="" textlink="">
      <xdr:nvSpPr>
        <xdr:cNvPr id="438" name="Rectangle: Rounded Corners 437">
          <a:extLst>
            <a:ext uri="{FF2B5EF4-FFF2-40B4-BE49-F238E27FC236}">
              <a16:creationId xmlns:a16="http://schemas.microsoft.com/office/drawing/2014/main" id="{00000000-0008-0000-1000-0000B6010000}"/>
            </a:ext>
          </a:extLst>
        </xdr:cNvPr>
        <xdr:cNvSpPr/>
      </xdr:nvSpPr>
      <xdr:spPr>
        <a:xfrm>
          <a:off x="10570030" y="10101944"/>
          <a:ext cx="849086" cy="511629"/>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Stillbirth</a:t>
          </a:r>
        </a:p>
      </xdr:txBody>
    </xdr:sp>
    <xdr:clientData/>
  </xdr:twoCellAnchor>
  <xdr:twoCellAnchor>
    <xdr:from>
      <xdr:col>16</xdr:col>
      <xdr:colOff>293916</xdr:colOff>
      <xdr:row>64</xdr:row>
      <xdr:rowOff>136072</xdr:rowOff>
    </xdr:from>
    <xdr:to>
      <xdr:col>17</xdr:col>
      <xdr:colOff>1</xdr:colOff>
      <xdr:row>66</xdr:row>
      <xdr:rowOff>27215</xdr:rowOff>
    </xdr:to>
    <xdr:sp macro="" textlink="">
      <xdr:nvSpPr>
        <xdr:cNvPr id="439" name="Oval 438">
          <a:extLst>
            <a:ext uri="{FF2B5EF4-FFF2-40B4-BE49-F238E27FC236}">
              <a16:creationId xmlns:a16="http://schemas.microsoft.com/office/drawing/2014/main" id="{00000000-0008-0000-1000-0000B7010000}"/>
            </a:ext>
          </a:extLst>
        </xdr:cNvPr>
        <xdr:cNvSpPr/>
      </xdr:nvSpPr>
      <xdr:spPr>
        <a:xfrm>
          <a:off x="10047516" y="9203872"/>
          <a:ext cx="315685" cy="261257"/>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15</xdr:col>
      <xdr:colOff>198664</xdr:colOff>
      <xdr:row>65</xdr:row>
      <xdr:rowOff>46265</xdr:rowOff>
    </xdr:from>
    <xdr:to>
      <xdr:col>16</xdr:col>
      <xdr:colOff>293916</xdr:colOff>
      <xdr:row>65</xdr:row>
      <xdr:rowOff>81644</xdr:rowOff>
    </xdr:to>
    <xdr:cxnSp macro="">
      <xdr:nvCxnSpPr>
        <xdr:cNvPr id="440" name="Connector: Elbow 42">
          <a:extLst>
            <a:ext uri="{FF2B5EF4-FFF2-40B4-BE49-F238E27FC236}">
              <a16:creationId xmlns:a16="http://schemas.microsoft.com/office/drawing/2014/main" id="{00000000-0008-0000-1000-0000B8010000}"/>
            </a:ext>
          </a:extLst>
        </xdr:cNvPr>
        <xdr:cNvCxnSpPr>
          <a:cxnSpLocks/>
          <a:stCxn id="233" idx="3"/>
          <a:endCxn id="439" idx="2"/>
        </xdr:cNvCxnSpPr>
      </xdr:nvCxnSpPr>
      <xdr:spPr>
        <a:xfrm>
          <a:off x="9342664" y="11285765"/>
          <a:ext cx="704852" cy="35379"/>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451758</xdr:colOff>
      <xdr:row>66</xdr:row>
      <xdr:rowOff>27215</xdr:rowOff>
    </xdr:from>
    <xdr:to>
      <xdr:col>17</xdr:col>
      <xdr:colOff>206829</xdr:colOff>
      <xdr:row>70</xdr:row>
      <xdr:rowOff>179616</xdr:rowOff>
    </xdr:to>
    <xdr:cxnSp macro="">
      <xdr:nvCxnSpPr>
        <xdr:cNvPr id="441" name="Connector: Elbow 440">
          <a:extLst>
            <a:ext uri="{FF2B5EF4-FFF2-40B4-BE49-F238E27FC236}">
              <a16:creationId xmlns:a16="http://schemas.microsoft.com/office/drawing/2014/main" id="{00000000-0008-0000-1000-0000B9010000}"/>
            </a:ext>
          </a:extLst>
        </xdr:cNvPr>
        <xdr:cNvCxnSpPr>
          <a:stCxn id="439" idx="4"/>
          <a:endCxn id="438" idx="1"/>
        </xdr:cNvCxnSpPr>
      </xdr:nvCxnSpPr>
      <xdr:spPr>
        <a:xfrm rot="16200000" flipH="1">
          <a:off x="9941379" y="9729108"/>
          <a:ext cx="892630" cy="364671"/>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451759</xdr:colOff>
      <xdr:row>62</xdr:row>
      <xdr:rowOff>103414</xdr:rowOff>
    </xdr:from>
    <xdr:to>
      <xdr:col>17</xdr:col>
      <xdr:colOff>293913</xdr:colOff>
      <xdr:row>64</xdr:row>
      <xdr:rowOff>136072</xdr:rowOff>
    </xdr:to>
    <xdr:cxnSp macro="">
      <xdr:nvCxnSpPr>
        <xdr:cNvPr id="442" name="Connector: Elbow 441">
          <a:extLst>
            <a:ext uri="{FF2B5EF4-FFF2-40B4-BE49-F238E27FC236}">
              <a16:creationId xmlns:a16="http://schemas.microsoft.com/office/drawing/2014/main" id="{00000000-0008-0000-1000-0000BA010000}"/>
            </a:ext>
          </a:extLst>
        </xdr:cNvPr>
        <xdr:cNvCxnSpPr>
          <a:stCxn id="439" idx="0"/>
          <a:endCxn id="436" idx="1"/>
        </xdr:cNvCxnSpPr>
      </xdr:nvCxnSpPr>
      <xdr:spPr>
        <a:xfrm rot="5400000" flipH="1" flipV="1">
          <a:off x="10229850" y="8776609"/>
          <a:ext cx="402772" cy="451754"/>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xdr:colOff>
      <xdr:row>65</xdr:row>
      <xdr:rowOff>81644</xdr:rowOff>
    </xdr:from>
    <xdr:to>
      <xdr:col>17</xdr:col>
      <xdr:colOff>250371</xdr:colOff>
      <xdr:row>66</xdr:row>
      <xdr:rowOff>136071</xdr:rowOff>
    </xdr:to>
    <xdr:cxnSp macro="">
      <xdr:nvCxnSpPr>
        <xdr:cNvPr id="443" name="Connector: Elbow 442">
          <a:extLst>
            <a:ext uri="{FF2B5EF4-FFF2-40B4-BE49-F238E27FC236}">
              <a16:creationId xmlns:a16="http://schemas.microsoft.com/office/drawing/2014/main" id="{00000000-0008-0000-1000-0000BB010000}"/>
            </a:ext>
          </a:extLst>
        </xdr:cNvPr>
        <xdr:cNvCxnSpPr>
          <a:stCxn id="439" idx="6"/>
          <a:endCxn id="437" idx="1"/>
        </xdr:cNvCxnSpPr>
      </xdr:nvCxnSpPr>
      <xdr:spPr>
        <a:xfrm>
          <a:off x="10363201" y="9334501"/>
          <a:ext cx="250370" cy="239484"/>
        </a:xfrm>
        <a:prstGeom prst="bentConnector3">
          <a:avLst>
            <a:gd name="adj1" fmla="val 50000"/>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285749</xdr:colOff>
      <xdr:row>75</xdr:row>
      <xdr:rowOff>114300</xdr:rowOff>
    </xdr:from>
    <xdr:to>
      <xdr:col>18</xdr:col>
      <xdr:colOff>525235</xdr:colOff>
      <xdr:row>78</xdr:row>
      <xdr:rowOff>65315</xdr:rowOff>
    </xdr:to>
    <xdr:sp macro="" textlink="">
      <xdr:nvSpPr>
        <xdr:cNvPr id="462" name="Rectangle: Rounded Corners 461">
          <a:extLst>
            <a:ext uri="{FF2B5EF4-FFF2-40B4-BE49-F238E27FC236}">
              <a16:creationId xmlns:a16="http://schemas.microsoft.com/office/drawing/2014/main" id="{00000000-0008-0000-1000-0000CE010000}"/>
            </a:ext>
          </a:extLst>
        </xdr:cNvPr>
        <xdr:cNvSpPr/>
      </xdr:nvSpPr>
      <xdr:spPr>
        <a:xfrm>
          <a:off x="10648949" y="14401800"/>
          <a:ext cx="849086" cy="522515"/>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LBW</a:t>
          </a:r>
        </a:p>
      </xdr:txBody>
    </xdr:sp>
    <xdr:clientData/>
  </xdr:twoCellAnchor>
  <xdr:twoCellAnchor>
    <xdr:from>
      <xdr:col>17</xdr:col>
      <xdr:colOff>451757</xdr:colOff>
      <xdr:row>82</xdr:row>
      <xdr:rowOff>51707</xdr:rowOff>
    </xdr:from>
    <xdr:to>
      <xdr:col>19</xdr:col>
      <xdr:colOff>81643</xdr:colOff>
      <xdr:row>85</xdr:row>
      <xdr:rowOff>2722</xdr:rowOff>
    </xdr:to>
    <xdr:sp macro="" textlink="">
      <xdr:nvSpPr>
        <xdr:cNvPr id="463" name="Rectangle: Rounded Corners 462">
          <a:extLst>
            <a:ext uri="{FF2B5EF4-FFF2-40B4-BE49-F238E27FC236}">
              <a16:creationId xmlns:a16="http://schemas.microsoft.com/office/drawing/2014/main" id="{00000000-0008-0000-1000-0000CF010000}"/>
            </a:ext>
          </a:extLst>
        </xdr:cNvPr>
        <xdr:cNvSpPr/>
      </xdr:nvSpPr>
      <xdr:spPr>
        <a:xfrm>
          <a:off x="10814957" y="15672707"/>
          <a:ext cx="849086" cy="522515"/>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Healthy</a:t>
          </a:r>
        </a:p>
      </xdr:txBody>
    </xdr:sp>
    <xdr:clientData/>
  </xdr:twoCellAnchor>
  <xdr:twoCellAnchor>
    <xdr:from>
      <xdr:col>17</xdr:col>
      <xdr:colOff>408216</xdr:colOff>
      <xdr:row>88</xdr:row>
      <xdr:rowOff>95252</xdr:rowOff>
    </xdr:from>
    <xdr:to>
      <xdr:col>19</xdr:col>
      <xdr:colOff>38102</xdr:colOff>
      <xdr:row>91</xdr:row>
      <xdr:rowOff>51710</xdr:rowOff>
    </xdr:to>
    <xdr:sp macro="" textlink="">
      <xdr:nvSpPr>
        <xdr:cNvPr id="464" name="Rectangle: Rounded Corners 463">
          <a:extLst>
            <a:ext uri="{FF2B5EF4-FFF2-40B4-BE49-F238E27FC236}">
              <a16:creationId xmlns:a16="http://schemas.microsoft.com/office/drawing/2014/main" id="{00000000-0008-0000-1000-0000D0010000}"/>
            </a:ext>
          </a:extLst>
        </xdr:cNvPr>
        <xdr:cNvSpPr/>
      </xdr:nvSpPr>
      <xdr:spPr>
        <a:xfrm>
          <a:off x="10771416" y="16859252"/>
          <a:ext cx="849086" cy="527958"/>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Stillbirth</a:t>
          </a:r>
        </a:p>
      </xdr:txBody>
    </xdr:sp>
    <xdr:clientData/>
  </xdr:twoCellAnchor>
  <xdr:twoCellAnchor>
    <xdr:from>
      <xdr:col>16</xdr:col>
      <xdr:colOff>251603</xdr:colOff>
      <xdr:row>77</xdr:row>
      <xdr:rowOff>166096</xdr:rowOff>
    </xdr:from>
    <xdr:to>
      <xdr:col>16</xdr:col>
      <xdr:colOff>567288</xdr:colOff>
      <xdr:row>79</xdr:row>
      <xdr:rowOff>51797</xdr:rowOff>
    </xdr:to>
    <xdr:sp macro="" textlink="">
      <xdr:nvSpPr>
        <xdr:cNvPr id="465" name="Oval 464">
          <a:extLst>
            <a:ext uri="{FF2B5EF4-FFF2-40B4-BE49-F238E27FC236}">
              <a16:creationId xmlns:a16="http://schemas.microsoft.com/office/drawing/2014/main" id="{00000000-0008-0000-1000-0000D1010000}"/>
            </a:ext>
          </a:extLst>
        </xdr:cNvPr>
        <xdr:cNvSpPr/>
      </xdr:nvSpPr>
      <xdr:spPr>
        <a:xfrm>
          <a:off x="10083861" y="14361419"/>
          <a:ext cx="315685" cy="25441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15</xdr:col>
      <xdr:colOff>288470</xdr:colOff>
      <xdr:row>78</xdr:row>
      <xdr:rowOff>108947</xdr:rowOff>
    </xdr:from>
    <xdr:to>
      <xdr:col>16</xdr:col>
      <xdr:colOff>251603</xdr:colOff>
      <xdr:row>78</xdr:row>
      <xdr:rowOff>116669</xdr:rowOff>
    </xdr:to>
    <xdr:cxnSp macro="">
      <xdr:nvCxnSpPr>
        <xdr:cNvPr id="466" name="Connector: Elbow 42">
          <a:extLst>
            <a:ext uri="{FF2B5EF4-FFF2-40B4-BE49-F238E27FC236}">
              <a16:creationId xmlns:a16="http://schemas.microsoft.com/office/drawing/2014/main" id="{00000000-0008-0000-1000-0000D2010000}"/>
            </a:ext>
          </a:extLst>
        </xdr:cNvPr>
        <xdr:cNvCxnSpPr>
          <a:cxnSpLocks/>
          <a:stCxn id="246" idx="3"/>
          <a:endCxn id="465" idx="2"/>
        </xdr:cNvCxnSpPr>
      </xdr:nvCxnSpPr>
      <xdr:spPr>
        <a:xfrm flipV="1">
          <a:off x="9506212" y="14488624"/>
          <a:ext cx="577649" cy="7722"/>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409446</xdr:colOff>
      <xdr:row>79</xdr:row>
      <xdr:rowOff>51797</xdr:rowOff>
    </xdr:from>
    <xdr:to>
      <xdr:col>17</xdr:col>
      <xdr:colOff>408216</xdr:colOff>
      <xdr:row>89</xdr:row>
      <xdr:rowOff>165658</xdr:rowOff>
    </xdr:to>
    <xdr:cxnSp macro="">
      <xdr:nvCxnSpPr>
        <xdr:cNvPr id="467" name="Connector: Elbow 466">
          <a:extLst>
            <a:ext uri="{FF2B5EF4-FFF2-40B4-BE49-F238E27FC236}">
              <a16:creationId xmlns:a16="http://schemas.microsoft.com/office/drawing/2014/main" id="{00000000-0008-0000-1000-0000D3010000}"/>
            </a:ext>
          </a:extLst>
        </xdr:cNvPr>
        <xdr:cNvCxnSpPr>
          <a:stCxn id="465" idx="4"/>
          <a:endCxn id="464" idx="1"/>
        </xdr:cNvCxnSpPr>
      </xdr:nvCxnSpPr>
      <xdr:spPr>
        <a:xfrm rot="16200000" flipH="1">
          <a:off x="9569642" y="15287891"/>
          <a:ext cx="1957410" cy="613286"/>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409445</xdr:colOff>
      <xdr:row>76</xdr:row>
      <xdr:rowOff>181986</xdr:rowOff>
    </xdr:from>
    <xdr:to>
      <xdr:col>17</xdr:col>
      <xdr:colOff>285748</xdr:colOff>
      <xdr:row>77</xdr:row>
      <xdr:rowOff>166097</xdr:rowOff>
    </xdr:to>
    <xdr:cxnSp macro="">
      <xdr:nvCxnSpPr>
        <xdr:cNvPr id="468" name="Connector: Elbow 467">
          <a:extLst>
            <a:ext uri="{FF2B5EF4-FFF2-40B4-BE49-F238E27FC236}">
              <a16:creationId xmlns:a16="http://schemas.microsoft.com/office/drawing/2014/main" id="{00000000-0008-0000-1000-0000D4010000}"/>
            </a:ext>
          </a:extLst>
        </xdr:cNvPr>
        <xdr:cNvCxnSpPr>
          <a:stCxn id="465" idx="0"/>
          <a:endCxn id="462" idx="1"/>
        </xdr:cNvCxnSpPr>
      </xdr:nvCxnSpPr>
      <xdr:spPr>
        <a:xfrm rot="5400000" flipH="1" flipV="1">
          <a:off x="10402880" y="14031777"/>
          <a:ext cx="168466" cy="490819"/>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567288</xdr:colOff>
      <xdr:row>78</xdr:row>
      <xdr:rowOff>108947</xdr:rowOff>
    </xdr:from>
    <xdr:to>
      <xdr:col>17</xdr:col>
      <xdr:colOff>451757</xdr:colOff>
      <xdr:row>83</xdr:row>
      <xdr:rowOff>119392</xdr:rowOff>
    </xdr:to>
    <xdr:cxnSp macro="">
      <xdr:nvCxnSpPr>
        <xdr:cNvPr id="469" name="Connector: Elbow 468">
          <a:extLst>
            <a:ext uri="{FF2B5EF4-FFF2-40B4-BE49-F238E27FC236}">
              <a16:creationId xmlns:a16="http://schemas.microsoft.com/office/drawing/2014/main" id="{00000000-0008-0000-1000-0000D5010000}"/>
            </a:ext>
          </a:extLst>
        </xdr:cNvPr>
        <xdr:cNvCxnSpPr>
          <a:stCxn id="465" idx="6"/>
          <a:endCxn id="463" idx="1"/>
        </xdr:cNvCxnSpPr>
      </xdr:nvCxnSpPr>
      <xdr:spPr>
        <a:xfrm>
          <a:off x="10399546" y="14488624"/>
          <a:ext cx="498985" cy="932220"/>
        </a:xfrm>
        <a:prstGeom prst="bentConnector3">
          <a:avLst>
            <a:gd name="adj1" fmla="val 50000"/>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419099</xdr:colOff>
      <xdr:row>95</xdr:row>
      <xdr:rowOff>152400</xdr:rowOff>
    </xdr:from>
    <xdr:to>
      <xdr:col>19</xdr:col>
      <xdr:colOff>48985</xdr:colOff>
      <xdr:row>98</xdr:row>
      <xdr:rowOff>103415</xdr:rowOff>
    </xdr:to>
    <xdr:sp macro="" textlink="">
      <xdr:nvSpPr>
        <xdr:cNvPr id="475" name="Rectangle: Rounded Corners 474">
          <a:extLst>
            <a:ext uri="{FF2B5EF4-FFF2-40B4-BE49-F238E27FC236}">
              <a16:creationId xmlns:a16="http://schemas.microsoft.com/office/drawing/2014/main" id="{00000000-0008-0000-1000-0000DB010000}"/>
            </a:ext>
          </a:extLst>
        </xdr:cNvPr>
        <xdr:cNvSpPr/>
      </xdr:nvSpPr>
      <xdr:spPr>
        <a:xfrm>
          <a:off x="10782299" y="17106900"/>
          <a:ext cx="849086" cy="522515"/>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LBW</a:t>
          </a:r>
        </a:p>
      </xdr:txBody>
    </xdr:sp>
    <xdr:clientData/>
  </xdr:twoCellAnchor>
  <xdr:twoCellAnchor>
    <xdr:from>
      <xdr:col>17</xdr:col>
      <xdr:colOff>375557</xdr:colOff>
      <xdr:row>103</xdr:row>
      <xdr:rowOff>51707</xdr:rowOff>
    </xdr:from>
    <xdr:to>
      <xdr:col>19</xdr:col>
      <xdr:colOff>5443</xdr:colOff>
      <xdr:row>106</xdr:row>
      <xdr:rowOff>2721</xdr:rowOff>
    </xdr:to>
    <xdr:sp macro="" textlink="">
      <xdr:nvSpPr>
        <xdr:cNvPr id="476" name="Rectangle: Rounded Corners 475">
          <a:extLst>
            <a:ext uri="{FF2B5EF4-FFF2-40B4-BE49-F238E27FC236}">
              <a16:creationId xmlns:a16="http://schemas.microsoft.com/office/drawing/2014/main" id="{00000000-0008-0000-1000-0000DC010000}"/>
            </a:ext>
          </a:extLst>
        </xdr:cNvPr>
        <xdr:cNvSpPr/>
      </xdr:nvSpPr>
      <xdr:spPr>
        <a:xfrm>
          <a:off x="10738757" y="19673207"/>
          <a:ext cx="849086" cy="522514"/>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Healthy</a:t>
          </a:r>
        </a:p>
      </xdr:txBody>
    </xdr:sp>
    <xdr:clientData/>
  </xdr:twoCellAnchor>
  <xdr:twoCellAnchor>
    <xdr:from>
      <xdr:col>17</xdr:col>
      <xdr:colOff>255816</xdr:colOff>
      <xdr:row>110</xdr:row>
      <xdr:rowOff>2</xdr:rowOff>
    </xdr:from>
    <xdr:to>
      <xdr:col>18</xdr:col>
      <xdr:colOff>495302</xdr:colOff>
      <xdr:row>112</xdr:row>
      <xdr:rowOff>146960</xdr:rowOff>
    </xdr:to>
    <xdr:sp macro="" textlink="">
      <xdr:nvSpPr>
        <xdr:cNvPr id="477" name="Rectangle: Rounded Corners 476">
          <a:extLst>
            <a:ext uri="{FF2B5EF4-FFF2-40B4-BE49-F238E27FC236}">
              <a16:creationId xmlns:a16="http://schemas.microsoft.com/office/drawing/2014/main" id="{00000000-0008-0000-1000-0000DD010000}"/>
            </a:ext>
          </a:extLst>
        </xdr:cNvPr>
        <xdr:cNvSpPr/>
      </xdr:nvSpPr>
      <xdr:spPr>
        <a:xfrm>
          <a:off x="10619016" y="20955002"/>
          <a:ext cx="849086" cy="527958"/>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Stillbirth</a:t>
          </a:r>
        </a:p>
      </xdr:txBody>
    </xdr:sp>
    <xdr:clientData/>
  </xdr:twoCellAnchor>
  <xdr:twoCellAnchor>
    <xdr:from>
      <xdr:col>16</xdr:col>
      <xdr:colOff>304802</xdr:colOff>
      <xdr:row>99</xdr:row>
      <xdr:rowOff>41965</xdr:rowOff>
    </xdr:from>
    <xdr:to>
      <xdr:col>17</xdr:col>
      <xdr:colOff>10887</xdr:colOff>
      <xdr:row>100</xdr:row>
      <xdr:rowOff>118165</xdr:rowOff>
    </xdr:to>
    <xdr:sp macro="" textlink="">
      <xdr:nvSpPr>
        <xdr:cNvPr id="478" name="Oval 477">
          <a:extLst>
            <a:ext uri="{FF2B5EF4-FFF2-40B4-BE49-F238E27FC236}">
              <a16:creationId xmlns:a16="http://schemas.microsoft.com/office/drawing/2014/main" id="{00000000-0008-0000-1000-0000DE010000}"/>
            </a:ext>
          </a:extLst>
        </xdr:cNvPr>
        <xdr:cNvSpPr/>
      </xdr:nvSpPr>
      <xdr:spPr>
        <a:xfrm>
          <a:off x="10137060" y="18293094"/>
          <a:ext cx="320601" cy="26055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15</xdr:col>
      <xdr:colOff>302078</xdr:colOff>
      <xdr:row>99</xdr:row>
      <xdr:rowOff>172243</xdr:rowOff>
    </xdr:from>
    <xdr:to>
      <xdr:col>16</xdr:col>
      <xdr:colOff>304802</xdr:colOff>
      <xdr:row>100</xdr:row>
      <xdr:rowOff>16678</xdr:rowOff>
    </xdr:to>
    <xdr:cxnSp macro="">
      <xdr:nvCxnSpPr>
        <xdr:cNvPr id="479" name="Connector: Elbow 42">
          <a:extLst>
            <a:ext uri="{FF2B5EF4-FFF2-40B4-BE49-F238E27FC236}">
              <a16:creationId xmlns:a16="http://schemas.microsoft.com/office/drawing/2014/main" id="{00000000-0008-0000-1000-0000DF010000}"/>
            </a:ext>
          </a:extLst>
        </xdr:cNvPr>
        <xdr:cNvCxnSpPr>
          <a:cxnSpLocks/>
          <a:stCxn id="252" idx="3"/>
          <a:endCxn id="478" idx="2"/>
        </xdr:cNvCxnSpPr>
      </xdr:nvCxnSpPr>
      <xdr:spPr>
        <a:xfrm flipV="1">
          <a:off x="9519820" y="18423372"/>
          <a:ext cx="617240" cy="28790"/>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465103</xdr:colOff>
      <xdr:row>100</xdr:row>
      <xdr:rowOff>118164</xdr:rowOff>
    </xdr:from>
    <xdr:to>
      <xdr:col>17</xdr:col>
      <xdr:colOff>255816</xdr:colOff>
      <xdr:row>111</xdr:row>
      <xdr:rowOff>73480</xdr:rowOff>
    </xdr:to>
    <xdr:cxnSp macro="">
      <xdr:nvCxnSpPr>
        <xdr:cNvPr id="480" name="Connector: Elbow 479">
          <a:extLst>
            <a:ext uri="{FF2B5EF4-FFF2-40B4-BE49-F238E27FC236}">
              <a16:creationId xmlns:a16="http://schemas.microsoft.com/office/drawing/2014/main" id="{00000000-0008-0000-1000-0000E0010000}"/>
            </a:ext>
          </a:extLst>
        </xdr:cNvPr>
        <xdr:cNvCxnSpPr>
          <a:stCxn id="478" idx="4"/>
          <a:endCxn id="477" idx="1"/>
        </xdr:cNvCxnSpPr>
      </xdr:nvCxnSpPr>
      <xdr:spPr>
        <a:xfrm rot="16200000" flipH="1">
          <a:off x="9508366" y="19342643"/>
          <a:ext cx="1983219" cy="405229"/>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465103</xdr:colOff>
      <xdr:row>97</xdr:row>
      <xdr:rowOff>35731</xdr:rowOff>
    </xdr:from>
    <xdr:to>
      <xdr:col>17</xdr:col>
      <xdr:colOff>419099</xdr:colOff>
      <xdr:row>99</xdr:row>
      <xdr:rowOff>41965</xdr:rowOff>
    </xdr:to>
    <xdr:cxnSp macro="">
      <xdr:nvCxnSpPr>
        <xdr:cNvPr id="481" name="Connector: Elbow 480">
          <a:extLst>
            <a:ext uri="{FF2B5EF4-FFF2-40B4-BE49-F238E27FC236}">
              <a16:creationId xmlns:a16="http://schemas.microsoft.com/office/drawing/2014/main" id="{00000000-0008-0000-1000-0000E1010000}"/>
            </a:ext>
          </a:extLst>
        </xdr:cNvPr>
        <xdr:cNvCxnSpPr>
          <a:stCxn id="478" idx="0"/>
          <a:endCxn id="475" idx="1"/>
        </xdr:cNvCxnSpPr>
      </xdr:nvCxnSpPr>
      <xdr:spPr>
        <a:xfrm rot="5400000" flipH="1" flipV="1">
          <a:off x="10394145" y="17821366"/>
          <a:ext cx="374944" cy="568512"/>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10887</xdr:colOff>
      <xdr:row>99</xdr:row>
      <xdr:rowOff>172243</xdr:rowOff>
    </xdr:from>
    <xdr:to>
      <xdr:col>17</xdr:col>
      <xdr:colOff>375557</xdr:colOff>
      <xdr:row>104</xdr:row>
      <xdr:rowOff>119392</xdr:rowOff>
    </xdr:to>
    <xdr:cxnSp macro="">
      <xdr:nvCxnSpPr>
        <xdr:cNvPr id="482" name="Connector: Elbow 481">
          <a:extLst>
            <a:ext uri="{FF2B5EF4-FFF2-40B4-BE49-F238E27FC236}">
              <a16:creationId xmlns:a16="http://schemas.microsoft.com/office/drawing/2014/main" id="{00000000-0008-0000-1000-0000E2010000}"/>
            </a:ext>
          </a:extLst>
        </xdr:cNvPr>
        <xdr:cNvCxnSpPr>
          <a:stCxn id="478" idx="6"/>
          <a:endCxn id="476" idx="1"/>
        </xdr:cNvCxnSpPr>
      </xdr:nvCxnSpPr>
      <xdr:spPr>
        <a:xfrm>
          <a:off x="10457661" y="18423372"/>
          <a:ext cx="364670" cy="868923"/>
        </a:xfrm>
        <a:prstGeom prst="bentConnector3">
          <a:avLst>
            <a:gd name="adj1" fmla="val 50000"/>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579665</xdr:colOff>
      <xdr:row>110</xdr:row>
      <xdr:rowOff>114301</xdr:rowOff>
    </xdr:from>
    <xdr:to>
      <xdr:col>20</xdr:col>
      <xdr:colOff>176894</xdr:colOff>
      <xdr:row>111</xdr:row>
      <xdr:rowOff>168729</xdr:rowOff>
    </xdr:to>
    <xdr:sp macro="" textlink="">
      <xdr:nvSpPr>
        <xdr:cNvPr id="484" name="Isosceles Triangle 483">
          <a:extLst>
            <a:ext uri="{FF2B5EF4-FFF2-40B4-BE49-F238E27FC236}">
              <a16:creationId xmlns:a16="http://schemas.microsoft.com/office/drawing/2014/main" id="{00000000-0008-0000-1000-0000E4010000}"/>
            </a:ext>
          </a:extLst>
        </xdr:cNvPr>
        <xdr:cNvSpPr/>
      </xdr:nvSpPr>
      <xdr:spPr>
        <a:xfrm rot="5400000">
          <a:off x="12143016" y="21088350"/>
          <a:ext cx="244928"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18</xdr:col>
      <xdr:colOff>495302</xdr:colOff>
      <xdr:row>111</xdr:row>
      <xdr:rowOff>46265</xdr:rowOff>
    </xdr:from>
    <xdr:to>
      <xdr:col>19</xdr:col>
      <xdr:colOff>579666</xdr:colOff>
      <xdr:row>111</xdr:row>
      <xdr:rowOff>73481</xdr:rowOff>
    </xdr:to>
    <xdr:cxnSp macro="">
      <xdr:nvCxnSpPr>
        <xdr:cNvPr id="485" name="Connector: Elbow 351">
          <a:extLst>
            <a:ext uri="{FF2B5EF4-FFF2-40B4-BE49-F238E27FC236}">
              <a16:creationId xmlns:a16="http://schemas.microsoft.com/office/drawing/2014/main" id="{00000000-0008-0000-1000-0000E5010000}"/>
            </a:ext>
          </a:extLst>
        </xdr:cNvPr>
        <xdr:cNvCxnSpPr>
          <a:stCxn id="477" idx="3"/>
          <a:endCxn id="484" idx="3"/>
        </xdr:cNvCxnSpPr>
      </xdr:nvCxnSpPr>
      <xdr:spPr>
        <a:xfrm flipV="1">
          <a:off x="11468102" y="21191765"/>
          <a:ext cx="693964" cy="27216"/>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408215</xdr:colOff>
      <xdr:row>104</xdr:row>
      <xdr:rowOff>3</xdr:rowOff>
    </xdr:from>
    <xdr:to>
      <xdr:col>20</xdr:col>
      <xdr:colOff>5444</xdr:colOff>
      <xdr:row>105</xdr:row>
      <xdr:rowOff>54431</xdr:rowOff>
    </xdr:to>
    <xdr:sp macro="" textlink="">
      <xdr:nvSpPr>
        <xdr:cNvPr id="487" name="Isosceles Triangle 486">
          <a:extLst>
            <a:ext uri="{FF2B5EF4-FFF2-40B4-BE49-F238E27FC236}">
              <a16:creationId xmlns:a16="http://schemas.microsoft.com/office/drawing/2014/main" id="{00000000-0008-0000-1000-0000E7010000}"/>
            </a:ext>
          </a:extLst>
        </xdr:cNvPr>
        <xdr:cNvSpPr/>
      </xdr:nvSpPr>
      <xdr:spPr>
        <a:xfrm rot="5400000">
          <a:off x="11971566" y="19831052"/>
          <a:ext cx="244928"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19</xdr:col>
      <xdr:colOff>5443</xdr:colOff>
      <xdr:row>104</xdr:row>
      <xdr:rowOff>122464</xdr:rowOff>
    </xdr:from>
    <xdr:to>
      <xdr:col>19</xdr:col>
      <xdr:colOff>408216</xdr:colOff>
      <xdr:row>104</xdr:row>
      <xdr:rowOff>122467</xdr:rowOff>
    </xdr:to>
    <xdr:cxnSp macro="">
      <xdr:nvCxnSpPr>
        <xdr:cNvPr id="488" name="Connector: Elbow 351">
          <a:extLst>
            <a:ext uri="{FF2B5EF4-FFF2-40B4-BE49-F238E27FC236}">
              <a16:creationId xmlns:a16="http://schemas.microsoft.com/office/drawing/2014/main" id="{00000000-0008-0000-1000-0000E8010000}"/>
            </a:ext>
          </a:extLst>
        </xdr:cNvPr>
        <xdr:cNvCxnSpPr>
          <a:stCxn id="476" idx="3"/>
          <a:endCxn id="487" idx="3"/>
        </xdr:cNvCxnSpPr>
      </xdr:nvCxnSpPr>
      <xdr:spPr>
        <a:xfrm>
          <a:off x="11587843" y="19934464"/>
          <a:ext cx="402773" cy="3"/>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465365</xdr:colOff>
      <xdr:row>89</xdr:row>
      <xdr:rowOff>76201</xdr:rowOff>
    </xdr:from>
    <xdr:to>
      <xdr:col>20</xdr:col>
      <xdr:colOff>62594</xdr:colOff>
      <xdr:row>90</xdr:row>
      <xdr:rowOff>130629</xdr:rowOff>
    </xdr:to>
    <xdr:sp macro="" textlink="">
      <xdr:nvSpPr>
        <xdr:cNvPr id="490" name="Isosceles Triangle 489">
          <a:extLst>
            <a:ext uri="{FF2B5EF4-FFF2-40B4-BE49-F238E27FC236}">
              <a16:creationId xmlns:a16="http://schemas.microsoft.com/office/drawing/2014/main" id="{00000000-0008-0000-1000-0000EA010000}"/>
            </a:ext>
          </a:extLst>
        </xdr:cNvPr>
        <xdr:cNvSpPr/>
      </xdr:nvSpPr>
      <xdr:spPr>
        <a:xfrm rot="5400000">
          <a:off x="12028716" y="17049750"/>
          <a:ext cx="244928"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19</xdr:col>
      <xdr:colOff>38102</xdr:colOff>
      <xdr:row>89</xdr:row>
      <xdr:rowOff>168731</xdr:rowOff>
    </xdr:from>
    <xdr:to>
      <xdr:col>19</xdr:col>
      <xdr:colOff>465366</xdr:colOff>
      <xdr:row>90</xdr:row>
      <xdr:rowOff>8165</xdr:rowOff>
    </xdr:to>
    <xdr:cxnSp macro="">
      <xdr:nvCxnSpPr>
        <xdr:cNvPr id="491" name="Connector: Elbow 351">
          <a:extLst>
            <a:ext uri="{FF2B5EF4-FFF2-40B4-BE49-F238E27FC236}">
              <a16:creationId xmlns:a16="http://schemas.microsoft.com/office/drawing/2014/main" id="{00000000-0008-0000-1000-0000EB010000}"/>
            </a:ext>
          </a:extLst>
        </xdr:cNvPr>
        <xdr:cNvCxnSpPr>
          <a:stCxn id="464" idx="3"/>
          <a:endCxn id="490" idx="3"/>
        </xdr:cNvCxnSpPr>
      </xdr:nvCxnSpPr>
      <xdr:spPr>
        <a:xfrm>
          <a:off x="11620502" y="17123231"/>
          <a:ext cx="427264" cy="29934"/>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541565</xdr:colOff>
      <xdr:row>82</xdr:row>
      <xdr:rowOff>171451</xdr:rowOff>
    </xdr:from>
    <xdr:to>
      <xdr:col>20</xdr:col>
      <xdr:colOff>138794</xdr:colOff>
      <xdr:row>84</xdr:row>
      <xdr:rowOff>35379</xdr:rowOff>
    </xdr:to>
    <xdr:sp macro="" textlink="">
      <xdr:nvSpPr>
        <xdr:cNvPr id="493" name="Isosceles Triangle 492">
          <a:extLst>
            <a:ext uri="{FF2B5EF4-FFF2-40B4-BE49-F238E27FC236}">
              <a16:creationId xmlns:a16="http://schemas.microsoft.com/office/drawing/2014/main" id="{00000000-0008-0000-1000-0000ED010000}"/>
            </a:ext>
          </a:extLst>
        </xdr:cNvPr>
        <xdr:cNvSpPr/>
      </xdr:nvSpPr>
      <xdr:spPr>
        <a:xfrm rot="5400000">
          <a:off x="12104916" y="15811500"/>
          <a:ext cx="244928"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19</xdr:col>
      <xdr:colOff>81643</xdr:colOff>
      <xdr:row>83</xdr:row>
      <xdr:rowOff>103415</xdr:rowOff>
    </xdr:from>
    <xdr:to>
      <xdr:col>19</xdr:col>
      <xdr:colOff>541566</xdr:colOff>
      <xdr:row>83</xdr:row>
      <xdr:rowOff>122465</xdr:rowOff>
    </xdr:to>
    <xdr:cxnSp macro="">
      <xdr:nvCxnSpPr>
        <xdr:cNvPr id="494" name="Connector: Elbow 351">
          <a:extLst>
            <a:ext uri="{FF2B5EF4-FFF2-40B4-BE49-F238E27FC236}">
              <a16:creationId xmlns:a16="http://schemas.microsoft.com/office/drawing/2014/main" id="{00000000-0008-0000-1000-0000EE010000}"/>
            </a:ext>
          </a:extLst>
        </xdr:cNvPr>
        <xdr:cNvCxnSpPr>
          <a:stCxn id="463" idx="3"/>
          <a:endCxn id="493" idx="3"/>
        </xdr:cNvCxnSpPr>
      </xdr:nvCxnSpPr>
      <xdr:spPr>
        <a:xfrm flipV="1">
          <a:off x="11664043" y="15914915"/>
          <a:ext cx="459923" cy="19050"/>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408215</xdr:colOff>
      <xdr:row>70</xdr:row>
      <xdr:rowOff>0</xdr:rowOff>
    </xdr:from>
    <xdr:to>
      <xdr:col>20</xdr:col>
      <xdr:colOff>5444</xdr:colOff>
      <xdr:row>71</xdr:row>
      <xdr:rowOff>54428</xdr:rowOff>
    </xdr:to>
    <xdr:sp macro="" textlink="">
      <xdr:nvSpPr>
        <xdr:cNvPr id="496" name="Isosceles Triangle 495">
          <a:extLst>
            <a:ext uri="{FF2B5EF4-FFF2-40B4-BE49-F238E27FC236}">
              <a16:creationId xmlns:a16="http://schemas.microsoft.com/office/drawing/2014/main" id="{00000000-0008-0000-1000-0000F0010000}"/>
            </a:ext>
          </a:extLst>
        </xdr:cNvPr>
        <xdr:cNvSpPr/>
      </xdr:nvSpPr>
      <xdr:spPr>
        <a:xfrm rot="5400000">
          <a:off x="11974287" y="10194471"/>
          <a:ext cx="239485"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18</xdr:col>
      <xdr:colOff>446316</xdr:colOff>
      <xdr:row>70</xdr:row>
      <xdr:rowOff>119743</xdr:rowOff>
    </xdr:from>
    <xdr:to>
      <xdr:col>19</xdr:col>
      <xdr:colOff>408215</xdr:colOff>
      <xdr:row>70</xdr:row>
      <xdr:rowOff>179616</xdr:rowOff>
    </xdr:to>
    <xdr:cxnSp macro="">
      <xdr:nvCxnSpPr>
        <xdr:cNvPr id="497" name="Connector: Elbow 351">
          <a:extLst>
            <a:ext uri="{FF2B5EF4-FFF2-40B4-BE49-F238E27FC236}">
              <a16:creationId xmlns:a16="http://schemas.microsoft.com/office/drawing/2014/main" id="{00000000-0008-0000-1000-0000F1010000}"/>
            </a:ext>
          </a:extLst>
        </xdr:cNvPr>
        <xdr:cNvCxnSpPr>
          <a:stCxn id="438" idx="3"/>
          <a:endCxn id="496" idx="3"/>
        </xdr:cNvCxnSpPr>
      </xdr:nvCxnSpPr>
      <xdr:spPr>
        <a:xfrm flipV="1">
          <a:off x="11419116" y="10297886"/>
          <a:ext cx="571499" cy="59873"/>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408215</xdr:colOff>
      <xdr:row>66</xdr:row>
      <xdr:rowOff>0</xdr:rowOff>
    </xdr:from>
    <xdr:to>
      <xdr:col>20</xdr:col>
      <xdr:colOff>5444</xdr:colOff>
      <xdr:row>67</xdr:row>
      <xdr:rowOff>54428</xdr:rowOff>
    </xdr:to>
    <xdr:sp macro="" textlink="">
      <xdr:nvSpPr>
        <xdr:cNvPr id="499" name="Isosceles Triangle 498">
          <a:extLst>
            <a:ext uri="{FF2B5EF4-FFF2-40B4-BE49-F238E27FC236}">
              <a16:creationId xmlns:a16="http://schemas.microsoft.com/office/drawing/2014/main" id="{00000000-0008-0000-1000-0000F3010000}"/>
            </a:ext>
          </a:extLst>
        </xdr:cNvPr>
        <xdr:cNvSpPr/>
      </xdr:nvSpPr>
      <xdr:spPr>
        <a:xfrm rot="5400000">
          <a:off x="11974287" y="9454242"/>
          <a:ext cx="239485"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18</xdr:col>
      <xdr:colOff>489857</xdr:colOff>
      <xdr:row>66</xdr:row>
      <xdr:rowOff>119743</xdr:rowOff>
    </xdr:from>
    <xdr:to>
      <xdr:col>19</xdr:col>
      <xdr:colOff>408215</xdr:colOff>
      <xdr:row>66</xdr:row>
      <xdr:rowOff>136071</xdr:rowOff>
    </xdr:to>
    <xdr:cxnSp macro="">
      <xdr:nvCxnSpPr>
        <xdr:cNvPr id="500" name="Connector: Elbow 351">
          <a:extLst>
            <a:ext uri="{FF2B5EF4-FFF2-40B4-BE49-F238E27FC236}">
              <a16:creationId xmlns:a16="http://schemas.microsoft.com/office/drawing/2014/main" id="{00000000-0008-0000-1000-0000F4010000}"/>
            </a:ext>
          </a:extLst>
        </xdr:cNvPr>
        <xdr:cNvCxnSpPr>
          <a:stCxn id="437" idx="3"/>
          <a:endCxn id="499" idx="3"/>
        </xdr:cNvCxnSpPr>
      </xdr:nvCxnSpPr>
      <xdr:spPr>
        <a:xfrm flipV="1">
          <a:off x="11462657" y="9557657"/>
          <a:ext cx="527958" cy="16328"/>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408215</xdr:colOff>
      <xdr:row>56</xdr:row>
      <xdr:rowOff>133351</xdr:rowOff>
    </xdr:from>
    <xdr:to>
      <xdr:col>20</xdr:col>
      <xdr:colOff>5444</xdr:colOff>
      <xdr:row>57</xdr:row>
      <xdr:rowOff>187779</xdr:rowOff>
    </xdr:to>
    <xdr:sp macro="" textlink="">
      <xdr:nvSpPr>
        <xdr:cNvPr id="502" name="Isosceles Triangle 501">
          <a:extLst>
            <a:ext uri="{FF2B5EF4-FFF2-40B4-BE49-F238E27FC236}">
              <a16:creationId xmlns:a16="http://schemas.microsoft.com/office/drawing/2014/main" id="{00000000-0008-0000-1000-0000F6010000}"/>
            </a:ext>
          </a:extLst>
        </xdr:cNvPr>
        <xdr:cNvSpPr/>
      </xdr:nvSpPr>
      <xdr:spPr>
        <a:xfrm rot="5400000">
          <a:off x="11971566" y="9677400"/>
          <a:ext cx="244928"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19</xdr:col>
      <xdr:colOff>95251</xdr:colOff>
      <xdr:row>57</xdr:row>
      <xdr:rowOff>61505</xdr:rowOff>
    </xdr:from>
    <xdr:to>
      <xdr:col>19</xdr:col>
      <xdr:colOff>408216</xdr:colOff>
      <xdr:row>57</xdr:row>
      <xdr:rowOff>68037</xdr:rowOff>
    </xdr:to>
    <xdr:cxnSp macro="">
      <xdr:nvCxnSpPr>
        <xdr:cNvPr id="503" name="Connector: Elbow 351">
          <a:extLst>
            <a:ext uri="{FF2B5EF4-FFF2-40B4-BE49-F238E27FC236}">
              <a16:creationId xmlns:a16="http://schemas.microsoft.com/office/drawing/2014/main" id="{00000000-0008-0000-1000-0000F7010000}"/>
            </a:ext>
          </a:extLst>
        </xdr:cNvPr>
        <xdr:cNvCxnSpPr>
          <a:stCxn id="422" idx="3"/>
          <a:endCxn id="502" idx="3"/>
        </xdr:cNvCxnSpPr>
      </xdr:nvCxnSpPr>
      <xdr:spPr>
        <a:xfrm flipV="1">
          <a:off x="11677651" y="9777005"/>
          <a:ext cx="312965" cy="6532"/>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408215</xdr:colOff>
      <xdr:row>52</xdr:row>
      <xdr:rowOff>0</xdr:rowOff>
    </xdr:from>
    <xdr:to>
      <xdr:col>20</xdr:col>
      <xdr:colOff>5444</xdr:colOff>
      <xdr:row>53</xdr:row>
      <xdr:rowOff>54428</xdr:rowOff>
    </xdr:to>
    <xdr:sp macro="" textlink="">
      <xdr:nvSpPr>
        <xdr:cNvPr id="505" name="Isosceles Triangle 504">
          <a:extLst>
            <a:ext uri="{FF2B5EF4-FFF2-40B4-BE49-F238E27FC236}">
              <a16:creationId xmlns:a16="http://schemas.microsoft.com/office/drawing/2014/main" id="{00000000-0008-0000-1000-0000F9010000}"/>
            </a:ext>
          </a:extLst>
        </xdr:cNvPr>
        <xdr:cNvSpPr/>
      </xdr:nvSpPr>
      <xdr:spPr>
        <a:xfrm rot="5400000">
          <a:off x="11974287" y="6863442"/>
          <a:ext cx="239485"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19</xdr:col>
      <xdr:colOff>62593</xdr:colOff>
      <xdr:row>52</xdr:row>
      <xdr:rowOff>111578</xdr:rowOff>
    </xdr:from>
    <xdr:to>
      <xdr:col>19</xdr:col>
      <xdr:colOff>408216</xdr:colOff>
      <xdr:row>52</xdr:row>
      <xdr:rowOff>122464</xdr:rowOff>
    </xdr:to>
    <xdr:cxnSp macro="">
      <xdr:nvCxnSpPr>
        <xdr:cNvPr id="506" name="Connector: Elbow 351">
          <a:extLst>
            <a:ext uri="{FF2B5EF4-FFF2-40B4-BE49-F238E27FC236}">
              <a16:creationId xmlns:a16="http://schemas.microsoft.com/office/drawing/2014/main" id="{00000000-0008-0000-1000-0000FA010000}"/>
            </a:ext>
          </a:extLst>
        </xdr:cNvPr>
        <xdr:cNvCxnSpPr>
          <a:stCxn id="421" idx="3"/>
          <a:endCxn id="505" idx="3"/>
        </xdr:cNvCxnSpPr>
      </xdr:nvCxnSpPr>
      <xdr:spPr>
        <a:xfrm>
          <a:off x="11644993" y="8874578"/>
          <a:ext cx="345623" cy="10886"/>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351065</xdr:colOff>
      <xdr:row>41</xdr:row>
      <xdr:rowOff>38101</xdr:rowOff>
    </xdr:from>
    <xdr:to>
      <xdr:col>19</xdr:col>
      <xdr:colOff>557894</xdr:colOff>
      <xdr:row>42</xdr:row>
      <xdr:rowOff>92529</xdr:rowOff>
    </xdr:to>
    <xdr:sp macro="" textlink="">
      <xdr:nvSpPr>
        <xdr:cNvPr id="508" name="Isosceles Triangle 507">
          <a:extLst>
            <a:ext uri="{FF2B5EF4-FFF2-40B4-BE49-F238E27FC236}">
              <a16:creationId xmlns:a16="http://schemas.microsoft.com/office/drawing/2014/main" id="{00000000-0008-0000-1000-0000FC010000}"/>
            </a:ext>
          </a:extLst>
        </xdr:cNvPr>
        <xdr:cNvSpPr/>
      </xdr:nvSpPr>
      <xdr:spPr>
        <a:xfrm rot="5400000">
          <a:off x="11914416" y="6724650"/>
          <a:ext cx="244928"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18</xdr:col>
      <xdr:colOff>606879</xdr:colOff>
      <xdr:row>41</xdr:row>
      <xdr:rowOff>146958</xdr:rowOff>
    </xdr:from>
    <xdr:to>
      <xdr:col>19</xdr:col>
      <xdr:colOff>351066</xdr:colOff>
      <xdr:row>41</xdr:row>
      <xdr:rowOff>160565</xdr:rowOff>
    </xdr:to>
    <xdr:cxnSp macro="">
      <xdr:nvCxnSpPr>
        <xdr:cNvPr id="509" name="Connector: Elbow 351">
          <a:extLst>
            <a:ext uri="{FF2B5EF4-FFF2-40B4-BE49-F238E27FC236}">
              <a16:creationId xmlns:a16="http://schemas.microsoft.com/office/drawing/2014/main" id="{00000000-0008-0000-1000-0000FD010000}"/>
            </a:ext>
          </a:extLst>
        </xdr:cNvPr>
        <xdr:cNvCxnSpPr>
          <a:stCxn id="406" idx="3"/>
          <a:endCxn id="508" idx="3"/>
        </xdr:cNvCxnSpPr>
      </xdr:nvCxnSpPr>
      <xdr:spPr>
        <a:xfrm>
          <a:off x="11579679" y="6814458"/>
          <a:ext cx="353787" cy="13607"/>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379333</xdr:colOff>
      <xdr:row>35</xdr:row>
      <xdr:rowOff>13522</xdr:rowOff>
    </xdr:from>
    <xdr:to>
      <xdr:col>19</xdr:col>
      <xdr:colOff>591079</xdr:colOff>
      <xdr:row>36</xdr:row>
      <xdr:rowOff>67950</xdr:rowOff>
    </xdr:to>
    <xdr:sp macro="" textlink="">
      <xdr:nvSpPr>
        <xdr:cNvPr id="511" name="Isosceles Triangle 510">
          <a:extLst>
            <a:ext uri="{FF2B5EF4-FFF2-40B4-BE49-F238E27FC236}">
              <a16:creationId xmlns:a16="http://schemas.microsoft.com/office/drawing/2014/main" id="{00000000-0008-0000-1000-0000FF010000}"/>
            </a:ext>
          </a:extLst>
        </xdr:cNvPr>
        <xdr:cNvSpPr/>
      </xdr:nvSpPr>
      <xdr:spPr>
        <a:xfrm rot="5400000">
          <a:off x="12041620" y="6479460"/>
          <a:ext cx="238783" cy="211746"/>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18</xdr:col>
      <xdr:colOff>549729</xdr:colOff>
      <xdr:row>35</xdr:row>
      <xdr:rowOff>127556</xdr:rowOff>
    </xdr:from>
    <xdr:to>
      <xdr:col>19</xdr:col>
      <xdr:colOff>379333</xdr:colOff>
      <xdr:row>35</xdr:row>
      <xdr:rowOff>132915</xdr:rowOff>
    </xdr:to>
    <xdr:cxnSp macro="">
      <xdr:nvCxnSpPr>
        <xdr:cNvPr id="512" name="Connector: Elbow 351">
          <a:extLst>
            <a:ext uri="{FF2B5EF4-FFF2-40B4-BE49-F238E27FC236}">
              <a16:creationId xmlns:a16="http://schemas.microsoft.com/office/drawing/2014/main" id="{00000000-0008-0000-1000-000000020000}"/>
            </a:ext>
          </a:extLst>
        </xdr:cNvPr>
        <xdr:cNvCxnSpPr>
          <a:stCxn id="405" idx="3"/>
          <a:endCxn id="511" idx="3"/>
        </xdr:cNvCxnSpPr>
      </xdr:nvCxnSpPr>
      <xdr:spPr>
        <a:xfrm>
          <a:off x="11611019" y="6579975"/>
          <a:ext cx="444120" cy="5359"/>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503465</xdr:colOff>
      <xdr:row>24</xdr:row>
      <xdr:rowOff>114302</xdr:rowOff>
    </xdr:from>
    <xdr:to>
      <xdr:col>20</xdr:col>
      <xdr:colOff>100694</xdr:colOff>
      <xdr:row>25</xdr:row>
      <xdr:rowOff>168730</xdr:rowOff>
    </xdr:to>
    <xdr:sp macro="" textlink="">
      <xdr:nvSpPr>
        <xdr:cNvPr id="514" name="Isosceles Triangle 513">
          <a:extLst>
            <a:ext uri="{FF2B5EF4-FFF2-40B4-BE49-F238E27FC236}">
              <a16:creationId xmlns:a16="http://schemas.microsoft.com/office/drawing/2014/main" id="{00000000-0008-0000-1000-000002020000}"/>
            </a:ext>
          </a:extLst>
        </xdr:cNvPr>
        <xdr:cNvSpPr/>
      </xdr:nvSpPr>
      <xdr:spPr>
        <a:xfrm rot="5400000">
          <a:off x="12066816" y="4705351"/>
          <a:ext cx="244928"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18</xdr:col>
      <xdr:colOff>574222</xdr:colOff>
      <xdr:row>25</xdr:row>
      <xdr:rowOff>46266</xdr:rowOff>
    </xdr:from>
    <xdr:to>
      <xdr:col>19</xdr:col>
      <xdr:colOff>503466</xdr:colOff>
      <xdr:row>25</xdr:row>
      <xdr:rowOff>65315</xdr:rowOff>
    </xdr:to>
    <xdr:cxnSp macro="">
      <xdr:nvCxnSpPr>
        <xdr:cNvPr id="515" name="Connector: Elbow 351">
          <a:extLst>
            <a:ext uri="{FF2B5EF4-FFF2-40B4-BE49-F238E27FC236}">
              <a16:creationId xmlns:a16="http://schemas.microsoft.com/office/drawing/2014/main" id="{00000000-0008-0000-1000-000003020000}"/>
            </a:ext>
          </a:extLst>
        </xdr:cNvPr>
        <xdr:cNvCxnSpPr>
          <a:stCxn id="389" idx="3"/>
          <a:endCxn id="514" idx="3"/>
        </xdr:cNvCxnSpPr>
      </xdr:nvCxnSpPr>
      <xdr:spPr>
        <a:xfrm flipV="1">
          <a:off x="11547022" y="4808766"/>
          <a:ext cx="538844" cy="19049"/>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514526</xdr:colOff>
      <xdr:row>18</xdr:row>
      <xdr:rowOff>138884</xdr:rowOff>
    </xdr:from>
    <xdr:to>
      <xdr:col>20</xdr:col>
      <xdr:colOff>111755</xdr:colOff>
      <xdr:row>20</xdr:row>
      <xdr:rowOff>8957</xdr:rowOff>
    </xdr:to>
    <xdr:sp macro="" textlink="">
      <xdr:nvSpPr>
        <xdr:cNvPr id="517" name="Isosceles Triangle 516">
          <a:extLst>
            <a:ext uri="{FF2B5EF4-FFF2-40B4-BE49-F238E27FC236}">
              <a16:creationId xmlns:a16="http://schemas.microsoft.com/office/drawing/2014/main" id="{00000000-0008-0000-1000-000005020000}"/>
            </a:ext>
          </a:extLst>
        </xdr:cNvPr>
        <xdr:cNvSpPr/>
      </xdr:nvSpPr>
      <xdr:spPr>
        <a:xfrm rot="5400000">
          <a:off x="12176813" y="3470790"/>
          <a:ext cx="238783" cy="211746"/>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19</xdr:col>
      <xdr:colOff>96918</xdr:colOff>
      <xdr:row>19</xdr:row>
      <xdr:rowOff>73922</xdr:rowOff>
    </xdr:from>
    <xdr:to>
      <xdr:col>19</xdr:col>
      <xdr:colOff>514526</xdr:colOff>
      <xdr:row>19</xdr:row>
      <xdr:rowOff>97094</xdr:rowOff>
    </xdr:to>
    <xdr:cxnSp macro="">
      <xdr:nvCxnSpPr>
        <xdr:cNvPr id="518" name="Connector: Elbow 351">
          <a:extLst>
            <a:ext uri="{FF2B5EF4-FFF2-40B4-BE49-F238E27FC236}">
              <a16:creationId xmlns:a16="http://schemas.microsoft.com/office/drawing/2014/main" id="{00000000-0008-0000-1000-000006020000}"/>
            </a:ext>
          </a:extLst>
        </xdr:cNvPr>
        <xdr:cNvCxnSpPr>
          <a:stCxn id="388" idx="3"/>
          <a:endCxn id="517" idx="3"/>
        </xdr:cNvCxnSpPr>
      </xdr:nvCxnSpPr>
      <xdr:spPr>
        <a:xfrm flipV="1">
          <a:off x="11772724" y="3576664"/>
          <a:ext cx="417608" cy="23172"/>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332014</xdr:colOff>
      <xdr:row>4</xdr:row>
      <xdr:rowOff>19050</xdr:rowOff>
    </xdr:from>
    <xdr:to>
      <xdr:col>22</xdr:col>
      <xdr:colOff>571500</xdr:colOff>
      <xdr:row>6</xdr:row>
      <xdr:rowOff>160564</xdr:rowOff>
    </xdr:to>
    <xdr:sp macro="" textlink="">
      <xdr:nvSpPr>
        <xdr:cNvPr id="520" name="Rectangle: Rounded Corners 519">
          <a:extLst>
            <a:ext uri="{FF2B5EF4-FFF2-40B4-BE49-F238E27FC236}">
              <a16:creationId xmlns:a16="http://schemas.microsoft.com/office/drawing/2014/main" id="{00000000-0008-0000-1000-000008020000}"/>
            </a:ext>
          </a:extLst>
        </xdr:cNvPr>
        <xdr:cNvSpPr/>
      </xdr:nvSpPr>
      <xdr:spPr>
        <a:xfrm>
          <a:off x="13133614" y="781050"/>
          <a:ext cx="849086" cy="522514"/>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RDS</a:t>
          </a:r>
        </a:p>
      </xdr:txBody>
    </xdr:sp>
    <xdr:clientData/>
  </xdr:twoCellAnchor>
  <xdr:twoCellAnchor>
    <xdr:from>
      <xdr:col>21</xdr:col>
      <xdr:colOff>301113</xdr:colOff>
      <xdr:row>16</xdr:row>
      <xdr:rowOff>10710</xdr:rowOff>
    </xdr:from>
    <xdr:to>
      <xdr:col>22</xdr:col>
      <xdr:colOff>540599</xdr:colOff>
      <xdr:row>18</xdr:row>
      <xdr:rowOff>151523</xdr:rowOff>
    </xdr:to>
    <xdr:sp macro="" textlink="">
      <xdr:nvSpPr>
        <xdr:cNvPr id="521" name="Rectangle: Rounded Corners 520">
          <a:extLst>
            <a:ext uri="{FF2B5EF4-FFF2-40B4-BE49-F238E27FC236}">
              <a16:creationId xmlns:a16="http://schemas.microsoft.com/office/drawing/2014/main" id="{00000000-0008-0000-1000-000009020000}"/>
            </a:ext>
          </a:extLst>
        </xdr:cNvPr>
        <xdr:cNvSpPr/>
      </xdr:nvSpPr>
      <xdr:spPr>
        <a:xfrm>
          <a:off x="13205952" y="2960387"/>
          <a:ext cx="854002" cy="509523"/>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no RDS</a:t>
          </a:r>
        </a:p>
      </xdr:txBody>
    </xdr:sp>
    <xdr:clientData/>
  </xdr:twoCellAnchor>
  <xdr:twoCellAnchor>
    <xdr:from>
      <xdr:col>19</xdr:col>
      <xdr:colOff>454567</xdr:colOff>
      <xdr:row>9</xdr:row>
      <xdr:rowOff>147482</xdr:rowOff>
    </xdr:from>
    <xdr:to>
      <xdr:col>20</xdr:col>
      <xdr:colOff>160652</xdr:colOff>
      <xdr:row>11</xdr:row>
      <xdr:rowOff>39328</xdr:rowOff>
    </xdr:to>
    <xdr:sp macro="" textlink="">
      <xdr:nvSpPr>
        <xdr:cNvPr id="522" name="Oval 521">
          <a:extLst>
            <a:ext uri="{FF2B5EF4-FFF2-40B4-BE49-F238E27FC236}">
              <a16:creationId xmlns:a16="http://schemas.microsoft.com/office/drawing/2014/main" id="{00000000-0008-0000-1000-00000A020000}"/>
            </a:ext>
          </a:extLst>
        </xdr:cNvPr>
        <xdr:cNvSpPr/>
      </xdr:nvSpPr>
      <xdr:spPr>
        <a:xfrm>
          <a:off x="12130373" y="1806676"/>
          <a:ext cx="320602" cy="26055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19</xdr:col>
      <xdr:colOff>0</xdr:colOff>
      <xdr:row>10</xdr:row>
      <xdr:rowOff>89808</xdr:rowOff>
    </xdr:from>
    <xdr:to>
      <xdr:col>19</xdr:col>
      <xdr:colOff>454567</xdr:colOff>
      <xdr:row>10</xdr:row>
      <xdr:rowOff>93406</xdr:rowOff>
    </xdr:to>
    <xdr:cxnSp macro="">
      <xdr:nvCxnSpPr>
        <xdr:cNvPr id="523" name="Connector: Elbow 42">
          <a:extLst>
            <a:ext uri="{FF2B5EF4-FFF2-40B4-BE49-F238E27FC236}">
              <a16:creationId xmlns:a16="http://schemas.microsoft.com/office/drawing/2014/main" id="{00000000-0008-0000-1000-00000B020000}"/>
            </a:ext>
          </a:extLst>
        </xdr:cNvPr>
        <xdr:cNvCxnSpPr>
          <a:cxnSpLocks/>
          <a:stCxn id="387" idx="3"/>
          <a:endCxn id="522" idx="2"/>
        </xdr:cNvCxnSpPr>
      </xdr:nvCxnSpPr>
      <xdr:spPr>
        <a:xfrm>
          <a:off x="11675806" y="1933356"/>
          <a:ext cx="454567" cy="3598"/>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351</xdr:colOff>
      <xdr:row>5</xdr:row>
      <xdr:rowOff>89808</xdr:rowOff>
    </xdr:from>
    <xdr:to>
      <xdr:col>21</xdr:col>
      <xdr:colOff>332014</xdr:colOff>
      <xdr:row>9</xdr:row>
      <xdr:rowOff>147483</xdr:rowOff>
    </xdr:to>
    <xdr:cxnSp macro="">
      <xdr:nvCxnSpPr>
        <xdr:cNvPr id="524" name="Connector: Elbow 523">
          <a:extLst>
            <a:ext uri="{FF2B5EF4-FFF2-40B4-BE49-F238E27FC236}">
              <a16:creationId xmlns:a16="http://schemas.microsoft.com/office/drawing/2014/main" id="{00000000-0008-0000-1000-00000C020000}"/>
            </a:ext>
          </a:extLst>
        </xdr:cNvPr>
        <xdr:cNvCxnSpPr>
          <a:stCxn id="522" idx="0"/>
          <a:endCxn id="520" idx="1"/>
        </xdr:cNvCxnSpPr>
      </xdr:nvCxnSpPr>
      <xdr:spPr>
        <a:xfrm rot="5400000" flipH="1" flipV="1">
          <a:off x="12366216" y="936040"/>
          <a:ext cx="795095" cy="946179"/>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351</xdr:colOff>
      <xdr:row>11</xdr:row>
      <xdr:rowOff>39328</xdr:rowOff>
    </xdr:from>
    <xdr:to>
      <xdr:col>21</xdr:col>
      <xdr:colOff>301113</xdr:colOff>
      <xdr:row>17</xdr:row>
      <xdr:rowOff>81117</xdr:rowOff>
    </xdr:to>
    <xdr:cxnSp macro="">
      <xdr:nvCxnSpPr>
        <xdr:cNvPr id="525" name="Connector: Elbow 524">
          <a:extLst>
            <a:ext uri="{FF2B5EF4-FFF2-40B4-BE49-F238E27FC236}">
              <a16:creationId xmlns:a16="http://schemas.microsoft.com/office/drawing/2014/main" id="{00000000-0008-0000-1000-00000D020000}"/>
            </a:ext>
          </a:extLst>
        </xdr:cNvPr>
        <xdr:cNvCxnSpPr>
          <a:stCxn id="522" idx="4"/>
          <a:endCxn id="521" idx="1"/>
        </xdr:cNvCxnSpPr>
      </xdr:nvCxnSpPr>
      <xdr:spPr>
        <a:xfrm rot="16200000" flipH="1">
          <a:off x="12174354" y="2183551"/>
          <a:ext cx="1147918" cy="915278"/>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255815</xdr:colOff>
      <xdr:row>16</xdr:row>
      <xdr:rowOff>122904</xdr:rowOff>
    </xdr:from>
    <xdr:to>
      <xdr:col>23</xdr:col>
      <xdr:colOff>462644</xdr:colOff>
      <xdr:row>17</xdr:row>
      <xdr:rowOff>177332</xdr:rowOff>
    </xdr:to>
    <xdr:sp macro="" textlink="">
      <xdr:nvSpPr>
        <xdr:cNvPr id="526" name="Isosceles Triangle 525">
          <a:extLst>
            <a:ext uri="{FF2B5EF4-FFF2-40B4-BE49-F238E27FC236}">
              <a16:creationId xmlns:a16="http://schemas.microsoft.com/office/drawing/2014/main" id="{00000000-0008-0000-1000-00000E020000}"/>
            </a:ext>
          </a:extLst>
        </xdr:cNvPr>
        <xdr:cNvSpPr/>
      </xdr:nvSpPr>
      <xdr:spPr>
        <a:xfrm rot="5400000">
          <a:off x="14373709" y="3088558"/>
          <a:ext cx="238783"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22</xdr:col>
      <xdr:colOff>540599</xdr:colOff>
      <xdr:row>17</xdr:row>
      <xdr:rowOff>57941</xdr:rowOff>
    </xdr:from>
    <xdr:to>
      <xdr:col>23</xdr:col>
      <xdr:colOff>255815</xdr:colOff>
      <xdr:row>17</xdr:row>
      <xdr:rowOff>81117</xdr:rowOff>
    </xdr:to>
    <xdr:cxnSp macro="">
      <xdr:nvCxnSpPr>
        <xdr:cNvPr id="527" name="Connector: Elbow 351">
          <a:extLst>
            <a:ext uri="{FF2B5EF4-FFF2-40B4-BE49-F238E27FC236}">
              <a16:creationId xmlns:a16="http://schemas.microsoft.com/office/drawing/2014/main" id="{00000000-0008-0000-1000-00000F020000}"/>
            </a:ext>
          </a:extLst>
        </xdr:cNvPr>
        <xdr:cNvCxnSpPr>
          <a:stCxn id="521" idx="3"/>
          <a:endCxn id="526" idx="3"/>
        </xdr:cNvCxnSpPr>
      </xdr:nvCxnSpPr>
      <xdr:spPr>
        <a:xfrm flipV="1">
          <a:off x="14059954" y="3191973"/>
          <a:ext cx="329732" cy="23176"/>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92353</xdr:colOff>
      <xdr:row>27</xdr:row>
      <xdr:rowOff>122903</xdr:rowOff>
    </xdr:from>
    <xdr:to>
      <xdr:col>23</xdr:col>
      <xdr:colOff>331839</xdr:colOff>
      <xdr:row>30</xdr:row>
      <xdr:rowOff>80064</xdr:rowOff>
    </xdr:to>
    <xdr:sp macro="" textlink="">
      <xdr:nvSpPr>
        <xdr:cNvPr id="531" name="Rectangle: Rounded Corners 530">
          <a:extLst>
            <a:ext uri="{FF2B5EF4-FFF2-40B4-BE49-F238E27FC236}">
              <a16:creationId xmlns:a16="http://schemas.microsoft.com/office/drawing/2014/main" id="{00000000-0008-0000-1000-000013020000}"/>
            </a:ext>
          </a:extLst>
        </xdr:cNvPr>
        <xdr:cNvSpPr/>
      </xdr:nvSpPr>
      <xdr:spPr>
        <a:xfrm>
          <a:off x="13611708" y="5100484"/>
          <a:ext cx="854002" cy="510225"/>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RDS</a:t>
          </a:r>
        </a:p>
      </xdr:txBody>
    </xdr:sp>
    <xdr:clientData/>
  </xdr:twoCellAnchor>
  <xdr:twoCellAnchor>
    <xdr:from>
      <xdr:col>22</xdr:col>
      <xdr:colOff>152400</xdr:colOff>
      <xdr:row>35</xdr:row>
      <xdr:rowOff>174171</xdr:rowOff>
    </xdr:from>
    <xdr:to>
      <xdr:col>23</xdr:col>
      <xdr:colOff>391886</xdr:colOff>
      <xdr:row>38</xdr:row>
      <xdr:rowOff>130629</xdr:rowOff>
    </xdr:to>
    <xdr:sp macro="" textlink="">
      <xdr:nvSpPr>
        <xdr:cNvPr id="532" name="Rectangle: Rounded Corners 531">
          <a:extLst>
            <a:ext uri="{FF2B5EF4-FFF2-40B4-BE49-F238E27FC236}">
              <a16:creationId xmlns:a16="http://schemas.microsoft.com/office/drawing/2014/main" id="{00000000-0008-0000-1000-000014020000}"/>
            </a:ext>
          </a:extLst>
        </xdr:cNvPr>
        <xdr:cNvSpPr/>
      </xdr:nvSpPr>
      <xdr:spPr>
        <a:xfrm>
          <a:off x="13563600" y="4985657"/>
          <a:ext cx="849086" cy="511629"/>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No RDS</a:t>
          </a:r>
        </a:p>
      </xdr:txBody>
    </xdr:sp>
    <xdr:clientData/>
  </xdr:twoCellAnchor>
  <xdr:twoCellAnchor>
    <xdr:from>
      <xdr:col>20</xdr:col>
      <xdr:colOff>148538</xdr:colOff>
      <xdr:row>29</xdr:row>
      <xdr:rowOff>122904</xdr:rowOff>
    </xdr:from>
    <xdr:to>
      <xdr:col>20</xdr:col>
      <xdr:colOff>464223</xdr:colOff>
      <xdr:row>31</xdr:row>
      <xdr:rowOff>14748</xdr:rowOff>
    </xdr:to>
    <xdr:sp macro="" textlink="">
      <xdr:nvSpPr>
        <xdr:cNvPr id="533" name="Oval 532">
          <a:extLst>
            <a:ext uri="{FF2B5EF4-FFF2-40B4-BE49-F238E27FC236}">
              <a16:creationId xmlns:a16="http://schemas.microsoft.com/office/drawing/2014/main" id="{00000000-0008-0000-1000-000015020000}"/>
            </a:ext>
          </a:extLst>
        </xdr:cNvPr>
        <xdr:cNvSpPr/>
      </xdr:nvSpPr>
      <xdr:spPr>
        <a:xfrm>
          <a:off x="12438861" y="5469194"/>
          <a:ext cx="315685" cy="260554"/>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18</xdr:col>
      <xdr:colOff>571500</xdr:colOff>
      <xdr:row>30</xdr:row>
      <xdr:rowOff>68386</xdr:rowOff>
    </xdr:from>
    <xdr:to>
      <xdr:col>20</xdr:col>
      <xdr:colOff>148538</xdr:colOff>
      <xdr:row>30</xdr:row>
      <xdr:rowOff>68826</xdr:rowOff>
    </xdr:to>
    <xdr:cxnSp macro="">
      <xdr:nvCxnSpPr>
        <xdr:cNvPr id="534" name="Connector: Elbow 42">
          <a:extLst>
            <a:ext uri="{FF2B5EF4-FFF2-40B4-BE49-F238E27FC236}">
              <a16:creationId xmlns:a16="http://schemas.microsoft.com/office/drawing/2014/main" id="{00000000-0008-0000-1000-000016020000}"/>
            </a:ext>
          </a:extLst>
        </xdr:cNvPr>
        <xdr:cNvCxnSpPr>
          <a:cxnSpLocks/>
          <a:stCxn id="404" idx="3"/>
          <a:endCxn id="533" idx="2"/>
        </xdr:cNvCxnSpPr>
      </xdr:nvCxnSpPr>
      <xdr:spPr>
        <a:xfrm>
          <a:off x="11632790" y="5599031"/>
          <a:ext cx="806071" cy="440"/>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306382</xdr:colOff>
      <xdr:row>29</xdr:row>
      <xdr:rowOff>9307</xdr:rowOff>
    </xdr:from>
    <xdr:to>
      <xdr:col>22</xdr:col>
      <xdr:colOff>92354</xdr:colOff>
      <xdr:row>29</xdr:row>
      <xdr:rowOff>122904</xdr:rowOff>
    </xdr:to>
    <xdr:cxnSp macro="">
      <xdr:nvCxnSpPr>
        <xdr:cNvPr id="535" name="Connector: Elbow 534">
          <a:extLst>
            <a:ext uri="{FF2B5EF4-FFF2-40B4-BE49-F238E27FC236}">
              <a16:creationId xmlns:a16="http://schemas.microsoft.com/office/drawing/2014/main" id="{00000000-0008-0000-1000-000017020000}"/>
            </a:ext>
          </a:extLst>
        </xdr:cNvPr>
        <xdr:cNvCxnSpPr>
          <a:stCxn id="533" idx="0"/>
          <a:endCxn id="531" idx="1"/>
        </xdr:cNvCxnSpPr>
      </xdr:nvCxnSpPr>
      <xdr:spPr>
        <a:xfrm rot="5400000" flipH="1" flipV="1">
          <a:off x="13047408" y="4904894"/>
          <a:ext cx="113597" cy="1015004"/>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306380</xdr:colOff>
      <xdr:row>31</xdr:row>
      <xdr:rowOff>14748</xdr:rowOff>
    </xdr:from>
    <xdr:to>
      <xdr:col>22</xdr:col>
      <xdr:colOff>152399</xdr:colOff>
      <xdr:row>37</xdr:row>
      <xdr:rowOff>60223</xdr:rowOff>
    </xdr:to>
    <xdr:cxnSp macro="">
      <xdr:nvCxnSpPr>
        <xdr:cNvPr id="536" name="Connector: Elbow 535">
          <a:extLst>
            <a:ext uri="{FF2B5EF4-FFF2-40B4-BE49-F238E27FC236}">
              <a16:creationId xmlns:a16="http://schemas.microsoft.com/office/drawing/2014/main" id="{00000000-0008-0000-1000-000018020000}"/>
            </a:ext>
          </a:extLst>
        </xdr:cNvPr>
        <xdr:cNvCxnSpPr>
          <a:stCxn id="533" idx="4"/>
          <a:endCxn id="532" idx="1"/>
        </xdr:cNvCxnSpPr>
      </xdr:nvCxnSpPr>
      <xdr:spPr>
        <a:xfrm rot="16200000" flipH="1">
          <a:off x="12558427" y="5768024"/>
          <a:ext cx="1151604" cy="1075051"/>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231234</xdr:colOff>
      <xdr:row>36</xdr:row>
      <xdr:rowOff>122903</xdr:rowOff>
    </xdr:from>
    <xdr:to>
      <xdr:col>24</xdr:col>
      <xdr:colOff>438063</xdr:colOff>
      <xdr:row>37</xdr:row>
      <xdr:rowOff>177331</xdr:rowOff>
    </xdr:to>
    <xdr:sp macro="" textlink="">
      <xdr:nvSpPr>
        <xdr:cNvPr id="537" name="Isosceles Triangle 536">
          <a:extLst>
            <a:ext uri="{FF2B5EF4-FFF2-40B4-BE49-F238E27FC236}">
              <a16:creationId xmlns:a16="http://schemas.microsoft.com/office/drawing/2014/main" id="{00000000-0008-0000-1000-000019020000}"/>
            </a:ext>
          </a:extLst>
        </xdr:cNvPr>
        <xdr:cNvSpPr/>
      </xdr:nvSpPr>
      <xdr:spPr>
        <a:xfrm rot="5400000">
          <a:off x="14963644" y="6775654"/>
          <a:ext cx="238783"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23</xdr:col>
      <xdr:colOff>391886</xdr:colOff>
      <xdr:row>37</xdr:row>
      <xdr:rowOff>57940</xdr:rowOff>
    </xdr:from>
    <xdr:to>
      <xdr:col>24</xdr:col>
      <xdr:colOff>231234</xdr:colOff>
      <xdr:row>37</xdr:row>
      <xdr:rowOff>60223</xdr:rowOff>
    </xdr:to>
    <xdr:cxnSp macro="">
      <xdr:nvCxnSpPr>
        <xdr:cNvPr id="538" name="Connector: Elbow 351">
          <a:extLst>
            <a:ext uri="{FF2B5EF4-FFF2-40B4-BE49-F238E27FC236}">
              <a16:creationId xmlns:a16="http://schemas.microsoft.com/office/drawing/2014/main" id="{00000000-0008-0000-1000-00001A020000}"/>
            </a:ext>
          </a:extLst>
        </xdr:cNvPr>
        <xdr:cNvCxnSpPr>
          <a:stCxn id="532" idx="3"/>
          <a:endCxn id="537" idx="3"/>
        </xdr:cNvCxnSpPr>
      </xdr:nvCxnSpPr>
      <xdr:spPr>
        <a:xfrm flipV="1">
          <a:off x="14525757" y="6879069"/>
          <a:ext cx="453864" cy="2283"/>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116933</xdr:colOff>
      <xdr:row>43</xdr:row>
      <xdr:rowOff>49162</xdr:rowOff>
    </xdr:from>
    <xdr:to>
      <xdr:col>23</xdr:col>
      <xdr:colOff>356419</xdr:colOff>
      <xdr:row>46</xdr:row>
      <xdr:rowOff>6321</xdr:rowOff>
    </xdr:to>
    <xdr:sp macro="" textlink="">
      <xdr:nvSpPr>
        <xdr:cNvPr id="543" name="Rectangle: Rounded Corners 542">
          <a:extLst>
            <a:ext uri="{FF2B5EF4-FFF2-40B4-BE49-F238E27FC236}">
              <a16:creationId xmlns:a16="http://schemas.microsoft.com/office/drawing/2014/main" id="{00000000-0008-0000-1000-00001F020000}"/>
            </a:ext>
          </a:extLst>
        </xdr:cNvPr>
        <xdr:cNvSpPr/>
      </xdr:nvSpPr>
      <xdr:spPr>
        <a:xfrm>
          <a:off x="13636288" y="7976420"/>
          <a:ext cx="854002" cy="510224"/>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RDS</a:t>
          </a:r>
        </a:p>
      </xdr:txBody>
    </xdr:sp>
    <xdr:clientData/>
  </xdr:twoCellAnchor>
  <xdr:twoCellAnchor>
    <xdr:from>
      <xdr:col>22</xdr:col>
      <xdr:colOff>152400</xdr:colOff>
      <xdr:row>49</xdr:row>
      <xdr:rowOff>174171</xdr:rowOff>
    </xdr:from>
    <xdr:to>
      <xdr:col>23</xdr:col>
      <xdr:colOff>391886</xdr:colOff>
      <xdr:row>52</xdr:row>
      <xdr:rowOff>130629</xdr:rowOff>
    </xdr:to>
    <xdr:sp macro="" textlink="">
      <xdr:nvSpPr>
        <xdr:cNvPr id="544" name="Rectangle: Rounded Corners 543">
          <a:extLst>
            <a:ext uri="{FF2B5EF4-FFF2-40B4-BE49-F238E27FC236}">
              <a16:creationId xmlns:a16="http://schemas.microsoft.com/office/drawing/2014/main" id="{00000000-0008-0000-1000-000020020000}"/>
            </a:ext>
          </a:extLst>
        </xdr:cNvPr>
        <xdr:cNvSpPr/>
      </xdr:nvSpPr>
      <xdr:spPr>
        <a:xfrm>
          <a:off x="13563600" y="7576457"/>
          <a:ext cx="849086" cy="511629"/>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no RDS</a:t>
          </a:r>
        </a:p>
      </xdr:txBody>
    </xdr:sp>
    <xdr:clientData/>
  </xdr:twoCellAnchor>
  <xdr:twoCellAnchor>
    <xdr:from>
      <xdr:col>20</xdr:col>
      <xdr:colOff>23878</xdr:colOff>
      <xdr:row>47</xdr:row>
      <xdr:rowOff>8075</xdr:rowOff>
    </xdr:from>
    <xdr:to>
      <xdr:col>20</xdr:col>
      <xdr:colOff>344480</xdr:colOff>
      <xdr:row>48</xdr:row>
      <xdr:rowOff>84275</xdr:rowOff>
    </xdr:to>
    <xdr:sp macro="" textlink="">
      <xdr:nvSpPr>
        <xdr:cNvPr id="545" name="Oval 544">
          <a:extLst>
            <a:ext uri="{FF2B5EF4-FFF2-40B4-BE49-F238E27FC236}">
              <a16:creationId xmlns:a16="http://schemas.microsoft.com/office/drawing/2014/main" id="{00000000-0008-0000-1000-000021020000}"/>
            </a:ext>
          </a:extLst>
        </xdr:cNvPr>
        <xdr:cNvSpPr/>
      </xdr:nvSpPr>
      <xdr:spPr>
        <a:xfrm>
          <a:off x="12314201" y="8672752"/>
          <a:ext cx="320602" cy="26055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18</xdr:col>
      <xdr:colOff>582385</xdr:colOff>
      <xdr:row>47</xdr:row>
      <xdr:rowOff>113948</xdr:rowOff>
    </xdr:from>
    <xdr:to>
      <xdr:col>20</xdr:col>
      <xdr:colOff>23878</xdr:colOff>
      <xdr:row>47</xdr:row>
      <xdr:rowOff>138353</xdr:rowOff>
    </xdr:to>
    <xdr:cxnSp macro="">
      <xdr:nvCxnSpPr>
        <xdr:cNvPr id="546" name="Connector: Elbow 42">
          <a:extLst>
            <a:ext uri="{FF2B5EF4-FFF2-40B4-BE49-F238E27FC236}">
              <a16:creationId xmlns:a16="http://schemas.microsoft.com/office/drawing/2014/main" id="{00000000-0008-0000-1000-000022020000}"/>
            </a:ext>
          </a:extLst>
        </xdr:cNvPr>
        <xdr:cNvCxnSpPr>
          <a:cxnSpLocks/>
          <a:stCxn id="420" idx="3"/>
          <a:endCxn id="545" idx="2"/>
        </xdr:cNvCxnSpPr>
      </xdr:nvCxnSpPr>
      <xdr:spPr>
        <a:xfrm>
          <a:off x="11643675" y="8778625"/>
          <a:ext cx="670526" cy="24405"/>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184179</xdr:colOff>
      <xdr:row>44</xdr:row>
      <xdr:rowOff>119919</xdr:rowOff>
    </xdr:from>
    <xdr:to>
      <xdr:col>22</xdr:col>
      <xdr:colOff>116933</xdr:colOff>
      <xdr:row>47</xdr:row>
      <xdr:rowOff>8075</xdr:rowOff>
    </xdr:to>
    <xdr:cxnSp macro="">
      <xdr:nvCxnSpPr>
        <xdr:cNvPr id="547" name="Connector: Elbow 546">
          <a:extLst>
            <a:ext uri="{FF2B5EF4-FFF2-40B4-BE49-F238E27FC236}">
              <a16:creationId xmlns:a16="http://schemas.microsoft.com/office/drawing/2014/main" id="{00000000-0008-0000-1000-000023020000}"/>
            </a:ext>
          </a:extLst>
        </xdr:cNvPr>
        <xdr:cNvCxnSpPr>
          <a:stCxn id="545" idx="0"/>
          <a:endCxn id="543" idx="1"/>
        </xdr:cNvCxnSpPr>
      </xdr:nvCxnSpPr>
      <xdr:spPr>
        <a:xfrm rot="5400000" flipH="1" flipV="1">
          <a:off x="12834785" y="7871249"/>
          <a:ext cx="441220" cy="1161786"/>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184179</xdr:colOff>
      <xdr:row>48</xdr:row>
      <xdr:rowOff>84274</xdr:rowOff>
    </xdr:from>
    <xdr:to>
      <xdr:col>22</xdr:col>
      <xdr:colOff>152400</xdr:colOff>
      <xdr:row>51</xdr:row>
      <xdr:rowOff>60222</xdr:rowOff>
    </xdr:to>
    <xdr:cxnSp macro="">
      <xdr:nvCxnSpPr>
        <xdr:cNvPr id="548" name="Connector: Elbow 547">
          <a:extLst>
            <a:ext uri="{FF2B5EF4-FFF2-40B4-BE49-F238E27FC236}">
              <a16:creationId xmlns:a16="http://schemas.microsoft.com/office/drawing/2014/main" id="{00000000-0008-0000-1000-000024020000}"/>
            </a:ext>
          </a:extLst>
        </xdr:cNvPr>
        <xdr:cNvCxnSpPr>
          <a:stCxn id="545" idx="4"/>
          <a:endCxn id="544" idx="1"/>
        </xdr:cNvCxnSpPr>
      </xdr:nvCxnSpPr>
      <xdr:spPr>
        <a:xfrm rot="16200000" flipH="1">
          <a:off x="12808622" y="8599186"/>
          <a:ext cx="529013" cy="1197253"/>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255815</xdr:colOff>
      <xdr:row>51</xdr:row>
      <xdr:rowOff>0</xdr:rowOff>
    </xdr:from>
    <xdr:to>
      <xdr:col>24</xdr:col>
      <xdr:colOff>462644</xdr:colOff>
      <xdr:row>52</xdr:row>
      <xdr:rowOff>54428</xdr:rowOff>
    </xdr:to>
    <xdr:sp macro="" textlink="">
      <xdr:nvSpPr>
        <xdr:cNvPr id="549" name="Isosceles Triangle 548">
          <a:extLst>
            <a:ext uri="{FF2B5EF4-FFF2-40B4-BE49-F238E27FC236}">
              <a16:creationId xmlns:a16="http://schemas.microsoft.com/office/drawing/2014/main" id="{00000000-0008-0000-1000-000025020000}"/>
            </a:ext>
          </a:extLst>
        </xdr:cNvPr>
        <xdr:cNvSpPr/>
      </xdr:nvSpPr>
      <xdr:spPr>
        <a:xfrm rot="5400000">
          <a:off x="14869887" y="7788728"/>
          <a:ext cx="239485"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23</xdr:col>
      <xdr:colOff>391886</xdr:colOff>
      <xdr:row>51</xdr:row>
      <xdr:rowOff>59872</xdr:rowOff>
    </xdr:from>
    <xdr:to>
      <xdr:col>24</xdr:col>
      <xdr:colOff>255815</xdr:colOff>
      <xdr:row>51</xdr:row>
      <xdr:rowOff>119743</xdr:rowOff>
    </xdr:to>
    <xdr:cxnSp macro="">
      <xdr:nvCxnSpPr>
        <xdr:cNvPr id="550" name="Connector: Elbow 351">
          <a:extLst>
            <a:ext uri="{FF2B5EF4-FFF2-40B4-BE49-F238E27FC236}">
              <a16:creationId xmlns:a16="http://schemas.microsoft.com/office/drawing/2014/main" id="{00000000-0008-0000-1000-000026020000}"/>
            </a:ext>
          </a:extLst>
        </xdr:cNvPr>
        <xdr:cNvCxnSpPr>
          <a:stCxn id="544" idx="3"/>
          <a:endCxn id="549" idx="3"/>
        </xdr:cNvCxnSpPr>
      </xdr:nvCxnSpPr>
      <xdr:spPr>
        <a:xfrm>
          <a:off x="14412686" y="7832272"/>
          <a:ext cx="473529" cy="59871"/>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141514</xdr:colOff>
      <xdr:row>58</xdr:row>
      <xdr:rowOff>0</xdr:rowOff>
    </xdr:from>
    <xdr:to>
      <xdr:col>23</xdr:col>
      <xdr:colOff>381000</xdr:colOff>
      <xdr:row>60</xdr:row>
      <xdr:rowOff>141515</xdr:rowOff>
    </xdr:to>
    <xdr:sp macro="" textlink="">
      <xdr:nvSpPr>
        <xdr:cNvPr id="555" name="Rectangle: Rounded Corners 554">
          <a:extLst>
            <a:ext uri="{FF2B5EF4-FFF2-40B4-BE49-F238E27FC236}">
              <a16:creationId xmlns:a16="http://schemas.microsoft.com/office/drawing/2014/main" id="{00000000-0008-0000-1000-00002B020000}"/>
            </a:ext>
          </a:extLst>
        </xdr:cNvPr>
        <xdr:cNvSpPr/>
      </xdr:nvSpPr>
      <xdr:spPr>
        <a:xfrm>
          <a:off x="13552714" y="9067800"/>
          <a:ext cx="849086" cy="511629"/>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RDS</a:t>
          </a:r>
        </a:p>
      </xdr:txBody>
    </xdr:sp>
    <xdr:clientData/>
  </xdr:twoCellAnchor>
  <xdr:twoCellAnchor>
    <xdr:from>
      <xdr:col>22</xdr:col>
      <xdr:colOff>152400</xdr:colOff>
      <xdr:row>62</xdr:row>
      <xdr:rowOff>174171</xdr:rowOff>
    </xdr:from>
    <xdr:to>
      <xdr:col>23</xdr:col>
      <xdr:colOff>391886</xdr:colOff>
      <xdr:row>65</xdr:row>
      <xdr:rowOff>130629</xdr:rowOff>
    </xdr:to>
    <xdr:sp macro="" textlink="">
      <xdr:nvSpPr>
        <xdr:cNvPr id="556" name="Rectangle: Rounded Corners 555">
          <a:extLst>
            <a:ext uri="{FF2B5EF4-FFF2-40B4-BE49-F238E27FC236}">
              <a16:creationId xmlns:a16="http://schemas.microsoft.com/office/drawing/2014/main" id="{00000000-0008-0000-1000-00002C020000}"/>
            </a:ext>
          </a:extLst>
        </xdr:cNvPr>
        <xdr:cNvSpPr/>
      </xdr:nvSpPr>
      <xdr:spPr>
        <a:xfrm>
          <a:off x="13563600" y="9982200"/>
          <a:ext cx="849086" cy="511629"/>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no RDS</a:t>
          </a:r>
        </a:p>
      </xdr:txBody>
    </xdr:sp>
    <xdr:clientData/>
  </xdr:twoCellAnchor>
  <xdr:twoCellAnchor>
    <xdr:from>
      <xdr:col>20</xdr:col>
      <xdr:colOff>272144</xdr:colOff>
      <xdr:row>61</xdr:row>
      <xdr:rowOff>123956</xdr:rowOff>
    </xdr:from>
    <xdr:to>
      <xdr:col>20</xdr:col>
      <xdr:colOff>587829</xdr:colOff>
      <xdr:row>63</xdr:row>
      <xdr:rowOff>15800</xdr:rowOff>
    </xdr:to>
    <xdr:sp macro="" textlink="">
      <xdr:nvSpPr>
        <xdr:cNvPr id="557" name="Oval 556">
          <a:extLst>
            <a:ext uri="{FF2B5EF4-FFF2-40B4-BE49-F238E27FC236}">
              <a16:creationId xmlns:a16="http://schemas.microsoft.com/office/drawing/2014/main" id="{00000000-0008-0000-1000-00002D020000}"/>
            </a:ext>
          </a:extLst>
        </xdr:cNvPr>
        <xdr:cNvSpPr/>
      </xdr:nvSpPr>
      <xdr:spPr>
        <a:xfrm>
          <a:off x="12562467" y="11369601"/>
          <a:ext cx="315685" cy="260554"/>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18</xdr:col>
      <xdr:colOff>533399</xdr:colOff>
      <xdr:row>62</xdr:row>
      <xdr:rowOff>69878</xdr:rowOff>
    </xdr:from>
    <xdr:to>
      <xdr:col>20</xdr:col>
      <xdr:colOff>272144</xdr:colOff>
      <xdr:row>62</xdr:row>
      <xdr:rowOff>103414</xdr:rowOff>
    </xdr:to>
    <xdr:cxnSp macro="">
      <xdr:nvCxnSpPr>
        <xdr:cNvPr id="558" name="Connector: Elbow 42">
          <a:extLst>
            <a:ext uri="{FF2B5EF4-FFF2-40B4-BE49-F238E27FC236}">
              <a16:creationId xmlns:a16="http://schemas.microsoft.com/office/drawing/2014/main" id="{00000000-0008-0000-1000-00002E020000}"/>
            </a:ext>
          </a:extLst>
        </xdr:cNvPr>
        <xdr:cNvCxnSpPr>
          <a:cxnSpLocks/>
          <a:stCxn id="436" idx="3"/>
          <a:endCxn id="557" idx="2"/>
        </xdr:cNvCxnSpPr>
      </xdr:nvCxnSpPr>
      <xdr:spPr>
        <a:xfrm flipV="1">
          <a:off x="11594689" y="11499878"/>
          <a:ext cx="967778" cy="33536"/>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429986</xdr:colOff>
      <xdr:row>59</xdr:row>
      <xdr:rowOff>70759</xdr:rowOff>
    </xdr:from>
    <xdr:to>
      <xdr:col>22</xdr:col>
      <xdr:colOff>141513</xdr:colOff>
      <xdr:row>61</xdr:row>
      <xdr:rowOff>123957</xdr:rowOff>
    </xdr:to>
    <xdr:cxnSp macro="">
      <xdr:nvCxnSpPr>
        <xdr:cNvPr id="559" name="Connector: Elbow 558">
          <a:extLst>
            <a:ext uri="{FF2B5EF4-FFF2-40B4-BE49-F238E27FC236}">
              <a16:creationId xmlns:a16="http://schemas.microsoft.com/office/drawing/2014/main" id="{00000000-0008-0000-1000-00002F020000}"/>
            </a:ext>
          </a:extLst>
        </xdr:cNvPr>
        <xdr:cNvCxnSpPr>
          <a:stCxn id="557" idx="0"/>
          <a:endCxn id="555" idx="1"/>
        </xdr:cNvCxnSpPr>
      </xdr:nvCxnSpPr>
      <xdr:spPr>
        <a:xfrm rot="5400000" flipH="1" flipV="1">
          <a:off x="12979635" y="10688368"/>
          <a:ext cx="421908" cy="940559"/>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429986</xdr:colOff>
      <xdr:row>63</xdr:row>
      <xdr:rowOff>15800</xdr:rowOff>
    </xdr:from>
    <xdr:to>
      <xdr:col>22</xdr:col>
      <xdr:colOff>152399</xdr:colOff>
      <xdr:row>64</xdr:row>
      <xdr:rowOff>60223</xdr:rowOff>
    </xdr:to>
    <xdr:cxnSp macro="">
      <xdr:nvCxnSpPr>
        <xdr:cNvPr id="560" name="Connector: Elbow 559">
          <a:extLst>
            <a:ext uri="{FF2B5EF4-FFF2-40B4-BE49-F238E27FC236}">
              <a16:creationId xmlns:a16="http://schemas.microsoft.com/office/drawing/2014/main" id="{00000000-0008-0000-1000-000030020000}"/>
            </a:ext>
          </a:extLst>
        </xdr:cNvPr>
        <xdr:cNvCxnSpPr>
          <a:stCxn id="557" idx="4"/>
          <a:endCxn id="556" idx="1"/>
        </xdr:cNvCxnSpPr>
      </xdr:nvCxnSpPr>
      <xdr:spPr>
        <a:xfrm rot="16200000" flipH="1">
          <a:off x="13081643" y="11268821"/>
          <a:ext cx="228778" cy="951445"/>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255815</xdr:colOff>
      <xdr:row>64</xdr:row>
      <xdr:rowOff>0</xdr:rowOff>
    </xdr:from>
    <xdr:to>
      <xdr:col>24</xdr:col>
      <xdr:colOff>462644</xdr:colOff>
      <xdr:row>65</xdr:row>
      <xdr:rowOff>54428</xdr:rowOff>
    </xdr:to>
    <xdr:sp macro="" textlink="">
      <xdr:nvSpPr>
        <xdr:cNvPr id="561" name="Isosceles Triangle 560">
          <a:extLst>
            <a:ext uri="{FF2B5EF4-FFF2-40B4-BE49-F238E27FC236}">
              <a16:creationId xmlns:a16="http://schemas.microsoft.com/office/drawing/2014/main" id="{00000000-0008-0000-1000-000031020000}"/>
            </a:ext>
          </a:extLst>
        </xdr:cNvPr>
        <xdr:cNvSpPr/>
      </xdr:nvSpPr>
      <xdr:spPr>
        <a:xfrm rot="5400000">
          <a:off x="14869887" y="10194471"/>
          <a:ext cx="239485"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23</xdr:col>
      <xdr:colOff>391886</xdr:colOff>
      <xdr:row>64</xdr:row>
      <xdr:rowOff>59872</xdr:rowOff>
    </xdr:from>
    <xdr:to>
      <xdr:col>24</xdr:col>
      <xdr:colOff>255815</xdr:colOff>
      <xdr:row>64</xdr:row>
      <xdr:rowOff>119743</xdr:rowOff>
    </xdr:to>
    <xdr:cxnSp macro="">
      <xdr:nvCxnSpPr>
        <xdr:cNvPr id="562" name="Connector: Elbow 351">
          <a:extLst>
            <a:ext uri="{FF2B5EF4-FFF2-40B4-BE49-F238E27FC236}">
              <a16:creationId xmlns:a16="http://schemas.microsoft.com/office/drawing/2014/main" id="{00000000-0008-0000-1000-000032020000}"/>
            </a:ext>
          </a:extLst>
        </xdr:cNvPr>
        <xdr:cNvCxnSpPr>
          <a:stCxn id="556" idx="3"/>
          <a:endCxn id="561" idx="3"/>
        </xdr:cNvCxnSpPr>
      </xdr:nvCxnSpPr>
      <xdr:spPr>
        <a:xfrm>
          <a:off x="14412686" y="10238015"/>
          <a:ext cx="473529" cy="59871"/>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141514</xdr:colOff>
      <xdr:row>72</xdr:row>
      <xdr:rowOff>0</xdr:rowOff>
    </xdr:from>
    <xdr:to>
      <xdr:col>23</xdr:col>
      <xdr:colOff>381000</xdr:colOff>
      <xdr:row>74</xdr:row>
      <xdr:rowOff>141515</xdr:rowOff>
    </xdr:to>
    <xdr:sp macro="" textlink="">
      <xdr:nvSpPr>
        <xdr:cNvPr id="567" name="Rectangle: Rounded Corners 566">
          <a:extLst>
            <a:ext uri="{FF2B5EF4-FFF2-40B4-BE49-F238E27FC236}">
              <a16:creationId xmlns:a16="http://schemas.microsoft.com/office/drawing/2014/main" id="{00000000-0008-0000-1000-000037020000}"/>
            </a:ext>
          </a:extLst>
        </xdr:cNvPr>
        <xdr:cNvSpPr/>
      </xdr:nvSpPr>
      <xdr:spPr>
        <a:xfrm>
          <a:off x="13552714" y="11658600"/>
          <a:ext cx="849086" cy="511629"/>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RDS</a:t>
          </a:r>
        </a:p>
      </xdr:txBody>
    </xdr:sp>
    <xdr:clientData/>
  </xdr:twoCellAnchor>
  <xdr:twoCellAnchor>
    <xdr:from>
      <xdr:col>22</xdr:col>
      <xdr:colOff>152400</xdr:colOff>
      <xdr:row>76</xdr:row>
      <xdr:rowOff>174171</xdr:rowOff>
    </xdr:from>
    <xdr:to>
      <xdr:col>23</xdr:col>
      <xdr:colOff>391886</xdr:colOff>
      <xdr:row>79</xdr:row>
      <xdr:rowOff>130629</xdr:rowOff>
    </xdr:to>
    <xdr:sp macro="" textlink="">
      <xdr:nvSpPr>
        <xdr:cNvPr id="568" name="Rectangle: Rounded Corners 567">
          <a:extLst>
            <a:ext uri="{FF2B5EF4-FFF2-40B4-BE49-F238E27FC236}">
              <a16:creationId xmlns:a16="http://schemas.microsoft.com/office/drawing/2014/main" id="{00000000-0008-0000-1000-000038020000}"/>
            </a:ext>
          </a:extLst>
        </xdr:cNvPr>
        <xdr:cNvSpPr/>
      </xdr:nvSpPr>
      <xdr:spPr>
        <a:xfrm>
          <a:off x="13563600" y="12573000"/>
          <a:ext cx="849086" cy="511629"/>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no RDS</a:t>
          </a:r>
        </a:p>
      </xdr:txBody>
    </xdr:sp>
    <xdr:clientData/>
  </xdr:twoCellAnchor>
  <xdr:twoCellAnchor>
    <xdr:from>
      <xdr:col>19</xdr:col>
      <xdr:colOff>610304</xdr:colOff>
      <xdr:row>76</xdr:row>
      <xdr:rowOff>51619</xdr:rowOff>
    </xdr:from>
    <xdr:to>
      <xdr:col>20</xdr:col>
      <xdr:colOff>311472</xdr:colOff>
      <xdr:row>77</xdr:row>
      <xdr:rowOff>127819</xdr:rowOff>
    </xdr:to>
    <xdr:sp macro="" textlink="">
      <xdr:nvSpPr>
        <xdr:cNvPr id="569" name="Oval 568">
          <a:extLst>
            <a:ext uri="{FF2B5EF4-FFF2-40B4-BE49-F238E27FC236}">
              <a16:creationId xmlns:a16="http://schemas.microsoft.com/office/drawing/2014/main" id="{00000000-0008-0000-1000-000039020000}"/>
            </a:ext>
          </a:extLst>
        </xdr:cNvPr>
        <xdr:cNvSpPr/>
      </xdr:nvSpPr>
      <xdr:spPr>
        <a:xfrm>
          <a:off x="12286110" y="14062587"/>
          <a:ext cx="315685" cy="26055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18</xdr:col>
      <xdr:colOff>525235</xdr:colOff>
      <xdr:row>76</xdr:row>
      <xdr:rowOff>181897</xdr:rowOff>
    </xdr:from>
    <xdr:to>
      <xdr:col>19</xdr:col>
      <xdr:colOff>610304</xdr:colOff>
      <xdr:row>76</xdr:row>
      <xdr:rowOff>181985</xdr:rowOff>
    </xdr:to>
    <xdr:cxnSp macro="">
      <xdr:nvCxnSpPr>
        <xdr:cNvPr id="570" name="Connector: Elbow 42">
          <a:extLst>
            <a:ext uri="{FF2B5EF4-FFF2-40B4-BE49-F238E27FC236}">
              <a16:creationId xmlns:a16="http://schemas.microsoft.com/office/drawing/2014/main" id="{00000000-0008-0000-1000-00003A020000}"/>
            </a:ext>
          </a:extLst>
        </xdr:cNvPr>
        <xdr:cNvCxnSpPr>
          <a:cxnSpLocks/>
          <a:stCxn id="462" idx="3"/>
          <a:endCxn id="569" idx="2"/>
        </xdr:cNvCxnSpPr>
      </xdr:nvCxnSpPr>
      <xdr:spPr>
        <a:xfrm flipV="1">
          <a:off x="11586525" y="14192865"/>
          <a:ext cx="699585" cy="88"/>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153630</xdr:colOff>
      <xdr:row>73</xdr:row>
      <xdr:rowOff>70758</xdr:rowOff>
    </xdr:from>
    <xdr:to>
      <xdr:col>22</xdr:col>
      <xdr:colOff>141514</xdr:colOff>
      <xdr:row>76</xdr:row>
      <xdr:rowOff>51619</xdr:rowOff>
    </xdr:to>
    <xdr:cxnSp macro="">
      <xdr:nvCxnSpPr>
        <xdr:cNvPr id="571" name="Connector: Elbow 570">
          <a:extLst>
            <a:ext uri="{FF2B5EF4-FFF2-40B4-BE49-F238E27FC236}">
              <a16:creationId xmlns:a16="http://schemas.microsoft.com/office/drawing/2014/main" id="{00000000-0008-0000-1000-00003B020000}"/>
            </a:ext>
          </a:extLst>
        </xdr:cNvPr>
        <xdr:cNvCxnSpPr>
          <a:stCxn id="569" idx="0"/>
          <a:endCxn id="567" idx="1"/>
        </xdr:cNvCxnSpPr>
      </xdr:nvCxnSpPr>
      <xdr:spPr>
        <a:xfrm rot="5400000" flipH="1" flipV="1">
          <a:off x="12785448" y="13187166"/>
          <a:ext cx="533926" cy="1216916"/>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153630</xdr:colOff>
      <xdr:row>77</xdr:row>
      <xdr:rowOff>127819</xdr:rowOff>
    </xdr:from>
    <xdr:to>
      <xdr:col>22</xdr:col>
      <xdr:colOff>152400</xdr:colOff>
      <xdr:row>78</xdr:row>
      <xdr:rowOff>60223</xdr:rowOff>
    </xdr:to>
    <xdr:cxnSp macro="">
      <xdr:nvCxnSpPr>
        <xdr:cNvPr id="572" name="Connector: Elbow 571">
          <a:extLst>
            <a:ext uri="{FF2B5EF4-FFF2-40B4-BE49-F238E27FC236}">
              <a16:creationId xmlns:a16="http://schemas.microsoft.com/office/drawing/2014/main" id="{00000000-0008-0000-1000-00003C020000}"/>
            </a:ext>
          </a:extLst>
        </xdr:cNvPr>
        <xdr:cNvCxnSpPr>
          <a:stCxn id="569" idx="4"/>
          <a:endCxn id="568" idx="1"/>
        </xdr:cNvCxnSpPr>
      </xdr:nvCxnSpPr>
      <xdr:spPr>
        <a:xfrm rot="16200000" flipH="1">
          <a:off x="12999475" y="13767620"/>
          <a:ext cx="116758" cy="1227802"/>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120622</xdr:colOff>
      <xdr:row>77</xdr:row>
      <xdr:rowOff>110612</xdr:rowOff>
    </xdr:from>
    <xdr:to>
      <xdr:col>24</xdr:col>
      <xdr:colOff>327451</xdr:colOff>
      <xdr:row>78</xdr:row>
      <xdr:rowOff>165041</xdr:rowOff>
    </xdr:to>
    <xdr:sp macro="" textlink="">
      <xdr:nvSpPr>
        <xdr:cNvPr id="573" name="Isosceles Triangle 572">
          <a:extLst>
            <a:ext uri="{FF2B5EF4-FFF2-40B4-BE49-F238E27FC236}">
              <a16:creationId xmlns:a16="http://schemas.microsoft.com/office/drawing/2014/main" id="{00000000-0008-0000-1000-00003D020000}"/>
            </a:ext>
          </a:extLst>
        </xdr:cNvPr>
        <xdr:cNvSpPr/>
      </xdr:nvSpPr>
      <xdr:spPr>
        <a:xfrm rot="5400000">
          <a:off x="14853032" y="14321912"/>
          <a:ext cx="238783"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23</xdr:col>
      <xdr:colOff>391886</xdr:colOff>
      <xdr:row>78</xdr:row>
      <xdr:rowOff>45650</xdr:rowOff>
    </xdr:from>
    <xdr:to>
      <xdr:col>24</xdr:col>
      <xdr:colOff>120622</xdr:colOff>
      <xdr:row>78</xdr:row>
      <xdr:rowOff>60223</xdr:rowOff>
    </xdr:to>
    <xdr:cxnSp macro="">
      <xdr:nvCxnSpPr>
        <xdr:cNvPr id="574" name="Connector: Elbow 351">
          <a:extLst>
            <a:ext uri="{FF2B5EF4-FFF2-40B4-BE49-F238E27FC236}">
              <a16:creationId xmlns:a16="http://schemas.microsoft.com/office/drawing/2014/main" id="{00000000-0008-0000-1000-00003E020000}"/>
            </a:ext>
          </a:extLst>
        </xdr:cNvPr>
        <xdr:cNvCxnSpPr>
          <a:stCxn id="568" idx="3"/>
          <a:endCxn id="573" idx="3"/>
        </xdr:cNvCxnSpPr>
      </xdr:nvCxnSpPr>
      <xdr:spPr>
        <a:xfrm flipV="1">
          <a:off x="14525757" y="14425327"/>
          <a:ext cx="343252" cy="14573"/>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141514</xdr:colOff>
      <xdr:row>94</xdr:row>
      <xdr:rowOff>0</xdr:rowOff>
    </xdr:from>
    <xdr:to>
      <xdr:col>23</xdr:col>
      <xdr:colOff>381000</xdr:colOff>
      <xdr:row>96</xdr:row>
      <xdr:rowOff>141515</xdr:rowOff>
    </xdr:to>
    <xdr:sp macro="" textlink="">
      <xdr:nvSpPr>
        <xdr:cNvPr id="579" name="Rectangle: Rounded Corners 578">
          <a:extLst>
            <a:ext uri="{FF2B5EF4-FFF2-40B4-BE49-F238E27FC236}">
              <a16:creationId xmlns:a16="http://schemas.microsoft.com/office/drawing/2014/main" id="{00000000-0008-0000-1000-000043020000}"/>
            </a:ext>
          </a:extLst>
        </xdr:cNvPr>
        <xdr:cNvSpPr/>
      </xdr:nvSpPr>
      <xdr:spPr>
        <a:xfrm>
          <a:off x="13552714" y="15729857"/>
          <a:ext cx="849086" cy="511629"/>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RDS</a:t>
          </a:r>
        </a:p>
      </xdr:txBody>
    </xdr:sp>
    <xdr:clientData/>
  </xdr:twoCellAnchor>
  <xdr:twoCellAnchor>
    <xdr:from>
      <xdr:col>21</xdr:col>
      <xdr:colOff>607142</xdr:colOff>
      <xdr:row>100</xdr:row>
      <xdr:rowOff>112719</xdr:rowOff>
    </xdr:from>
    <xdr:to>
      <xdr:col>23</xdr:col>
      <xdr:colOff>232112</xdr:colOff>
      <xdr:row>103</xdr:row>
      <xdr:rowOff>69178</xdr:rowOff>
    </xdr:to>
    <xdr:sp macro="" textlink="">
      <xdr:nvSpPr>
        <xdr:cNvPr id="580" name="Rectangle: Rounded Corners 579">
          <a:extLst>
            <a:ext uri="{FF2B5EF4-FFF2-40B4-BE49-F238E27FC236}">
              <a16:creationId xmlns:a16="http://schemas.microsoft.com/office/drawing/2014/main" id="{00000000-0008-0000-1000-000044020000}"/>
            </a:ext>
          </a:extLst>
        </xdr:cNvPr>
        <xdr:cNvSpPr/>
      </xdr:nvSpPr>
      <xdr:spPr>
        <a:xfrm>
          <a:off x="13511981" y="18548203"/>
          <a:ext cx="854002" cy="509523"/>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no</a:t>
          </a:r>
          <a:r>
            <a:rPr lang="en-ZA" sz="1100" baseline="0">
              <a:solidFill>
                <a:sysClr val="windowText" lastClr="000000"/>
              </a:solidFill>
            </a:rPr>
            <a:t> RDS</a:t>
          </a:r>
          <a:endParaRPr lang="en-ZA" sz="1100">
            <a:solidFill>
              <a:sysClr val="windowText" lastClr="000000"/>
            </a:solidFill>
          </a:endParaRPr>
        </a:p>
      </xdr:txBody>
    </xdr:sp>
    <xdr:clientData/>
  </xdr:twoCellAnchor>
  <xdr:twoCellAnchor>
    <xdr:from>
      <xdr:col>20</xdr:col>
      <xdr:colOff>57238</xdr:colOff>
      <xdr:row>96</xdr:row>
      <xdr:rowOff>112720</xdr:rowOff>
    </xdr:from>
    <xdr:to>
      <xdr:col>20</xdr:col>
      <xdr:colOff>372923</xdr:colOff>
      <xdr:row>98</xdr:row>
      <xdr:rowOff>3864</xdr:rowOff>
    </xdr:to>
    <xdr:sp macro="" textlink="">
      <xdr:nvSpPr>
        <xdr:cNvPr id="581" name="Oval 580">
          <a:extLst>
            <a:ext uri="{FF2B5EF4-FFF2-40B4-BE49-F238E27FC236}">
              <a16:creationId xmlns:a16="http://schemas.microsoft.com/office/drawing/2014/main" id="{00000000-0008-0000-1000-000045020000}"/>
            </a:ext>
          </a:extLst>
        </xdr:cNvPr>
        <xdr:cNvSpPr/>
      </xdr:nvSpPr>
      <xdr:spPr>
        <a:xfrm>
          <a:off x="12347561" y="17810785"/>
          <a:ext cx="315685" cy="259853"/>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19</xdr:col>
      <xdr:colOff>48985</xdr:colOff>
      <xdr:row>97</xdr:row>
      <xdr:rowOff>35731</xdr:rowOff>
    </xdr:from>
    <xdr:to>
      <xdr:col>20</xdr:col>
      <xdr:colOff>57238</xdr:colOff>
      <xdr:row>97</xdr:row>
      <xdr:rowOff>58293</xdr:rowOff>
    </xdr:to>
    <xdr:cxnSp macro="">
      <xdr:nvCxnSpPr>
        <xdr:cNvPr id="582" name="Connector: Elbow 42">
          <a:extLst>
            <a:ext uri="{FF2B5EF4-FFF2-40B4-BE49-F238E27FC236}">
              <a16:creationId xmlns:a16="http://schemas.microsoft.com/office/drawing/2014/main" id="{00000000-0008-0000-1000-000046020000}"/>
            </a:ext>
          </a:extLst>
        </xdr:cNvPr>
        <xdr:cNvCxnSpPr>
          <a:cxnSpLocks/>
          <a:stCxn id="475" idx="3"/>
          <a:endCxn id="581" idx="2"/>
        </xdr:cNvCxnSpPr>
      </xdr:nvCxnSpPr>
      <xdr:spPr>
        <a:xfrm>
          <a:off x="11724791" y="17918150"/>
          <a:ext cx="622770" cy="22562"/>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215081</xdr:colOff>
      <xdr:row>95</xdr:row>
      <xdr:rowOff>70759</xdr:rowOff>
    </xdr:from>
    <xdr:to>
      <xdr:col>22</xdr:col>
      <xdr:colOff>141514</xdr:colOff>
      <xdr:row>96</xdr:row>
      <xdr:rowOff>112721</xdr:rowOff>
    </xdr:to>
    <xdr:cxnSp macro="">
      <xdr:nvCxnSpPr>
        <xdr:cNvPr id="583" name="Connector: Elbow 582">
          <a:extLst>
            <a:ext uri="{FF2B5EF4-FFF2-40B4-BE49-F238E27FC236}">
              <a16:creationId xmlns:a16="http://schemas.microsoft.com/office/drawing/2014/main" id="{00000000-0008-0000-1000-000047020000}"/>
            </a:ext>
          </a:extLst>
        </xdr:cNvPr>
        <xdr:cNvCxnSpPr>
          <a:stCxn id="581" idx="0"/>
          <a:endCxn id="579" idx="1"/>
        </xdr:cNvCxnSpPr>
      </xdr:nvCxnSpPr>
      <xdr:spPr>
        <a:xfrm rot="5400000" flipH="1" flipV="1">
          <a:off x="12969978" y="17119895"/>
          <a:ext cx="226317" cy="1155465"/>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215081</xdr:colOff>
      <xdr:row>98</xdr:row>
      <xdr:rowOff>3863</xdr:rowOff>
    </xdr:from>
    <xdr:to>
      <xdr:col>21</xdr:col>
      <xdr:colOff>607142</xdr:colOff>
      <xdr:row>101</xdr:row>
      <xdr:rowOff>183125</xdr:rowOff>
    </xdr:to>
    <xdr:cxnSp macro="">
      <xdr:nvCxnSpPr>
        <xdr:cNvPr id="584" name="Connector: Elbow 583">
          <a:extLst>
            <a:ext uri="{FF2B5EF4-FFF2-40B4-BE49-F238E27FC236}">
              <a16:creationId xmlns:a16="http://schemas.microsoft.com/office/drawing/2014/main" id="{00000000-0008-0000-1000-000048020000}"/>
            </a:ext>
          </a:extLst>
        </xdr:cNvPr>
        <xdr:cNvCxnSpPr>
          <a:stCxn id="581" idx="4"/>
          <a:endCxn id="580" idx="1"/>
        </xdr:cNvCxnSpPr>
      </xdr:nvCxnSpPr>
      <xdr:spPr>
        <a:xfrm rot="16200000" flipH="1">
          <a:off x="12642529" y="17933512"/>
          <a:ext cx="732327" cy="1006577"/>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145202</xdr:colOff>
      <xdr:row>101</xdr:row>
      <xdr:rowOff>86032</xdr:rowOff>
    </xdr:from>
    <xdr:to>
      <xdr:col>24</xdr:col>
      <xdr:colOff>352031</xdr:colOff>
      <xdr:row>102</xdr:row>
      <xdr:rowOff>140460</xdr:rowOff>
    </xdr:to>
    <xdr:sp macro="" textlink="">
      <xdr:nvSpPr>
        <xdr:cNvPr id="585" name="Isosceles Triangle 584">
          <a:extLst>
            <a:ext uri="{FF2B5EF4-FFF2-40B4-BE49-F238E27FC236}">
              <a16:creationId xmlns:a16="http://schemas.microsoft.com/office/drawing/2014/main" id="{00000000-0008-0000-1000-000049020000}"/>
            </a:ext>
          </a:extLst>
        </xdr:cNvPr>
        <xdr:cNvSpPr/>
      </xdr:nvSpPr>
      <xdr:spPr>
        <a:xfrm rot="5400000">
          <a:off x="14877612" y="18721848"/>
          <a:ext cx="238783"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23</xdr:col>
      <xdr:colOff>232112</xdr:colOff>
      <xdr:row>101</xdr:row>
      <xdr:rowOff>183126</xdr:rowOff>
    </xdr:from>
    <xdr:to>
      <xdr:col>24</xdr:col>
      <xdr:colOff>145202</xdr:colOff>
      <xdr:row>102</xdr:row>
      <xdr:rowOff>21069</xdr:rowOff>
    </xdr:to>
    <xdr:cxnSp macro="">
      <xdr:nvCxnSpPr>
        <xdr:cNvPr id="586" name="Connector: Elbow 351">
          <a:extLst>
            <a:ext uri="{FF2B5EF4-FFF2-40B4-BE49-F238E27FC236}">
              <a16:creationId xmlns:a16="http://schemas.microsoft.com/office/drawing/2014/main" id="{00000000-0008-0000-1000-00004A020000}"/>
            </a:ext>
          </a:extLst>
        </xdr:cNvPr>
        <xdr:cNvCxnSpPr>
          <a:stCxn id="580" idx="3"/>
          <a:endCxn id="585" idx="3"/>
        </xdr:cNvCxnSpPr>
      </xdr:nvCxnSpPr>
      <xdr:spPr>
        <a:xfrm>
          <a:off x="14365983" y="18802965"/>
          <a:ext cx="527606" cy="22298"/>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85768</xdr:colOff>
      <xdr:row>0</xdr:row>
      <xdr:rowOff>117373</xdr:rowOff>
    </xdr:from>
    <xdr:to>
      <xdr:col>26</xdr:col>
      <xdr:colOff>330170</xdr:colOff>
      <xdr:row>3</xdr:row>
      <xdr:rowOff>74532</xdr:rowOff>
    </xdr:to>
    <xdr:sp macro="" textlink="">
      <xdr:nvSpPr>
        <xdr:cNvPr id="593" name="Rectangle: Rounded Corners 592">
          <a:extLst>
            <a:ext uri="{FF2B5EF4-FFF2-40B4-BE49-F238E27FC236}">
              <a16:creationId xmlns:a16="http://schemas.microsoft.com/office/drawing/2014/main" id="{00000000-0008-0000-1000-000051020000}"/>
            </a:ext>
          </a:extLst>
        </xdr:cNvPr>
        <xdr:cNvSpPr/>
      </xdr:nvSpPr>
      <xdr:spPr>
        <a:xfrm>
          <a:off x="15448671" y="117373"/>
          <a:ext cx="858918" cy="510224"/>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Complications</a:t>
          </a:r>
          <a:r>
            <a:rPr lang="en-ZA" sz="1100" baseline="0">
              <a:solidFill>
                <a:sysClr val="windowText" lastClr="000000"/>
              </a:solidFill>
            </a:rPr>
            <a:t> in first 2 years</a:t>
          </a:r>
          <a:endParaRPr lang="en-ZA" sz="1100">
            <a:solidFill>
              <a:sysClr val="windowText" lastClr="000000"/>
            </a:solidFill>
          </a:endParaRPr>
        </a:p>
      </xdr:txBody>
    </xdr:sp>
    <xdr:clientData/>
  </xdr:twoCellAnchor>
  <xdr:twoCellAnchor>
    <xdr:from>
      <xdr:col>25</xdr:col>
      <xdr:colOff>5706</xdr:colOff>
      <xdr:row>9</xdr:row>
      <xdr:rowOff>139144</xdr:rowOff>
    </xdr:from>
    <xdr:to>
      <xdr:col>26</xdr:col>
      <xdr:colOff>245192</xdr:colOff>
      <xdr:row>12</xdr:row>
      <xdr:rowOff>94127</xdr:rowOff>
    </xdr:to>
    <xdr:sp macro="" textlink="">
      <xdr:nvSpPr>
        <xdr:cNvPr id="594" name="Rectangle: Rounded Corners 593">
          <a:extLst>
            <a:ext uri="{FF2B5EF4-FFF2-40B4-BE49-F238E27FC236}">
              <a16:creationId xmlns:a16="http://schemas.microsoft.com/office/drawing/2014/main" id="{00000000-0008-0000-1000-000052020000}"/>
            </a:ext>
          </a:extLst>
        </xdr:cNvPr>
        <xdr:cNvSpPr/>
      </xdr:nvSpPr>
      <xdr:spPr>
        <a:xfrm>
          <a:off x="15368609" y="1798338"/>
          <a:ext cx="854002" cy="508047"/>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Healthy</a:t>
          </a:r>
        </a:p>
      </xdr:txBody>
    </xdr:sp>
    <xdr:clientData/>
  </xdr:twoCellAnchor>
  <xdr:twoCellAnchor>
    <xdr:from>
      <xdr:col>23</xdr:col>
      <xdr:colOff>196645</xdr:colOff>
      <xdr:row>4</xdr:row>
      <xdr:rowOff>174522</xdr:rowOff>
    </xdr:from>
    <xdr:to>
      <xdr:col>23</xdr:col>
      <xdr:colOff>512330</xdr:colOff>
      <xdr:row>6</xdr:row>
      <xdr:rowOff>66367</xdr:rowOff>
    </xdr:to>
    <xdr:sp macro="" textlink="">
      <xdr:nvSpPr>
        <xdr:cNvPr id="595" name="Oval 594">
          <a:extLst>
            <a:ext uri="{FF2B5EF4-FFF2-40B4-BE49-F238E27FC236}">
              <a16:creationId xmlns:a16="http://schemas.microsoft.com/office/drawing/2014/main" id="{00000000-0008-0000-1000-000053020000}"/>
            </a:ext>
          </a:extLst>
        </xdr:cNvPr>
        <xdr:cNvSpPr/>
      </xdr:nvSpPr>
      <xdr:spPr>
        <a:xfrm>
          <a:off x="14330516" y="911941"/>
          <a:ext cx="315685" cy="26055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23</xdr:col>
      <xdr:colOff>354488</xdr:colOff>
      <xdr:row>2</xdr:row>
      <xdr:rowOff>3775</xdr:rowOff>
    </xdr:from>
    <xdr:to>
      <xdr:col>25</xdr:col>
      <xdr:colOff>85768</xdr:colOff>
      <xdr:row>4</xdr:row>
      <xdr:rowOff>174522</xdr:rowOff>
    </xdr:to>
    <xdr:cxnSp macro="">
      <xdr:nvCxnSpPr>
        <xdr:cNvPr id="596" name="Connector: Elbow 595">
          <a:extLst>
            <a:ext uri="{FF2B5EF4-FFF2-40B4-BE49-F238E27FC236}">
              <a16:creationId xmlns:a16="http://schemas.microsoft.com/office/drawing/2014/main" id="{00000000-0008-0000-1000-000054020000}"/>
            </a:ext>
          </a:extLst>
        </xdr:cNvPr>
        <xdr:cNvCxnSpPr>
          <a:stCxn id="595" idx="0"/>
          <a:endCxn id="593" idx="1"/>
        </xdr:cNvCxnSpPr>
      </xdr:nvCxnSpPr>
      <xdr:spPr>
        <a:xfrm rot="5400000" flipH="1" flipV="1">
          <a:off x="14698787" y="162057"/>
          <a:ext cx="539456" cy="960312"/>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354488</xdr:colOff>
      <xdr:row>6</xdr:row>
      <xdr:rowOff>66367</xdr:rowOff>
    </xdr:from>
    <xdr:to>
      <xdr:col>25</xdr:col>
      <xdr:colOff>5706</xdr:colOff>
      <xdr:row>11</xdr:row>
      <xdr:rowOff>24459</xdr:rowOff>
    </xdr:to>
    <xdr:cxnSp macro="">
      <xdr:nvCxnSpPr>
        <xdr:cNvPr id="597" name="Connector: Elbow 596">
          <a:extLst>
            <a:ext uri="{FF2B5EF4-FFF2-40B4-BE49-F238E27FC236}">
              <a16:creationId xmlns:a16="http://schemas.microsoft.com/office/drawing/2014/main" id="{00000000-0008-0000-1000-000055020000}"/>
            </a:ext>
          </a:extLst>
        </xdr:cNvPr>
        <xdr:cNvCxnSpPr>
          <a:stCxn id="595" idx="4"/>
          <a:endCxn id="594" idx="1"/>
        </xdr:cNvCxnSpPr>
      </xdr:nvCxnSpPr>
      <xdr:spPr>
        <a:xfrm rot="16200000" flipH="1">
          <a:off x="14488551" y="1172304"/>
          <a:ext cx="879866" cy="880250"/>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599067</xdr:colOff>
      <xdr:row>10</xdr:row>
      <xdr:rowOff>54606</xdr:rowOff>
    </xdr:from>
    <xdr:to>
      <xdr:col>27</xdr:col>
      <xdr:colOff>196296</xdr:colOff>
      <xdr:row>11</xdr:row>
      <xdr:rowOff>109034</xdr:rowOff>
    </xdr:to>
    <xdr:sp macro="" textlink="">
      <xdr:nvSpPr>
        <xdr:cNvPr id="598" name="Isosceles Triangle 597">
          <a:extLst>
            <a:ext uri="{FF2B5EF4-FFF2-40B4-BE49-F238E27FC236}">
              <a16:creationId xmlns:a16="http://schemas.microsoft.com/office/drawing/2014/main" id="{00000000-0008-0000-1000-000056020000}"/>
            </a:ext>
          </a:extLst>
        </xdr:cNvPr>
        <xdr:cNvSpPr/>
      </xdr:nvSpPr>
      <xdr:spPr>
        <a:xfrm rot="5400000">
          <a:off x="16562967" y="1911673"/>
          <a:ext cx="238783" cy="211745"/>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26</xdr:col>
      <xdr:colOff>245192</xdr:colOff>
      <xdr:row>10</xdr:row>
      <xdr:rowOff>173998</xdr:rowOff>
    </xdr:from>
    <xdr:to>
      <xdr:col>26</xdr:col>
      <xdr:colOff>599067</xdr:colOff>
      <xdr:row>11</xdr:row>
      <xdr:rowOff>24459</xdr:rowOff>
    </xdr:to>
    <xdr:cxnSp macro="">
      <xdr:nvCxnSpPr>
        <xdr:cNvPr id="599" name="Connector: Elbow 351">
          <a:extLst>
            <a:ext uri="{FF2B5EF4-FFF2-40B4-BE49-F238E27FC236}">
              <a16:creationId xmlns:a16="http://schemas.microsoft.com/office/drawing/2014/main" id="{00000000-0008-0000-1000-000057020000}"/>
            </a:ext>
          </a:extLst>
        </xdr:cNvPr>
        <xdr:cNvCxnSpPr>
          <a:stCxn id="594" idx="3"/>
          <a:endCxn id="598" idx="3"/>
        </xdr:cNvCxnSpPr>
      </xdr:nvCxnSpPr>
      <xdr:spPr>
        <a:xfrm flipV="1">
          <a:off x="16222611" y="2017546"/>
          <a:ext cx="353875" cy="34816"/>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571500</xdr:colOff>
      <xdr:row>5</xdr:row>
      <xdr:rowOff>89807</xdr:rowOff>
    </xdr:from>
    <xdr:to>
      <xdr:col>23</xdr:col>
      <xdr:colOff>196645</xdr:colOff>
      <xdr:row>5</xdr:row>
      <xdr:rowOff>120445</xdr:rowOff>
    </xdr:to>
    <xdr:cxnSp macro="">
      <xdr:nvCxnSpPr>
        <xdr:cNvPr id="600" name="Connector: Elbow 42">
          <a:extLst>
            <a:ext uri="{FF2B5EF4-FFF2-40B4-BE49-F238E27FC236}">
              <a16:creationId xmlns:a16="http://schemas.microsoft.com/office/drawing/2014/main" id="{00000000-0008-0000-1000-000058020000}"/>
            </a:ext>
          </a:extLst>
        </xdr:cNvPr>
        <xdr:cNvCxnSpPr>
          <a:cxnSpLocks/>
          <a:stCxn id="520" idx="3"/>
          <a:endCxn id="595" idx="2"/>
        </xdr:cNvCxnSpPr>
      </xdr:nvCxnSpPr>
      <xdr:spPr>
        <a:xfrm>
          <a:off x="14090855" y="1011581"/>
          <a:ext cx="239661" cy="30638"/>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21596</xdr:colOff>
      <xdr:row>1</xdr:row>
      <xdr:rowOff>81841</xdr:rowOff>
    </xdr:from>
    <xdr:to>
      <xdr:col>27</xdr:col>
      <xdr:colOff>233341</xdr:colOff>
      <xdr:row>2</xdr:row>
      <xdr:rowOff>137744</xdr:rowOff>
    </xdr:to>
    <xdr:sp macro="" textlink="">
      <xdr:nvSpPr>
        <xdr:cNvPr id="603" name="Isosceles Triangle 602">
          <a:extLst>
            <a:ext uri="{FF2B5EF4-FFF2-40B4-BE49-F238E27FC236}">
              <a16:creationId xmlns:a16="http://schemas.microsoft.com/office/drawing/2014/main" id="{00000000-0008-0000-1000-00005B020000}"/>
            </a:ext>
          </a:extLst>
        </xdr:cNvPr>
        <xdr:cNvSpPr/>
      </xdr:nvSpPr>
      <xdr:spPr>
        <a:xfrm rot="5400000">
          <a:off x="16599275" y="280452"/>
          <a:ext cx="240258" cy="211745"/>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26</xdr:col>
      <xdr:colOff>330170</xdr:colOff>
      <xdr:row>2</xdr:row>
      <xdr:rowOff>3775</xdr:rowOff>
    </xdr:from>
    <xdr:to>
      <xdr:col>27</xdr:col>
      <xdr:colOff>21597</xdr:colOff>
      <xdr:row>2</xdr:row>
      <xdr:rowOff>17615</xdr:rowOff>
    </xdr:to>
    <xdr:cxnSp macro="">
      <xdr:nvCxnSpPr>
        <xdr:cNvPr id="604" name="Connector: Elbow 351">
          <a:extLst>
            <a:ext uri="{FF2B5EF4-FFF2-40B4-BE49-F238E27FC236}">
              <a16:creationId xmlns:a16="http://schemas.microsoft.com/office/drawing/2014/main" id="{00000000-0008-0000-1000-00005C020000}"/>
            </a:ext>
          </a:extLst>
        </xdr:cNvPr>
        <xdr:cNvCxnSpPr>
          <a:stCxn id="593" idx="3"/>
          <a:endCxn id="603" idx="3"/>
        </xdr:cNvCxnSpPr>
      </xdr:nvCxnSpPr>
      <xdr:spPr>
        <a:xfrm>
          <a:off x="16307589" y="372485"/>
          <a:ext cx="305943" cy="13840"/>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359228</xdr:colOff>
      <xdr:row>26</xdr:row>
      <xdr:rowOff>0</xdr:rowOff>
    </xdr:from>
    <xdr:to>
      <xdr:col>26</xdr:col>
      <xdr:colOff>598714</xdr:colOff>
      <xdr:row>28</xdr:row>
      <xdr:rowOff>141515</xdr:rowOff>
    </xdr:to>
    <xdr:sp macro="" textlink="">
      <xdr:nvSpPr>
        <xdr:cNvPr id="608" name="Rectangle: Rounded Corners 607">
          <a:extLst>
            <a:ext uri="{FF2B5EF4-FFF2-40B4-BE49-F238E27FC236}">
              <a16:creationId xmlns:a16="http://schemas.microsoft.com/office/drawing/2014/main" id="{00000000-0008-0000-1000-000060020000}"/>
            </a:ext>
          </a:extLst>
        </xdr:cNvPr>
        <xdr:cNvSpPr/>
      </xdr:nvSpPr>
      <xdr:spPr>
        <a:xfrm>
          <a:off x="15599228" y="3701143"/>
          <a:ext cx="849086" cy="511629"/>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Complications</a:t>
          </a:r>
          <a:r>
            <a:rPr lang="en-ZA" sz="1100" baseline="0">
              <a:solidFill>
                <a:sysClr val="windowText" lastClr="000000"/>
              </a:solidFill>
            </a:rPr>
            <a:t> in first 2 years</a:t>
          </a:r>
          <a:endParaRPr lang="en-ZA" sz="1100">
            <a:solidFill>
              <a:sysClr val="windowText" lastClr="000000"/>
            </a:solidFill>
          </a:endParaRPr>
        </a:p>
      </xdr:txBody>
    </xdr:sp>
    <xdr:clientData/>
  </xdr:twoCellAnchor>
  <xdr:twoCellAnchor>
    <xdr:from>
      <xdr:col>25</xdr:col>
      <xdr:colOff>370114</xdr:colOff>
      <xdr:row>30</xdr:row>
      <xdr:rowOff>174172</xdr:rowOff>
    </xdr:from>
    <xdr:to>
      <xdr:col>27</xdr:col>
      <xdr:colOff>0</xdr:colOff>
      <xdr:row>33</xdr:row>
      <xdr:rowOff>130629</xdr:rowOff>
    </xdr:to>
    <xdr:sp macro="" textlink="">
      <xdr:nvSpPr>
        <xdr:cNvPr id="609" name="Rectangle: Rounded Corners 608">
          <a:extLst>
            <a:ext uri="{FF2B5EF4-FFF2-40B4-BE49-F238E27FC236}">
              <a16:creationId xmlns:a16="http://schemas.microsoft.com/office/drawing/2014/main" id="{00000000-0008-0000-1000-000061020000}"/>
            </a:ext>
          </a:extLst>
        </xdr:cNvPr>
        <xdr:cNvSpPr/>
      </xdr:nvSpPr>
      <xdr:spPr>
        <a:xfrm>
          <a:off x="15610114" y="4615543"/>
          <a:ext cx="849086" cy="511629"/>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Healthy</a:t>
          </a:r>
        </a:p>
      </xdr:txBody>
    </xdr:sp>
    <xdr:clientData/>
  </xdr:twoCellAnchor>
  <xdr:twoCellAnchor>
    <xdr:from>
      <xdr:col>24</xdr:col>
      <xdr:colOff>179439</xdr:colOff>
      <xdr:row>27</xdr:row>
      <xdr:rowOff>174522</xdr:rowOff>
    </xdr:from>
    <xdr:to>
      <xdr:col>24</xdr:col>
      <xdr:colOff>495124</xdr:colOff>
      <xdr:row>29</xdr:row>
      <xdr:rowOff>66367</xdr:rowOff>
    </xdr:to>
    <xdr:sp macro="" textlink="">
      <xdr:nvSpPr>
        <xdr:cNvPr id="610" name="Oval 609">
          <a:extLst>
            <a:ext uri="{FF2B5EF4-FFF2-40B4-BE49-F238E27FC236}">
              <a16:creationId xmlns:a16="http://schemas.microsoft.com/office/drawing/2014/main" id="{00000000-0008-0000-1000-000062020000}"/>
            </a:ext>
          </a:extLst>
        </xdr:cNvPr>
        <xdr:cNvSpPr/>
      </xdr:nvSpPr>
      <xdr:spPr>
        <a:xfrm>
          <a:off x="14927826" y="5152103"/>
          <a:ext cx="315685" cy="260554"/>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24</xdr:col>
      <xdr:colOff>337283</xdr:colOff>
      <xdr:row>27</xdr:row>
      <xdr:rowOff>70757</xdr:rowOff>
    </xdr:from>
    <xdr:to>
      <xdr:col>25</xdr:col>
      <xdr:colOff>359229</xdr:colOff>
      <xdr:row>27</xdr:row>
      <xdr:rowOff>174522</xdr:rowOff>
    </xdr:to>
    <xdr:cxnSp macro="">
      <xdr:nvCxnSpPr>
        <xdr:cNvPr id="611" name="Connector: Elbow 610">
          <a:extLst>
            <a:ext uri="{FF2B5EF4-FFF2-40B4-BE49-F238E27FC236}">
              <a16:creationId xmlns:a16="http://schemas.microsoft.com/office/drawing/2014/main" id="{00000000-0008-0000-1000-000063020000}"/>
            </a:ext>
          </a:extLst>
        </xdr:cNvPr>
        <xdr:cNvCxnSpPr>
          <a:stCxn id="610" idx="0"/>
          <a:endCxn id="608" idx="1"/>
        </xdr:cNvCxnSpPr>
      </xdr:nvCxnSpPr>
      <xdr:spPr>
        <a:xfrm rot="5400000" flipH="1" flipV="1">
          <a:off x="15352018" y="4781990"/>
          <a:ext cx="103765" cy="636462"/>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337283</xdr:colOff>
      <xdr:row>29</xdr:row>
      <xdr:rowOff>66366</xdr:rowOff>
    </xdr:from>
    <xdr:to>
      <xdr:col>25</xdr:col>
      <xdr:colOff>370115</xdr:colOff>
      <xdr:row>32</xdr:row>
      <xdr:rowOff>60222</xdr:rowOff>
    </xdr:to>
    <xdr:cxnSp macro="">
      <xdr:nvCxnSpPr>
        <xdr:cNvPr id="612" name="Connector: Elbow 611">
          <a:extLst>
            <a:ext uri="{FF2B5EF4-FFF2-40B4-BE49-F238E27FC236}">
              <a16:creationId xmlns:a16="http://schemas.microsoft.com/office/drawing/2014/main" id="{00000000-0008-0000-1000-000064020000}"/>
            </a:ext>
          </a:extLst>
        </xdr:cNvPr>
        <xdr:cNvCxnSpPr>
          <a:stCxn id="610" idx="4"/>
          <a:endCxn id="609" idx="1"/>
        </xdr:cNvCxnSpPr>
      </xdr:nvCxnSpPr>
      <xdr:spPr>
        <a:xfrm rot="16200000" flipH="1">
          <a:off x="15135883" y="5362443"/>
          <a:ext cx="546921" cy="647348"/>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462644</xdr:colOff>
      <xdr:row>31</xdr:row>
      <xdr:rowOff>119742</xdr:rowOff>
    </xdr:from>
    <xdr:to>
      <xdr:col>28</xdr:col>
      <xdr:colOff>59873</xdr:colOff>
      <xdr:row>32</xdr:row>
      <xdr:rowOff>174170</xdr:rowOff>
    </xdr:to>
    <xdr:sp macro="" textlink="">
      <xdr:nvSpPr>
        <xdr:cNvPr id="613" name="Isosceles Triangle 612">
          <a:extLst>
            <a:ext uri="{FF2B5EF4-FFF2-40B4-BE49-F238E27FC236}">
              <a16:creationId xmlns:a16="http://schemas.microsoft.com/office/drawing/2014/main" id="{00000000-0008-0000-1000-000065020000}"/>
            </a:ext>
          </a:extLst>
        </xdr:cNvPr>
        <xdr:cNvSpPr/>
      </xdr:nvSpPr>
      <xdr:spPr>
        <a:xfrm rot="5400000">
          <a:off x="16905516" y="4762499"/>
          <a:ext cx="239485"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27</xdr:col>
      <xdr:colOff>0</xdr:colOff>
      <xdr:row>32</xdr:row>
      <xdr:rowOff>54428</xdr:rowOff>
    </xdr:from>
    <xdr:to>
      <xdr:col>27</xdr:col>
      <xdr:colOff>462644</xdr:colOff>
      <xdr:row>32</xdr:row>
      <xdr:rowOff>59872</xdr:rowOff>
    </xdr:to>
    <xdr:cxnSp macro="">
      <xdr:nvCxnSpPr>
        <xdr:cNvPr id="614" name="Connector: Elbow 351">
          <a:extLst>
            <a:ext uri="{FF2B5EF4-FFF2-40B4-BE49-F238E27FC236}">
              <a16:creationId xmlns:a16="http://schemas.microsoft.com/office/drawing/2014/main" id="{00000000-0008-0000-1000-000066020000}"/>
            </a:ext>
          </a:extLst>
        </xdr:cNvPr>
        <xdr:cNvCxnSpPr>
          <a:stCxn id="609" idx="3"/>
          <a:endCxn id="613" idx="3"/>
        </xdr:cNvCxnSpPr>
      </xdr:nvCxnSpPr>
      <xdr:spPr>
        <a:xfrm flipV="1">
          <a:off x="16459200" y="4865914"/>
          <a:ext cx="462644" cy="5444"/>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331839</xdr:colOff>
      <xdr:row>28</xdr:row>
      <xdr:rowOff>120445</xdr:rowOff>
    </xdr:from>
    <xdr:to>
      <xdr:col>24</xdr:col>
      <xdr:colOff>179439</xdr:colOff>
      <xdr:row>29</xdr:row>
      <xdr:rowOff>9307</xdr:rowOff>
    </xdr:to>
    <xdr:cxnSp macro="">
      <xdr:nvCxnSpPr>
        <xdr:cNvPr id="615" name="Connector: Elbow 42">
          <a:extLst>
            <a:ext uri="{FF2B5EF4-FFF2-40B4-BE49-F238E27FC236}">
              <a16:creationId xmlns:a16="http://schemas.microsoft.com/office/drawing/2014/main" id="{00000000-0008-0000-1000-000067020000}"/>
            </a:ext>
          </a:extLst>
        </xdr:cNvPr>
        <xdr:cNvCxnSpPr>
          <a:cxnSpLocks/>
          <a:stCxn id="531" idx="3"/>
          <a:endCxn id="610" idx="2"/>
        </xdr:cNvCxnSpPr>
      </xdr:nvCxnSpPr>
      <xdr:spPr>
        <a:xfrm flipV="1">
          <a:off x="14465710" y="5282380"/>
          <a:ext cx="462116" cy="73217"/>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527957</xdr:colOff>
      <xdr:row>26</xdr:row>
      <xdr:rowOff>130628</xdr:rowOff>
    </xdr:from>
    <xdr:to>
      <xdr:col>28</xdr:col>
      <xdr:colOff>125186</xdr:colOff>
      <xdr:row>27</xdr:row>
      <xdr:rowOff>185056</xdr:rowOff>
    </xdr:to>
    <xdr:sp macro="" textlink="">
      <xdr:nvSpPr>
        <xdr:cNvPr id="616" name="Isosceles Triangle 615">
          <a:extLst>
            <a:ext uri="{FF2B5EF4-FFF2-40B4-BE49-F238E27FC236}">
              <a16:creationId xmlns:a16="http://schemas.microsoft.com/office/drawing/2014/main" id="{00000000-0008-0000-1000-000068020000}"/>
            </a:ext>
          </a:extLst>
        </xdr:cNvPr>
        <xdr:cNvSpPr/>
      </xdr:nvSpPr>
      <xdr:spPr>
        <a:xfrm rot="5400000">
          <a:off x="16970829" y="3848099"/>
          <a:ext cx="239485"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26</xdr:col>
      <xdr:colOff>598714</xdr:colOff>
      <xdr:row>27</xdr:row>
      <xdr:rowOff>65314</xdr:rowOff>
    </xdr:from>
    <xdr:to>
      <xdr:col>27</xdr:col>
      <xdr:colOff>527957</xdr:colOff>
      <xdr:row>27</xdr:row>
      <xdr:rowOff>70758</xdr:rowOff>
    </xdr:to>
    <xdr:cxnSp macro="">
      <xdr:nvCxnSpPr>
        <xdr:cNvPr id="617" name="Connector: Elbow 351">
          <a:extLst>
            <a:ext uri="{FF2B5EF4-FFF2-40B4-BE49-F238E27FC236}">
              <a16:creationId xmlns:a16="http://schemas.microsoft.com/office/drawing/2014/main" id="{00000000-0008-0000-1000-000069020000}"/>
            </a:ext>
          </a:extLst>
        </xdr:cNvPr>
        <xdr:cNvCxnSpPr>
          <a:stCxn id="608" idx="3"/>
          <a:endCxn id="616" idx="3"/>
        </xdr:cNvCxnSpPr>
      </xdr:nvCxnSpPr>
      <xdr:spPr>
        <a:xfrm flipV="1">
          <a:off x="16448314" y="3951514"/>
          <a:ext cx="538843" cy="5444"/>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359228</xdr:colOff>
      <xdr:row>40</xdr:row>
      <xdr:rowOff>0</xdr:rowOff>
    </xdr:from>
    <xdr:to>
      <xdr:col>26</xdr:col>
      <xdr:colOff>598714</xdr:colOff>
      <xdr:row>42</xdr:row>
      <xdr:rowOff>141515</xdr:rowOff>
    </xdr:to>
    <xdr:sp macro="" textlink="">
      <xdr:nvSpPr>
        <xdr:cNvPr id="619" name="Rectangle: Rounded Corners 618">
          <a:extLst>
            <a:ext uri="{FF2B5EF4-FFF2-40B4-BE49-F238E27FC236}">
              <a16:creationId xmlns:a16="http://schemas.microsoft.com/office/drawing/2014/main" id="{00000000-0008-0000-1000-00006B020000}"/>
            </a:ext>
          </a:extLst>
        </xdr:cNvPr>
        <xdr:cNvSpPr/>
      </xdr:nvSpPr>
      <xdr:spPr>
        <a:xfrm>
          <a:off x="15599228" y="6291943"/>
          <a:ext cx="849086" cy="511629"/>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Complications</a:t>
          </a:r>
          <a:r>
            <a:rPr lang="en-ZA" sz="1100" baseline="0">
              <a:solidFill>
                <a:sysClr val="windowText" lastClr="000000"/>
              </a:solidFill>
            </a:rPr>
            <a:t> in first 2 years</a:t>
          </a:r>
          <a:endParaRPr lang="en-ZA" sz="1100">
            <a:solidFill>
              <a:sysClr val="windowText" lastClr="000000"/>
            </a:solidFill>
          </a:endParaRPr>
        </a:p>
      </xdr:txBody>
    </xdr:sp>
    <xdr:clientData/>
  </xdr:twoCellAnchor>
  <xdr:twoCellAnchor>
    <xdr:from>
      <xdr:col>25</xdr:col>
      <xdr:colOff>370114</xdr:colOff>
      <xdr:row>44</xdr:row>
      <xdr:rowOff>174172</xdr:rowOff>
    </xdr:from>
    <xdr:to>
      <xdr:col>27</xdr:col>
      <xdr:colOff>0</xdr:colOff>
      <xdr:row>47</xdr:row>
      <xdr:rowOff>130629</xdr:rowOff>
    </xdr:to>
    <xdr:sp macro="" textlink="">
      <xdr:nvSpPr>
        <xdr:cNvPr id="620" name="Rectangle: Rounded Corners 619">
          <a:extLst>
            <a:ext uri="{FF2B5EF4-FFF2-40B4-BE49-F238E27FC236}">
              <a16:creationId xmlns:a16="http://schemas.microsoft.com/office/drawing/2014/main" id="{00000000-0008-0000-1000-00006C020000}"/>
            </a:ext>
          </a:extLst>
        </xdr:cNvPr>
        <xdr:cNvSpPr/>
      </xdr:nvSpPr>
      <xdr:spPr>
        <a:xfrm>
          <a:off x="15610114" y="7206343"/>
          <a:ext cx="849086" cy="511629"/>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Healthy</a:t>
          </a:r>
        </a:p>
      </xdr:txBody>
    </xdr:sp>
    <xdr:clientData/>
  </xdr:twoCellAnchor>
  <xdr:twoCellAnchor>
    <xdr:from>
      <xdr:col>24</xdr:col>
      <xdr:colOff>191729</xdr:colOff>
      <xdr:row>43</xdr:row>
      <xdr:rowOff>162232</xdr:rowOff>
    </xdr:from>
    <xdr:to>
      <xdr:col>24</xdr:col>
      <xdr:colOff>507414</xdr:colOff>
      <xdr:row>45</xdr:row>
      <xdr:rowOff>54076</xdr:rowOff>
    </xdr:to>
    <xdr:sp macro="" textlink="">
      <xdr:nvSpPr>
        <xdr:cNvPr id="621" name="Oval 620">
          <a:extLst>
            <a:ext uri="{FF2B5EF4-FFF2-40B4-BE49-F238E27FC236}">
              <a16:creationId xmlns:a16="http://schemas.microsoft.com/office/drawing/2014/main" id="{00000000-0008-0000-1000-00006D020000}"/>
            </a:ext>
          </a:extLst>
        </xdr:cNvPr>
        <xdr:cNvSpPr/>
      </xdr:nvSpPr>
      <xdr:spPr>
        <a:xfrm>
          <a:off x="14940116" y="8089490"/>
          <a:ext cx="315685" cy="260554"/>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24</xdr:col>
      <xdr:colOff>349572</xdr:colOff>
      <xdr:row>41</xdr:row>
      <xdr:rowOff>70758</xdr:rowOff>
    </xdr:from>
    <xdr:to>
      <xdr:col>25</xdr:col>
      <xdr:colOff>359228</xdr:colOff>
      <xdr:row>43</xdr:row>
      <xdr:rowOff>162232</xdr:rowOff>
    </xdr:to>
    <xdr:cxnSp macro="">
      <xdr:nvCxnSpPr>
        <xdr:cNvPr id="622" name="Connector: Elbow 621">
          <a:extLst>
            <a:ext uri="{FF2B5EF4-FFF2-40B4-BE49-F238E27FC236}">
              <a16:creationId xmlns:a16="http://schemas.microsoft.com/office/drawing/2014/main" id="{00000000-0008-0000-1000-00006E020000}"/>
            </a:ext>
          </a:extLst>
        </xdr:cNvPr>
        <xdr:cNvCxnSpPr>
          <a:stCxn id="621" idx="0"/>
          <a:endCxn id="619" idx="1"/>
        </xdr:cNvCxnSpPr>
      </xdr:nvCxnSpPr>
      <xdr:spPr>
        <a:xfrm rot="5400000" flipH="1" flipV="1">
          <a:off x="15179953" y="7547312"/>
          <a:ext cx="460184" cy="624172"/>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349572</xdr:colOff>
      <xdr:row>45</xdr:row>
      <xdr:rowOff>54076</xdr:rowOff>
    </xdr:from>
    <xdr:to>
      <xdr:col>25</xdr:col>
      <xdr:colOff>370114</xdr:colOff>
      <xdr:row>46</xdr:row>
      <xdr:rowOff>60223</xdr:rowOff>
    </xdr:to>
    <xdr:cxnSp macro="">
      <xdr:nvCxnSpPr>
        <xdr:cNvPr id="623" name="Connector: Elbow 622">
          <a:extLst>
            <a:ext uri="{FF2B5EF4-FFF2-40B4-BE49-F238E27FC236}">
              <a16:creationId xmlns:a16="http://schemas.microsoft.com/office/drawing/2014/main" id="{00000000-0008-0000-1000-00006F020000}"/>
            </a:ext>
          </a:extLst>
        </xdr:cNvPr>
        <xdr:cNvCxnSpPr>
          <a:stCxn id="621" idx="4"/>
          <a:endCxn id="620" idx="1"/>
        </xdr:cNvCxnSpPr>
      </xdr:nvCxnSpPr>
      <xdr:spPr>
        <a:xfrm rot="16200000" flipH="1">
          <a:off x="15320237" y="8127766"/>
          <a:ext cx="190502" cy="635058"/>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462644</xdr:colOff>
      <xdr:row>45</xdr:row>
      <xdr:rowOff>119742</xdr:rowOff>
    </xdr:from>
    <xdr:to>
      <xdr:col>28</xdr:col>
      <xdr:colOff>59873</xdr:colOff>
      <xdr:row>46</xdr:row>
      <xdr:rowOff>174170</xdr:rowOff>
    </xdr:to>
    <xdr:sp macro="" textlink="">
      <xdr:nvSpPr>
        <xdr:cNvPr id="624" name="Isosceles Triangle 623">
          <a:extLst>
            <a:ext uri="{FF2B5EF4-FFF2-40B4-BE49-F238E27FC236}">
              <a16:creationId xmlns:a16="http://schemas.microsoft.com/office/drawing/2014/main" id="{00000000-0008-0000-1000-000070020000}"/>
            </a:ext>
          </a:extLst>
        </xdr:cNvPr>
        <xdr:cNvSpPr/>
      </xdr:nvSpPr>
      <xdr:spPr>
        <a:xfrm rot="5400000">
          <a:off x="16905516" y="7353299"/>
          <a:ext cx="239485"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27</xdr:col>
      <xdr:colOff>0</xdr:colOff>
      <xdr:row>46</xdr:row>
      <xdr:rowOff>54428</xdr:rowOff>
    </xdr:from>
    <xdr:to>
      <xdr:col>27</xdr:col>
      <xdr:colOff>462644</xdr:colOff>
      <xdr:row>46</xdr:row>
      <xdr:rowOff>59872</xdr:rowOff>
    </xdr:to>
    <xdr:cxnSp macro="">
      <xdr:nvCxnSpPr>
        <xdr:cNvPr id="625" name="Connector: Elbow 351">
          <a:extLst>
            <a:ext uri="{FF2B5EF4-FFF2-40B4-BE49-F238E27FC236}">
              <a16:creationId xmlns:a16="http://schemas.microsoft.com/office/drawing/2014/main" id="{00000000-0008-0000-1000-000071020000}"/>
            </a:ext>
          </a:extLst>
        </xdr:cNvPr>
        <xdr:cNvCxnSpPr>
          <a:stCxn id="620" idx="3"/>
          <a:endCxn id="624" idx="3"/>
        </xdr:cNvCxnSpPr>
      </xdr:nvCxnSpPr>
      <xdr:spPr>
        <a:xfrm flipV="1">
          <a:off x="16459200" y="7456714"/>
          <a:ext cx="462644" cy="5444"/>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356419</xdr:colOff>
      <xdr:row>44</xdr:row>
      <xdr:rowOff>108154</xdr:rowOff>
    </xdr:from>
    <xdr:to>
      <xdr:col>24</xdr:col>
      <xdr:colOff>191729</xdr:colOff>
      <xdr:row>44</xdr:row>
      <xdr:rowOff>119919</xdr:rowOff>
    </xdr:to>
    <xdr:cxnSp macro="">
      <xdr:nvCxnSpPr>
        <xdr:cNvPr id="626" name="Connector: Elbow 42">
          <a:extLst>
            <a:ext uri="{FF2B5EF4-FFF2-40B4-BE49-F238E27FC236}">
              <a16:creationId xmlns:a16="http://schemas.microsoft.com/office/drawing/2014/main" id="{00000000-0008-0000-1000-000072020000}"/>
            </a:ext>
          </a:extLst>
        </xdr:cNvPr>
        <xdr:cNvCxnSpPr>
          <a:cxnSpLocks/>
          <a:stCxn id="543" idx="3"/>
          <a:endCxn id="621" idx="2"/>
        </xdr:cNvCxnSpPr>
      </xdr:nvCxnSpPr>
      <xdr:spPr>
        <a:xfrm flipV="1">
          <a:off x="14490290" y="8219767"/>
          <a:ext cx="449826" cy="11765"/>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527957</xdr:colOff>
      <xdr:row>40</xdr:row>
      <xdr:rowOff>130628</xdr:rowOff>
    </xdr:from>
    <xdr:to>
      <xdr:col>28</xdr:col>
      <xdr:colOff>125186</xdr:colOff>
      <xdr:row>41</xdr:row>
      <xdr:rowOff>185056</xdr:rowOff>
    </xdr:to>
    <xdr:sp macro="" textlink="">
      <xdr:nvSpPr>
        <xdr:cNvPr id="627" name="Isosceles Triangle 626">
          <a:extLst>
            <a:ext uri="{FF2B5EF4-FFF2-40B4-BE49-F238E27FC236}">
              <a16:creationId xmlns:a16="http://schemas.microsoft.com/office/drawing/2014/main" id="{00000000-0008-0000-1000-000073020000}"/>
            </a:ext>
          </a:extLst>
        </xdr:cNvPr>
        <xdr:cNvSpPr/>
      </xdr:nvSpPr>
      <xdr:spPr>
        <a:xfrm rot="5400000">
          <a:off x="16970829" y="6438899"/>
          <a:ext cx="239485"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26</xdr:col>
      <xdr:colOff>598714</xdr:colOff>
      <xdr:row>41</xdr:row>
      <xdr:rowOff>65314</xdr:rowOff>
    </xdr:from>
    <xdr:to>
      <xdr:col>27</xdr:col>
      <xdr:colOff>527957</xdr:colOff>
      <xdr:row>41</xdr:row>
      <xdr:rowOff>70758</xdr:rowOff>
    </xdr:to>
    <xdr:cxnSp macro="">
      <xdr:nvCxnSpPr>
        <xdr:cNvPr id="628" name="Connector: Elbow 351">
          <a:extLst>
            <a:ext uri="{FF2B5EF4-FFF2-40B4-BE49-F238E27FC236}">
              <a16:creationId xmlns:a16="http://schemas.microsoft.com/office/drawing/2014/main" id="{00000000-0008-0000-1000-000074020000}"/>
            </a:ext>
          </a:extLst>
        </xdr:cNvPr>
        <xdr:cNvCxnSpPr>
          <a:stCxn id="619" idx="3"/>
          <a:endCxn id="627" idx="3"/>
        </xdr:cNvCxnSpPr>
      </xdr:nvCxnSpPr>
      <xdr:spPr>
        <a:xfrm flipV="1">
          <a:off x="16448314" y="6542314"/>
          <a:ext cx="538843" cy="5444"/>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359228</xdr:colOff>
      <xdr:row>55</xdr:row>
      <xdr:rowOff>0</xdr:rowOff>
    </xdr:from>
    <xdr:to>
      <xdr:col>27</xdr:col>
      <xdr:colOff>598714</xdr:colOff>
      <xdr:row>57</xdr:row>
      <xdr:rowOff>141515</xdr:rowOff>
    </xdr:to>
    <xdr:sp macro="" textlink="">
      <xdr:nvSpPr>
        <xdr:cNvPr id="630" name="Rectangle: Rounded Corners 629">
          <a:extLst>
            <a:ext uri="{FF2B5EF4-FFF2-40B4-BE49-F238E27FC236}">
              <a16:creationId xmlns:a16="http://schemas.microsoft.com/office/drawing/2014/main" id="{00000000-0008-0000-1000-000076020000}"/>
            </a:ext>
          </a:extLst>
        </xdr:cNvPr>
        <xdr:cNvSpPr/>
      </xdr:nvSpPr>
      <xdr:spPr>
        <a:xfrm>
          <a:off x="16208828" y="9067800"/>
          <a:ext cx="849086" cy="511629"/>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Complications</a:t>
          </a:r>
          <a:r>
            <a:rPr lang="en-ZA" sz="1100" baseline="0">
              <a:solidFill>
                <a:sysClr val="windowText" lastClr="000000"/>
              </a:solidFill>
            </a:rPr>
            <a:t> in first 2 years</a:t>
          </a:r>
          <a:endParaRPr lang="en-ZA" sz="1100">
            <a:solidFill>
              <a:sysClr val="windowText" lastClr="000000"/>
            </a:solidFill>
          </a:endParaRPr>
        </a:p>
      </xdr:txBody>
    </xdr:sp>
    <xdr:clientData/>
  </xdr:twoCellAnchor>
  <xdr:twoCellAnchor>
    <xdr:from>
      <xdr:col>26</xdr:col>
      <xdr:colOff>370114</xdr:colOff>
      <xdr:row>59</xdr:row>
      <xdr:rowOff>174171</xdr:rowOff>
    </xdr:from>
    <xdr:to>
      <xdr:col>28</xdr:col>
      <xdr:colOff>0</xdr:colOff>
      <xdr:row>62</xdr:row>
      <xdr:rowOff>130629</xdr:rowOff>
    </xdr:to>
    <xdr:sp macro="" textlink="">
      <xdr:nvSpPr>
        <xdr:cNvPr id="631" name="Rectangle: Rounded Corners 630">
          <a:extLst>
            <a:ext uri="{FF2B5EF4-FFF2-40B4-BE49-F238E27FC236}">
              <a16:creationId xmlns:a16="http://schemas.microsoft.com/office/drawing/2014/main" id="{00000000-0008-0000-1000-000077020000}"/>
            </a:ext>
          </a:extLst>
        </xdr:cNvPr>
        <xdr:cNvSpPr/>
      </xdr:nvSpPr>
      <xdr:spPr>
        <a:xfrm>
          <a:off x="16219714" y="9982200"/>
          <a:ext cx="849086" cy="511629"/>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Healthy</a:t>
          </a:r>
        </a:p>
      </xdr:txBody>
    </xdr:sp>
    <xdr:clientData/>
  </xdr:twoCellAnchor>
  <xdr:twoCellAnchor>
    <xdr:from>
      <xdr:col>25</xdr:col>
      <xdr:colOff>228600</xdr:colOff>
      <xdr:row>58</xdr:row>
      <xdr:rowOff>100778</xdr:rowOff>
    </xdr:from>
    <xdr:to>
      <xdr:col>25</xdr:col>
      <xdr:colOff>544285</xdr:colOff>
      <xdr:row>59</xdr:row>
      <xdr:rowOff>176979</xdr:rowOff>
    </xdr:to>
    <xdr:sp macro="" textlink="">
      <xdr:nvSpPr>
        <xdr:cNvPr id="632" name="Oval 631">
          <a:extLst>
            <a:ext uri="{FF2B5EF4-FFF2-40B4-BE49-F238E27FC236}">
              <a16:creationId xmlns:a16="http://schemas.microsoft.com/office/drawing/2014/main" id="{00000000-0008-0000-1000-000078020000}"/>
            </a:ext>
          </a:extLst>
        </xdr:cNvPr>
        <xdr:cNvSpPr/>
      </xdr:nvSpPr>
      <xdr:spPr>
        <a:xfrm>
          <a:off x="15591503" y="10793359"/>
          <a:ext cx="315685" cy="26055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25</xdr:col>
      <xdr:colOff>386442</xdr:colOff>
      <xdr:row>56</xdr:row>
      <xdr:rowOff>70759</xdr:rowOff>
    </xdr:from>
    <xdr:to>
      <xdr:col>26</xdr:col>
      <xdr:colOff>359227</xdr:colOff>
      <xdr:row>58</xdr:row>
      <xdr:rowOff>100779</xdr:rowOff>
    </xdr:to>
    <xdr:cxnSp macro="">
      <xdr:nvCxnSpPr>
        <xdr:cNvPr id="633" name="Connector: Elbow 632">
          <a:extLst>
            <a:ext uri="{FF2B5EF4-FFF2-40B4-BE49-F238E27FC236}">
              <a16:creationId xmlns:a16="http://schemas.microsoft.com/office/drawing/2014/main" id="{00000000-0008-0000-1000-000079020000}"/>
            </a:ext>
          </a:extLst>
        </xdr:cNvPr>
        <xdr:cNvCxnSpPr>
          <a:stCxn id="632" idx="0"/>
          <a:endCxn id="630" idx="1"/>
        </xdr:cNvCxnSpPr>
      </xdr:nvCxnSpPr>
      <xdr:spPr>
        <a:xfrm rot="5400000" flipH="1" flipV="1">
          <a:off x="15843631" y="10300344"/>
          <a:ext cx="398730" cy="587301"/>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386442</xdr:colOff>
      <xdr:row>59</xdr:row>
      <xdr:rowOff>176979</xdr:rowOff>
    </xdr:from>
    <xdr:to>
      <xdr:col>26</xdr:col>
      <xdr:colOff>370113</xdr:colOff>
      <xdr:row>61</xdr:row>
      <xdr:rowOff>60223</xdr:rowOff>
    </xdr:to>
    <xdr:cxnSp macro="">
      <xdr:nvCxnSpPr>
        <xdr:cNvPr id="634" name="Connector: Elbow 633">
          <a:extLst>
            <a:ext uri="{FF2B5EF4-FFF2-40B4-BE49-F238E27FC236}">
              <a16:creationId xmlns:a16="http://schemas.microsoft.com/office/drawing/2014/main" id="{00000000-0008-0000-1000-00007A020000}"/>
            </a:ext>
          </a:extLst>
        </xdr:cNvPr>
        <xdr:cNvCxnSpPr>
          <a:stCxn id="632" idx="4"/>
          <a:endCxn id="631" idx="1"/>
        </xdr:cNvCxnSpPr>
      </xdr:nvCxnSpPr>
      <xdr:spPr>
        <a:xfrm rot="16200000" flipH="1">
          <a:off x="15922462" y="10880797"/>
          <a:ext cx="251954" cy="598187"/>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462644</xdr:colOff>
      <xdr:row>60</xdr:row>
      <xdr:rowOff>119742</xdr:rowOff>
    </xdr:from>
    <xdr:to>
      <xdr:col>29</xdr:col>
      <xdr:colOff>59873</xdr:colOff>
      <xdr:row>61</xdr:row>
      <xdr:rowOff>174170</xdr:rowOff>
    </xdr:to>
    <xdr:sp macro="" textlink="">
      <xdr:nvSpPr>
        <xdr:cNvPr id="635" name="Isosceles Triangle 634">
          <a:extLst>
            <a:ext uri="{FF2B5EF4-FFF2-40B4-BE49-F238E27FC236}">
              <a16:creationId xmlns:a16="http://schemas.microsoft.com/office/drawing/2014/main" id="{00000000-0008-0000-1000-00007B020000}"/>
            </a:ext>
          </a:extLst>
        </xdr:cNvPr>
        <xdr:cNvSpPr/>
      </xdr:nvSpPr>
      <xdr:spPr>
        <a:xfrm rot="5400000">
          <a:off x="17515116" y="10129156"/>
          <a:ext cx="239485"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28</xdr:col>
      <xdr:colOff>0</xdr:colOff>
      <xdr:row>61</xdr:row>
      <xdr:rowOff>54428</xdr:rowOff>
    </xdr:from>
    <xdr:to>
      <xdr:col>28</xdr:col>
      <xdr:colOff>462644</xdr:colOff>
      <xdr:row>61</xdr:row>
      <xdr:rowOff>59872</xdr:rowOff>
    </xdr:to>
    <xdr:cxnSp macro="">
      <xdr:nvCxnSpPr>
        <xdr:cNvPr id="636" name="Connector: Elbow 351">
          <a:extLst>
            <a:ext uri="{FF2B5EF4-FFF2-40B4-BE49-F238E27FC236}">
              <a16:creationId xmlns:a16="http://schemas.microsoft.com/office/drawing/2014/main" id="{00000000-0008-0000-1000-00007C020000}"/>
            </a:ext>
          </a:extLst>
        </xdr:cNvPr>
        <xdr:cNvCxnSpPr>
          <a:stCxn id="631" idx="3"/>
          <a:endCxn id="635" idx="3"/>
        </xdr:cNvCxnSpPr>
      </xdr:nvCxnSpPr>
      <xdr:spPr>
        <a:xfrm flipV="1">
          <a:off x="17068800" y="10232571"/>
          <a:ext cx="462644" cy="5444"/>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381000</xdr:colOff>
      <xdr:row>59</xdr:row>
      <xdr:rowOff>46702</xdr:rowOff>
    </xdr:from>
    <xdr:to>
      <xdr:col>25</xdr:col>
      <xdr:colOff>228600</xdr:colOff>
      <xdr:row>59</xdr:row>
      <xdr:rowOff>70758</xdr:rowOff>
    </xdr:to>
    <xdr:cxnSp macro="">
      <xdr:nvCxnSpPr>
        <xdr:cNvPr id="637" name="Connector: Elbow 42">
          <a:extLst>
            <a:ext uri="{FF2B5EF4-FFF2-40B4-BE49-F238E27FC236}">
              <a16:creationId xmlns:a16="http://schemas.microsoft.com/office/drawing/2014/main" id="{00000000-0008-0000-1000-00007D020000}"/>
            </a:ext>
          </a:extLst>
        </xdr:cNvPr>
        <xdr:cNvCxnSpPr>
          <a:cxnSpLocks/>
          <a:stCxn id="555" idx="3"/>
          <a:endCxn id="632" idx="2"/>
        </xdr:cNvCxnSpPr>
      </xdr:nvCxnSpPr>
      <xdr:spPr>
        <a:xfrm flipV="1">
          <a:off x="14514871" y="10923637"/>
          <a:ext cx="1076632" cy="24056"/>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527957</xdr:colOff>
      <xdr:row>55</xdr:row>
      <xdr:rowOff>130628</xdr:rowOff>
    </xdr:from>
    <xdr:to>
      <xdr:col>29</xdr:col>
      <xdr:colOff>125186</xdr:colOff>
      <xdr:row>56</xdr:row>
      <xdr:rowOff>185056</xdr:rowOff>
    </xdr:to>
    <xdr:sp macro="" textlink="">
      <xdr:nvSpPr>
        <xdr:cNvPr id="638" name="Isosceles Triangle 637">
          <a:extLst>
            <a:ext uri="{FF2B5EF4-FFF2-40B4-BE49-F238E27FC236}">
              <a16:creationId xmlns:a16="http://schemas.microsoft.com/office/drawing/2014/main" id="{00000000-0008-0000-1000-00007E020000}"/>
            </a:ext>
          </a:extLst>
        </xdr:cNvPr>
        <xdr:cNvSpPr/>
      </xdr:nvSpPr>
      <xdr:spPr>
        <a:xfrm rot="5400000">
          <a:off x="17580429" y="9214756"/>
          <a:ext cx="239485"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27</xdr:col>
      <xdr:colOff>598714</xdr:colOff>
      <xdr:row>56</xdr:row>
      <xdr:rowOff>65314</xdr:rowOff>
    </xdr:from>
    <xdr:to>
      <xdr:col>28</xdr:col>
      <xdr:colOff>527957</xdr:colOff>
      <xdr:row>56</xdr:row>
      <xdr:rowOff>70758</xdr:rowOff>
    </xdr:to>
    <xdr:cxnSp macro="">
      <xdr:nvCxnSpPr>
        <xdr:cNvPr id="639" name="Connector: Elbow 351">
          <a:extLst>
            <a:ext uri="{FF2B5EF4-FFF2-40B4-BE49-F238E27FC236}">
              <a16:creationId xmlns:a16="http://schemas.microsoft.com/office/drawing/2014/main" id="{00000000-0008-0000-1000-00007F020000}"/>
            </a:ext>
          </a:extLst>
        </xdr:cNvPr>
        <xdr:cNvCxnSpPr>
          <a:stCxn id="630" idx="3"/>
          <a:endCxn id="638" idx="3"/>
        </xdr:cNvCxnSpPr>
      </xdr:nvCxnSpPr>
      <xdr:spPr>
        <a:xfrm flipV="1">
          <a:off x="17057914" y="9318171"/>
          <a:ext cx="538843" cy="5444"/>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236325</xdr:colOff>
      <xdr:row>69</xdr:row>
      <xdr:rowOff>0</xdr:rowOff>
    </xdr:from>
    <xdr:to>
      <xdr:col>27</xdr:col>
      <xdr:colOff>475811</xdr:colOff>
      <xdr:row>71</xdr:row>
      <xdr:rowOff>141513</xdr:rowOff>
    </xdr:to>
    <xdr:sp macro="" textlink="">
      <xdr:nvSpPr>
        <xdr:cNvPr id="641" name="Rectangle: Rounded Corners 640">
          <a:extLst>
            <a:ext uri="{FF2B5EF4-FFF2-40B4-BE49-F238E27FC236}">
              <a16:creationId xmlns:a16="http://schemas.microsoft.com/office/drawing/2014/main" id="{00000000-0008-0000-1000-000081020000}"/>
            </a:ext>
          </a:extLst>
        </xdr:cNvPr>
        <xdr:cNvSpPr/>
      </xdr:nvSpPr>
      <xdr:spPr>
        <a:xfrm>
          <a:off x="16213744" y="12720484"/>
          <a:ext cx="854002" cy="510223"/>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Complications</a:t>
          </a:r>
          <a:r>
            <a:rPr lang="en-ZA" sz="1100" baseline="0">
              <a:solidFill>
                <a:sysClr val="windowText" lastClr="000000"/>
              </a:solidFill>
            </a:rPr>
            <a:t> in first 2 years</a:t>
          </a:r>
          <a:endParaRPr lang="en-ZA" sz="1100">
            <a:solidFill>
              <a:sysClr val="windowText" lastClr="000000"/>
            </a:solidFill>
          </a:endParaRPr>
        </a:p>
      </xdr:txBody>
    </xdr:sp>
    <xdr:clientData/>
  </xdr:twoCellAnchor>
  <xdr:twoCellAnchor>
    <xdr:from>
      <xdr:col>26</xdr:col>
      <xdr:colOff>370114</xdr:colOff>
      <xdr:row>75</xdr:row>
      <xdr:rowOff>174171</xdr:rowOff>
    </xdr:from>
    <xdr:to>
      <xdr:col>28</xdr:col>
      <xdr:colOff>0</xdr:colOff>
      <xdr:row>78</xdr:row>
      <xdr:rowOff>130629</xdr:rowOff>
    </xdr:to>
    <xdr:sp macro="" textlink="">
      <xdr:nvSpPr>
        <xdr:cNvPr id="642" name="Rectangle: Rounded Corners 641">
          <a:extLst>
            <a:ext uri="{FF2B5EF4-FFF2-40B4-BE49-F238E27FC236}">
              <a16:creationId xmlns:a16="http://schemas.microsoft.com/office/drawing/2014/main" id="{00000000-0008-0000-1000-000082020000}"/>
            </a:ext>
          </a:extLst>
        </xdr:cNvPr>
        <xdr:cNvSpPr/>
      </xdr:nvSpPr>
      <xdr:spPr>
        <a:xfrm>
          <a:off x="16219714" y="12943114"/>
          <a:ext cx="849086" cy="511629"/>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Healthy</a:t>
          </a:r>
        </a:p>
      </xdr:txBody>
    </xdr:sp>
    <xdr:clientData/>
  </xdr:twoCellAnchor>
  <xdr:twoCellAnchor>
    <xdr:from>
      <xdr:col>24</xdr:col>
      <xdr:colOff>277761</xdr:colOff>
      <xdr:row>72</xdr:row>
      <xdr:rowOff>63909</xdr:rowOff>
    </xdr:from>
    <xdr:to>
      <xdr:col>24</xdr:col>
      <xdr:colOff>593446</xdr:colOff>
      <xdr:row>73</xdr:row>
      <xdr:rowOff>140109</xdr:rowOff>
    </xdr:to>
    <xdr:sp macro="" textlink="">
      <xdr:nvSpPr>
        <xdr:cNvPr id="643" name="Oval 642">
          <a:extLst>
            <a:ext uri="{FF2B5EF4-FFF2-40B4-BE49-F238E27FC236}">
              <a16:creationId xmlns:a16="http://schemas.microsoft.com/office/drawing/2014/main" id="{00000000-0008-0000-1000-000083020000}"/>
            </a:ext>
          </a:extLst>
        </xdr:cNvPr>
        <xdr:cNvSpPr/>
      </xdr:nvSpPr>
      <xdr:spPr>
        <a:xfrm>
          <a:off x="15026148" y="13337457"/>
          <a:ext cx="315685" cy="26055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24</xdr:col>
      <xdr:colOff>435604</xdr:colOff>
      <xdr:row>70</xdr:row>
      <xdr:rowOff>70758</xdr:rowOff>
    </xdr:from>
    <xdr:to>
      <xdr:col>26</xdr:col>
      <xdr:colOff>236325</xdr:colOff>
      <xdr:row>72</xdr:row>
      <xdr:rowOff>63910</xdr:rowOff>
    </xdr:to>
    <xdr:cxnSp macro="">
      <xdr:nvCxnSpPr>
        <xdr:cNvPr id="644" name="Connector: Elbow 643">
          <a:extLst>
            <a:ext uri="{FF2B5EF4-FFF2-40B4-BE49-F238E27FC236}">
              <a16:creationId xmlns:a16="http://schemas.microsoft.com/office/drawing/2014/main" id="{00000000-0008-0000-1000-000084020000}"/>
            </a:ext>
          </a:extLst>
        </xdr:cNvPr>
        <xdr:cNvCxnSpPr>
          <a:stCxn id="643" idx="0"/>
          <a:endCxn id="641" idx="1"/>
        </xdr:cNvCxnSpPr>
      </xdr:nvCxnSpPr>
      <xdr:spPr>
        <a:xfrm rot="5400000" flipH="1" flipV="1">
          <a:off x="15517937" y="12641651"/>
          <a:ext cx="361861" cy="1029753"/>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435605</xdr:colOff>
      <xdr:row>73</xdr:row>
      <xdr:rowOff>140108</xdr:rowOff>
    </xdr:from>
    <xdr:to>
      <xdr:col>26</xdr:col>
      <xdr:colOff>370115</xdr:colOff>
      <xdr:row>77</xdr:row>
      <xdr:rowOff>60221</xdr:rowOff>
    </xdr:to>
    <xdr:cxnSp macro="">
      <xdr:nvCxnSpPr>
        <xdr:cNvPr id="645" name="Connector: Elbow 644">
          <a:extLst>
            <a:ext uri="{FF2B5EF4-FFF2-40B4-BE49-F238E27FC236}">
              <a16:creationId xmlns:a16="http://schemas.microsoft.com/office/drawing/2014/main" id="{00000000-0008-0000-1000-000085020000}"/>
            </a:ext>
          </a:extLst>
        </xdr:cNvPr>
        <xdr:cNvCxnSpPr>
          <a:stCxn id="643" idx="4"/>
          <a:endCxn id="642" idx="1"/>
        </xdr:cNvCxnSpPr>
      </xdr:nvCxnSpPr>
      <xdr:spPr>
        <a:xfrm rot="16200000" flipH="1">
          <a:off x="15436996" y="13345007"/>
          <a:ext cx="657533" cy="1163542"/>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462644</xdr:colOff>
      <xdr:row>76</xdr:row>
      <xdr:rowOff>119742</xdr:rowOff>
    </xdr:from>
    <xdr:to>
      <xdr:col>29</xdr:col>
      <xdr:colOff>59873</xdr:colOff>
      <xdr:row>77</xdr:row>
      <xdr:rowOff>174170</xdr:rowOff>
    </xdr:to>
    <xdr:sp macro="" textlink="">
      <xdr:nvSpPr>
        <xdr:cNvPr id="646" name="Isosceles Triangle 645">
          <a:extLst>
            <a:ext uri="{FF2B5EF4-FFF2-40B4-BE49-F238E27FC236}">
              <a16:creationId xmlns:a16="http://schemas.microsoft.com/office/drawing/2014/main" id="{00000000-0008-0000-1000-000086020000}"/>
            </a:ext>
          </a:extLst>
        </xdr:cNvPr>
        <xdr:cNvSpPr/>
      </xdr:nvSpPr>
      <xdr:spPr>
        <a:xfrm rot="5400000">
          <a:off x="17515116" y="13090070"/>
          <a:ext cx="239485"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28</xdr:col>
      <xdr:colOff>0</xdr:colOff>
      <xdr:row>77</xdr:row>
      <xdr:rowOff>54428</xdr:rowOff>
    </xdr:from>
    <xdr:to>
      <xdr:col>28</xdr:col>
      <xdr:colOff>462644</xdr:colOff>
      <xdr:row>77</xdr:row>
      <xdr:rowOff>59872</xdr:rowOff>
    </xdr:to>
    <xdr:cxnSp macro="">
      <xdr:nvCxnSpPr>
        <xdr:cNvPr id="647" name="Connector: Elbow 351">
          <a:extLst>
            <a:ext uri="{FF2B5EF4-FFF2-40B4-BE49-F238E27FC236}">
              <a16:creationId xmlns:a16="http://schemas.microsoft.com/office/drawing/2014/main" id="{00000000-0008-0000-1000-000087020000}"/>
            </a:ext>
          </a:extLst>
        </xdr:cNvPr>
        <xdr:cNvCxnSpPr>
          <a:stCxn id="642" idx="3"/>
          <a:endCxn id="646" idx="3"/>
        </xdr:cNvCxnSpPr>
      </xdr:nvCxnSpPr>
      <xdr:spPr>
        <a:xfrm flipV="1">
          <a:off x="17068800" y="13193485"/>
          <a:ext cx="462644" cy="5444"/>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381000</xdr:colOff>
      <xdr:row>73</xdr:row>
      <xdr:rowOff>9832</xdr:rowOff>
    </xdr:from>
    <xdr:to>
      <xdr:col>24</xdr:col>
      <xdr:colOff>277761</xdr:colOff>
      <xdr:row>73</xdr:row>
      <xdr:rowOff>70758</xdr:rowOff>
    </xdr:to>
    <xdr:cxnSp macro="">
      <xdr:nvCxnSpPr>
        <xdr:cNvPr id="648" name="Connector: Elbow 42">
          <a:extLst>
            <a:ext uri="{FF2B5EF4-FFF2-40B4-BE49-F238E27FC236}">
              <a16:creationId xmlns:a16="http://schemas.microsoft.com/office/drawing/2014/main" id="{00000000-0008-0000-1000-000088020000}"/>
            </a:ext>
          </a:extLst>
        </xdr:cNvPr>
        <xdr:cNvCxnSpPr>
          <a:cxnSpLocks/>
          <a:stCxn id="567" idx="3"/>
          <a:endCxn id="643" idx="2"/>
        </xdr:cNvCxnSpPr>
      </xdr:nvCxnSpPr>
      <xdr:spPr>
        <a:xfrm flipV="1">
          <a:off x="14514871" y="13467735"/>
          <a:ext cx="511277" cy="60926"/>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478795</xdr:colOff>
      <xdr:row>69</xdr:row>
      <xdr:rowOff>130629</xdr:rowOff>
    </xdr:from>
    <xdr:to>
      <xdr:col>29</xdr:col>
      <xdr:colOff>76024</xdr:colOff>
      <xdr:row>71</xdr:row>
      <xdr:rowOff>701</xdr:rowOff>
    </xdr:to>
    <xdr:sp macro="" textlink="">
      <xdr:nvSpPr>
        <xdr:cNvPr id="649" name="Isosceles Triangle 648">
          <a:extLst>
            <a:ext uri="{FF2B5EF4-FFF2-40B4-BE49-F238E27FC236}">
              <a16:creationId xmlns:a16="http://schemas.microsoft.com/office/drawing/2014/main" id="{00000000-0008-0000-1000-000089020000}"/>
            </a:ext>
          </a:extLst>
        </xdr:cNvPr>
        <xdr:cNvSpPr/>
      </xdr:nvSpPr>
      <xdr:spPr>
        <a:xfrm rot="5400000">
          <a:off x="17671729" y="12864631"/>
          <a:ext cx="238782" cy="211745"/>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27</xdr:col>
      <xdr:colOff>475811</xdr:colOff>
      <xdr:row>70</xdr:row>
      <xdr:rowOff>65665</xdr:rowOff>
    </xdr:from>
    <xdr:to>
      <xdr:col>28</xdr:col>
      <xdr:colOff>478796</xdr:colOff>
      <xdr:row>70</xdr:row>
      <xdr:rowOff>70757</xdr:rowOff>
    </xdr:to>
    <xdr:cxnSp macro="">
      <xdr:nvCxnSpPr>
        <xdr:cNvPr id="650" name="Connector: Elbow 351">
          <a:extLst>
            <a:ext uri="{FF2B5EF4-FFF2-40B4-BE49-F238E27FC236}">
              <a16:creationId xmlns:a16="http://schemas.microsoft.com/office/drawing/2014/main" id="{00000000-0008-0000-1000-00008A020000}"/>
            </a:ext>
          </a:extLst>
        </xdr:cNvPr>
        <xdr:cNvCxnSpPr>
          <a:stCxn id="641" idx="3"/>
          <a:endCxn id="649" idx="3"/>
        </xdr:cNvCxnSpPr>
      </xdr:nvCxnSpPr>
      <xdr:spPr>
        <a:xfrm flipV="1">
          <a:off x="17067746" y="12970504"/>
          <a:ext cx="617502" cy="5092"/>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359228</xdr:colOff>
      <xdr:row>91</xdr:row>
      <xdr:rowOff>0</xdr:rowOff>
    </xdr:from>
    <xdr:to>
      <xdr:col>27</xdr:col>
      <xdr:colOff>598714</xdr:colOff>
      <xdr:row>93</xdr:row>
      <xdr:rowOff>141515</xdr:rowOff>
    </xdr:to>
    <xdr:sp macro="" textlink="">
      <xdr:nvSpPr>
        <xdr:cNvPr id="652" name="Rectangle: Rounded Corners 651">
          <a:extLst>
            <a:ext uri="{FF2B5EF4-FFF2-40B4-BE49-F238E27FC236}">
              <a16:creationId xmlns:a16="http://schemas.microsoft.com/office/drawing/2014/main" id="{00000000-0008-0000-1000-00008C020000}"/>
            </a:ext>
          </a:extLst>
        </xdr:cNvPr>
        <xdr:cNvSpPr/>
      </xdr:nvSpPr>
      <xdr:spPr>
        <a:xfrm>
          <a:off x="16208828" y="15729857"/>
          <a:ext cx="849086" cy="511629"/>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Complications</a:t>
          </a:r>
          <a:r>
            <a:rPr lang="en-ZA" sz="1100" baseline="0">
              <a:solidFill>
                <a:sysClr val="windowText" lastClr="000000"/>
              </a:solidFill>
            </a:rPr>
            <a:t> in first 2 years</a:t>
          </a:r>
          <a:endParaRPr lang="en-ZA" sz="1100">
            <a:solidFill>
              <a:sysClr val="windowText" lastClr="000000"/>
            </a:solidFill>
          </a:endParaRPr>
        </a:p>
      </xdr:txBody>
    </xdr:sp>
    <xdr:clientData/>
  </xdr:twoCellAnchor>
  <xdr:twoCellAnchor>
    <xdr:from>
      <xdr:col>26</xdr:col>
      <xdr:colOff>271791</xdr:colOff>
      <xdr:row>97</xdr:row>
      <xdr:rowOff>75849</xdr:rowOff>
    </xdr:from>
    <xdr:to>
      <xdr:col>27</xdr:col>
      <xdr:colOff>516194</xdr:colOff>
      <xdr:row>100</xdr:row>
      <xdr:rowOff>32306</xdr:rowOff>
    </xdr:to>
    <xdr:sp macro="" textlink="">
      <xdr:nvSpPr>
        <xdr:cNvPr id="653" name="Rectangle: Rounded Corners 652">
          <a:extLst>
            <a:ext uri="{FF2B5EF4-FFF2-40B4-BE49-F238E27FC236}">
              <a16:creationId xmlns:a16="http://schemas.microsoft.com/office/drawing/2014/main" id="{00000000-0008-0000-1000-00008D020000}"/>
            </a:ext>
          </a:extLst>
        </xdr:cNvPr>
        <xdr:cNvSpPr/>
      </xdr:nvSpPr>
      <xdr:spPr>
        <a:xfrm>
          <a:off x="16249210" y="17958268"/>
          <a:ext cx="858919" cy="509522"/>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Healthy</a:t>
          </a:r>
        </a:p>
      </xdr:txBody>
    </xdr:sp>
    <xdr:clientData/>
  </xdr:twoCellAnchor>
  <xdr:twoCellAnchor>
    <xdr:from>
      <xdr:col>25</xdr:col>
      <xdr:colOff>167148</xdr:colOff>
      <xdr:row>94</xdr:row>
      <xdr:rowOff>88490</xdr:rowOff>
    </xdr:from>
    <xdr:to>
      <xdr:col>25</xdr:col>
      <xdr:colOff>482833</xdr:colOff>
      <xdr:row>95</xdr:row>
      <xdr:rowOff>164690</xdr:rowOff>
    </xdr:to>
    <xdr:sp macro="" textlink="">
      <xdr:nvSpPr>
        <xdr:cNvPr id="654" name="Oval 653">
          <a:extLst>
            <a:ext uri="{FF2B5EF4-FFF2-40B4-BE49-F238E27FC236}">
              <a16:creationId xmlns:a16="http://schemas.microsoft.com/office/drawing/2014/main" id="{00000000-0008-0000-1000-00008E020000}"/>
            </a:ext>
          </a:extLst>
        </xdr:cNvPr>
        <xdr:cNvSpPr/>
      </xdr:nvSpPr>
      <xdr:spPr>
        <a:xfrm>
          <a:off x="15530051" y="17417845"/>
          <a:ext cx="315685" cy="26055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25</xdr:col>
      <xdr:colOff>324990</xdr:colOff>
      <xdr:row>92</xdr:row>
      <xdr:rowOff>70759</xdr:rowOff>
    </xdr:from>
    <xdr:to>
      <xdr:col>26</xdr:col>
      <xdr:colOff>359227</xdr:colOff>
      <xdr:row>94</xdr:row>
      <xdr:rowOff>88491</xdr:rowOff>
    </xdr:to>
    <xdr:cxnSp macro="">
      <xdr:nvCxnSpPr>
        <xdr:cNvPr id="655" name="Connector: Elbow 654">
          <a:extLst>
            <a:ext uri="{FF2B5EF4-FFF2-40B4-BE49-F238E27FC236}">
              <a16:creationId xmlns:a16="http://schemas.microsoft.com/office/drawing/2014/main" id="{00000000-0008-0000-1000-00008F020000}"/>
            </a:ext>
          </a:extLst>
        </xdr:cNvPr>
        <xdr:cNvCxnSpPr>
          <a:stCxn id="654" idx="0"/>
          <a:endCxn id="652" idx="1"/>
        </xdr:cNvCxnSpPr>
      </xdr:nvCxnSpPr>
      <xdr:spPr>
        <a:xfrm rot="5400000" flipH="1" flipV="1">
          <a:off x="15819049" y="16900248"/>
          <a:ext cx="386442" cy="648753"/>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324992</xdr:colOff>
      <xdr:row>95</xdr:row>
      <xdr:rowOff>164689</xdr:rowOff>
    </xdr:from>
    <xdr:to>
      <xdr:col>26</xdr:col>
      <xdr:colOff>271792</xdr:colOff>
      <xdr:row>98</xdr:row>
      <xdr:rowOff>146254</xdr:rowOff>
    </xdr:to>
    <xdr:cxnSp macro="">
      <xdr:nvCxnSpPr>
        <xdr:cNvPr id="656" name="Connector: Elbow 655">
          <a:extLst>
            <a:ext uri="{FF2B5EF4-FFF2-40B4-BE49-F238E27FC236}">
              <a16:creationId xmlns:a16="http://schemas.microsoft.com/office/drawing/2014/main" id="{00000000-0008-0000-1000-000090020000}"/>
            </a:ext>
          </a:extLst>
        </xdr:cNvPr>
        <xdr:cNvCxnSpPr>
          <a:stCxn id="654" idx="4"/>
          <a:endCxn id="653" idx="1"/>
        </xdr:cNvCxnSpPr>
      </xdr:nvCxnSpPr>
      <xdr:spPr>
        <a:xfrm rot="16200000" flipH="1">
          <a:off x="15701238" y="17665056"/>
          <a:ext cx="534629" cy="561316"/>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462644</xdr:colOff>
      <xdr:row>98</xdr:row>
      <xdr:rowOff>70583</xdr:rowOff>
    </xdr:from>
    <xdr:to>
      <xdr:col>29</xdr:col>
      <xdr:colOff>59873</xdr:colOff>
      <xdr:row>99</xdr:row>
      <xdr:rowOff>125010</xdr:rowOff>
    </xdr:to>
    <xdr:sp macro="" textlink="">
      <xdr:nvSpPr>
        <xdr:cNvPr id="657" name="Isosceles Triangle 656">
          <a:extLst>
            <a:ext uri="{FF2B5EF4-FFF2-40B4-BE49-F238E27FC236}">
              <a16:creationId xmlns:a16="http://schemas.microsoft.com/office/drawing/2014/main" id="{00000000-0008-0000-1000-000091020000}"/>
            </a:ext>
          </a:extLst>
        </xdr:cNvPr>
        <xdr:cNvSpPr/>
      </xdr:nvSpPr>
      <xdr:spPr>
        <a:xfrm rot="5400000">
          <a:off x="17655578" y="18150875"/>
          <a:ext cx="238782" cy="211745"/>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27</xdr:col>
      <xdr:colOff>516194</xdr:colOff>
      <xdr:row>98</xdr:row>
      <xdr:rowOff>146255</xdr:rowOff>
    </xdr:from>
    <xdr:to>
      <xdr:col>28</xdr:col>
      <xdr:colOff>462645</xdr:colOff>
      <xdr:row>99</xdr:row>
      <xdr:rowOff>5619</xdr:rowOff>
    </xdr:to>
    <xdr:cxnSp macro="">
      <xdr:nvCxnSpPr>
        <xdr:cNvPr id="658" name="Connector: Elbow 351">
          <a:extLst>
            <a:ext uri="{FF2B5EF4-FFF2-40B4-BE49-F238E27FC236}">
              <a16:creationId xmlns:a16="http://schemas.microsoft.com/office/drawing/2014/main" id="{00000000-0008-0000-1000-000092020000}"/>
            </a:ext>
          </a:extLst>
        </xdr:cNvPr>
        <xdr:cNvCxnSpPr>
          <a:stCxn id="653" idx="3"/>
          <a:endCxn id="657" idx="3"/>
        </xdr:cNvCxnSpPr>
      </xdr:nvCxnSpPr>
      <xdr:spPr>
        <a:xfrm>
          <a:off x="17108129" y="18213029"/>
          <a:ext cx="560968" cy="43719"/>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381000</xdr:colOff>
      <xdr:row>95</xdr:row>
      <xdr:rowOff>34413</xdr:rowOff>
    </xdr:from>
    <xdr:to>
      <xdr:col>25</xdr:col>
      <xdr:colOff>167148</xdr:colOff>
      <xdr:row>95</xdr:row>
      <xdr:rowOff>70758</xdr:rowOff>
    </xdr:to>
    <xdr:cxnSp macro="">
      <xdr:nvCxnSpPr>
        <xdr:cNvPr id="659" name="Connector: Elbow 42">
          <a:extLst>
            <a:ext uri="{FF2B5EF4-FFF2-40B4-BE49-F238E27FC236}">
              <a16:creationId xmlns:a16="http://schemas.microsoft.com/office/drawing/2014/main" id="{00000000-0008-0000-1000-000093020000}"/>
            </a:ext>
          </a:extLst>
        </xdr:cNvPr>
        <xdr:cNvCxnSpPr>
          <a:cxnSpLocks/>
          <a:stCxn id="579" idx="3"/>
          <a:endCxn id="654" idx="2"/>
        </xdr:cNvCxnSpPr>
      </xdr:nvCxnSpPr>
      <xdr:spPr>
        <a:xfrm flipV="1">
          <a:off x="14514871" y="17548123"/>
          <a:ext cx="1015180" cy="36345"/>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527957</xdr:colOff>
      <xdr:row>91</xdr:row>
      <xdr:rowOff>130628</xdr:rowOff>
    </xdr:from>
    <xdr:to>
      <xdr:col>29</xdr:col>
      <xdr:colOff>125186</xdr:colOff>
      <xdr:row>92</xdr:row>
      <xdr:rowOff>185056</xdr:rowOff>
    </xdr:to>
    <xdr:sp macro="" textlink="">
      <xdr:nvSpPr>
        <xdr:cNvPr id="660" name="Isosceles Triangle 659">
          <a:extLst>
            <a:ext uri="{FF2B5EF4-FFF2-40B4-BE49-F238E27FC236}">
              <a16:creationId xmlns:a16="http://schemas.microsoft.com/office/drawing/2014/main" id="{00000000-0008-0000-1000-000094020000}"/>
            </a:ext>
          </a:extLst>
        </xdr:cNvPr>
        <xdr:cNvSpPr/>
      </xdr:nvSpPr>
      <xdr:spPr>
        <a:xfrm rot="5400000">
          <a:off x="17580429" y="15876813"/>
          <a:ext cx="239485"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27</xdr:col>
      <xdr:colOff>598714</xdr:colOff>
      <xdr:row>92</xdr:row>
      <xdr:rowOff>65314</xdr:rowOff>
    </xdr:from>
    <xdr:to>
      <xdr:col>28</xdr:col>
      <xdr:colOff>527957</xdr:colOff>
      <xdr:row>92</xdr:row>
      <xdr:rowOff>70758</xdr:rowOff>
    </xdr:to>
    <xdr:cxnSp macro="">
      <xdr:nvCxnSpPr>
        <xdr:cNvPr id="661" name="Connector: Elbow 351">
          <a:extLst>
            <a:ext uri="{FF2B5EF4-FFF2-40B4-BE49-F238E27FC236}">
              <a16:creationId xmlns:a16="http://schemas.microsoft.com/office/drawing/2014/main" id="{00000000-0008-0000-1000-000095020000}"/>
            </a:ext>
          </a:extLst>
        </xdr:cNvPr>
        <xdr:cNvCxnSpPr>
          <a:stCxn id="652" idx="3"/>
          <a:endCxn id="660" idx="3"/>
        </xdr:cNvCxnSpPr>
      </xdr:nvCxnSpPr>
      <xdr:spPr>
        <a:xfrm flipV="1">
          <a:off x="17057914" y="15980228"/>
          <a:ext cx="538843" cy="5444"/>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186461</xdr:colOff>
      <xdr:row>46</xdr:row>
      <xdr:rowOff>7725</xdr:rowOff>
    </xdr:from>
    <xdr:to>
      <xdr:col>2</xdr:col>
      <xdr:colOff>425947</xdr:colOff>
      <xdr:row>48</xdr:row>
      <xdr:rowOff>148538</xdr:rowOff>
    </xdr:to>
    <xdr:sp macro="" textlink="">
      <xdr:nvSpPr>
        <xdr:cNvPr id="832" name="Rectangle: Rounded Corners 831">
          <a:extLst>
            <a:ext uri="{FF2B5EF4-FFF2-40B4-BE49-F238E27FC236}">
              <a16:creationId xmlns:a16="http://schemas.microsoft.com/office/drawing/2014/main" id="{00000000-0008-0000-1000-000040030000}"/>
            </a:ext>
          </a:extLst>
        </xdr:cNvPr>
        <xdr:cNvSpPr/>
      </xdr:nvSpPr>
      <xdr:spPr>
        <a:xfrm>
          <a:off x="800977" y="8488048"/>
          <a:ext cx="854002" cy="509522"/>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PSG</a:t>
          </a:r>
        </a:p>
      </xdr:txBody>
    </xdr:sp>
    <xdr:clientData/>
  </xdr:twoCellAnchor>
  <xdr:twoCellAnchor>
    <xdr:from>
      <xdr:col>1</xdr:col>
      <xdr:colOff>583029</xdr:colOff>
      <xdr:row>48</xdr:row>
      <xdr:rowOff>148538</xdr:rowOff>
    </xdr:from>
    <xdr:to>
      <xdr:col>1</xdr:col>
      <xdr:colOff>613462</xdr:colOff>
      <xdr:row>65</xdr:row>
      <xdr:rowOff>72571</xdr:rowOff>
    </xdr:to>
    <xdr:cxnSp macro="">
      <xdr:nvCxnSpPr>
        <xdr:cNvPr id="834" name="Connector: Elbow 833">
          <a:extLst>
            <a:ext uri="{FF2B5EF4-FFF2-40B4-BE49-F238E27FC236}">
              <a16:creationId xmlns:a16="http://schemas.microsoft.com/office/drawing/2014/main" id="{00000000-0008-0000-1000-000042030000}"/>
            </a:ext>
          </a:extLst>
        </xdr:cNvPr>
        <xdr:cNvCxnSpPr>
          <a:stCxn id="2" idx="0"/>
          <a:endCxn id="832" idx="2"/>
        </xdr:cNvCxnSpPr>
      </xdr:nvCxnSpPr>
      <xdr:spPr>
        <a:xfrm flipV="1">
          <a:off x="1197545" y="8997570"/>
          <a:ext cx="30433" cy="3058066"/>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166796</xdr:colOff>
      <xdr:row>80</xdr:row>
      <xdr:rowOff>98674</xdr:rowOff>
    </xdr:from>
    <xdr:to>
      <xdr:col>2</xdr:col>
      <xdr:colOff>406282</xdr:colOff>
      <xdr:row>83</xdr:row>
      <xdr:rowOff>55131</xdr:rowOff>
    </xdr:to>
    <xdr:sp macro="" textlink="">
      <xdr:nvSpPr>
        <xdr:cNvPr id="837" name="Rectangle: Rounded Corners 836">
          <a:extLst>
            <a:ext uri="{FF2B5EF4-FFF2-40B4-BE49-F238E27FC236}">
              <a16:creationId xmlns:a16="http://schemas.microsoft.com/office/drawing/2014/main" id="{00000000-0008-0000-1000-000045030000}"/>
            </a:ext>
          </a:extLst>
        </xdr:cNvPr>
        <xdr:cNvSpPr/>
      </xdr:nvSpPr>
      <xdr:spPr>
        <a:xfrm>
          <a:off x="781312" y="14847061"/>
          <a:ext cx="854002" cy="509522"/>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Comparator</a:t>
          </a:r>
        </a:p>
      </xdr:txBody>
    </xdr:sp>
    <xdr:clientData/>
  </xdr:twoCellAnchor>
  <xdr:twoCellAnchor>
    <xdr:from>
      <xdr:col>1</xdr:col>
      <xdr:colOff>583029</xdr:colOff>
      <xdr:row>66</xdr:row>
      <xdr:rowOff>76200</xdr:rowOff>
    </xdr:from>
    <xdr:to>
      <xdr:col>1</xdr:col>
      <xdr:colOff>593797</xdr:colOff>
      <xdr:row>80</xdr:row>
      <xdr:rowOff>98674</xdr:rowOff>
    </xdr:to>
    <xdr:cxnSp macro="">
      <xdr:nvCxnSpPr>
        <xdr:cNvPr id="839" name="Connector: Elbow 838">
          <a:extLst>
            <a:ext uri="{FF2B5EF4-FFF2-40B4-BE49-F238E27FC236}">
              <a16:creationId xmlns:a16="http://schemas.microsoft.com/office/drawing/2014/main" id="{00000000-0008-0000-1000-000047030000}"/>
            </a:ext>
          </a:extLst>
        </xdr:cNvPr>
        <xdr:cNvCxnSpPr>
          <a:cxnSpLocks/>
          <a:stCxn id="2" idx="2"/>
          <a:endCxn id="837" idx="0"/>
        </xdr:cNvCxnSpPr>
      </xdr:nvCxnSpPr>
      <xdr:spPr>
        <a:xfrm>
          <a:off x="1197545" y="12243619"/>
          <a:ext cx="10768" cy="2603442"/>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8.xml><?xml version="1.0" encoding="utf-8"?>
<xdr:wsDr xmlns:xdr="http://schemas.openxmlformats.org/drawingml/2006/spreadsheetDrawing" xmlns:a="http://schemas.openxmlformats.org/drawingml/2006/main">
  <xdr:twoCellAnchor>
    <xdr:from>
      <xdr:col>1</xdr:col>
      <xdr:colOff>601980</xdr:colOff>
      <xdr:row>12</xdr:row>
      <xdr:rowOff>152400</xdr:rowOff>
    </xdr:from>
    <xdr:to>
      <xdr:col>3</xdr:col>
      <xdr:colOff>7620</xdr:colOff>
      <xdr:row>21</xdr:row>
      <xdr:rowOff>0</xdr:rowOff>
    </xdr:to>
    <xdr:cxnSp macro="">
      <xdr:nvCxnSpPr>
        <xdr:cNvPr id="3" name="Straight Arrow Connector 2">
          <a:extLst>
            <a:ext uri="{FF2B5EF4-FFF2-40B4-BE49-F238E27FC236}">
              <a16:creationId xmlns:a16="http://schemas.microsoft.com/office/drawing/2014/main" id="{00000000-0008-0000-1200-000003000000}"/>
            </a:ext>
          </a:extLst>
        </xdr:cNvPr>
        <xdr:cNvCxnSpPr/>
      </xdr:nvCxnSpPr>
      <xdr:spPr>
        <a:xfrm flipV="1">
          <a:off x="2933700" y="1432560"/>
          <a:ext cx="624840" cy="9601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7620</xdr:colOff>
      <xdr:row>21</xdr:row>
      <xdr:rowOff>0</xdr:rowOff>
    </xdr:from>
    <xdr:to>
      <xdr:col>3</xdr:col>
      <xdr:colOff>7620</xdr:colOff>
      <xdr:row>27</xdr:row>
      <xdr:rowOff>0</xdr:rowOff>
    </xdr:to>
    <xdr:cxnSp macro="">
      <xdr:nvCxnSpPr>
        <xdr:cNvPr id="5" name="Straight Arrow Connector 4">
          <a:extLst>
            <a:ext uri="{FF2B5EF4-FFF2-40B4-BE49-F238E27FC236}">
              <a16:creationId xmlns:a16="http://schemas.microsoft.com/office/drawing/2014/main" id="{00000000-0008-0000-1200-000005000000}"/>
            </a:ext>
          </a:extLst>
        </xdr:cNvPr>
        <xdr:cNvCxnSpPr/>
      </xdr:nvCxnSpPr>
      <xdr:spPr>
        <a:xfrm>
          <a:off x="2948940" y="2575560"/>
          <a:ext cx="609600" cy="16459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0</xdr:colOff>
      <xdr:row>9</xdr:row>
      <xdr:rowOff>160020</xdr:rowOff>
    </xdr:from>
    <xdr:to>
      <xdr:col>4</xdr:col>
      <xdr:colOff>601980</xdr:colOff>
      <xdr:row>12</xdr:row>
      <xdr:rowOff>0</xdr:rowOff>
    </xdr:to>
    <xdr:cxnSp macro="">
      <xdr:nvCxnSpPr>
        <xdr:cNvPr id="7" name="Straight Arrow Connector 6">
          <a:extLst>
            <a:ext uri="{FF2B5EF4-FFF2-40B4-BE49-F238E27FC236}">
              <a16:creationId xmlns:a16="http://schemas.microsoft.com/office/drawing/2014/main" id="{00000000-0008-0000-1200-000007000000}"/>
            </a:ext>
          </a:extLst>
        </xdr:cNvPr>
        <xdr:cNvCxnSpPr/>
      </xdr:nvCxnSpPr>
      <xdr:spPr>
        <a:xfrm flipV="1">
          <a:off x="4160520" y="891540"/>
          <a:ext cx="601980" cy="3886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30480</xdr:colOff>
      <xdr:row>12</xdr:row>
      <xdr:rowOff>99060</xdr:rowOff>
    </xdr:from>
    <xdr:to>
      <xdr:col>5</xdr:col>
      <xdr:colOff>22860</xdr:colOff>
      <xdr:row>15</xdr:row>
      <xdr:rowOff>22860</xdr:rowOff>
    </xdr:to>
    <xdr:cxnSp macro="">
      <xdr:nvCxnSpPr>
        <xdr:cNvPr id="10" name="Straight Arrow Connector 9">
          <a:extLst>
            <a:ext uri="{FF2B5EF4-FFF2-40B4-BE49-F238E27FC236}">
              <a16:creationId xmlns:a16="http://schemas.microsoft.com/office/drawing/2014/main" id="{00000000-0008-0000-1200-00000A000000}"/>
            </a:ext>
          </a:extLst>
        </xdr:cNvPr>
        <xdr:cNvCxnSpPr/>
      </xdr:nvCxnSpPr>
      <xdr:spPr>
        <a:xfrm>
          <a:off x="4191000" y="1379220"/>
          <a:ext cx="601980" cy="47244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891540</xdr:colOff>
      <xdr:row>6</xdr:row>
      <xdr:rowOff>160020</xdr:rowOff>
    </xdr:from>
    <xdr:to>
      <xdr:col>7</xdr:col>
      <xdr:colOff>7620</xdr:colOff>
      <xdr:row>9</xdr:row>
      <xdr:rowOff>0</xdr:rowOff>
    </xdr:to>
    <xdr:cxnSp macro="">
      <xdr:nvCxnSpPr>
        <xdr:cNvPr id="15" name="Straight Arrow Connector 14">
          <a:extLst>
            <a:ext uri="{FF2B5EF4-FFF2-40B4-BE49-F238E27FC236}">
              <a16:creationId xmlns:a16="http://schemas.microsoft.com/office/drawing/2014/main" id="{00000000-0008-0000-1200-00000F000000}"/>
            </a:ext>
          </a:extLst>
        </xdr:cNvPr>
        <xdr:cNvCxnSpPr/>
      </xdr:nvCxnSpPr>
      <xdr:spPr>
        <a:xfrm flipV="1">
          <a:off x="5661660" y="342900"/>
          <a:ext cx="624840" cy="3886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7620</xdr:colOff>
      <xdr:row>9</xdr:row>
      <xdr:rowOff>99060</xdr:rowOff>
    </xdr:from>
    <xdr:to>
      <xdr:col>7</xdr:col>
      <xdr:colOff>22860</xdr:colOff>
      <xdr:row>9</xdr:row>
      <xdr:rowOff>99060</xdr:rowOff>
    </xdr:to>
    <xdr:cxnSp macro="">
      <xdr:nvCxnSpPr>
        <xdr:cNvPr id="17" name="Straight Arrow Connector 16">
          <a:extLst>
            <a:ext uri="{FF2B5EF4-FFF2-40B4-BE49-F238E27FC236}">
              <a16:creationId xmlns:a16="http://schemas.microsoft.com/office/drawing/2014/main" id="{00000000-0008-0000-1200-000011000000}"/>
            </a:ext>
          </a:extLst>
        </xdr:cNvPr>
        <xdr:cNvCxnSpPr/>
      </xdr:nvCxnSpPr>
      <xdr:spPr>
        <a:xfrm>
          <a:off x="5676900" y="830580"/>
          <a:ext cx="62484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891540</xdr:colOff>
      <xdr:row>10</xdr:row>
      <xdr:rowOff>0</xdr:rowOff>
    </xdr:from>
    <xdr:to>
      <xdr:col>6</xdr:col>
      <xdr:colOff>594360</xdr:colOff>
      <xdr:row>12</xdr:row>
      <xdr:rowOff>22860</xdr:rowOff>
    </xdr:to>
    <xdr:cxnSp macro="">
      <xdr:nvCxnSpPr>
        <xdr:cNvPr id="19" name="Straight Arrow Connector 18">
          <a:extLst>
            <a:ext uri="{FF2B5EF4-FFF2-40B4-BE49-F238E27FC236}">
              <a16:creationId xmlns:a16="http://schemas.microsoft.com/office/drawing/2014/main" id="{00000000-0008-0000-1200-000013000000}"/>
            </a:ext>
          </a:extLst>
        </xdr:cNvPr>
        <xdr:cNvCxnSpPr/>
      </xdr:nvCxnSpPr>
      <xdr:spPr>
        <a:xfrm>
          <a:off x="5661660" y="914400"/>
          <a:ext cx="601980" cy="3886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45720</xdr:colOff>
      <xdr:row>24</xdr:row>
      <xdr:rowOff>167640</xdr:rowOff>
    </xdr:from>
    <xdr:to>
      <xdr:col>4</xdr:col>
      <xdr:colOff>594360</xdr:colOff>
      <xdr:row>26</xdr:row>
      <xdr:rowOff>137160</xdr:rowOff>
    </xdr:to>
    <xdr:cxnSp macro="">
      <xdr:nvCxnSpPr>
        <xdr:cNvPr id="23" name="Straight Arrow Connector 22">
          <a:extLst>
            <a:ext uri="{FF2B5EF4-FFF2-40B4-BE49-F238E27FC236}">
              <a16:creationId xmlns:a16="http://schemas.microsoft.com/office/drawing/2014/main" id="{00000000-0008-0000-1200-000017000000}"/>
            </a:ext>
          </a:extLst>
        </xdr:cNvPr>
        <xdr:cNvCxnSpPr/>
      </xdr:nvCxnSpPr>
      <xdr:spPr>
        <a:xfrm flipV="1">
          <a:off x="2788920" y="3459480"/>
          <a:ext cx="548640" cy="33528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21</xdr:row>
      <xdr:rowOff>167640</xdr:rowOff>
    </xdr:from>
    <xdr:to>
      <xdr:col>6</xdr:col>
      <xdr:colOff>601980</xdr:colOff>
      <xdr:row>24</xdr:row>
      <xdr:rowOff>7620</xdr:rowOff>
    </xdr:to>
    <xdr:cxnSp macro="">
      <xdr:nvCxnSpPr>
        <xdr:cNvPr id="25" name="Straight Arrow Connector 24">
          <a:extLst>
            <a:ext uri="{FF2B5EF4-FFF2-40B4-BE49-F238E27FC236}">
              <a16:creationId xmlns:a16="http://schemas.microsoft.com/office/drawing/2014/main" id="{00000000-0008-0000-1200-000019000000}"/>
            </a:ext>
          </a:extLst>
        </xdr:cNvPr>
        <xdr:cNvCxnSpPr/>
      </xdr:nvCxnSpPr>
      <xdr:spPr>
        <a:xfrm flipV="1">
          <a:off x="5669280" y="3093720"/>
          <a:ext cx="601980" cy="3886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7620</xdr:colOff>
      <xdr:row>24</xdr:row>
      <xdr:rowOff>91440</xdr:rowOff>
    </xdr:from>
    <xdr:to>
      <xdr:col>6</xdr:col>
      <xdr:colOff>601980</xdr:colOff>
      <xdr:row>24</xdr:row>
      <xdr:rowOff>99060</xdr:rowOff>
    </xdr:to>
    <xdr:cxnSp macro="">
      <xdr:nvCxnSpPr>
        <xdr:cNvPr id="27" name="Straight Arrow Connector 26">
          <a:extLst>
            <a:ext uri="{FF2B5EF4-FFF2-40B4-BE49-F238E27FC236}">
              <a16:creationId xmlns:a16="http://schemas.microsoft.com/office/drawing/2014/main" id="{00000000-0008-0000-1200-00001B000000}"/>
            </a:ext>
          </a:extLst>
        </xdr:cNvPr>
        <xdr:cNvCxnSpPr/>
      </xdr:nvCxnSpPr>
      <xdr:spPr>
        <a:xfrm flipV="1">
          <a:off x="5676900" y="3566160"/>
          <a:ext cx="594360" cy="76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15240</xdr:colOff>
      <xdr:row>27</xdr:row>
      <xdr:rowOff>0</xdr:rowOff>
    </xdr:from>
    <xdr:to>
      <xdr:col>5</xdr:col>
      <xdr:colOff>22860</xdr:colOff>
      <xdr:row>27</xdr:row>
      <xdr:rowOff>45720</xdr:rowOff>
    </xdr:to>
    <xdr:cxnSp macro="">
      <xdr:nvCxnSpPr>
        <xdr:cNvPr id="31" name="Straight Arrow Connector 30">
          <a:extLst>
            <a:ext uri="{FF2B5EF4-FFF2-40B4-BE49-F238E27FC236}">
              <a16:creationId xmlns:a16="http://schemas.microsoft.com/office/drawing/2014/main" id="{00000000-0008-0000-1200-00001F000000}"/>
            </a:ext>
          </a:extLst>
        </xdr:cNvPr>
        <xdr:cNvCxnSpPr/>
      </xdr:nvCxnSpPr>
      <xdr:spPr>
        <a:xfrm>
          <a:off x="4175760" y="4381500"/>
          <a:ext cx="617220" cy="2362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0</xdr:colOff>
      <xdr:row>39</xdr:row>
      <xdr:rowOff>144780</xdr:rowOff>
    </xdr:from>
    <xdr:to>
      <xdr:col>5</xdr:col>
      <xdr:colOff>22860</xdr:colOff>
      <xdr:row>42</xdr:row>
      <xdr:rowOff>15240</xdr:rowOff>
    </xdr:to>
    <xdr:cxnSp macro="">
      <xdr:nvCxnSpPr>
        <xdr:cNvPr id="35" name="Straight Arrow Connector 34">
          <a:extLst>
            <a:ext uri="{FF2B5EF4-FFF2-40B4-BE49-F238E27FC236}">
              <a16:creationId xmlns:a16="http://schemas.microsoft.com/office/drawing/2014/main" id="{00000000-0008-0000-1200-000023000000}"/>
            </a:ext>
          </a:extLst>
        </xdr:cNvPr>
        <xdr:cNvCxnSpPr/>
      </xdr:nvCxnSpPr>
      <xdr:spPr>
        <a:xfrm flipV="1">
          <a:off x="4160520" y="6362700"/>
          <a:ext cx="632460" cy="4191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594360</xdr:colOff>
      <xdr:row>42</xdr:row>
      <xdr:rowOff>175260</xdr:rowOff>
    </xdr:from>
    <xdr:to>
      <xdr:col>3</xdr:col>
      <xdr:colOff>7620</xdr:colOff>
      <xdr:row>51</xdr:row>
      <xdr:rowOff>0</xdr:rowOff>
    </xdr:to>
    <xdr:cxnSp macro="">
      <xdr:nvCxnSpPr>
        <xdr:cNvPr id="39" name="Straight Arrow Connector 38">
          <a:extLst>
            <a:ext uri="{FF2B5EF4-FFF2-40B4-BE49-F238E27FC236}">
              <a16:creationId xmlns:a16="http://schemas.microsoft.com/office/drawing/2014/main" id="{00000000-0008-0000-1200-000027000000}"/>
            </a:ext>
          </a:extLst>
        </xdr:cNvPr>
        <xdr:cNvCxnSpPr/>
      </xdr:nvCxnSpPr>
      <xdr:spPr>
        <a:xfrm flipV="1">
          <a:off x="2926080" y="6941820"/>
          <a:ext cx="632460" cy="92964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7620</xdr:colOff>
      <xdr:row>51</xdr:row>
      <xdr:rowOff>0</xdr:rowOff>
    </xdr:from>
    <xdr:to>
      <xdr:col>2</xdr:col>
      <xdr:colOff>601980</xdr:colOff>
      <xdr:row>58</xdr:row>
      <xdr:rowOff>30480</xdr:rowOff>
    </xdr:to>
    <xdr:cxnSp macro="">
      <xdr:nvCxnSpPr>
        <xdr:cNvPr id="41" name="Straight Arrow Connector 40">
          <a:extLst>
            <a:ext uri="{FF2B5EF4-FFF2-40B4-BE49-F238E27FC236}">
              <a16:creationId xmlns:a16="http://schemas.microsoft.com/office/drawing/2014/main" id="{00000000-0008-0000-1200-000029000000}"/>
            </a:ext>
          </a:extLst>
        </xdr:cNvPr>
        <xdr:cNvCxnSpPr/>
      </xdr:nvCxnSpPr>
      <xdr:spPr>
        <a:xfrm>
          <a:off x="2948940" y="8054340"/>
          <a:ext cx="594360" cy="166878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7620</xdr:colOff>
      <xdr:row>42</xdr:row>
      <xdr:rowOff>129540</xdr:rowOff>
    </xdr:from>
    <xdr:to>
      <xdr:col>5</xdr:col>
      <xdr:colOff>22860</xdr:colOff>
      <xdr:row>45</xdr:row>
      <xdr:rowOff>15240</xdr:rowOff>
    </xdr:to>
    <xdr:cxnSp macro="">
      <xdr:nvCxnSpPr>
        <xdr:cNvPr id="43" name="Straight Arrow Connector 42">
          <a:extLst>
            <a:ext uri="{FF2B5EF4-FFF2-40B4-BE49-F238E27FC236}">
              <a16:creationId xmlns:a16="http://schemas.microsoft.com/office/drawing/2014/main" id="{00000000-0008-0000-1200-00002B000000}"/>
            </a:ext>
          </a:extLst>
        </xdr:cNvPr>
        <xdr:cNvCxnSpPr/>
      </xdr:nvCxnSpPr>
      <xdr:spPr>
        <a:xfrm>
          <a:off x="4168140" y="6896100"/>
          <a:ext cx="624840" cy="43434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891540</xdr:colOff>
      <xdr:row>36</xdr:row>
      <xdr:rowOff>152400</xdr:rowOff>
    </xdr:from>
    <xdr:to>
      <xdr:col>7</xdr:col>
      <xdr:colOff>22860</xdr:colOff>
      <xdr:row>39</xdr:row>
      <xdr:rowOff>7620</xdr:rowOff>
    </xdr:to>
    <xdr:cxnSp macro="">
      <xdr:nvCxnSpPr>
        <xdr:cNvPr id="47" name="Straight Arrow Connector 46">
          <a:extLst>
            <a:ext uri="{FF2B5EF4-FFF2-40B4-BE49-F238E27FC236}">
              <a16:creationId xmlns:a16="http://schemas.microsoft.com/office/drawing/2014/main" id="{00000000-0008-0000-1200-00002F000000}"/>
            </a:ext>
          </a:extLst>
        </xdr:cNvPr>
        <xdr:cNvCxnSpPr/>
      </xdr:nvCxnSpPr>
      <xdr:spPr>
        <a:xfrm flipV="1">
          <a:off x="5661660" y="5821680"/>
          <a:ext cx="640080" cy="40386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7620</xdr:colOff>
      <xdr:row>39</xdr:row>
      <xdr:rowOff>91440</xdr:rowOff>
    </xdr:from>
    <xdr:to>
      <xdr:col>7</xdr:col>
      <xdr:colOff>0</xdr:colOff>
      <xdr:row>39</xdr:row>
      <xdr:rowOff>91440</xdr:rowOff>
    </xdr:to>
    <xdr:cxnSp macro="">
      <xdr:nvCxnSpPr>
        <xdr:cNvPr id="49" name="Straight Arrow Connector 48">
          <a:extLst>
            <a:ext uri="{FF2B5EF4-FFF2-40B4-BE49-F238E27FC236}">
              <a16:creationId xmlns:a16="http://schemas.microsoft.com/office/drawing/2014/main" id="{00000000-0008-0000-1200-000031000000}"/>
            </a:ext>
          </a:extLst>
        </xdr:cNvPr>
        <xdr:cNvCxnSpPr/>
      </xdr:nvCxnSpPr>
      <xdr:spPr>
        <a:xfrm>
          <a:off x="5676900" y="6309360"/>
          <a:ext cx="60198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7620</xdr:colOff>
      <xdr:row>39</xdr:row>
      <xdr:rowOff>167640</xdr:rowOff>
    </xdr:from>
    <xdr:to>
      <xdr:col>7</xdr:col>
      <xdr:colOff>7620</xdr:colOff>
      <xdr:row>42</xdr:row>
      <xdr:rowOff>15240</xdr:rowOff>
    </xdr:to>
    <xdr:cxnSp macro="">
      <xdr:nvCxnSpPr>
        <xdr:cNvPr id="51" name="Straight Arrow Connector 50">
          <a:extLst>
            <a:ext uri="{FF2B5EF4-FFF2-40B4-BE49-F238E27FC236}">
              <a16:creationId xmlns:a16="http://schemas.microsoft.com/office/drawing/2014/main" id="{00000000-0008-0000-1200-000033000000}"/>
            </a:ext>
          </a:extLst>
        </xdr:cNvPr>
        <xdr:cNvCxnSpPr/>
      </xdr:nvCxnSpPr>
      <xdr:spPr>
        <a:xfrm>
          <a:off x="5676900" y="6385560"/>
          <a:ext cx="609600" cy="39624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594360</xdr:colOff>
      <xdr:row>54</xdr:row>
      <xdr:rowOff>167640</xdr:rowOff>
    </xdr:from>
    <xdr:to>
      <xdr:col>5</xdr:col>
      <xdr:colOff>7620</xdr:colOff>
      <xdr:row>58</xdr:row>
      <xdr:rowOff>0</xdr:rowOff>
    </xdr:to>
    <xdr:cxnSp macro="">
      <xdr:nvCxnSpPr>
        <xdr:cNvPr id="53" name="Straight Arrow Connector 52">
          <a:extLst>
            <a:ext uri="{FF2B5EF4-FFF2-40B4-BE49-F238E27FC236}">
              <a16:creationId xmlns:a16="http://schemas.microsoft.com/office/drawing/2014/main" id="{00000000-0008-0000-1200-000035000000}"/>
            </a:ext>
          </a:extLst>
        </xdr:cNvPr>
        <xdr:cNvCxnSpPr/>
      </xdr:nvCxnSpPr>
      <xdr:spPr>
        <a:xfrm flipV="1">
          <a:off x="4145280" y="9128760"/>
          <a:ext cx="632460" cy="56388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15240</xdr:colOff>
      <xdr:row>51</xdr:row>
      <xdr:rowOff>152400</xdr:rowOff>
    </xdr:from>
    <xdr:to>
      <xdr:col>7</xdr:col>
      <xdr:colOff>30480</xdr:colOff>
      <xdr:row>54</xdr:row>
      <xdr:rowOff>22860</xdr:rowOff>
    </xdr:to>
    <xdr:cxnSp macro="">
      <xdr:nvCxnSpPr>
        <xdr:cNvPr id="55" name="Straight Arrow Connector 54">
          <a:extLst>
            <a:ext uri="{FF2B5EF4-FFF2-40B4-BE49-F238E27FC236}">
              <a16:creationId xmlns:a16="http://schemas.microsoft.com/office/drawing/2014/main" id="{00000000-0008-0000-1200-000037000000}"/>
            </a:ext>
          </a:extLst>
        </xdr:cNvPr>
        <xdr:cNvCxnSpPr/>
      </xdr:nvCxnSpPr>
      <xdr:spPr>
        <a:xfrm flipV="1">
          <a:off x="5684520" y="8564880"/>
          <a:ext cx="624840" cy="4191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891540</xdr:colOff>
      <xdr:row>54</xdr:row>
      <xdr:rowOff>114300</xdr:rowOff>
    </xdr:from>
    <xdr:to>
      <xdr:col>7</xdr:col>
      <xdr:colOff>15240</xdr:colOff>
      <xdr:row>54</xdr:row>
      <xdr:rowOff>114300</xdr:rowOff>
    </xdr:to>
    <xdr:cxnSp macro="">
      <xdr:nvCxnSpPr>
        <xdr:cNvPr id="57" name="Straight Arrow Connector 56">
          <a:extLst>
            <a:ext uri="{FF2B5EF4-FFF2-40B4-BE49-F238E27FC236}">
              <a16:creationId xmlns:a16="http://schemas.microsoft.com/office/drawing/2014/main" id="{00000000-0008-0000-1200-000039000000}"/>
            </a:ext>
          </a:extLst>
        </xdr:cNvPr>
        <xdr:cNvCxnSpPr/>
      </xdr:nvCxnSpPr>
      <xdr:spPr>
        <a:xfrm>
          <a:off x="5661660" y="9075420"/>
          <a:ext cx="63246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0</xdr:colOff>
      <xdr:row>57</xdr:row>
      <xdr:rowOff>95250</xdr:rowOff>
    </xdr:from>
    <xdr:to>
      <xdr:col>4</xdr:col>
      <xdr:colOff>598714</xdr:colOff>
      <xdr:row>58</xdr:row>
      <xdr:rowOff>175260</xdr:rowOff>
    </xdr:to>
    <xdr:cxnSp macro="">
      <xdr:nvCxnSpPr>
        <xdr:cNvPr id="61" name="Straight Arrow Connector 60">
          <a:extLst>
            <a:ext uri="{FF2B5EF4-FFF2-40B4-BE49-F238E27FC236}">
              <a16:creationId xmlns:a16="http://schemas.microsoft.com/office/drawing/2014/main" id="{00000000-0008-0000-1200-00003D000000}"/>
            </a:ext>
          </a:extLst>
        </xdr:cNvPr>
        <xdr:cNvCxnSpPr/>
      </xdr:nvCxnSpPr>
      <xdr:spPr>
        <a:xfrm flipV="1">
          <a:off x="2735036" y="8055429"/>
          <a:ext cx="598714" cy="25690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601980</xdr:colOff>
      <xdr:row>75</xdr:row>
      <xdr:rowOff>152400</xdr:rowOff>
    </xdr:from>
    <xdr:to>
      <xdr:col>3</xdr:col>
      <xdr:colOff>7620</xdr:colOff>
      <xdr:row>84</xdr:row>
      <xdr:rowOff>15240</xdr:rowOff>
    </xdr:to>
    <xdr:cxnSp macro="">
      <xdr:nvCxnSpPr>
        <xdr:cNvPr id="124" name="Straight Arrow Connector 123">
          <a:extLst>
            <a:ext uri="{FF2B5EF4-FFF2-40B4-BE49-F238E27FC236}">
              <a16:creationId xmlns:a16="http://schemas.microsoft.com/office/drawing/2014/main" id="{00000000-0008-0000-1200-00007C000000}"/>
            </a:ext>
          </a:extLst>
        </xdr:cNvPr>
        <xdr:cNvCxnSpPr/>
      </xdr:nvCxnSpPr>
      <xdr:spPr>
        <a:xfrm flipV="1">
          <a:off x="2933700" y="1798320"/>
          <a:ext cx="624840" cy="9601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7620</xdr:colOff>
      <xdr:row>85</xdr:row>
      <xdr:rowOff>15240</xdr:rowOff>
    </xdr:from>
    <xdr:to>
      <xdr:col>3</xdr:col>
      <xdr:colOff>0</xdr:colOff>
      <xdr:row>91</xdr:row>
      <xdr:rowOff>0</xdr:rowOff>
    </xdr:to>
    <xdr:cxnSp macro="">
      <xdr:nvCxnSpPr>
        <xdr:cNvPr id="125" name="Straight Arrow Connector 124">
          <a:extLst>
            <a:ext uri="{FF2B5EF4-FFF2-40B4-BE49-F238E27FC236}">
              <a16:creationId xmlns:a16="http://schemas.microsoft.com/office/drawing/2014/main" id="{00000000-0008-0000-1200-00007D000000}"/>
            </a:ext>
          </a:extLst>
        </xdr:cNvPr>
        <xdr:cNvCxnSpPr/>
      </xdr:nvCxnSpPr>
      <xdr:spPr>
        <a:xfrm>
          <a:off x="1395549" y="11867061"/>
          <a:ext cx="604701" cy="104611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0</xdr:colOff>
      <xdr:row>72</xdr:row>
      <xdr:rowOff>160020</xdr:rowOff>
    </xdr:from>
    <xdr:to>
      <xdr:col>4</xdr:col>
      <xdr:colOff>601980</xdr:colOff>
      <xdr:row>75</xdr:row>
      <xdr:rowOff>0</xdr:rowOff>
    </xdr:to>
    <xdr:cxnSp macro="">
      <xdr:nvCxnSpPr>
        <xdr:cNvPr id="126" name="Straight Arrow Connector 125">
          <a:extLst>
            <a:ext uri="{FF2B5EF4-FFF2-40B4-BE49-F238E27FC236}">
              <a16:creationId xmlns:a16="http://schemas.microsoft.com/office/drawing/2014/main" id="{00000000-0008-0000-1200-00007E000000}"/>
            </a:ext>
          </a:extLst>
        </xdr:cNvPr>
        <xdr:cNvCxnSpPr/>
      </xdr:nvCxnSpPr>
      <xdr:spPr>
        <a:xfrm flipV="1">
          <a:off x="4160520" y="1257300"/>
          <a:ext cx="601980" cy="3886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30480</xdr:colOff>
      <xdr:row>75</xdr:row>
      <xdr:rowOff>99060</xdr:rowOff>
    </xdr:from>
    <xdr:to>
      <xdr:col>5</xdr:col>
      <xdr:colOff>22860</xdr:colOff>
      <xdr:row>78</xdr:row>
      <xdr:rowOff>22860</xdr:rowOff>
    </xdr:to>
    <xdr:cxnSp macro="">
      <xdr:nvCxnSpPr>
        <xdr:cNvPr id="127" name="Straight Arrow Connector 126">
          <a:extLst>
            <a:ext uri="{FF2B5EF4-FFF2-40B4-BE49-F238E27FC236}">
              <a16:creationId xmlns:a16="http://schemas.microsoft.com/office/drawing/2014/main" id="{00000000-0008-0000-1200-00007F000000}"/>
            </a:ext>
          </a:extLst>
        </xdr:cNvPr>
        <xdr:cNvCxnSpPr/>
      </xdr:nvCxnSpPr>
      <xdr:spPr>
        <a:xfrm>
          <a:off x="4191000" y="1744980"/>
          <a:ext cx="601980" cy="47244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891540</xdr:colOff>
      <xdr:row>69</xdr:row>
      <xdr:rowOff>160020</xdr:rowOff>
    </xdr:from>
    <xdr:to>
      <xdr:col>7</xdr:col>
      <xdr:colOff>7620</xdr:colOff>
      <xdr:row>72</xdr:row>
      <xdr:rowOff>0</xdr:rowOff>
    </xdr:to>
    <xdr:cxnSp macro="">
      <xdr:nvCxnSpPr>
        <xdr:cNvPr id="129" name="Straight Arrow Connector 128">
          <a:extLst>
            <a:ext uri="{FF2B5EF4-FFF2-40B4-BE49-F238E27FC236}">
              <a16:creationId xmlns:a16="http://schemas.microsoft.com/office/drawing/2014/main" id="{00000000-0008-0000-1200-000081000000}"/>
            </a:ext>
          </a:extLst>
        </xdr:cNvPr>
        <xdr:cNvCxnSpPr/>
      </xdr:nvCxnSpPr>
      <xdr:spPr>
        <a:xfrm flipV="1">
          <a:off x="5661660" y="708660"/>
          <a:ext cx="624840" cy="3886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7620</xdr:colOff>
      <xdr:row>72</xdr:row>
      <xdr:rowOff>99060</xdr:rowOff>
    </xdr:from>
    <xdr:to>
      <xdr:col>7</xdr:col>
      <xdr:colOff>22860</xdr:colOff>
      <xdr:row>72</xdr:row>
      <xdr:rowOff>99060</xdr:rowOff>
    </xdr:to>
    <xdr:cxnSp macro="">
      <xdr:nvCxnSpPr>
        <xdr:cNvPr id="130" name="Straight Arrow Connector 129">
          <a:extLst>
            <a:ext uri="{FF2B5EF4-FFF2-40B4-BE49-F238E27FC236}">
              <a16:creationId xmlns:a16="http://schemas.microsoft.com/office/drawing/2014/main" id="{00000000-0008-0000-1200-000082000000}"/>
            </a:ext>
          </a:extLst>
        </xdr:cNvPr>
        <xdr:cNvCxnSpPr/>
      </xdr:nvCxnSpPr>
      <xdr:spPr>
        <a:xfrm>
          <a:off x="5676900" y="1196340"/>
          <a:ext cx="62484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891540</xdr:colOff>
      <xdr:row>73</xdr:row>
      <xdr:rowOff>0</xdr:rowOff>
    </xdr:from>
    <xdr:to>
      <xdr:col>6</xdr:col>
      <xdr:colOff>594360</xdr:colOff>
      <xdr:row>75</xdr:row>
      <xdr:rowOff>22860</xdr:rowOff>
    </xdr:to>
    <xdr:cxnSp macro="">
      <xdr:nvCxnSpPr>
        <xdr:cNvPr id="131" name="Straight Arrow Connector 130">
          <a:extLst>
            <a:ext uri="{FF2B5EF4-FFF2-40B4-BE49-F238E27FC236}">
              <a16:creationId xmlns:a16="http://schemas.microsoft.com/office/drawing/2014/main" id="{00000000-0008-0000-1200-000083000000}"/>
            </a:ext>
          </a:extLst>
        </xdr:cNvPr>
        <xdr:cNvCxnSpPr/>
      </xdr:nvCxnSpPr>
      <xdr:spPr>
        <a:xfrm>
          <a:off x="5661660" y="1280160"/>
          <a:ext cx="601980" cy="3886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594360</xdr:colOff>
      <xdr:row>88</xdr:row>
      <xdr:rowOff>0</xdr:rowOff>
    </xdr:from>
    <xdr:to>
      <xdr:col>4</xdr:col>
      <xdr:colOff>594360</xdr:colOff>
      <xdr:row>91</xdr:row>
      <xdr:rowOff>0</xdr:rowOff>
    </xdr:to>
    <xdr:cxnSp macro="">
      <xdr:nvCxnSpPr>
        <xdr:cNvPr id="133" name="Straight Arrow Connector 132">
          <a:extLst>
            <a:ext uri="{FF2B5EF4-FFF2-40B4-BE49-F238E27FC236}">
              <a16:creationId xmlns:a16="http://schemas.microsoft.com/office/drawing/2014/main" id="{00000000-0008-0000-1200-000085000000}"/>
            </a:ext>
          </a:extLst>
        </xdr:cNvPr>
        <xdr:cNvCxnSpPr/>
      </xdr:nvCxnSpPr>
      <xdr:spPr>
        <a:xfrm flipV="1">
          <a:off x="4145280" y="4008120"/>
          <a:ext cx="609600" cy="56388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84</xdr:row>
      <xdr:rowOff>167640</xdr:rowOff>
    </xdr:from>
    <xdr:to>
      <xdr:col>6</xdr:col>
      <xdr:colOff>601980</xdr:colOff>
      <xdr:row>87</xdr:row>
      <xdr:rowOff>7620</xdr:rowOff>
    </xdr:to>
    <xdr:cxnSp macro="">
      <xdr:nvCxnSpPr>
        <xdr:cNvPr id="134" name="Straight Arrow Connector 133">
          <a:extLst>
            <a:ext uri="{FF2B5EF4-FFF2-40B4-BE49-F238E27FC236}">
              <a16:creationId xmlns:a16="http://schemas.microsoft.com/office/drawing/2014/main" id="{00000000-0008-0000-1200-000086000000}"/>
            </a:ext>
          </a:extLst>
        </xdr:cNvPr>
        <xdr:cNvCxnSpPr/>
      </xdr:nvCxnSpPr>
      <xdr:spPr>
        <a:xfrm flipV="1">
          <a:off x="5669280" y="3459480"/>
          <a:ext cx="601980" cy="3886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7620</xdr:colOff>
      <xdr:row>87</xdr:row>
      <xdr:rowOff>91440</xdr:rowOff>
    </xdr:from>
    <xdr:to>
      <xdr:col>6</xdr:col>
      <xdr:colOff>601980</xdr:colOff>
      <xdr:row>87</xdr:row>
      <xdr:rowOff>99060</xdr:rowOff>
    </xdr:to>
    <xdr:cxnSp macro="">
      <xdr:nvCxnSpPr>
        <xdr:cNvPr id="135" name="Straight Arrow Connector 134">
          <a:extLst>
            <a:ext uri="{FF2B5EF4-FFF2-40B4-BE49-F238E27FC236}">
              <a16:creationId xmlns:a16="http://schemas.microsoft.com/office/drawing/2014/main" id="{00000000-0008-0000-1200-000087000000}"/>
            </a:ext>
          </a:extLst>
        </xdr:cNvPr>
        <xdr:cNvCxnSpPr/>
      </xdr:nvCxnSpPr>
      <xdr:spPr>
        <a:xfrm flipV="1">
          <a:off x="5676900" y="3931920"/>
          <a:ext cx="594360" cy="76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15240</xdr:colOff>
      <xdr:row>90</xdr:row>
      <xdr:rowOff>95250</xdr:rowOff>
    </xdr:from>
    <xdr:to>
      <xdr:col>4</xdr:col>
      <xdr:colOff>544285</xdr:colOff>
      <xdr:row>91</xdr:row>
      <xdr:rowOff>175260</xdr:rowOff>
    </xdr:to>
    <xdr:cxnSp macro="">
      <xdr:nvCxnSpPr>
        <xdr:cNvPr id="137" name="Straight Arrow Connector 136">
          <a:extLst>
            <a:ext uri="{FF2B5EF4-FFF2-40B4-BE49-F238E27FC236}">
              <a16:creationId xmlns:a16="http://schemas.microsoft.com/office/drawing/2014/main" id="{00000000-0008-0000-1200-000089000000}"/>
            </a:ext>
          </a:extLst>
        </xdr:cNvPr>
        <xdr:cNvCxnSpPr/>
      </xdr:nvCxnSpPr>
      <xdr:spPr>
        <a:xfrm flipV="1">
          <a:off x="2750276" y="12831536"/>
          <a:ext cx="529045" cy="25690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0</xdr:colOff>
      <xdr:row>105</xdr:row>
      <xdr:rowOff>144780</xdr:rowOff>
    </xdr:from>
    <xdr:to>
      <xdr:col>5</xdr:col>
      <xdr:colOff>22860</xdr:colOff>
      <xdr:row>108</xdr:row>
      <xdr:rowOff>15240</xdr:rowOff>
    </xdr:to>
    <xdr:cxnSp macro="">
      <xdr:nvCxnSpPr>
        <xdr:cNvPr id="139" name="Straight Arrow Connector 138">
          <a:extLst>
            <a:ext uri="{FF2B5EF4-FFF2-40B4-BE49-F238E27FC236}">
              <a16:creationId xmlns:a16="http://schemas.microsoft.com/office/drawing/2014/main" id="{00000000-0008-0000-1200-00008B000000}"/>
            </a:ext>
          </a:extLst>
        </xdr:cNvPr>
        <xdr:cNvCxnSpPr/>
      </xdr:nvCxnSpPr>
      <xdr:spPr>
        <a:xfrm flipV="1">
          <a:off x="4160520" y="6728460"/>
          <a:ext cx="632460" cy="4191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594360</xdr:colOff>
      <xdr:row>110</xdr:row>
      <xdr:rowOff>152400</xdr:rowOff>
    </xdr:from>
    <xdr:to>
      <xdr:col>3</xdr:col>
      <xdr:colOff>30480</xdr:colOff>
      <xdr:row>117</xdr:row>
      <xdr:rowOff>7620</xdr:rowOff>
    </xdr:to>
    <xdr:cxnSp macro="">
      <xdr:nvCxnSpPr>
        <xdr:cNvPr id="141" name="Straight Arrow Connector 140">
          <a:extLst>
            <a:ext uri="{FF2B5EF4-FFF2-40B4-BE49-F238E27FC236}">
              <a16:creationId xmlns:a16="http://schemas.microsoft.com/office/drawing/2014/main" id="{00000000-0008-0000-1200-00008D000000}"/>
            </a:ext>
          </a:extLst>
        </xdr:cNvPr>
        <xdr:cNvCxnSpPr/>
      </xdr:nvCxnSpPr>
      <xdr:spPr>
        <a:xfrm flipV="1">
          <a:off x="1371600" y="20269200"/>
          <a:ext cx="655320" cy="113538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7620</xdr:colOff>
      <xdr:row>118</xdr:row>
      <xdr:rowOff>7620</xdr:rowOff>
    </xdr:from>
    <xdr:to>
      <xdr:col>2</xdr:col>
      <xdr:colOff>585107</xdr:colOff>
      <xdr:row>120</xdr:row>
      <xdr:rowOff>163286</xdr:rowOff>
    </xdr:to>
    <xdr:cxnSp macro="">
      <xdr:nvCxnSpPr>
        <xdr:cNvPr id="142" name="Straight Arrow Connector 141">
          <a:extLst>
            <a:ext uri="{FF2B5EF4-FFF2-40B4-BE49-F238E27FC236}">
              <a16:creationId xmlns:a16="http://schemas.microsoft.com/office/drawing/2014/main" id="{00000000-0008-0000-1200-00008E000000}"/>
            </a:ext>
          </a:extLst>
        </xdr:cNvPr>
        <xdr:cNvCxnSpPr/>
      </xdr:nvCxnSpPr>
      <xdr:spPr>
        <a:xfrm>
          <a:off x="1395549" y="16635549"/>
          <a:ext cx="577487" cy="5094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7620</xdr:colOff>
      <xdr:row>108</xdr:row>
      <xdr:rowOff>129540</xdr:rowOff>
    </xdr:from>
    <xdr:to>
      <xdr:col>5</xdr:col>
      <xdr:colOff>22860</xdr:colOff>
      <xdr:row>111</xdr:row>
      <xdr:rowOff>0</xdr:rowOff>
    </xdr:to>
    <xdr:cxnSp macro="">
      <xdr:nvCxnSpPr>
        <xdr:cNvPr id="143" name="Straight Arrow Connector 142">
          <a:extLst>
            <a:ext uri="{FF2B5EF4-FFF2-40B4-BE49-F238E27FC236}">
              <a16:creationId xmlns:a16="http://schemas.microsoft.com/office/drawing/2014/main" id="{00000000-0008-0000-1200-00008F000000}"/>
            </a:ext>
          </a:extLst>
        </xdr:cNvPr>
        <xdr:cNvCxnSpPr/>
      </xdr:nvCxnSpPr>
      <xdr:spPr>
        <a:xfrm>
          <a:off x="4168140" y="7261860"/>
          <a:ext cx="624840" cy="43434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891540</xdr:colOff>
      <xdr:row>99</xdr:row>
      <xdr:rowOff>152400</xdr:rowOff>
    </xdr:from>
    <xdr:to>
      <xdr:col>7</xdr:col>
      <xdr:colOff>22860</xdr:colOff>
      <xdr:row>102</xdr:row>
      <xdr:rowOff>7620</xdr:rowOff>
    </xdr:to>
    <xdr:cxnSp macro="">
      <xdr:nvCxnSpPr>
        <xdr:cNvPr id="145" name="Straight Arrow Connector 144">
          <a:extLst>
            <a:ext uri="{FF2B5EF4-FFF2-40B4-BE49-F238E27FC236}">
              <a16:creationId xmlns:a16="http://schemas.microsoft.com/office/drawing/2014/main" id="{00000000-0008-0000-1200-000091000000}"/>
            </a:ext>
          </a:extLst>
        </xdr:cNvPr>
        <xdr:cNvCxnSpPr/>
      </xdr:nvCxnSpPr>
      <xdr:spPr>
        <a:xfrm flipV="1">
          <a:off x="5661660" y="6187440"/>
          <a:ext cx="640080" cy="40386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7620</xdr:colOff>
      <xdr:row>102</xdr:row>
      <xdr:rowOff>91440</xdr:rowOff>
    </xdr:from>
    <xdr:to>
      <xdr:col>7</xdr:col>
      <xdr:colOff>0</xdr:colOff>
      <xdr:row>102</xdr:row>
      <xdr:rowOff>91440</xdr:rowOff>
    </xdr:to>
    <xdr:cxnSp macro="">
      <xdr:nvCxnSpPr>
        <xdr:cNvPr id="146" name="Straight Arrow Connector 145">
          <a:extLst>
            <a:ext uri="{FF2B5EF4-FFF2-40B4-BE49-F238E27FC236}">
              <a16:creationId xmlns:a16="http://schemas.microsoft.com/office/drawing/2014/main" id="{00000000-0008-0000-1200-000092000000}"/>
            </a:ext>
          </a:extLst>
        </xdr:cNvPr>
        <xdr:cNvCxnSpPr/>
      </xdr:nvCxnSpPr>
      <xdr:spPr>
        <a:xfrm>
          <a:off x="5676900" y="6675120"/>
          <a:ext cx="60198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7620</xdr:colOff>
      <xdr:row>102</xdr:row>
      <xdr:rowOff>167640</xdr:rowOff>
    </xdr:from>
    <xdr:to>
      <xdr:col>7</xdr:col>
      <xdr:colOff>7620</xdr:colOff>
      <xdr:row>105</xdr:row>
      <xdr:rowOff>15240</xdr:rowOff>
    </xdr:to>
    <xdr:cxnSp macro="">
      <xdr:nvCxnSpPr>
        <xdr:cNvPr id="147" name="Straight Arrow Connector 146">
          <a:extLst>
            <a:ext uri="{FF2B5EF4-FFF2-40B4-BE49-F238E27FC236}">
              <a16:creationId xmlns:a16="http://schemas.microsoft.com/office/drawing/2014/main" id="{00000000-0008-0000-1200-000093000000}"/>
            </a:ext>
          </a:extLst>
        </xdr:cNvPr>
        <xdr:cNvCxnSpPr/>
      </xdr:nvCxnSpPr>
      <xdr:spPr>
        <a:xfrm>
          <a:off x="5676900" y="6751320"/>
          <a:ext cx="609600" cy="39624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40821</xdr:colOff>
      <xdr:row>120</xdr:row>
      <xdr:rowOff>167640</xdr:rowOff>
    </xdr:from>
    <xdr:to>
      <xdr:col>5</xdr:col>
      <xdr:colOff>7620</xdr:colOff>
      <xdr:row>121</xdr:row>
      <xdr:rowOff>122464</xdr:rowOff>
    </xdr:to>
    <xdr:cxnSp macro="">
      <xdr:nvCxnSpPr>
        <xdr:cNvPr id="148" name="Straight Arrow Connector 147">
          <a:extLst>
            <a:ext uri="{FF2B5EF4-FFF2-40B4-BE49-F238E27FC236}">
              <a16:creationId xmlns:a16="http://schemas.microsoft.com/office/drawing/2014/main" id="{00000000-0008-0000-1200-000094000000}"/>
            </a:ext>
          </a:extLst>
        </xdr:cNvPr>
        <xdr:cNvCxnSpPr/>
      </xdr:nvCxnSpPr>
      <xdr:spPr>
        <a:xfrm flipV="1">
          <a:off x="2775857" y="17149354"/>
          <a:ext cx="579120" cy="13171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15240</xdr:colOff>
      <xdr:row>114</xdr:row>
      <xdr:rowOff>152400</xdr:rowOff>
    </xdr:from>
    <xdr:to>
      <xdr:col>7</xdr:col>
      <xdr:colOff>30480</xdr:colOff>
      <xdr:row>117</xdr:row>
      <xdr:rowOff>22860</xdr:rowOff>
    </xdr:to>
    <xdr:cxnSp macro="">
      <xdr:nvCxnSpPr>
        <xdr:cNvPr id="149" name="Straight Arrow Connector 148">
          <a:extLst>
            <a:ext uri="{FF2B5EF4-FFF2-40B4-BE49-F238E27FC236}">
              <a16:creationId xmlns:a16="http://schemas.microsoft.com/office/drawing/2014/main" id="{00000000-0008-0000-1200-000095000000}"/>
            </a:ext>
          </a:extLst>
        </xdr:cNvPr>
        <xdr:cNvCxnSpPr/>
      </xdr:nvCxnSpPr>
      <xdr:spPr>
        <a:xfrm flipV="1">
          <a:off x="5684520" y="8930640"/>
          <a:ext cx="624840" cy="4191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891540</xdr:colOff>
      <xdr:row>117</xdr:row>
      <xdr:rowOff>114300</xdr:rowOff>
    </xdr:from>
    <xdr:to>
      <xdr:col>7</xdr:col>
      <xdr:colOff>15240</xdr:colOff>
      <xdr:row>117</xdr:row>
      <xdr:rowOff>114300</xdr:rowOff>
    </xdr:to>
    <xdr:cxnSp macro="">
      <xdr:nvCxnSpPr>
        <xdr:cNvPr id="150" name="Straight Arrow Connector 149">
          <a:extLst>
            <a:ext uri="{FF2B5EF4-FFF2-40B4-BE49-F238E27FC236}">
              <a16:creationId xmlns:a16="http://schemas.microsoft.com/office/drawing/2014/main" id="{00000000-0008-0000-1200-000096000000}"/>
            </a:ext>
          </a:extLst>
        </xdr:cNvPr>
        <xdr:cNvCxnSpPr/>
      </xdr:nvCxnSpPr>
      <xdr:spPr>
        <a:xfrm>
          <a:off x="5661660" y="9441180"/>
          <a:ext cx="63246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0</xdr:colOff>
      <xdr:row>121</xdr:row>
      <xdr:rowOff>175260</xdr:rowOff>
    </xdr:from>
    <xdr:to>
      <xdr:col>5</xdr:col>
      <xdr:colOff>30480</xdr:colOff>
      <xdr:row>123</xdr:row>
      <xdr:rowOff>30480</xdr:rowOff>
    </xdr:to>
    <xdr:cxnSp macro="">
      <xdr:nvCxnSpPr>
        <xdr:cNvPr id="152" name="Straight Arrow Connector 151">
          <a:extLst>
            <a:ext uri="{FF2B5EF4-FFF2-40B4-BE49-F238E27FC236}">
              <a16:creationId xmlns:a16="http://schemas.microsoft.com/office/drawing/2014/main" id="{00000000-0008-0000-1200-000098000000}"/>
            </a:ext>
          </a:extLst>
        </xdr:cNvPr>
        <xdr:cNvCxnSpPr/>
      </xdr:nvCxnSpPr>
      <xdr:spPr>
        <a:xfrm>
          <a:off x="4160520" y="10233660"/>
          <a:ext cx="640080" cy="22098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7620</xdr:colOff>
      <xdr:row>39</xdr:row>
      <xdr:rowOff>99060</xdr:rowOff>
    </xdr:from>
    <xdr:to>
      <xdr:col>7</xdr:col>
      <xdr:colOff>22860</xdr:colOff>
      <xdr:row>39</xdr:row>
      <xdr:rowOff>99060</xdr:rowOff>
    </xdr:to>
    <xdr:cxnSp macro="">
      <xdr:nvCxnSpPr>
        <xdr:cNvPr id="184" name="Straight Arrow Connector 183">
          <a:extLst>
            <a:ext uri="{FF2B5EF4-FFF2-40B4-BE49-F238E27FC236}">
              <a16:creationId xmlns:a16="http://schemas.microsoft.com/office/drawing/2014/main" id="{00000000-0008-0000-1200-0000B8000000}"/>
            </a:ext>
          </a:extLst>
        </xdr:cNvPr>
        <xdr:cNvCxnSpPr/>
      </xdr:nvCxnSpPr>
      <xdr:spPr>
        <a:xfrm>
          <a:off x="5676900" y="1196340"/>
          <a:ext cx="62484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7620</xdr:colOff>
      <xdr:row>73</xdr:row>
      <xdr:rowOff>7620</xdr:rowOff>
    </xdr:from>
    <xdr:to>
      <xdr:col>7</xdr:col>
      <xdr:colOff>22860</xdr:colOff>
      <xdr:row>75</xdr:row>
      <xdr:rowOff>38100</xdr:rowOff>
    </xdr:to>
    <xdr:cxnSp macro="">
      <xdr:nvCxnSpPr>
        <xdr:cNvPr id="191" name="Straight Arrow Connector 190">
          <a:extLst>
            <a:ext uri="{FF2B5EF4-FFF2-40B4-BE49-F238E27FC236}">
              <a16:creationId xmlns:a16="http://schemas.microsoft.com/office/drawing/2014/main" id="{00000000-0008-0000-1200-0000BF000000}"/>
            </a:ext>
          </a:extLst>
        </xdr:cNvPr>
        <xdr:cNvCxnSpPr/>
      </xdr:nvCxnSpPr>
      <xdr:spPr>
        <a:xfrm>
          <a:off x="5676900" y="17746980"/>
          <a:ext cx="624840" cy="39624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7620</xdr:colOff>
      <xdr:row>72</xdr:row>
      <xdr:rowOff>114300</xdr:rowOff>
    </xdr:from>
    <xdr:to>
      <xdr:col>7</xdr:col>
      <xdr:colOff>7620</xdr:colOff>
      <xdr:row>72</xdr:row>
      <xdr:rowOff>114300</xdr:rowOff>
    </xdr:to>
    <xdr:cxnSp macro="">
      <xdr:nvCxnSpPr>
        <xdr:cNvPr id="192" name="Straight Arrow Connector 191">
          <a:extLst>
            <a:ext uri="{FF2B5EF4-FFF2-40B4-BE49-F238E27FC236}">
              <a16:creationId xmlns:a16="http://schemas.microsoft.com/office/drawing/2014/main" id="{00000000-0008-0000-1200-0000C0000000}"/>
            </a:ext>
          </a:extLst>
        </xdr:cNvPr>
        <xdr:cNvCxnSpPr/>
      </xdr:nvCxnSpPr>
      <xdr:spPr>
        <a:xfrm>
          <a:off x="5676900" y="17670780"/>
          <a:ext cx="6096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15240</xdr:colOff>
      <xdr:row>73</xdr:row>
      <xdr:rowOff>7620</xdr:rowOff>
    </xdr:from>
    <xdr:to>
      <xdr:col>7</xdr:col>
      <xdr:colOff>30480</xdr:colOff>
      <xdr:row>75</xdr:row>
      <xdr:rowOff>15240</xdr:rowOff>
    </xdr:to>
    <xdr:cxnSp macro="">
      <xdr:nvCxnSpPr>
        <xdr:cNvPr id="193" name="Straight Arrow Connector 192">
          <a:extLst>
            <a:ext uri="{FF2B5EF4-FFF2-40B4-BE49-F238E27FC236}">
              <a16:creationId xmlns:a16="http://schemas.microsoft.com/office/drawing/2014/main" id="{00000000-0008-0000-1200-0000C1000000}"/>
            </a:ext>
          </a:extLst>
        </xdr:cNvPr>
        <xdr:cNvCxnSpPr/>
      </xdr:nvCxnSpPr>
      <xdr:spPr>
        <a:xfrm>
          <a:off x="5684520" y="17746980"/>
          <a:ext cx="624840" cy="37338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7620</xdr:colOff>
      <xdr:row>72</xdr:row>
      <xdr:rowOff>167640</xdr:rowOff>
    </xdr:from>
    <xdr:to>
      <xdr:col>7</xdr:col>
      <xdr:colOff>7620</xdr:colOff>
      <xdr:row>75</xdr:row>
      <xdr:rowOff>15240</xdr:rowOff>
    </xdr:to>
    <xdr:cxnSp macro="">
      <xdr:nvCxnSpPr>
        <xdr:cNvPr id="194" name="Straight Arrow Connector 193">
          <a:extLst>
            <a:ext uri="{FF2B5EF4-FFF2-40B4-BE49-F238E27FC236}">
              <a16:creationId xmlns:a16="http://schemas.microsoft.com/office/drawing/2014/main" id="{00000000-0008-0000-1200-0000C2000000}"/>
            </a:ext>
          </a:extLst>
        </xdr:cNvPr>
        <xdr:cNvCxnSpPr/>
      </xdr:nvCxnSpPr>
      <xdr:spPr>
        <a:xfrm>
          <a:off x="5676900" y="17724120"/>
          <a:ext cx="609600" cy="39624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7620</xdr:colOff>
      <xdr:row>72</xdr:row>
      <xdr:rowOff>99060</xdr:rowOff>
    </xdr:from>
    <xdr:to>
      <xdr:col>7</xdr:col>
      <xdr:colOff>22860</xdr:colOff>
      <xdr:row>72</xdr:row>
      <xdr:rowOff>99060</xdr:rowOff>
    </xdr:to>
    <xdr:cxnSp macro="">
      <xdr:nvCxnSpPr>
        <xdr:cNvPr id="195" name="Straight Arrow Connector 194">
          <a:extLst>
            <a:ext uri="{FF2B5EF4-FFF2-40B4-BE49-F238E27FC236}">
              <a16:creationId xmlns:a16="http://schemas.microsoft.com/office/drawing/2014/main" id="{00000000-0008-0000-1200-0000C3000000}"/>
            </a:ext>
          </a:extLst>
        </xdr:cNvPr>
        <xdr:cNvCxnSpPr/>
      </xdr:nvCxnSpPr>
      <xdr:spPr>
        <a:xfrm>
          <a:off x="5676900" y="17655540"/>
          <a:ext cx="62484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7620</xdr:colOff>
      <xdr:row>102</xdr:row>
      <xdr:rowOff>99060</xdr:rowOff>
    </xdr:from>
    <xdr:to>
      <xdr:col>7</xdr:col>
      <xdr:colOff>22860</xdr:colOff>
      <xdr:row>102</xdr:row>
      <xdr:rowOff>99060</xdr:rowOff>
    </xdr:to>
    <xdr:cxnSp macro="">
      <xdr:nvCxnSpPr>
        <xdr:cNvPr id="196" name="Straight Arrow Connector 195">
          <a:extLst>
            <a:ext uri="{FF2B5EF4-FFF2-40B4-BE49-F238E27FC236}">
              <a16:creationId xmlns:a16="http://schemas.microsoft.com/office/drawing/2014/main" id="{00000000-0008-0000-1200-0000C4000000}"/>
            </a:ext>
          </a:extLst>
        </xdr:cNvPr>
        <xdr:cNvCxnSpPr/>
      </xdr:nvCxnSpPr>
      <xdr:spPr>
        <a:xfrm>
          <a:off x="5676900" y="23507700"/>
          <a:ext cx="62484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7620</xdr:colOff>
      <xdr:row>103</xdr:row>
      <xdr:rowOff>7620</xdr:rowOff>
    </xdr:from>
    <xdr:to>
      <xdr:col>7</xdr:col>
      <xdr:colOff>22860</xdr:colOff>
      <xdr:row>105</xdr:row>
      <xdr:rowOff>38100</xdr:rowOff>
    </xdr:to>
    <xdr:cxnSp macro="">
      <xdr:nvCxnSpPr>
        <xdr:cNvPr id="197" name="Straight Arrow Connector 196">
          <a:extLst>
            <a:ext uri="{FF2B5EF4-FFF2-40B4-BE49-F238E27FC236}">
              <a16:creationId xmlns:a16="http://schemas.microsoft.com/office/drawing/2014/main" id="{00000000-0008-0000-1200-0000C5000000}"/>
            </a:ext>
          </a:extLst>
        </xdr:cNvPr>
        <xdr:cNvCxnSpPr/>
      </xdr:nvCxnSpPr>
      <xdr:spPr>
        <a:xfrm>
          <a:off x="5676900" y="23599140"/>
          <a:ext cx="624840" cy="39624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7620</xdr:colOff>
      <xdr:row>102</xdr:row>
      <xdr:rowOff>114300</xdr:rowOff>
    </xdr:from>
    <xdr:to>
      <xdr:col>7</xdr:col>
      <xdr:colOff>7620</xdr:colOff>
      <xdr:row>102</xdr:row>
      <xdr:rowOff>114300</xdr:rowOff>
    </xdr:to>
    <xdr:cxnSp macro="">
      <xdr:nvCxnSpPr>
        <xdr:cNvPr id="198" name="Straight Arrow Connector 197">
          <a:extLst>
            <a:ext uri="{FF2B5EF4-FFF2-40B4-BE49-F238E27FC236}">
              <a16:creationId xmlns:a16="http://schemas.microsoft.com/office/drawing/2014/main" id="{00000000-0008-0000-1200-0000C6000000}"/>
            </a:ext>
          </a:extLst>
        </xdr:cNvPr>
        <xdr:cNvCxnSpPr/>
      </xdr:nvCxnSpPr>
      <xdr:spPr>
        <a:xfrm>
          <a:off x="5676900" y="23522940"/>
          <a:ext cx="6096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15240</xdr:colOff>
      <xdr:row>103</xdr:row>
      <xdr:rowOff>7620</xdr:rowOff>
    </xdr:from>
    <xdr:to>
      <xdr:col>7</xdr:col>
      <xdr:colOff>30480</xdr:colOff>
      <xdr:row>105</xdr:row>
      <xdr:rowOff>15240</xdr:rowOff>
    </xdr:to>
    <xdr:cxnSp macro="">
      <xdr:nvCxnSpPr>
        <xdr:cNvPr id="199" name="Straight Arrow Connector 198">
          <a:extLst>
            <a:ext uri="{FF2B5EF4-FFF2-40B4-BE49-F238E27FC236}">
              <a16:creationId xmlns:a16="http://schemas.microsoft.com/office/drawing/2014/main" id="{00000000-0008-0000-1200-0000C7000000}"/>
            </a:ext>
          </a:extLst>
        </xdr:cNvPr>
        <xdr:cNvCxnSpPr/>
      </xdr:nvCxnSpPr>
      <xdr:spPr>
        <a:xfrm>
          <a:off x="5684520" y="23599140"/>
          <a:ext cx="624840" cy="37338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7620</xdr:colOff>
      <xdr:row>102</xdr:row>
      <xdr:rowOff>167640</xdr:rowOff>
    </xdr:from>
    <xdr:to>
      <xdr:col>7</xdr:col>
      <xdr:colOff>7620</xdr:colOff>
      <xdr:row>105</xdr:row>
      <xdr:rowOff>15240</xdr:rowOff>
    </xdr:to>
    <xdr:cxnSp macro="">
      <xdr:nvCxnSpPr>
        <xdr:cNvPr id="200" name="Straight Arrow Connector 199">
          <a:extLst>
            <a:ext uri="{FF2B5EF4-FFF2-40B4-BE49-F238E27FC236}">
              <a16:creationId xmlns:a16="http://schemas.microsoft.com/office/drawing/2014/main" id="{00000000-0008-0000-1200-0000C8000000}"/>
            </a:ext>
          </a:extLst>
        </xdr:cNvPr>
        <xdr:cNvCxnSpPr/>
      </xdr:nvCxnSpPr>
      <xdr:spPr>
        <a:xfrm>
          <a:off x="5676900" y="23576280"/>
          <a:ext cx="609600" cy="39624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0</xdr:colOff>
      <xdr:row>117</xdr:row>
      <xdr:rowOff>40822</xdr:rowOff>
    </xdr:from>
    <xdr:to>
      <xdr:col>5</xdr:col>
      <xdr:colOff>0</xdr:colOff>
      <xdr:row>121</xdr:row>
      <xdr:rowOff>27214</xdr:rowOff>
    </xdr:to>
    <xdr:cxnSp macro="">
      <xdr:nvCxnSpPr>
        <xdr:cNvPr id="201" name="Straight Arrow Connector 200">
          <a:extLst>
            <a:ext uri="{FF2B5EF4-FFF2-40B4-BE49-F238E27FC236}">
              <a16:creationId xmlns:a16="http://schemas.microsoft.com/office/drawing/2014/main" id="{00000000-0008-0000-1200-0000C9000000}"/>
            </a:ext>
          </a:extLst>
        </xdr:cNvPr>
        <xdr:cNvCxnSpPr/>
      </xdr:nvCxnSpPr>
      <xdr:spPr>
        <a:xfrm flipV="1">
          <a:off x="2735036" y="16491858"/>
          <a:ext cx="612321" cy="69396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22860</xdr:colOff>
      <xdr:row>27</xdr:row>
      <xdr:rowOff>0</xdr:rowOff>
    </xdr:from>
    <xdr:to>
      <xdr:col>5</xdr:col>
      <xdr:colOff>22860</xdr:colOff>
      <xdr:row>30</xdr:row>
      <xdr:rowOff>15240</xdr:rowOff>
    </xdr:to>
    <xdr:cxnSp macro="">
      <xdr:nvCxnSpPr>
        <xdr:cNvPr id="202" name="Straight Arrow Connector 201">
          <a:extLst>
            <a:ext uri="{FF2B5EF4-FFF2-40B4-BE49-F238E27FC236}">
              <a16:creationId xmlns:a16="http://schemas.microsoft.com/office/drawing/2014/main" id="{00000000-0008-0000-1200-0000CA000000}"/>
            </a:ext>
          </a:extLst>
        </xdr:cNvPr>
        <xdr:cNvCxnSpPr/>
      </xdr:nvCxnSpPr>
      <xdr:spPr>
        <a:xfrm>
          <a:off x="2461260" y="4937760"/>
          <a:ext cx="609600" cy="56388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22860</xdr:colOff>
      <xdr:row>59</xdr:row>
      <xdr:rowOff>175260</xdr:rowOff>
    </xdr:from>
    <xdr:to>
      <xdr:col>4</xdr:col>
      <xdr:colOff>544285</xdr:colOff>
      <xdr:row>60</xdr:row>
      <xdr:rowOff>13607</xdr:rowOff>
    </xdr:to>
    <xdr:cxnSp macro="">
      <xdr:nvCxnSpPr>
        <xdr:cNvPr id="204" name="Straight Arrow Connector 203">
          <a:extLst>
            <a:ext uri="{FF2B5EF4-FFF2-40B4-BE49-F238E27FC236}">
              <a16:creationId xmlns:a16="http://schemas.microsoft.com/office/drawing/2014/main" id="{00000000-0008-0000-1200-0000CC000000}"/>
            </a:ext>
          </a:extLst>
        </xdr:cNvPr>
        <xdr:cNvCxnSpPr/>
      </xdr:nvCxnSpPr>
      <xdr:spPr>
        <a:xfrm>
          <a:off x="2757896" y="8489224"/>
          <a:ext cx="521425" cy="1524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7620</xdr:colOff>
      <xdr:row>93</xdr:row>
      <xdr:rowOff>15240</xdr:rowOff>
    </xdr:from>
    <xdr:to>
      <xdr:col>5</xdr:col>
      <xdr:colOff>40822</xdr:colOff>
      <xdr:row>93</xdr:row>
      <xdr:rowOff>95250</xdr:rowOff>
    </xdr:to>
    <xdr:cxnSp macro="">
      <xdr:nvCxnSpPr>
        <xdr:cNvPr id="206" name="Straight Arrow Connector 205">
          <a:extLst>
            <a:ext uri="{FF2B5EF4-FFF2-40B4-BE49-F238E27FC236}">
              <a16:creationId xmlns:a16="http://schemas.microsoft.com/office/drawing/2014/main" id="{00000000-0008-0000-1200-0000CE000000}"/>
            </a:ext>
          </a:extLst>
        </xdr:cNvPr>
        <xdr:cNvCxnSpPr/>
      </xdr:nvCxnSpPr>
      <xdr:spPr>
        <a:xfrm>
          <a:off x="2742656" y="13282204"/>
          <a:ext cx="645523" cy="8001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312420</xdr:colOff>
      <xdr:row>21</xdr:row>
      <xdr:rowOff>0</xdr:rowOff>
    </xdr:from>
    <xdr:to>
      <xdr:col>1</xdr:col>
      <xdr:colOff>15240</xdr:colOff>
      <xdr:row>27</xdr:row>
      <xdr:rowOff>0</xdr:rowOff>
    </xdr:to>
    <xdr:cxnSp macro="">
      <xdr:nvCxnSpPr>
        <xdr:cNvPr id="212" name="Straight Arrow Connector 211">
          <a:extLst>
            <a:ext uri="{FF2B5EF4-FFF2-40B4-BE49-F238E27FC236}">
              <a16:creationId xmlns:a16="http://schemas.microsoft.com/office/drawing/2014/main" id="{00000000-0008-0000-1200-0000D4000000}"/>
            </a:ext>
          </a:extLst>
        </xdr:cNvPr>
        <xdr:cNvCxnSpPr/>
      </xdr:nvCxnSpPr>
      <xdr:spPr>
        <a:xfrm flipV="1">
          <a:off x="312420" y="3063240"/>
          <a:ext cx="388620" cy="184404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297180</xdr:colOff>
      <xdr:row>29</xdr:row>
      <xdr:rowOff>45720</xdr:rowOff>
    </xdr:from>
    <xdr:to>
      <xdr:col>0</xdr:col>
      <xdr:colOff>678180</xdr:colOff>
      <xdr:row>51</xdr:row>
      <xdr:rowOff>0</xdr:rowOff>
    </xdr:to>
    <xdr:cxnSp macro="">
      <xdr:nvCxnSpPr>
        <xdr:cNvPr id="216" name="Straight Arrow Connector 215">
          <a:extLst>
            <a:ext uri="{FF2B5EF4-FFF2-40B4-BE49-F238E27FC236}">
              <a16:creationId xmlns:a16="http://schemas.microsoft.com/office/drawing/2014/main" id="{00000000-0008-0000-1200-0000D8000000}"/>
            </a:ext>
          </a:extLst>
        </xdr:cNvPr>
        <xdr:cNvCxnSpPr/>
      </xdr:nvCxnSpPr>
      <xdr:spPr>
        <a:xfrm>
          <a:off x="297180" y="5349240"/>
          <a:ext cx="381000" cy="291084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1242060</xdr:colOff>
      <xdr:row>3</xdr:row>
      <xdr:rowOff>160020</xdr:rowOff>
    </xdr:from>
    <xdr:to>
      <xdr:col>9</xdr:col>
      <xdr:colOff>7620</xdr:colOff>
      <xdr:row>6</xdr:row>
      <xdr:rowOff>0</xdr:rowOff>
    </xdr:to>
    <xdr:cxnSp macro="">
      <xdr:nvCxnSpPr>
        <xdr:cNvPr id="63" name="Straight Arrow Connector 62">
          <a:extLst>
            <a:ext uri="{FF2B5EF4-FFF2-40B4-BE49-F238E27FC236}">
              <a16:creationId xmlns:a16="http://schemas.microsoft.com/office/drawing/2014/main" id="{00000000-0008-0000-1200-00003F000000}"/>
            </a:ext>
          </a:extLst>
        </xdr:cNvPr>
        <xdr:cNvCxnSpPr/>
      </xdr:nvCxnSpPr>
      <xdr:spPr>
        <a:xfrm flipV="1">
          <a:off x="6103620" y="708660"/>
          <a:ext cx="624840" cy="3886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7620</xdr:colOff>
      <xdr:row>6</xdr:row>
      <xdr:rowOff>91440</xdr:rowOff>
    </xdr:from>
    <xdr:to>
      <xdr:col>9</xdr:col>
      <xdr:colOff>0</xdr:colOff>
      <xdr:row>6</xdr:row>
      <xdr:rowOff>91440</xdr:rowOff>
    </xdr:to>
    <xdr:cxnSp macro="">
      <xdr:nvCxnSpPr>
        <xdr:cNvPr id="64" name="Straight Arrow Connector 63">
          <a:extLst>
            <a:ext uri="{FF2B5EF4-FFF2-40B4-BE49-F238E27FC236}">
              <a16:creationId xmlns:a16="http://schemas.microsoft.com/office/drawing/2014/main" id="{00000000-0008-0000-1200-000040000000}"/>
            </a:ext>
          </a:extLst>
        </xdr:cNvPr>
        <xdr:cNvCxnSpPr/>
      </xdr:nvCxnSpPr>
      <xdr:spPr>
        <a:xfrm>
          <a:off x="6118860" y="1188720"/>
          <a:ext cx="60198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1242060</xdr:colOff>
      <xdr:row>33</xdr:row>
      <xdr:rowOff>160020</xdr:rowOff>
    </xdr:from>
    <xdr:to>
      <xdr:col>9</xdr:col>
      <xdr:colOff>7620</xdr:colOff>
      <xdr:row>36</xdr:row>
      <xdr:rowOff>0</xdr:rowOff>
    </xdr:to>
    <xdr:cxnSp macro="">
      <xdr:nvCxnSpPr>
        <xdr:cNvPr id="66" name="Straight Arrow Connector 65">
          <a:extLst>
            <a:ext uri="{FF2B5EF4-FFF2-40B4-BE49-F238E27FC236}">
              <a16:creationId xmlns:a16="http://schemas.microsoft.com/office/drawing/2014/main" id="{00000000-0008-0000-1200-000042000000}"/>
            </a:ext>
          </a:extLst>
        </xdr:cNvPr>
        <xdr:cNvCxnSpPr/>
      </xdr:nvCxnSpPr>
      <xdr:spPr>
        <a:xfrm flipV="1">
          <a:off x="6103620" y="5646420"/>
          <a:ext cx="624840" cy="3886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22860</xdr:colOff>
      <xdr:row>36</xdr:row>
      <xdr:rowOff>76200</xdr:rowOff>
    </xdr:from>
    <xdr:to>
      <xdr:col>9</xdr:col>
      <xdr:colOff>15240</xdr:colOff>
      <xdr:row>36</xdr:row>
      <xdr:rowOff>76200</xdr:rowOff>
    </xdr:to>
    <xdr:cxnSp macro="">
      <xdr:nvCxnSpPr>
        <xdr:cNvPr id="67" name="Straight Arrow Connector 66">
          <a:extLst>
            <a:ext uri="{FF2B5EF4-FFF2-40B4-BE49-F238E27FC236}">
              <a16:creationId xmlns:a16="http://schemas.microsoft.com/office/drawing/2014/main" id="{00000000-0008-0000-1200-000043000000}"/>
            </a:ext>
          </a:extLst>
        </xdr:cNvPr>
        <xdr:cNvCxnSpPr/>
      </xdr:nvCxnSpPr>
      <xdr:spPr>
        <a:xfrm>
          <a:off x="6134100" y="6111240"/>
          <a:ext cx="60198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1242060</xdr:colOff>
      <xdr:row>69</xdr:row>
      <xdr:rowOff>76200</xdr:rowOff>
    </xdr:from>
    <xdr:to>
      <xdr:col>8</xdr:col>
      <xdr:colOff>594360</xdr:colOff>
      <xdr:row>69</xdr:row>
      <xdr:rowOff>76200</xdr:rowOff>
    </xdr:to>
    <xdr:cxnSp macro="">
      <xdr:nvCxnSpPr>
        <xdr:cNvPr id="68" name="Straight Arrow Connector 67">
          <a:extLst>
            <a:ext uri="{FF2B5EF4-FFF2-40B4-BE49-F238E27FC236}">
              <a16:creationId xmlns:a16="http://schemas.microsoft.com/office/drawing/2014/main" id="{00000000-0008-0000-1200-000044000000}"/>
            </a:ext>
          </a:extLst>
        </xdr:cNvPr>
        <xdr:cNvCxnSpPr/>
      </xdr:nvCxnSpPr>
      <xdr:spPr>
        <a:xfrm>
          <a:off x="6103620" y="11597640"/>
          <a:ext cx="60198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1242060</xdr:colOff>
      <xdr:row>66</xdr:row>
      <xdr:rowOff>129540</xdr:rowOff>
    </xdr:from>
    <xdr:to>
      <xdr:col>9</xdr:col>
      <xdr:colOff>7620</xdr:colOff>
      <xdr:row>68</xdr:row>
      <xdr:rowOff>152400</xdr:rowOff>
    </xdr:to>
    <xdr:cxnSp macro="">
      <xdr:nvCxnSpPr>
        <xdr:cNvPr id="69" name="Straight Arrow Connector 68">
          <a:extLst>
            <a:ext uri="{FF2B5EF4-FFF2-40B4-BE49-F238E27FC236}">
              <a16:creationId xmlns:a16="http://schemas.microsoft.com/office/drawing/2014/main" id="{00000000-0008-0000-1200-000045000000}"/>
            </a:ext>
          </a:extLst>
        </xdr:cNvPr>
        <xdr:cNvCxnSpPr/>
      </xdr:nvCxnSpPr>
      <xdr:spPr>
        <a:xfrm flipV="1">
          <a:off x="6103620" y="11102340"/>
          <a:ext cx="624840" cy="3886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38100</xdr:colOff>
      <xdr:row>96</xdr:row>
      <xdr:rowOff>114300</xdr:rowOff>
    </xdr:from>
    <xdr:to>
      <xdr:col>9</xdr:col>
      <xdr:colOff>53340</xdr:colOff>
      <xdr:row>98</xdr:row>
      <xdr:rowOff>137160</xdr:rowOff>
    </xdr:to>
    <xdr:cxnSp macro="">
      <xdr:nvCxnSpPr>
        <xdr:cNvPr id="70" name="Straight Arrow Connector 69">
          <a:extLst>
            <a:ext uri="{FF2B5EF4-FFF2-40B4-BE49-F238E27FC236}">
              <a16:creationId xmlns:a16="http://schemas.microsoft.com/office/drawing/2014/main" id="{00000000-0008-0000-1200-000046000000}"/>
            </a:ext>
          </a:extLst>
        </xdr:cNvPr>
        <xdr:cNvCxnSpPr/>
      </xdr:nvCxnSpPr>
      <xdr:spPr>
        <a:xfrm flipV="1">
          <a:off x="6149340" y="16024860"/>
          <a:ext cx="624840" cy="3886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7620</xdr:colOff>
      <xdr:row>99</xdr:row>
      <xdr:rowOff>91440</xdr:rowOff>
    </xdr:from>
    <xdr:to>
      <xdr:col>9</xdr:col>
      <xdr:colOff>0</xdr:colOff>
      <xdr:row>99</xdr:row>
      <xdr:rowOff>91440</xdr:rowOff>
    </xdr:to>
    <xdr:cxnSp macro="">
      <xdr:nvCxnSpPr>
        <xdr:cNvPr id="71" name="Straight Arrow Connector 70">
          <a:extLst>
            <a:ext uri="{FF2B5EF4-FFF2-40B4-BE49-F238E27FC236}">
              <a16:creationId xmlns:a16="http://schemas.microsoft.com/office/drawing/2014/main" id="{00000000-0008-0000-1200-000047000000}"/>
            </a:ext>
          </a:extLst>
        </xdr:cNvPr>
        <xdr:cNvCxnSpPr/>
      </xdr:nvCxnSpPr>
      <xdr:spPr>
        <a:xfrm>
          <a:off x="6118860" y="16550640"/>
          <a:ext cx="60198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1242060</xdr:colOff>
      <xdr:row>18</xdr:row>
      <xdr:rowOff>144780</xdr:rowOff>
    </xdr:from>
    <xdr:to>
      <xdr:col>9</xdr:col>
      <xdr:colOff>7620</xdr:colOff>
      <xdr:row>20</xdr:row>
      <xdr:rowOff>167640</xdr:rowOff>
    </xdr:to>
    <xdr:cxnSp macro="">
      <xdr:nvCxnSpPr>
        <xdr:cNvPr id="72" name="Straight Arrow Connector 71">
          <a:extLst>
            <a:ext uri="{FF2B5EF4-FFF2-40B4-BE49-F238E27FC236}">
              <a16:creationId xmlns:a16="http://schemas.microsoft.com/office/drawing/2014/main" id="{00000000-0008-0000-1200-000048000000}"/>
            </a:ext>
          </a:extLst>
        </xdr:cNvPr>
        <xdr:cNvCxnSpPr/>
      </xdr:nvCxnSpPr>
      <xdr:spPr>
        <a:xfrm flipV="1">
          <a:off x="6103620" y="3436620"/>
          <a:ext cx="624840" cy="3886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1226820</xdr:colOff>
      <xdr:row>21</xdr:row>
      <xdr:rowOff>121920</xdr:rowOff>
    </xdr:from>
    <xdr:to>
      <xdr:col>8</xdr:col>
      <xdr:colOff>579120</xdr:colOff>
      <xdr:row>21</xdr:row>
      <xdr:rowOff>121920</xdr:rowOff>
    </xdr:to>
    <xdr:cxnSp macro="">
      <xdr:nvCxnSpPr>
        <xdr:cNvPr id="74" name="Straight Arrow Connector 73">
          <a:extLst>
            <a:ext uri="{FF2B5EF4-FFF2-40B4-BE49-F238E27FC236}">
              <a16:creationId xmlns:a16="http://schemas.microsoft.com/office/drawing/2014/main" id="{00000000-0008-0000-1200-00004A000000}"/>
            </a:ext>
          </a:extLst>
        </xdr:cNvPr>
        <xdr:cNvCxnSpPr/>
      </xdr:nvCxnSpPr>
      <xdr:spPr>
        <a:xfrm>
          <a:off x="6088380" y="3962400"/>
          <a:ext cx="60198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1242060</xdr:colOff>
      <xdr:row>48</xdr:row>
      <xdr:rowOff>144780</xdr:rowOff>
    </xdr:from>
    <xdr:to>
      <xdr:col>9</xdr:col>
      <xdr:colOff>7620</xdr:colOff>
      <xdr:row>50</xdr:row>
      <xdr:rowOff>167640</xdr:rowOff>
    </xdr:to>
    <xdr:cxnSp macro="">
      <xdr:nvCxnSpPr>
        <xdr:cNvPr id="75" name="Straight Arrow Connector 74">
          <a:extLst>
            <a:ext uri="{FF2B5EF4-FFF2-40B4-BE49-F238E27FC236}">
              <a16:creationId xmlns:a16="http://schemas.microsoft.com/office/drawing/2014/main" id="{00000000-0008-0000-1200-00004B000000}"/>
            </a:ext>
          </a:extLst>
        </xdr:cNvPr>
        <xdr:cNvCxnSpPr/>
      </xdr:nvCxnSpPr>
      <xdr:spPr>
        <a:xfrm flipV="1">
          <a:off x="6103620" y="3436620"/>
          <a:ext cx="624840" cy="3886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1226820</xdr:colOff>
      <xdr:row>51</xdr:row>
      <xdr:rowOff>121920</xdr:rowOff>
    </xdr:from>
    <xdr:to>
      <xdr:col>8</xdr:col>
      <xdr:colOff>579120</xdr:colOff>
      <xdr:row>51</xdr:row>
      <xdr:rowOff>121920</xdr:rowOff>
    </xdr:to>
    <xdr:cxnSp macro="">
      <xdr:nvCxnSpPr>
        <xdr:cNvPr id="76" name="Straight Arrow Connector 75">
          <a:extLst>
            <a:ext uri="{FF2B5EF4-FFF2-40B4-BE49-F238E27FC236}">
              <a16:creationId xmlns:a16="http://schemas.microsoft.com/office/drawing/2014/main" id="{00000000-0008-0000-1200-00004C000000}"/>
            </a:ext>
          </a:extLst>
        </xdr:cNvPr>
        <xdr:cNvCxnSpPr/>
      </xdr:nvCxnSpPr>
      <xdr:spPr>
        <a:xfrm>
          <a:off x="6088380" y="3962400"/>
          <a:ext cx="60198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1242060</xdr:colOff>
      <xdr:row>81</xdr:row>
      <xdr:rowOff>144780</xdr:rowOff>
    </xdr:from>
    <xdr:to>
      <xdr:col>9</xdr:col>
      <xdr:colOff>7620</xdr:colOff>
      <xdr:row>83</xdr:row>
      <xdr:rowOff>167640</xdr:rowOff>
    </xdr:to>
    <xdr:cxnSp macro="">
      <xdr:nvCxnSpPr>
        <xdr:cNvPr id="77" name="Straight Arrow Connector 76">
          <a:extLst>
            <a:ext uri="{FF2B5EF4-FFF2-40B4-BE49-F238E27FC236}">
              <a16:creationId xmlns:a16="http://schemas.microsoft.com/office/drawing/2014/main" id="{00000000-0008-0000-1200-00004D000000}"/>
            </a:ext>
          </a:extLst>
        </xdr:cNvPr>
        <xdr:cNvCxnSpPr/>
      </xdr:nvCxnSpPr>
      <xdr:spPr>
        <a:xfrm flipV="1">
          <a:off x="6103620" y="8923020"/>
          <a:ext cx="624840" cy="3886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1226820</xdr:colOff>
      <xdr:row>84</xdr:row>
      <xdr:rowOff>121920</xdr:rowOff>
    </xdr:from>
    <xdr:to>
      <xdr:col>8</xdr:col>
      <xdr:colOff>579120</xdr:colOff>
      <xdr:row>84</xdr:row>
      <xdr:rowOff>121920</xdr:rowOff>
    </xdr:to>
    <xdr:cxnSp macro="">
      <xdr:nvCxnSpPr>
        <xdr:cNvPr id="78" name="Straight Arrow Connector 77">
          <a:extLst>
            <a:ext uri="{FF2B5EF4-FFF2-40B4-BE49-F238E27FC236}">
              <a16:creationId xmlns:a16="http://schemas.microsoft.com/office/drawing/2014/main" id="{00000000-0008-0000-1200-00004E000000}"/>
            </a:ext>
          </a:extLst>
        </xdr:cNvPr>
        <xdr:cNvCxnSpPr/>
      </xdr:nvCxnSpPr>
      <xdr:spPr>
        <a:xfrm>
          <a:off x="6088380" y="9448800"/>
          <a:ext cx="60198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1242060</xdr:colOff>
      <xdr:row>111</xdr:row>
      <xdr:rowOff>144780</xdr:rowOff>
    </xdr:from>
    <xdr:to>
      <xdr:col>9</xdr:col>
      <xdr:colOff>7620</xdr:colOff>
      <xdr:row>113</xdr:row>
      <xdr:rowOff>167640</xdr:rowOff>
    </xdr:to>
    <xdr:cxnSp macro="">
      <xdr:nvCxnSpPr>
        <xdr:cNvPr id="79" name="Straight Arrow Connector 78">
          <a:extLst>
            <a:ext uri="{FF2B5EF4-FFF2-40B4-BE49-F238E27FC236}">
              <a16:creationId xmlns:a16="http://schemas.microsoft.com/office/drawing/2014/main" id="{00000000-0008-0000-1200-00004F000000}"/>
            </a:ext>
          </a:extLst>
        </xdr:cNvPr>
        <xdr:cNvCxnSpPr/>
      </xdr:nvCxnSpPr>
      <xdr:spPr>
        <a:xfrm flipV="1">
          <a:off x="6103620" y="14958060"/>
          <a:ext cx="624840" cy="3886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1226820</xdr:colOff>
      <xdr:row>114</xdr:row>
      <xdr:rowOff>121920</xdr:rowOff>
    </xdr:from>
    <xdr:to>
      <xdr:col>8</xdr:col>
      <xdr:colOff>579120</xdr:colOff>
      <xdr:row>114</xdr:row>
      <xdr:rowOff>121920</xdr:rowOff>
    </xdr:to>
    <xdr:cxnSp macro="">
      <xdr:nvCxnSpPr>
        <xdr:cNvPr id="80" name="Straight Arrow Connector 79">
          <a:extLst>
            <a:ext uri="{FF2B5EF4-FFF2-40B4-BE49-F238E27FC236}">
              <a16:creationId xmlns:a16="http://schemas.microsoft.com/office/drawing/2014/main" id="{00000000-0008-0000-1200-000050000000}"/>
            </a:ext>
          </a:extLst>
        </xdr:cNvPr>
        <xdr:cNvCxnSpPr/>
      </xdr:nvCxnSpPr>
      <xdr:spPr>
        <a:xfrm>
          <a:off x="6088380" y="15483840"/>
          <a:ext cx="60198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603250</xdr:colOff>
      <xdr:row>5</xdr:row>
      <xdr:rowOff>0</xdr:rowOff>
    </xdr:from>
    <xdr:to>
      <xdr:col>2</xdr:col>
      <xdr:colOff>12700</xdr:colOff>
      <xdr:row>100</xdr:row>
      <xdr:rowOff>158750</xdr:rowOff>
    </xdr:to>
    <xdr:cxnSp macro="">
      <xdr:nvCxnSpPr>
        <xdr:cNvPr id="3" name="Straight Arrow Connector 2">
          <a:extLst>
            <a:ext uri="{FF2B5EF4-FFF2-40B4-BE49-F238E27FC236}">
              <a16:creationId xmlns:a16="http://schemas.microsoft.com/office/drawing/2014/main" id="{00000000-0008-0000-1300-000003000000}"/>
            </a:ext>
          </a:extLst>
        </xdr:cNvPr>
        <xdr:cNvCxnSpPr/>
      </xdr:nvCxnSpPr>
      <xdr:spPr>
        <a:xfrm flipV="1">
          <a:off x="603250" y="952500"/>
          <a:ext cx="628650" cy="1825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603250</xdr:colOff>
      <xdr:row>103</xdr:row>
      <xdr:rowOff>169333</xdr:rowOff>
    </xdr:from>
    <xdr:to>
      <xdr:col>1</xdr:col>
      <xdr:colOff>603250</xdr:colOff>
      <xdr:row>145</xdr:row>
      <xdr:rowOff>148167</xdr:rowOff>
    </xdr:to>
    <xdr:cxnSp macro="">
      <xdr:nvCxnSpPr>
        <xdr:cNvPr id="5" name="Straight Arrow Connector 4">
          <a:extLst>
            <a:ext uri="{FF2B5EF4-FFF2-40B4-BE49-F238E27FC236}">
              <a16:creationId xmlns:a16="http://schemas.microsoft.com/office/drawing/2014/main" id="{00000000-0008-0000-1300-000005000000}"/>
            </a:ext>
          </a:extLst>
        </xdr:cNvPr>
        <xdr:cNvCxnSpPr/>
      </xdr:nvCxnSpPr>
      <xdr:spPr>
        <a:xfrm>
          <a:off x="603250" y="18520833"/>
          <a:ext cx="613833" cy="7535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10584</xdr:colOff>
      <xdr:row>78</xdr:row>
      <xdr:rowOff>158750</xdr:rowOff>
    </xdr:from>
    <xdr:to>
      <xdr:col>3</xdr:col>
      <xdr:colOff>603250</xdr:colOff>
      <xdr:row>146</xdr:row>
      <xdr:rowOff>10583</xdr:rowOff>
    </xdr:to>
    <xdr:cxnSp macro="">
      <xdr:nvCxnSpPr>
        <xdr:cNvPr id="7" name="Straight Arrow Connector 6">
          <a:extLst>
            <a:ext uri="{FF2B5EF4-FFF2-40B4-BE49-F238E27FC236}">
              <a16:creationId xmlns:a16="http://schemas.microsoft.com/office/drawing/2014/main" id="{00000000-0008-0000-1300-000007000000}"/>
            </a:ext>
          </a:extLst>
        </xdr:cNvPr>
        <xdr:cNvCxnSpPr/>
      </xdr:nvCxnSpPr>
      <xdr:spPr>
        <a:xfrm flipV="1">
          <a:off x="2307167" y="14012333"/>
          <a:ext cx="592666" cy="12086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21167</xdr:colOff>
      <xdr:row>148</xdr:row>
      <xdr:rowOff>10583</xdr:rowOff>
    </xdr:from>
    <xdr:to>
      <xdr:col>4</xdr:col>
      <xdr:colOff>63500</xdr:colOff>
      <xdr:row>299</xdr:row>
      <xdr:rowOff>158750</xdr:rowOff>
    </xdr:to>
    <xdr:cxnSp macro="">
      <xdr:nvCxnSpPr>
        <xdr:cNvPr id="9" name="Straight Arrow Connector 8">
          <a:extLst>
            <a:ext uri="{FF2B5EF4-FFF2-40B4-BE49-F238E27FC236}">
              <a16:creationId xmlns:a16="http://schemas.microsoft.com/office/drawing/2014/main" id="{00000000-0008-0000-1300-000009000000}"/>
            </a:ext>
          </a:extLst>
        </xdr:cNvPr>
        <xdr:cNvCxnSpPr/>
      </xdr:nvCxnSpPr>
      <xdr:spPr>
        <a:xfrm>
          <a:off x="2307167" y="28395083"/>
          <a:ext cx="645583" cy="29294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825500</xdr:colOff>
      <xdr:row>41</xdr:row>
      <xdr:rowOff>1</xdr:rowOff>
    </xdr:from>
    <xdr:to>
      <xdr:col>6</xdr:col>
      <xdr:colOff>0</xdr:colOff>
      <xdr:row>75</xdr:row>
      <xdr:rowOff>116417</xdr:rowOff>
    </xdr:to>
    <xdr:cxnSp macro="">
      <xdr:nvCxnSpPr>
        <xdr:cNvPr id="11" name="Straight Arrow Connector 10">
          <a:extLst>
            <a:ext uri="{FF2B5EF4-FFF2-40B4-BE49-F238E27FC236}">
              <a16:creationId xmlns:a16="http://schemas.microsoft.com/office/drawing/2014/main" id="{00000000-0008-0000-1300-00000B000000}"/>
            </a:ext>
          </a:extLst>
        </xdr:cNvPr>
        <xdr:cNvCxnSpPr/>
      </xdr:nvCxnSpPr>
      <xdr:spPr>
        <a:xfrm flipV="1">
          <a:off x="3735917" y="7376584"/>
          <a:ext cx="666750" cy="6233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21167</xdr:colOff>
      <xdr:row>78</xdr:row>
      <xdr:rowOff>169334</xdr:rowOff>
    </xdr:from>
    <xdr:to>
      <xdr:col>5</xdr:col>
      <xdr:colOff>571500</xdr:colOff>
      <xdr:row>148</xdr:row>
      <xdr:rowOff>0</xdr:rowOff>
    </xdr:to>
    <xdr:cxnSp macro="">
      <xdr:nvCxnSpPr>
        <xdr:cNvPr id="13" name="Straight Arrow Connector 12">
          <a:extLst>
            <a:ext uri="{FF2B5EF4-FFF2-40B4-BE49-F238E27FC236}">
              <a16:creationId xmlns:a16="http://schemas.microsoft.com/office/drawing/2014/main" id="{00000000-0008-0000-1300-00000D000000}"/>
            </a:ext>
          </a:extLst>
        </xdr:cNvPr>
        <xdr:cNvCxnSpPr/>
      </xdr:nvCxnSpPr>
      <xdr:spPr>
        <a:xfrm>
          <a:off x="3799417" y="15028334"/>
          <a:ext cx="550333" cy="133244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16</xdr:row>
      <xdr:rowOff>148167</xdr:rowOff>
    </xdr:from>
    <xdr:to>
      <xdr:col>7</xdr:col>
      <xdr:colOff>603250</xdr:colOff>
      <xdr:row>38</xdr:row>
      <xdr:rowOff>31750</xdr:rowOff>
    </xdr:to>
    <xdr:cxnSp macro="">
      <xdr:nvCxnSpPr>
        <xdr:cNvPr id="19" name="Straight Arrow Connector 18">
          <a:extLst>
            <a:ext uri="{FF2B5EF4-FFF2-40B4-BE49-F238E27FC236}">
              <a16:creationId xmlns:a16="http://schemas.microsoft.com/office/drawing/2014/main" id="{00000000-0008-0000-1300-000013000000}"/>
            </a:ext>
          </a:extLst>
        </xdr:cNvPr>
        <xdr:cNvCxnSpPr/>
      </xdr:nvCxnSpPr>
      <xdr:spPr>
        <a:xfrm flipV="1">
          <a:off x="5207000" y="2846917"/>
          <a:ext cx="603250" cy="4021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41</xdr:row>
      <xdr:rowOff>10584</xdr:rowOff>
    </xdr:from>
    <xdr:to>
      <xdr:col>8</xdr:col>
      <xdr:colOff>21167</xdr:colOff>
      <xdr:row>69</xdr:row>
      <xdr:rowOff>148166</xdr:rowOff>
    </xdr:to>
    <xdr:cxnSp macro="">
      <xdr:nvCxnSpPr>
        <xdr:cNvPr id="21" name="Straight Arrow Connector 20">
          <a:extLst>
            <a:ext uri="{FF2B5EF4-FFF2-40B4-BE49-F238E27FC236}">
              <a16:creationId xmlns:a16="http://schemas.microsoft.com/office/drawing/2014/main" id="{00000000-0008-0000-1300-000015000000}"/>
            </a:ext>
          </a:extLst>
        </xdr:cNvPr>
        <xdr:cNvCxnSpPr/>
      </xdr:nvCxnSpPr>
      <xdr:spPr>
        <a:xfrm>
          <a:off x="5207000" y="7387167"/>
          <a:ext cx="635000" cy="535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8</xdr:row>
      <xdr:rowOff>137583</xdr:rowOff>
    </xdr:from>
    <xdr:to>
      <xdr:col>9</xdr:col>
      <xdr:colOff>603250</xdr:colOff>
      <xdr:row>14</xdr:row>
      <xdr:rowOff>21166</xdr:rowOff>
    </xdr:to>
    <xdr:cxnSp macro="">
      <xdr:nvCxnSpPr>
        <xdr:cNvPr id="23" name="Straight Arrow Connector 22">
          <a:extLst>
            <a:ext uri="{FF2B5EF4-FFF2-40B4-BE49-F238E27FC236}">
              <a16:creationId xmlns:a16="http://schemas.microsoft.com/office/drawing/2014/main" id="{00000000-0008-0000-1300-000017000000}"/>
            </a:ext>
          </a:extLst>
        </xdr:cNvPr>
        <xdr:cNvCxnSpPr/>
      </xdr:nvCxnSpPr>
      <xdr:spPr>
        <a:xfrm flipV="1">
          <a:off x="6434667" y="1397000"/>
          <a:ext cx="603250" cy="9630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17</xdr:row>
      <xdr:rowOff>0</xdr:rowOff>
    </xdr:from>
    <xdr:to>
      <xdr:col>9</xdr:col>
      <xdr:colOff>582083</xdr:colOff>
      <xdr:row>25</xdr:row>
      <xdr:rowOff>10583</xdr:rowOff>
    </xdr:to>
    <xdr:cxnSp macro="">
      <xdr:nvCxnSpPr>
        <xdr:cNvPr id="25" name="Straight Arrow Connector 24">
          <a:extLst>
            <a:ext uri="{FF2B5EF4-FFF2-40B4-BE49-F238E27FC236}">
              <a16:creationId xmlns:a16="http://schemas.microsoft.com/office/drawing/2014/main" id="{00000000-0008-0000-1300-000019000000}"/>
            </a:ext>
          </a:extLst>
        </xdr:cNvPr>
        <xdr:cNvCxnSpPr/>
      </xdr:nvCxnSpPr>
      <xdr:spPr>
        <a:xfrm>
          <a:off x="6466417" y="2878667"/>
          <a:ext cx="550333" cy="1449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21167</xdr:colOff>
      <xdr:row>22</xdr:row>
      <xdr:rowOff>169333</xdr:rowOff>
    </xdr:from>
    <xdr:to>
      <xdr:col>11</xdr:col>
      <xdr:colOff>603250</xdr:colOff>
      <xdr:row>25</xdr:row>
      <xdr:rowOff>21167</xdr:rowOff>
    </xdr:to>
    <xdr:cxnSp macro="">
      <xdr:nvCxnSpPr>
        <xdr:cNvPr id="27" name="Straight Arrow Connector 26">
          <a:extLst>
            <a:ext uri="{FF2B5EF4-FFF2-40B4-BE49-F238E27FC236}">
              <a16:creationId xmlns:a16="http://schemas.microsoft.com/office/drawing/2014/main" id="{00000000-0008-0000-1300-00001B000000}"/>
            </a:ext>
          </a:extLst>
        </xdr:cNvPr>
        <xdr:cNvCxnSpPr/>
      </xdr:nvCxnSpPr>
      <xdr:spPr>
        <a:xfrm flipV="1">
          <a:off x="7683500" y="3947583"/>
          <a:ext cx="582083" cy="3915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28</xdr:row>
      <xdr:rowOff>42333</xdr:rowOff>
    </xdr:from>
    <xdr:to>
      <xdr:col>11</xdr:col>
      <xdr:colOff>603250</xdr:colOff>
      <xdr:row>40</xdr:row>
      <xdr:rowOff>10583</xdr:rowOff>
    </xdr:to>
    <xdr:cxnSp macro="">
      <xdr:nvCxnSpPr>
        <xdr:cNvPr id="29" name="Straight Arrow Connector 28">
          <a:extLst>
            <a:ext uri="{FF2B5EF4-FFF2-40B4-BE49-F238E27FC236}">
              <a16:creationId xmlns:a16="http://schemas.microsoft.com/office/drawing/2014/main" id="{00000000-0008-0000-1300-00001D000000}"/>
            </a:ext>
          </a:extLst>
        </xdr:cNvPr>
        <xdr:cNvCxnSpPr/>
      </xdr:nvCxnSpPr>
      <xdr:spPr>
        <a:xfrm>
          <a:off x="7672917" y="4900083"/>
          <a:ext cx="592666" cy="2307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18</xdr:row>
      <xdr:rowOff>21167</xdr:rowOff>
    </xdr:from>
    <xdr:to>
      <xdr:col>13</xdr:col>
      <xdr:colOff>592667</xdr:colOff>
      <xdr:row>20</xdr:row>
      <xdr:rowOff>0</xdr:rowOff>
    </xdr:to>
    <xdr:cxnSp macro="">
      <xdr:nvCxnSpPr>
        <xdr:cNvPr id="31" name="Straight Arrow Connector 30">
          <a:extLst>
            <a:ext uri="{FF2B5EF4-FFF2-40B4-BE49-F238E27FC236}">
              <a16:creationId xmlns:a16="http://schemas.microsoft.com/office/drawing/2014/main" id="{00000000-0008-0000-1300-00001F000000}"/>
            </a:ext>
          </a:extLst>
        </xdr:cNvPr>
        <xdr:cNvCxnSpPr/>
      </xdr:nvCxnSpPr>
      <xdr:spPr>
        <a:xfrm flipV="1">
          <a:off x="8879417" y="3079750"/>
          <a:ext cx="603250" cy="338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23</xdr:row>
      <xdr:rowOff>21166</xdr:rowOff>
    </xdr:from>
    <xdr:to>
      <xdr:col>13</xdr:col>
      <xdr:colOff>592667</xdr:colOff>
      <xdr:row>24</xdr:row>
      <xdr:rowOff>169334</xdr:rowOff>
    </xdr:to>
    <xdr:cxnSp macro="">
      <xdr:nvCxnSpPr>
        <xdr:cNvPr id="33" name="Straight Arrow Connector 32">
          <a:extLst>
            <a:ext uri="{FF2B5EF4-FFF2-40B4-BE49-F238E27FC236}">
              <a16:creationId xmlns:a16="http://schemas.microsoft.com/office/drawing/2014/main" id="{00000000-0008-0000-1300-000021000000}"/>
            </a:ext>
          </a:extLst>
        </xdr:cNvPr>
        <xdr:cNvCxnSpPr/>
      </xdr:nvCxnSpPr>
      <xdr:spPr>
        <a:xfrm>
          <a:off x="8868833" y="3979333"/>
          <a:ext cx="613834"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38</xdr:row>
      <xdr:rowOff>21167</xdr:rowOff>
    </xdr:from>
    <xdr:to>
      <xdr:col>13</xdr:col>
      <xdr:colOff>592667</xdr:colOff>
      <xdr:row>40</xdr:row>
      <xdr:rowOff>63500</xdr:rowOff>
    </xdr:to>
    <xdr:cxnSp macro="">
      <xdr:nvCxnSpPr>
        <xdr:cNvPr id="35" name="Straight Arrow Connector 34">
          <a:extLst>
            <a:ext uri="{FF2B5EF4-FFF2-40B4-BE49-F238E27FC236}">
              <a16:creationId xmlns:a16="http://schemas.microsoft.com/office/drawing/2014/main" id="{00000000-0008-0000-1300-000023000000}"/>
            </a:ext>
          </a:extLst>
        </xdr:cNvPr>
        <xdr:cNvCxnSpPr/>
      </xdr:nvCxnSpPr>
      <xdr:spPr>
        <a:xfrm flipV="1">
          <a:off x="8890000" y="6858000"/>
          <a:ext cx="592667" cy="40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43</xdr:row>
      <xdr:rowOff>0</xdr:rowOff>
    </xdr:from>
    <xdr:to>
      <xdr:col>14</xdr:col>
      <xdr:colOff>10584</xdr:colOff>
      <xdr:row>51</xdr:row>
      <xdr:rowOff>148167</xdr:rowOff>
    </xdr:to>
    <xdr:cxnSp macro="">
      <xdr:nvCxnSpPr>
        <xdr:cNvPr id="37" name="Straight Arrow Connector 36">
          <a:extLst>
            <a:ext uri="{FF2B5EF4-FFF2-40B4-BE49-F238E27FC236}">
              <a16:creationId xmlns:a16="http://schemas.microsoft.com/office/drawing/2014/main" id="{00000000-0008-0000-1300-000025000000}"/>
            </a:ext>
          </a:extLst>
        </xdr:cNvPr>
        <xdr:cNvCxnSpPr/>
      </xdr:nvCxnSpPr>
      <xdr:spPr>
        <a:xfrm>
          <a:off x="8900583" y="7736417"/>
          <a:ext cx="613834" cy="15875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10</xdr:row>
      <xdr:rowOff>0</xdr:rowOff>
    </xdr:from>
    <xdr:to>
      <xdr:col>15</xdr:col>
      <xdr:colOff>603250</xdr:colOff>
      <xdr:row>15</xdr:row>
      <xdr:rowOff>31750</xdr:rowOff>
    </xdr:to>
    <xdr:cxnSp macro="">
      <xdr:nvCxnSpPr>
        <xdr:cNvPr id="39" name="Straight Arrow Connector 38">
          <a:extLst>
            <a:ext uri="{FF2B5EF4-FFF2-40B4-BE49-F238E27FC236}">
              <a16:creationId xmlns:a16="http://schemas.microsoft.com/office/drawing/2014/main" id="{00000000-0008-0000-1300-000027000000}"/>
            </a:ext>
          </a:extLst>
        </xdr:cNvPr>
        <xdr:cNvCxnSpPr/>
      </xdr:nvCxnSpPr>
      <xdr:spPr>
        <a:xfrm flipV="1">
          <a:off x="10646833" y="1619250"/>
          <a:ext cx="613834" cy="931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xdr:row>
      <xdr:rowOff>52917</xdr:rowOff>
    </xdr:from>
    <xdr:to>
      <xdr:col>15</xdr:col>
      <xdr:colOff>603250</xdr:colOff>
      <xdr:row>15</xdr:row>
      <xdr:rowOff>95250</xdr:rowOff>
    </xdr:to>
    <xdr:cxnSp macro="">
      <xdr:nvCxnSpPr>
        <xdr:cNvPr id="41" name="Straight Arrow Connector 40">
          <a:extLst>
            <a:ext uri="{FF2B5EF4-FFF2-40B4-BE49-F238E27FC236}">
              <a16:creationId xmlns:a16="http://schemas.microsoft.com/office/drawing/2014/main" id="{00000000-0008-0000-1300-000029000000}"/>
            </a:ext>
          </a:extLst>
        </xdr:cNvPr>
        <xdr:cNvCxnSpPr/>
      </xdr:nvCxnSpPr>
      <xdr:spPr>
        <a:xfrm flipV="1">
          <a:off x="10699750" y="2211917"/>
          <a:ext cx="560917" cy="402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15</xdr:row>
      <xdr:rowOff>158750</xdr:rowOff>
    </xdr:from>
    <xdr:to>
      <xdr:col>15</xdr:col>
      <xdr:colOff>582083</xdr:colOff>
      <xdr:row>16</xdr:row>
      <xdr:rowOff>137583</xdr:rowOff>
    </xdr:to>
    <xdr:cxnSp macro="">
      <xdr:nvCxnSpPr>
        <xdr:cNvPr id="43" name="Straight Arrow Connector 42">
          <a:extLst>
            <a:ext uri="{FF2B5EF4-FFF2-40B4-BE49-F238E27FC236}">
              <a16:creationId xmlns:a16="http://schemas.microsoft.com/office/drawing/2014/main" id="{00000000-0008-0000-1300-00002B000000}"/>
            </a:ext>
          </a:extLst>
        </xdr:cNvPr>
        <xdr:cNvCxnSpPr/>
      </xdr:nvCxnSpPr>
      <xdr:spPr>
        <a:xfrm>
          <a:off x="10720917" y="2677583"/>
          <a:ext cx="518583" cy="158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1121834</xdr:colOff>
      <xdr:row>15</xdr:row>
      <xdr:rowOff>105834</xdr:rowOff>
    </xdr:from>
    <xdr:to>
      <xdr:col>16</xdr:col>
      <xdr:colOff>0</xdr:colOff>
      <xdr:row>19</xdr:row>
      <xdr:rowOff>84667</xdr:rowOff>
    </xdr:to>
    <xdr:cxnSp macro="">
      <xdr:nvCxnSpPr>
        <xdr:cNvPr id="45" name="Straight Arrow Connector 44">
          <a:extLst>
            <a:ext uri="{FF2B5EF4-FFF2-40B4-BE49-F238E27FC236}">
              <a16:creationId xmlns:a16="http://schemas.microsoft.com/office/drawing/2014/main" id="{00000000-0008-0000-1300-00002D000000}"/>
            </a:ext>
          </a:extLst>
        </xdr:cNvPr>
        <xdr:cNvCxnSpPr/>
      </xdr:nvCxnSpPr>
      <xdr:spPr>
        <a:xfrm>
          <a:off x="10625667" y="2624667"/>
          <a:ext cx="645583" cy="6985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23</xdr:row>
      <xdr:rowOff>52916</xdr:rowOff>
    </xdr:from>
    <xdr:to>
      <xdr:col>16</xdr:col>
      <xdr:colOff>0</xdr:colOff>
      <xdr:row>25</xdr:row>
      <xdr:rowOff>0</xdr:rowOff>
    </xdr:to>
    <xdr:cxnSp macro="">
      <xdr:nvCxnSpPr>
        <xdr:cNvPr id="48" name="Straight Arrow Connector 47">
          <a:extLst>
            <a:ext uri="{FF2B5EF4-FFF2-40B4-BE49-F238E27FC236}">
              <a16:creationId xmlns:a16="http://schemas.microsoft.com/office/drawing/2014/main" id="{00000000-0008-0000-1300-000030000000}"/>
            </a:ext>
          </a:extLst>
        </xdr:cNvPr>
        <xdr:cNvCxnSpPr/>
      </xdr:nvCxnSpPr>
      <xdr:spPr>
        <a:xfrm flipV="1">
          <a:off x="10646833" y="4011083"/>
          <a:ext cx="624417" cy="30691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25</xdr:row>
      <xdr:rowOff>21167</xdr:rowOff>
    </xdr:from>
    <xdr:to>
      <xdr:col>15</xdr:col>
      <xdr:colOff>582083</xdr:colOff>
      <xdr:row>26</xdr:row>
      <xdr:rowOff>42333</xdr:rowOff>
    </xdr:to>
    <xdr:cxnSp macro="">
      <xdr:nvCxnSpPr>
        <xdr:cNvPr id="50" name="Straight Arrow Connector 49">
          <a:extLst>
            <a:ext uri="{FF2B5EF4-FFF2-40B4-BE49-F238E27FC236}">
              <a16:creationId xmlns:a16="http://schemas.microsoft.com/office/drawing/2014/main" id="{00000000-0008-0000-1300-000032000000}"/>
            </a:ext>
          </a:extLst>
        </xdr:cNvPr>
        <xdr:cNvCxnSpPr/>
      </xdr:nvCxnSpPr>
      <xdr:spPr>
        <a:xfrm>
          <a:off x="10668000" y="4339167"/>
          <a:ext cx="571500" cy="2010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25</xdr:row>
      <xdr:rowOff>21167</xdr:rowOff>
    </xdr:from>
    <xdr:to>
      <xdr:col>16</xdr:col>
      <xdr:colOff>42333</xdr:colOff>
      <xdr:row>30</xdr:row>
      <xdr:rowOff>21168</xdr:rowOff>
    </xdr:to>
    <xdr:cxnSp macro="">
      <xdr:nvCxnSpPr>
        <xdr:cNvPr id="52" name="Straight Arrow Connector 51">
          <a:extLst>
            <a:ext uri="{FF2B5EF4-FFF2-40B4-BE49-F238E27FC236}">
              <a16:creationId xmlns:a16="http://schemas.microsoft.com/office/drawing/2014/main" id="{00000000-0008-0000-1300-000034000000}"/>
            </a:ext>
          </a:extLst>
        </xdr:cNvPr>
        <xdr:cNvCxnSpPr/>
      </xdr:nvCxnSpPr>
      <xdr:spPr>
        <a:xfrm>
          <a:off x="10636250" y="4339167"/>
          <a:ext cx="677333" cy="8995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25</xdr:row>
      <xdr:rowOff>31750</xdr:rowOff>
    </xdr:from>
    <xdr:to>
      <xdr:col>16</xdr:col>
      <xdr:colOff>42334</xdr:colOff>
      <xdr:row>32</xdr:row>
      <xdr:rowOff>63501</xdr:rowOff>
    </xdr:to>
    <xdr:cxnSp macro="">
      <xdr:nvCxnSpPr>
        <xdr:cNvPr id="54" name="Straight Arrow Connector 53">
          <a:extLst>
            <a:ext uri="{FF2B5EF4-FFF2-40B4-BE49-F238E27FC236}">
              <a16:creationId xmlns:a16="http://schemas.microsoft.com/office/drawing/2014/main" id="{00000000-0008-0000-1300-000036000000}"/>
            </a:ext>
          </a:extLst>
        </xdr:cNvPr>
        <xdr:cNvCxnSpPr/>
      </xdr:nvCxnSpPr>
      <xdr:spPr>
        <a:xfrm>
          <a:off x="10646833" y="4349750"/>
          <a:ext cx="666751" cy="12911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10583</xdr:colOff>
      <xdr:row>62</xdr:row>
      <xdr:rowOff>42333</xdr:rowOff>
    </xdr:from>
    <xdr:to>
      <xdr:col>9</xdr:col>
      <xdr:colOff>592666</xdr:colOff>
      <xdr:row>70</xdr:row>
      <xdr:rowOff>42333</xdr:rowOff>
    </xdr:to>
    <xdr:cxnSp macro="">
      <xdr:nvCxnSpPr>
        <xdr:cNvPr id="56" name="Straight Arrow Connector 55">
          <a:extLst>
            <a:ext uri="{FF2B5EF4-FFF2-40B4-BE49-F238E27FC236}">
              <a16:creationId xmlns:a16="http://schemas.microsoft.com/office/drawing/2014/main" id="{00000000-0008-0000-1300-000038000000}"/>
            </a:ext>
          </a:extLst>
        </xdr:cNvPr>
        <xdr:cNvCxnSpPr/>
      </xdr:nvCxnSpPr>
      <xdr:spPr>
        <a:xfrm flipV="1">
          <a:off x="6445250" y="7239000"/>
          <a:ext cx="582083" cy="1439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72</xdr:row>
      <xdr:rowOff>169334</xdr:rowOff>
    </xdr:from>
    <xdr:to>
      <xdr:col>9</xdr:col>
      <xdr:colOff>603250</xdr:colOff>
      <xdr:row>81</xdr:row>
      <xdr:rowOff>31750</xdr:rowOff>
    </xdr:to>
    <xdr:cxnSp macro="">
      <xdr:nvCxnSpPr>
        <xdr:cNvPr id="58" name="Straight Arrow Connector 57">
          <a:extLst>
            <a:ext uri="{FF2B5EF4-FFF2-40B4-BE49-F238E27FC236}">
              <a16:creationId xmlns:a16="http://schemas.microsoft.com/office/drawing/2014/main" id="{00000000-0008-0000-1300-00003A000000}"/>
            </a:ext>
          </a:extLst>
        </xdr:cNvPr>
        <xdr:cNvCxnSpPr/>
      </xdr:nvCxnSpPr>
      <xdr:spPr>
        <a:xfrm>
          <a:off x="6466417" y="9165167"/>
          <a:ext cx="571500" cy="1481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571500</xdr:colOff>
      <xdr:row>78</xdr:row>
      <xdr:rowOff>158750</xdr:rowOff>
    </xdr:from>
    <xdr:to>
      <xdr:col>11</xdr:col>
      <xdr:colOff>571500</xdr:colOff>
      <xdr:row>81</xdr:row>
      <xdr:rowOff>0</xdr:rowOff>
    </xdr:to>
    <xdr:cxnSp macro="">
      <xdr:nvCxnSpPr>
        <xdr:cNvPr id="60" name="Straight Arrow Connector 59">
          <a:extLst>
            <a:ext uri="{FF2B5EF4-FFF2-40B4-BE49-F238E27FC236}">
              <a16:creationId xmlns:a16="http://schemas.microsoft.com/office/drawing/2014/main" id="{00000000-0008-0000-1300-00003C000000}"/>
            </a:ext>
          </a:extLst>
        </xdr:cNvPr>
        <xdr:cNvCxnSpPr/>
      </xdr:nvCxnSpPr>
      <xdr:spPr>
        <a:xfrm flipV="1">
          <a:off x="7620000" y="10234083"/>
          <a:ext cx="613833" cy="381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36</xdr:row>
      <xdr:rowOff>0</xdr:rowOff>
    </xdr:from>
    <xdr:to>
      <xdr:col>15</xdr:col>
      <xdr:colOff>603250</xdr:colOff>
      <xdr:row>38</xdr:row>
      <xdr:rowOff>1</xdr:rowOff>
    </xdr:to>
    <xdr:cxnSp macro="">
      <xdr:nvCxnSpPr>
        <xdr:cNvPr id="74" name="Straight Arrow Connector 73">
          <a:extLst>
            <a:ext uri="{FF2B5EF4-FFF2-40B4-BE49-F238E27FC236}">
              <a16:creationId xmlns:a16="http://schemas.microsoft.com/office/drawing/2014/main" id="{00000000-0008-0000-1300-00004A000000}"/>
            </a:ext>
          </a:extLst>
        </xdr:cNvPr>
        <xdr:cNvCxnSpPr/>
      </xdr:nvCxnSpPr>
      <xdr:spPr>
        <a:xfrm flipV="1">
          <a:off x="10636250" y="6477000"/>
          <a:ext cx="624417" cy="359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38</xdr:row>
      <xdr:rowOff>10584</xdr:rowOff>
    </xdr:from>
    <xdr:to>
      <xdr:col>15</xdr:col>
      <xdr:colOff>592666</xdr:colOff>
      <xdr:row>39</xdr:row>
      <xdr:rowOff>95250</xdr:rowOff>
    </xdr:to>
    <xdr:cxnSp macro="">
      <xdr:nvCxnSpPr>
        <xdr:cNvPr id="76" name="Straight Arrow Connector 75">
          <a:extLst>
            <a:ext uri="{FF2B5EF4-FFF2-40B4-BE49-F238E27FC236}">
              <a16:creationId xmlns:a16="http://schemas.microsoft.com/office/drawing/2014/main" id="{00000000-0008-0000-1300-00004C000000}"/>
            </a:ext>
          </a:extLst>
        </xdr:cNvPr>
        <xdr:cNvCxnSpPr/>
      </xdr:nvCxnSpPr>
      <xdr:spPr>
        <a:xfrm>
          <a:off x="10689167" y="6847417"/>
          <a:ext cx="560916" cy="264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38</xdr:row>
      <xdr:rowOff>10584</xdr:rowOff>
    </xdr:from>
    <xdr:to>
      <xdr:col>15</xdr:col>
      <xdr:colOff>560916</xdr:colOff>
      <xdr:row>42</xdr:row>
      <xdr:rowOff>52917</xdr:rowOff>
    </xdr:to>
    <xdr:cxnSp macro="">
      <xdr:nvCxnSpPr>
        <xdr:cNvPr id="78" name="Straight Arrow Connector 77">
          <a:extLst>
            <a:ext uri="{FF2B5EF4-FFF2-40B4-BE49-F238E27FC236}">
              <a16:creationId xmlns:a16="http://schemas.microsoft.com/office/drawing/2014/main" id="{00000000-0008-0000-1300-00004E000000}"/>
            </a:ext>
          </a:extLst>
        </xdr:cNvPr>
        <xdr:cNvCxnSpPr/>
      </xdr:nvCxnSpPr>
      <xdr:spPr>
        <a:xfrm>
          <a:off x="10668000" y="6847417"/>
          <a:ext cx="550333" cy="762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38</xdr:row>
      <xdr:rowOff>31750</xdr:rowOff>
    </xdr:from>
    <xdr:to>
      <xdr:col>16</xdr:col>
      <xdr:colOff>21167</xdr:colOff>
      <xdr:row>45</xdr:row>
      <xdr:rowOff>95250</xdr:rowOff>
    </xdr:to>
    <xdr:cxnSp macro="">
      <xdr:nvCxnSpPr>
        <xdr:cNvPr id="80" name="Straight Arrow Connector 79">
          <a:extLst>
            <a:ext uri="{FF2B5EF4-FFF2-40B4-BE49-F238E27FC236}">
              <a16:creationId xmlns:a16="http://schemas.microsoft.com/office/drawing/2014/main" id="{00000000-0008-0000-1300-000050000000}"/>
            </a:ext>
          </a:extLst>
        </xdr:cNvPr>
        <xdr:cNvCxnSpPr/>
      </xdr:nvCxnSpPr>
      <xdr:spPr>
        <a:xfrm>
          <a:off x="10699750" y="6868583"/>
          <a:ext cx="592667" cy="132291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52</xdr:row>
      <xdr:rowOff>0</xdr:rowOff>
    </xdr:from>
    <xdr:to>
      <xdr:col>16</xdr:col>
      <xdr:colOff>0</xdr:colOff>
      <xdr:row>52</xdr:row>
      <xdr:rowOff>42334</xdr:rowOff>
    </xdr:to>
    <xdr:cxnSp macro="">
      <xdr:nvCxnSpPr>
        <xdr:cNvPr id="82" name="Straight Arrow Connector 81">
          <a:extLst>
            <a:ext uri="{FF2B5EF4-FFF2-40B4-BE49-F238E27FC236}">
              <a16:creationId xmlns:a16="http://schemas.microsoft.com/office/drawing/2014/main" id="{00000000-0008-0000-1300-000052000000}"/>
            </a:ext>
          </a:extLst>
        </xdr:cNvPr>
        <xdr:cNvCxnSpPr/>
      </xdr:nvCxnSpPr>
      <xdr:spPr>
        <a:xfrm>
          <a:off x="10678583" y="9355667"/>
          <a:ext cx="592667"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52</xdr:row>
      <xdr:rowOff>21166</xdr:rowOff>
    </xdr:from>
    <xdr:to>
      <xdr:col>15</xdr:col>
      <xdr:colOff>560916</xdr:colOff>
      <xdr:row>55</xdr:row>
      <xdr:rowOff>84667</xdr:rowOff>
    </xdr:to>
    <xdr:cxnSp macro="">
      <xdr:nvCxnSpPr>
        <xdr:cNvPr id="84" name="Straight Arrow Connector 83">
          <a:extLst>
            <a:ext uri="{FF2B5EF4-FFF2-40B4-BE49-F238E27FC236}">
              <a16:creationId xmlns:a16="http://schemas.microsoft.com/office/drawing/2014/main" id="{00000000-0008-0000-1300-000054000000}"/>
            </a:ext>
          </a:extLst>
        </xdr:cNvPr>
        <xdr:cNvCxnSpPr/>
      </xdr:nvCxnSpPr>
      <xdr:spPr>
        <a:xfrm>
          <a:off x="10731500" y="9376833"/>
          <a:ext cx="486833" cy="603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52</xdr:row>
      <xdr:rowOff>52916</xdr:rowOff>
    </xdr:from>
    <xdr:to>
      <xdr:col>15</xdr:col>
      <xdr:colOff>592666</xdr:colOff>
      <xdr:row>58</xdr:row>
      <xdr:rowOff>63501</xdr:rowOff>
    </xdr:to>
    <xdr:cxnSp macro="">
      <xdr:nvCxnSpPr>
        <xdr:cNvPr id="86" name="Straight Arrow Connector 85">
          <a:extLst>
            <a:ext uri="{FF2B5EF4-FFF2-40B4-BE49-F238E27FC236}">
              <a16:creationId xmlns:a16="http://schemas.microsoft.com/office/drawing/2014/main" id="{00000000-0008-0000-1300-000056000000}"/>
            </a:ext>
          </a:extLst>
        </xdr:cNvPr>
        <xdr:cNvCxnSpPr/>
      </xdr:nvCxnSpPr>
      <xdr:spPr>
        <a:xfrm>
          <a:off x="10689167" y="9408583"/>
          <a:ext cx="560916" cy="10900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66</xdr:row>
      <xdr:rowOff>116416</xdr:rowOff>
    </xdr:from>
    <xdr:to>
      <xdr:col>15</xdr:col>
      <xdr:colOff>592666</xdr:colOff>
      <xdr:row>69</xdr:row>
      <xdr:rowOff>158750</xdr:rowOff>
    </xdr:to>
    <xdr:cxnSp macro="">
      <xdr:nvCxnSpPr>
        <xdr:cNvPr id="110" name="Straight Arrow Connector 109">
          <a:extLst>
            <a:ext uri="{FF2B5EF4-FFF2-40B4-BE49-F238E27FC236}">
              <a16:creationId xmlns:a16="http://schemas.microsoft.com/office/drawing/2014/main" id="{00000000-0008-0000-1300-00006E000000}"/>
            </a:ext>
          </a:extLst>
        </xdr:cNvPr>
        <xdr:cNvCxnSpPr/>
      </xdr:nvCxnSpPr>
      <xdr:spPr>
        <a:xfrm flipV="1">
          <a:off x="10678583" y="12170833"/>
          <a:ext cx="571500" cy="582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68</xdr:row>
      <xdr:rowOff>95250</xdr:rowOff>
    </xdr:from>
    <xdr:to>
      <xdr:col>15</xdr:col>
      <xdr:colOff>582083</xdr:colOff>
      <xdr:row>70</xdr:row>
      <xdr:rowOff>52917</xdr:rowOff>
    </xdr:to>
    <xdr:cxnSp macro="">
      <xdr:nvCxnSpPr>
        <xdr:cNvPr id="112" name="Straight Arrow Connector 111">
          <a:extLst>
            <a:ext uri="{FF2B5EF4-FFF2-40B4-BE49-F238E27FC236}">
              <a16:creationId xmlns:a16="http://schemas.microsoft.com/office/drawing/2014/main" id="{00000000-0008-0000-1300-000070000000}"/>
            </a:ext>
          </a:extLst>
        </xdr:cNvPr>
        <xdr:cNvCxnSpPr/>
      </xdr:nvCxnSpPr>
      <xdr:spPr>
        <a:xfrm flipV="1">
          <a:off x="10720917" y="14848417"/>
          <a:ext cx="518583" cy="3175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70</xdr:row>
      <xdr:rowOff>116417</xdr:rowOff>
    </xdr:from>
    <xdr:to>
      <xdr:col>15</xdr:col>
      <xdr:colOff>592666</xdr:colOff>
      <xdr:row>74</xdr:row>
      <xdr:rowOff>95250</xdr:rowOff>
    </xdr:to>
    <xdr:cxnSp macro="">
      <xdr:nvCxnSpPr>
        <xdr:cNvPr id="116" name="Straight Arrow Connector 115">
          <a:extLst>
            <a:ext uri="{FF2B5EF4-FFF2-40B4-BE49-F238E27FC236}">
              <a16:creationId xmlns:a16="http://schemas.microsoft.com/office/drawing/2014/main" id="{00000000-0008-0000-1300-000074000000}"/>
            </a:ext>
          </a:extLst>
        </xdr:cNvPr>
        <xdr:cNvCxnSpPr/>
      </xdr:nvCxnSpPr>
      <xdr:spPr>
        <a:xfrm>
          <a:off x="10710333" y="15229417"/>
          <a:ext cx="539750" cy="6985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81</xdr:row>
      <xdr:rowOff>116416</xdr:rowOff>
    </xdr:from>
    <xdr:to>
      <xdr:col>16</xdr:col>
      <xdr:colOff>0</xdr:colOff>
      <xdr:row>88</xdr:row>
      <xdr:rowOff>74084</xdr:rowOff>
    </xdr:to>
    <xdr:cxnSp macro="">
      <xdr:nvCxnSpPr>
        <xdr:cNvPr id="122" name="Straight Arrow Connector 121">
          <a:extLst>
            <a:ext uri="{FF2B5EF4-FFF2-40B4-BE49-F238E27FC236}">
              <a16:creationId xmlns:a16="http://schemas.microsoft.com/office/drawing/2014/main" id="{00000000-0008-0000-1300-00007A000000}"/>
            </a:ext>
          </a:extLst>
        </xdr:cNvPr>
        <xdr:cNvCxnSpPr/>
      </xdr:nvCxnSpPr>
      <xdr:spPr>
        <a:xfrm>
          <a:off x="10689167" y="14869583"/>
          <a:ext cx="582083" cy="1217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49</xdr:row>
      <xdr:rowOff>52917</xdr:rowOff>
    </xdr:from>
    <xdr:to>
      <xdr:col>15</xdr:col>
      <xdr:colOff>603250</xdr:colOff>
      <xdr:row>51</xdr:row>
      <xdr:rowOff>148167</xdr:rowOff>
    </xdr:to>
    <xdr:cxnSp macro="">
      <xdr:nvCxnSpPr>
        <xdr:cNvPr id="138" name="Straight Arrow Connector 137">
          <a:extLst>
            <a:ext uri="{FF2B5EF4-FFF2-40B4-BE49-F238E27FC236}">
              <a16:creationId xmlns:a16="http://schemas.microsoft.com/office/drawing/2014/main" id="{00000000-0008-0000-1300-00008A000000}"/>
            </a:ext>
          </a:extLst>
        </xdr:cNvPr>
        <xdr:cNvCxnSpPr/>
      </xdr:nvCxnSpPr>
      <xdr:spPr>
        <a:xfrm flipV="1">
          <a:off x="10699750" y="8868834"/>
          <a:ext cx="560917" cy="4550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84</xdr:row>
      <xdr:rowOff>42333</xdr:rowOff>
    </xdr:from>
    <xdr:to>
      <xdr:col>11</xdr:col>
      <xdr:colOff>603250</xdr:colOff>
      <xdr:row>97</xdr:row>
      <xdr:rowOff>10583</xdr:rowOff>
    </xdr:to>
    <xdr:cxnSp macro="">
      <xdr:nvCxnSpPr>
        <xdr:cNvPr id="153" name="Straight Arrow Connector 152">
          <a:extLst>
            <a:ext uri="{FF2B5EF4-FFF2-40B4-BE49-F238E27FC236}">
              <a16:creationId xmlns:a16="http://schemas.microsoft.com/office/drawing/2014/main" id="{00000000-0008-0000-1300-000099000000}"/>
            </a:ext>
          </a:extLst>
        </xdr:cNvPr>
        <xdr:cNvCxnSpPr/>
      </xdr:nvCxnSpPr>
      <xdr:spPr>
        <a:xfrm>
          <a:off x="7672917" y="4900083"/>
          <a:ext cx="592666" cy="2307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74</xdr:row>
      <xdr:rowOff>21167</xdr:rowOff>
    </xdr:from>
    <xdr:to>
      <xdr:col>13</xdr:col>
      <xdr:colOff>592667</xdr:colOff>
      <xdr:row>76</xdr:row>
      <xdr:rowOff>0</xdr:rowOff>
    </xdr:to>
    <xdr:cxnSp macro="">
      <xdr:nvCxnSpPr>
        <xdr:cNvPr id="154" name="Straight Arrow Connector 153">
          <a:extLst>
            <a:ext uri="{FF2B5EF4-FFF2-40B4-BE49-F238E27FC236}">
              <a16:creationId xmlns:a16="http://schemas.microsoft.com/office/drawing/2014/main" id="{00000000-0008-0000-1300-00009A000000}"/>
            </a:ext>
          </a:extLst>
        </xdr:cNvPr>
        <xdr:cNvCxnSpPr/>
      </xdr:nvCxnSpPr>
      <xdr:spPr>
        <a:xfrm flipV="1">
          <a:off x="8879417" y="3079750"/>
          <a:ext cx="603250" cy="338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79</xdr:row>
      <xdr:rowOff>21166</xdr:rowOff>
    </xdr:from>
    <xdr:to>
      <xdr:col>13</xdr:col>
      <xdr:colOff>592667</xdr:colOff>
      <xdr:row>80</xdr:row>
      <xdr:rowOff>169334</xdr:rowOff>
    </xdr:to>
    <xdr:cxnSp macro="">
      <xdr:nvCxnSpPr>
        <xdr:cNvPr id="155" name="Straight Arrow Connector 154">
          <a:extLst>
            <a:ext uri="{FF2B5EF4-FFF2-40B4-BE49-F238E27FC236}">
              <a16:creationId xmlns:a16="http://schemas.microsoft.com/office/drawing/2014/main" id="{00000000-0008-0000-1300-00009B000000}"/>
            </a:ext>
          </a:extLst>
        </xdr:cNvPr>
        <xdr:cNvCxnSpPr/>
      </xdr:nvCxnSpPr>
      <xdr:spPr>
        <a:xfrm>
          <a:off x="8868833" y="3979333"/>
          <a:ext cx="613834"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95</xdr:row>
      <xdr:rowOff>21167</xdr:rowOff>
    </xdr:from>
    <xdr:to>
      <xdr:col>13</xdr:col>
      <xdr:colOff>592667</xdr:colOff>
      <xdr:row>97</xdr:row>
      <xdr:rowOff>63500</xdr:rowOff>
    </xdr:to>
    <xdr:cxnSp macro="">
      <xdr:nvCxnSpPr>
        <xdr:cNvPr id="156" name="Straight Arrow Connector 155">
          <a:extLst>
            <a:ext uri="{FF2B5EF4-FFF2-40B4-BE49-F238E27FC236}">
              <a16:creationId xmlns:a16="http://schemas.microsoft.com/office/drawing/2014/main" id="{00000000-0008-0000-1300-00009C000000}"/>
            </a:ext>
          </a:extLst>
        </xdr:cNvPr>
        <xdr:cNvCxnSpPr/>
      </xdr:nvCxnSpPr>
      <xdr:spPr>
        <a:xfrm flipV="1">
          <a:off x="8890000" y="6858000"/>
          <a:ext cx="592667" cy="40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100</xdr:row>
      <xdr:rowOff>0</xdr:rowOff>
    </xdr:from>
    <xdr:to>
      <xdr:col>14</xdr:col>
      <xdr:colOff>10584</xdr:colOff>
      <xdr:row>108</xdr:row>
      <xdr:rowOff>148167</xdr:rowOff>
    </xdr:to>
    <xdr:cxnSp macro="">
      <xdr:nvCxnSpPr>
        <xdr:cNvPr id="157" name="Straight Arrow Connector 156">
          <a:extLst>
            <a:ext uri="{FF2B5EF4-FFF2-40B4-BE49-F238E27FC236}">
              <a16:creationId xmlns:a16="http://schemas.microsoft.com/office/drawing/2014/main" id="{00000000-0008-0000-1300-00009D000000}"/>
            </a:ext>
          </a:extLst>
        </xdr:cNvPr>
        <xdr:cNvCxnSpPr/>
      </xdr:nvCxnSpPr>
      <xdr:spPr>
        <a:xfrm>
          <a:off x="8900583" y="7736417"/>
          <a:ext cx="613834" cy="15875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70</xdr:row>
      <xdr:rowOff>95250</xdr:rowOff>
    </xdr:from>
    <xdr:to>
      <xdr:col>15</xdr:col>
      <xdr:colOff>582083</xdr:colOff>
      <xdr:row>72</xdr:row>
      <xdr:rowOff>137583</xdr:rowOff>
    </xdr:to>
    <xdr:cxnSp macro="">
      <xdr:nvCxnSpPr>
        <xdr:cNvPr id="160" name="Straight Arrow Connector 159">
          <a:extLst>
            <a:ext uri="{FF2B5EF4-FFF2-40B4-BE49-F238E27FC236}">
              <a16:creationId xmlns:a16="http://schemas.microsoft.com/office/drawing/2014/main" id="{00000000-0008-0000-1300-0000A0000000}"/>
            </a:ext>
          </a:extLst>
        </xdr:cNvPr>
        <xdr:cNvCxnSpPr/>
      </xdr:nvCxnSpPr>
      <xdr:spPr>
        <a:xfrm>
          <a:off x="10710333" y="12869333"/>
          <a:ext cx="529167" cy="40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79</xdr:row>
      <xdr:rowOff>52916</xdr:rowOff>
    </xdr:from>
    <xdr:to>
      <xdr:col>16</xdr:col>
      <xdr:colOff>0</xdr:colOff>
      <xdr:row>81</xdr:row>
      <xdr:rowOff>0</xdr:rowOff>
    </xdr:to>
    <xdr:cxnSp macro="">
      <xdr:nvCxnSpPr>
        <xdr:cNvPr id="162" name="Straight Arrow Connector 161">
          <a:extLst>
            <a:ext uri="{FF2B5EF4-FFF2-40B4-BE49-F238E27FC236}">
              <a16:creationId xmlns:a16="http://schemas.microsoft.com/office/drawing/2014/main" id="{00000000-0008-0000-1300-0000A2000000}"/>
            </a:ext>
          </a:extLst>
        </xdr:cNvPr>
        <xdr:cNvCxnSpPr/>
      </xdr:nvCxnSpPr>
      <xdr:spPr>
        <a:xfrm flipV="1">
          <a:off x="10646833" y="4011083"/>
          <a:ext cx="624417" cy="30691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81</xdr:row>
      <xdr:rowOff>21167</xdr:rowOff>
    </xdr:from>
    <xdr:to>
      <xdr:col>15</xdr:col>
      <xdr:colOff>592666</xdr:colOff>
      <xdr:row>82</xdr:row>
      <xdr:rowOff>84667</xdr:rowOff>
    </xdr:to>
    <xdr:cxnSp macro="">
      <xdr:nvCxnSpPr>
        <xdr:cNvPr id="164" name="Straight Arrow Connector 163">
          <a:extLst>
            <a:ext uri="{FF2B5EF4-FFF2-40B4-BE49-F238E27FC236}">
              <a16:creationId xmlns:a16="http://schemas.microsoft.com/office/drawing/2014/main" id="{00000000-0008-0000-1300-0000A4000000}"/>
            </a:ext>
          </a:extLst>
        </xdr:cNvPr>
        <xdr:cNvCxnSpPr/>
      </xdr:nvCxnSpPr>
      <xdr:spPr>
        <a:xfrm>
          <a:off x="10636250" y="14774334"/>
          <a:ext cx="613833" cy="2434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81</xdr:row>
      <xdr:rowOff>0</xdr:rowOff>
    </xdr:from>
    <xdr:to>
      <xdr:col>16</xdr:col>
      <xdr:colOff>0</xdr:colOff>
      <xdr:row>85</xdr:row>
      <xdr:rowOff>42334</xdr:rowOff>
    </xdr:to>
    <xdr:cxnSp macro="">
      <xdr:nvCxnSpPr>
        <xdr:cNvPr id="165" name="Straight Arrow Connector 164">
          <a:extLst>
            <a:ext uri="{FF2B5EF4-FFF2-40B4-BE49-F238E27FC236}">
              <a16:creationId xmlns:a16="http://schemas.microsoft.com/office/drawing/2014/main" id="{00000000-0008-0000-1300-0000A5000000}"/>
            </a:ext>
          </a:extLst>
        </xdr:cNvPr>
        <xdr:cNvCxnSpPr/>
      </xdr:nvCxnSpPr>
      <xdr:spPr>
        <a:xfrm>
          <a:off x="10636250" y="14753167"/>
          <a:ext cx="635000" cy="762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93</xdr:row>
      <xdr:rowOff>0</xdr:rowOff>
    </xdr:from>
    <xdr:to>
      <xdr:col>15</xdr:col>
      <xdr:colOff>603250</xdr:colOff>
      <xdr:row>95</xdr:row>
      <xdr:rowOff>1</xdr:rowOff>
    </xdr:to>
    <xdr:cxnSp macro="">
      <xdr:nvCxnSpPr>
        <xdr:cNvPr id="166" name="Straight Arrow Connector 165">
          <a:extLst>
            <a:ext uri="{FF2B5EF4-FFF2-40B4-BE49-F238E27FC236}">
              <a16:creationId xmlns:a16="http://schemas.microsoft.com/office/drawing/2014/main" id="{00000000-0008-0000-1300-0000A6000000}"/>
            </a:ext>
          </a:extLst>
        </xdr:cNvPr>
        <xdr:cNvCxnSpPr/>
      </xdr:nvCxnSpPr>
      <xdr:spPr>
        <a:xfrm flipV="1">
          <a:off x="10636250" y="6477000"/>
          <a:ext cx="624417" cy="359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95</xdr:row>
      <xdr:rowOff>10584</xdr:rowOff>
    </xdr:from>
    <xdr:to>
      <xdr:col>15</xdr:col>
      <xdr:colOff>592666</xdr:colOff>
      <xdr:row>96</xdr:row>
      <xdr:rowOff>95250</xdr:rowOff>
    </xdr:to>
    <xdr:cxnSp macro="">
      <xdr:nvCxnSpPr>
        <xdr:cNvPr id="167" name="Straight Arrow Connector 166">
          <a:extLst>
            <a:ext uri="{FF2B5EF4-FFF2-40B4-BE49-F238E27FC236}">
              <a16:creationId xmlns:a16="http://schemas.microsoft.com/office/drawing/2014/main" id="{00000000-0008-0000-1300-0000A7000000}"/>
            </a:ext>
          </a:extLst>
        </xdr:cNvPr>
        <xdr:cNvCxnSpPr/>
      </xdr:nvCxnSpPr>
      <xdr:spPr>
        <a:xfrm>
          <a:off x="10689167" y="6847417"/>
          <a:ext cx="560916" cy="264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95</xdr:row>
      <xdr:rowOff>10584</xdr:rowOff>
    </xdr:from>
    <xdr:to>
      <xdr:col>15</xdr:col>
      <xdr:colOff>560916</xdr:colOff>
      <xdr:row>99</xdr:row>
      <xdr:rowOff>52917</xdr:rowOff>
    </xdr:to>
    <xdr:cxnSp macro="">
      <xdr:nvCxnSpPr>
        <xdr:cNvPr id="168" name="Straight Arrow Connector 167">
          <a:extLst>
            <a:ext uri="{FF2B5EF4-FFF2-40B4-BE49-F238E27FC236}">
              <a16:creationId xmlns:a16="http://schemas.microsoft.com/office/drawing/2014/main" id="{00000000-0008-0000-1300-0000A8000000}"/>
            </a:ext>
          </a:extLst>
        </xdr:cNvPr>
        <xdr:cNvCxnSpPr/>
      </xdr:nvCxnSpPr>
      <xdr:spPr>
        <a:xfrm>
          <a:off x="10668000" y="6847417"/>
          <a:ext cx="550333" cy="762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95</xdr:row>
      <xdr:rowOff>31750</xdr:rowOff>
    </xdr:from>
    <xdr:to>
      <xdr:col>16</xdr:col>
      <xdr:colOff>21167</xdr:colOff>
      <xdr:row>102</xdr:row>
      <xdr:rowOff>95250</xdr:rowOff>
    </xdr:to>
    <xdr:cxnSp macro="">
      <xdr:nvCxnSpPr>
        <xdr:cNvPr id="169" name="Straight Arrow Connector 168">
          <a:extLst>
            <a:ext uri="{FF2B5EF4-FFF2-40B4-BE49-F238E27FC236}">
              <a16:creationId xmlns:a16="http://schemas.microsoft.com/office/drawing/2014/main" id="{00000000-0008-0000-1300-0000A9000000}"/>
            </a:ext>
          </a:extLst>
        </xdr:cNvPr>
        <xdr:cNvCxnSpPr/>
      </xdr:nvCxnSpPr>
      <xdr:spPr>
        <a:xfrm>
          <a:off x="10699750" y="6868583"/>
          <a:ext cx="592667" cy="132291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109</xdr:row>
      <xdr:rowOff>0</xdr:rowOff>
    </xdr:from>
    <xdr:to>
      <xdr:col>16</xdr:col>
      <xdr:colOff>0</xdr:colOff>
      <xdr:row>109</xdr:row>
      <xdr:rowOff>42334</xdr:rowOff>
    </xdr:to>
    <xdr:cxnSp macro="">
      <xdr:nvCxnSpPr>
        <xdr:cNvPr id="170" name="Straight Arrow Connector 169">
          <a:extLst>
            <a:ext uri="{FF2B5EF4-FFF2-40B4-BE49-F238E27FC236}">
              <a16:creationId xmlns:a16="http://schemas.microsoft.com/office/drawing/2014/main" id="{00000000-0008-0000-1300-0000AA000000}"/>
            </a:ext>
          </a:extLst>
        </xdr:cNvPr>
        <xdr:cNvCxnSpPr/>
      </xdr:nvCxnSpPr>
      <xdr:spPr>
        <a:xfrm>
          <a:off x="10678583" y="9355667"/>
          <a:ext cx="592667"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109</xdr:row>
      <xdr:rowOff>21166</xdr:rowOff>
    </xdr:from>
    <xdr:to>
      <xdr:col>15</xdr:col>
      <xdr:colOff>560916</xdr:colOff>
      <xdr:row>112</xdr:row>
      <xdr:rowOff>84667</xdr:rowOff>
    </xdr:to>
    <xdr:cxnSp macro="">
      <xdr:nvCxnSpPr>
        <xdr:cNvPr id="171" name="Straight Arrow Connector 170">
          <a:extLst>
            <a:ext uri="{FF2B5EF4-FFF2-40B4-BE49-F238E27FC236}">
              <a16:creationId xmlns:a16="http://schemas.microsoft.com/office/drawing/2014/main" id="{00000000-0008-0000-1300-0000AB000000}"/>
            </a:ext>
          </a:extLst>
        </xdr:cNvPr>
        <xdr:cNvCxnSpPr/>
      </xdr:nvCxnSpPr>
      <xdr:spPr>
        <a:xfrm>
          <a:off x="10731500" y="9376833"/>
          <a:ext cx="486833" cy="603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109</xdr:row>
      <xdr:rowOff>52916</xdr:rowOff>
    </xdr:from>
    <xdr:to>
      <xdr:col>15</xdr:col>
      <xdr:colOff>592666</xdr:colOff>
      <xdr:row>115</xdr:row>
      <xdr:rowOff>63501</xdr:rowOff>
    </xdr:to>
    <xdr:cxnSp macro="">
      <xdr:nvCxnSpPr>
        <xdr:cNvPr id="172" name="Straight Arrow Connector 171">
          <a:extLst>
            <a:ext uri="{FF2B5EF4-FFF2-40B4-BE49-F238E27FC236}">
              <a16:creationId xmlns:a16="http://schemas.microsoft.com/office/drawing/2014/main" id="{00000000-0008-0000-1300-0000AC000000}"/>
            </a:ext>
          </a:extLst>
        </xdr:cNvPr>
        <xdr:cNvCxnSpPr/>
      </xdr:nvCxnSpPr>
      <xdr:spPr>
        <a:xfrm>
          <a:off x="10689167" y="9408583"/>
          <a:ext cx="560916" cy="10900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106</xdr:row>
      <xdr:rowOff>52917</xdr:rowOff>
    </xdr:from>
    <xdr:to>
      <xdr:col>15</xdr:col>
      <xdr:colOff>603250</xdr:colOff>
      <xdr:row>108</xdr:row>
      <xdr:rowOff>148167</xdr:rowOff>
    </xdr:to>
    <xdr:cxnSp macro="">
      <xdr:nvCxnSpPr>
        <xdr:cNvPr id="173" name="Straight Arrow Connector 172">
          <a:extLst>
            <a:ext uri="{FF2B5EF4-FFF2-40B4-BE49-F238E27FC236}">
              <a16:creationId xmlns:a16="http://schemas.microsoft.com/office/drawing/2014/main" id="{00000000-0008-0000-1300-0000AD000000}"/>
            </a:ext>
          </a:extLst>
        </xdr:cNvPr>
        <xdr:cNvCxnSpPr/>
      </xdr:nvCxnSpPr>
      <xdr:spPr>
        <a:xfrm flipV="1">
          <a:off x="10699750" y="8868834"/>
          <a:ext cx="560917" cy="4550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698500</xdr:colOff>
      <xdr:row>150</xdr:row>
      <xdr:rowOff>95250</xdr:rowOff>
    </xdr:from>
    <xdr:to>
      <xdr:col>8</xdr:col>
      <xdr:colOff>21167</xdr:colOff>
      <xdr:row>182</xdr:row>
      <xdr:rowOff>148166</xdr:rowOff>
    </xdr:to>
    <xdr:cxnSp macro="">
      <xdr:nvCxnSpPr>
        <xdr:cNvPr id="261" name="Straight Arrow Connector 260">
          <a:extLst>
            <a:ext uri="{FF2B5EF4-FFF2-40B4-BE49-F238E27FC236}">
              <a16:creationId xmlns:a16="http://schemas.microsoft.com/office/drawing/2014/main" id="{00000000-0008-0000-1300-000005010000}"/>
            </a:ext>
          </a:extLst>
        </xdr:cNvPr>
        <xdr:cNvCxnSpPr/>
      </xdr:nvCxnSpPr>
      <xdr:spPr>
        <a:xfrm>
          <a:off x="5080000" y="28860750"/>
          <a:ext cx="719667" cy="6148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121</xdr:row>
      <xdr:rowOff>137583</xdr:rowOff>
    </xdr:from>
    <xdr:to>
      <xdr:col>9</xdr:col>
      <xdr:colOff>603250</xdr:colOff>
      <xdr:row>127</xdr:row>
      <xdr:rowOff>21166</xdr:rowOff>
    </xdr:to>
    <xdr:cxnSp macro="">
      <xdr:nvCxnSpPr>
        <xdr:cNvPr id="262" name="Straight Arrow Connector 261">
          <a:extLst>
            <a:ext uri="{FF2B5EF4-FFF2-40B4-BE49-F238E27FC236}">
              <a16:creationId xmlns:a16="http://schemas.microsoft.com/office/drawing/2014/main" id="{00000000-0008-0000-1300-000006010000}"/>
            </a:ext>
          </a:extLst>
        </xdr:cNvPr>
        <xdr:cNvCxnSpPr/>
      </xdr:nvCxnSpPr>
      <xdr:spPr>
        <a:xfrm flipV="1">
          <a:off x="6381750" y="1471083"/>
          <a:ext cx="603250" cy="1026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130</xdr:row>
      <xdr:rowOff>0</xdr:rowOff>
    </xdr:from>
    <xdr:to>
      <xdr:col>9</xdr:col>
      <xdr:colOff>582083</xdr:colOff>
      <xdr:row>138</xdr:row>
      <xdr:rowOff>10583</xdr:rowOff>
    </xdr:to>
    <xdr:cxnSp macro="">
      <xdr:nvCxnSpPr>
        <xdr:cNvPr id="263" name="Straight Arrow Connector 262">
          <a:extLst>
            <a:ext uri="{FF2B5EF4-FFF2-40B4-BE49-F238E27FC236}">
              <a16:creationId xmlns:a16="http://schemas.microsoft.com/office/drawing/2014/main" id="{00000000-0008-0000-1300-000007010000}"/>
            </a:ext>
          </a:extLst>
        </xdr:cNvPr>
        <xdr:cNvCxnSpPr/>
      </xdr:nvCxnSpPr>
      <xdr:spPr>
        <a:xfrm>
          <a:off x="6413500" y="3048000"/>
          <a:ext cx="550333" cy="1534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21167</xdr:colOff>
      <xdr:row>135</xdr:row>
      <xdr:rowOff>169333</xdr:rowOff>
    </xdr:from>
    <xdr:to>
      <xdr:col>11</xdr:col>
      <xdr:colOff>603250</xdr:colOff>
      <xdr:row>138</xdr:row>
      <xdr:rowOff>21167</xdr:rowOff>
    </xdr:to>
    <xdr:cxnSp macro="">
      <xdr:nvCxnSpPr>
        <xdr:cNvPr id="264" name="Straight Arrow Connector 263">
          <a:extLst>
            <a:ext uri="{FF2B5EF4-FFF2-40B4-BE49-F238E27FC236}">
              <a16:creationId xmlns:a16="http://schemas.microsoft.com/office/drawing/2014/main" id="{00000000-0008-0000-1300-000008010000}"/>
            </a:ext>
          </a:extLst>
        </xdr:cNvPr>
        <xdr:cNvCxnSpPr/>
      </xdr:nvCxnSpPr>
      <xdr:spPr>
        <a:xfrm flipV="1">
          <a:off x="7609417" y="4169833"/>
          <a:ext cx="582083" cy="423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141</xdr:row>
      <xdr:rowOff>42333</xdr:rowOff>
    </xdr:from>
    <xdr:to>
      <xdr:col>11</xdr:col>
      <xdr:colOff>603250</xdr:colOff>
      <xdr:row>153</xdr:row>
      <xdr:rowOff>10583</xdr:rowOff>
    </xdr:to>
    <xdr:cxnSp macro="">
      <xdr:nvCxnSpPr>
        <xdr:cNvPr id="265" name="Straight Arrow Connector 264">
          <a:extLst>
            <a:ext uri="{FF2B5EF4-FFF2-40B4-BE49-F238E27FC236}">
              <a16:creationId xmlns:a16="http://schemas.microsoft.com/office/drawing/2014/main" id="{00000000-0008-0000-1300-000009010000}"/>
            </a:ext>
          </a:extLst>
        </xdr:cNvPr>
        <xdr:cNvCxnSpPr/>
      </xdr:nvCxnSpPr>
      <xdr:spPr>
        <a:xfrm>
          <a:off x="7598834" y="51858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131</xdr:row>
      <xdr:rowOff>21167</xdr:rowOff>
    </xdr:from>
    <xdr:to>
      <xdr:col>13</xdr:col>
      <xdr:colOff>592667</xdr:colOff>
      <xdr:row>133</xdr:row>
      <xdr:rowOff>0</xdr:rowOff>
    </xdr:to>
    <xdr:cxnSp macro="">
      <xdr:nvCxnSpPr>
        <xdr:cNvPr id="266" name="Straight Arrow Connector 265">
          <a:extLst>
            <a:ext uri="{FF2B5EF4-FFF2-40B4-BE49-F238E27FC236}">
              <a16:creationId xmlns:a16="http://schemas.microsoft.com/office/drawing/2014/main" id="{00000000-0008-0000-1300-00000A010000}"/>
            </a:ext>
          </a:extLst>
        </xdr:cNvPr>
        <xdr:cNvCxnSpPr/>
      </xdr:nvCxnSpPr>
      <xdr:spPr>
        <a:xfrm flipV="1">
          <a:off x="8794750" y="32596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136</xdr:row>
      <xdr:rowOff>21166</xdr:rowOff>
    </xdr:from>
    <xdr:to>
      <xdr:col>13</xdr:col>
      <xdr:colOff>592667</xdr:colOff>
      <xdr:row>137</xdr:row>
      <xdr:rowOff>169334</xdr:rowOff>
    </xdr:to>
    <xdr:cxnSp macro="">
      <xdr:nvCxnSpPr>
        <xdr:cNvPr id="267" name="Straight Arrow Connector 266">
          <a:extLst>
            <a:ext uri="{FF2B5EF4-FFF2-40B4-BE49-F238E27FC236}">
              <a16:creationId xmlns:a16="http://schemas.microsoft.com/office/drawing/2014/main" id="{00000000-0008-0000-1300-00000B010000}"/>
            </a:ext>
          </a:extLst>
        </xdr:cNvPr>
        <xdr:cNvCxnSpPr/>
      </xdr:nvCxnSpPr>
      <xdr:spPr>
        <a:xfrm>
          <a:off x="8784166" y="42121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151</xdr:row>
      <xdr:rowOff>21167</xdr:rowOff>
    </xdr:from>
    <xdr:to>
      <xdr:col>13</xdr:col>
      <xdr:colOff>592667</xdr:colOff>
      <xdr:row>153</xdr:row>
      <xdr:rowOff>63500</xdr:rowOff>
    </xdr:to>
    <xdr:cxnSp macro="">
      <xdr:nvCxnSpPr>
        <xdr:cNvPr id="268" name="Straight Arrow Connector 267">
          <a:extLst>
            <a:ext uri="{FF2B5EF4-FFF2-40B4-BE49-F238E27FC236}">
              <a16:creationId xmlns:a16="http://schemas.microsoft.com/office/drawing/2014/main" id="{00000000-0008-0000-1300-00000C010000}"/>
            </a:ext>
          </a:extLst>
        </xdr:cNvPr>
        <xdr:cNvCxnSpPr/>
      </xdr:nvCxnSpPr>
      <xdr:spPr>
        <a:xfrm flipV="1">
          <a:off x="8794750" y="72601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156</xdr:row>
      <xdr:rowOff>0</xdr:rowOff>
    </xdr:from>
    <xdr:to>
      <xdr:col>14</xdr:col>
      <xdr:colOff>10584</xdr:colOff>
      <xdr:row>164</xdr:row>
      <xdr:rowOff>148167</xdr:rowOff>
    </xdr:to>
    <xdr:cxnSp macro="">
      <xdr:nvCxnSpPr>
        <xdr:cNvPr id="269" name="Straight Arrow Connector 268">
          <a:extLst>
            <a:ext uri="{FF2B5EF4-FFF2-40B4-BE49-F238E27FC236}">
              <a16:creationId xmlns:a16="http://schemas.microsoft.com/office/drawing/2014/main" id="{00000000-0008-0000-1300-00000D010000}"/>
            </a:ext>
          </a:extLst>
        </xdr:cNvPr>
        <xdr:cNvCxnSpPr/>
      </xdr:nvCxnSpPr>
      <xdr:spPr>
        <a:xfrm>
          <a:off x="8805333" y="81915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123</xdr:row>
      <xdr:rowOff>0</xdr:rowOff>
    </xdr:from>
    <xdr:to>
      <xdr:col>15</xdr:col>
      <xdr:colOff>603250</xdr:colOff>
      <xdr:row>128</xdr:row>
      <xdr:rowOff>31750</xdr:rowOff>
    </xdr:to>
    <xdr:cxnSp macro="">
      <xdr:nvCxnSpPr>
        <xdr:cNvPr id="270" name="Straight Arrow Connector 269">
          <a:extLst>
            <a:ext uri="{FF2B5EF4-FFF2-40B4-BE49-F238E27FC236}">
              <a16:creationId xmlns:a16="http://schemas.microsoft.com/office/drawing/2014/main" id="{00000000-0008-0000-1300-00000E010000}"/>
            </a:ext>
          </a:extLst>
        </xdr:cNvPr>
        <xdr:cNvCxnSpPr/>
      </xdr:nvCxnSpPr>
      <xdr:spPr>
        <a:xfrm flipV="1">
          <a:off x="10541000" y="1714500"/>
          <a:ext cx="603250" cy="984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126</xdr:row>
      <xdr:rowOff>52917</xdr:rowOff>
    </xdr:from>
    <xdr:to>
      <xdr:col>15</xdr:col>
      <xdr:colOff>603250</xdr:colOff>
      <xdr:row>128</xdr:row>
      <xdr:rowOff>95250</xdr:rowOff>
    </xdr:to>
    <xdr:cxnSp macro="">
      <xdr:nvCxnSpPr>
        <xdr:cNvPr id="271" name="Straight Arrow Connector 270">
          <a:extLst>
            <a:ext uri="{FF2B5EF4-FFF2-40B4-BE49-F238E27FC236}">
              <a16:creationId xmlns:a16="http://schemas.microsoft.com/office/drawing/2014/main" id="{00000000-0008-0000-1300-00000F010000}"/>
            </a:ext>
          </a:extLst>
        </xdr:cNvPr>
        <xdr:cNvCxnSpPr/>
      </xdr:nvCxnSpPr>
      <xdr:spPr>
        <a:xfrm flipV="1">
          <a:off x="10583333" y="2338917"/>
          <a:ext cx="56091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128</xdr:row>
      <xdr:rowOff>158750</xdr:rowOff>
    </xdr:from>
    <xdr:to>
      <xdr:col>15</xdr:col>
      <xdr:colOff>582083</xdr:colOff>
      <xdr:row>129</xdr:row>
      <xdr:rowOff>137583</xdr:rowOff>
    </xdr:to>
    <xdr:cxnSp macro="">
      <xdr:nvCxnSpPr>
        <xdr:cNvPr id="272" name="Straight Arrow Connector 271">
          <a:extLst>
            <a:ext uri="{FF2B5EF4-FFF2-40B4-BE49-F238E27FC236}">
              <a16:creationId xmlns:a16="http://schemas.microsoft.com/office/drawing/2014/main" id="{00000000-0008-0000-1300-000010010000}"/>
            </a:ext>
          </a:extLst>
        </xdr:cNvPr>
        <xdr:cNvCxnSpPr/>
      </xdr:nvCxnSpPr>
      <xdr:spPr>
        <a:xfrm>
          <a:off x="10604500" y="2825750"/>
          <a:ext cx="518583" cy="169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1121834</xdr:colOff>
      <xdr:row>128</xdr:row>
      <xdr:rowOff>105834</xdr:rowOff>
    </xdr:from>
    <xdr:to>
      <xdr:col>16</xdr:col>
      <xdr:colOff>0</xdr:colOff>
      <xdr:row>132</xdr:row>
      <xdr:rowOff>84667</xdr:rowOff>
    </xdr:to>
    <xdr:cxnSp macro="">
      <xdr:nvCxnSpPr>
        <xdr:cNvPr id="273" name="Straight Arrow Connector 272">
          <a:extLst>
            <a:ext uri="{FF2B5EF4-FFF2-40B4-BE49-F238E27FC236}">
              <a16:creationId xmlns:a16="http://schemas.microsoft.com/office/drawing/2014/main" id="{00000000-0008-0000-1300-000011010000}"/>
            </a:ext>
          </a:extLst>
        </xdr:cNvPr>
        <xdr:cNvCxnSpPr/>
      </xdr:nvCxnSpPr>
      <xdr:spPr>
        <a:xfrm>
          <a:off x="10519834" y="2772834"/>
          <a:ext cx="624416"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136</xdr:row>
      <xdr:rowOff>52916</xdr:rowOff>
    </xdr:from>
    <xdr:to>
      <xdr:col>16</xdr:col>
      <xdr:colOff>0</xdr:colOff>
      <xdr:row>138</xdr:row>
      <xdr:rowOff>0</xdr:rowOff>
    </xdr:to>
    <xdr:cxnSp macro="">
      <xdr:nvCxnSpPr>
        <xdr:cNvPr id="274" name="Straight Arrow Connector 273">
          <a:extLst>
            <a:ext uri="{FF2B5EF4-FFF2-40B4-BE49-F238E27FC236}">
              <a16:creationId xmlns:a16="http://schemas.microsoft.com/office/drawing/2014/main" id="{00000000-0008-0000-1300-000012010000}"/>
            </a:ext>
          </a:extLst>
        </xdr:cNvPr>
        <xdr:cNvCxnSpPr/>
      </xdr:nvCxnSpPr>
      <xdr:spPr>
        <a:xfrm flipV="1">
          <a:off x="10541000" y="42439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138</xdr:row>
      <xdr:rowOff>21167</xdr:rowOff>
    </xdr:from>
    <xdr:to>
      <xdr:col>15</xdr:col>
      <xdr:colOff>582083</xdr:colOff>
      <xdr:row>139</xdr:row>
      <xdr:rowOff>42333</xdr:rowOff>
    </xdr:to>
    <xdr:cxnSp macro="">
      <xdr:nvCxnSpPr>
        <xdr:cNvPr id="275" name="Straight Arrow Connector 274">
          <a:extLst>
            <a:ext uri="{FF2B5EF4-FFF2-40B4-BE49-F238E27FC236}">
              <a16:creationId xmlns:a16="http://schemas.microsoft.com/office/drawing/2014/main" id="{00000000-0008-0000-1300-000013010000}"/>
            </a:ext>
          </a:extLst>
        </xdr:cNvPr>
        <xdr:cNvCxnSpPr/>
      </xdr:nvCxnSpPr>
      <xdr:spPr>
        <a:xfrm>
          <a:off x="10551583" y="4593167"/>
          <a:ext cx="571500" cy="211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138</xdr:row>
      <xdr:rowOff>21167</xdr:rowOff>
    </xdr:from>
    <xdr:to>
      <xdr:col>16</xdr:col>
      <xdr:colOff>42333</xdr:colOff>
      <xdr:row>143</xdr:row>
      <xdr:rowOff>21168</xdr:rowOff>
    </xdr:to>
    <xdr:cxnSp macro="">
      <xdr:nvCxnSpPr>
        <xdr:cNvPr id="276" name="Straight Arrow Connector 275">
          <a:extLst>
            <a:ext uri="{FF2B5EF4-FFF2-40B4-BE49-F238E27FC236}">
              <a16:creationId xmlns:a16="http://schemas.microsoft.com/office/drawing/2014/main" id="{00000000-0008-0000-1300-000014010000}"/>
            </a:ext>
          </a:extLst>
        </xdr:cNvPr>
        <xdr:cNvCxnSpPr/>
      </xdr:nvCxnSpPr>
      <xdr:spPr>
        <a:xfrm>
          <a:off x="10530417" y="4593167"/>
          <a:ext cx="656166" cy="9525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138</xdr:row>
      <xdr:rowOff>31750</xdr:rowOff>
    </xdr:from>
    <xdr:to>
      <xdr:col>16</xdr:col>
      <xdr:colOff>42334</xdr:colOff>
      <xdr:row>145</xdr:row>
      <xdr:rowOff>63501</xdr:rowOff>
    </xdr:to>
    <xdr:cxnSp macro="">
      <xdr:nvCxnSpPr>
        <xdr:cNvPr id="277" name="Straight Arrow Connector 276">
          <a:extLst>
            <a:ext uri="{FF2B5EF4-FFF2-40B4-BE49-F238E27FC236}">
              <a16:creationId xmlns:a16="http://schemas.microsoft.com/office/drawing/2014/main" id="{00000000-0008-0000-1300-000015010000}"/>
            </a:ext>
          </a:extLst>
        </xdr:cNvPr>
        <xdr:cNvCxnSpPr/>
      </xdr:nvCxnSpPr>
      <xdr:spPr>
        <a:xfrm>
          <a:off x="10541000" y="4603750"/>
          <a:ext cx="645584"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10583</xdr:colOff>
      <xdr:row>175</xdr:row>
      <xdr:rowOff>42333</xdr:rowOff>
    </xdr:from>
    <xdr:to>
      <xdr:col>9</xdr:col>
      <xdr:colOff>592666</xdr:colOff>
      <xdr:row>183</xdr:row>
      <xdr:rowOff>42333</xdr:rowOff>
    </xdr:to>
    <xdr:cxnSp macro="">
      <xdr:nvCxnSpPr>
        <xdr:cNvPr id="278" name="Straight Arrow Connector 277">
          <a:extLst>
            <a:ext uri="{FF2B5EF4-FFF2-40B4-BE49-F238E27FC236}">
              <a16:creationId xmlns:a16="http://schemas.microsoft.com/office/drawing/2014/main" id="{00000000-0008-0000-1300-000016010000}"/>
            </a:ext>
          </a:extLst>
        </xdr:cNvPr>
        <xdr:cNvCxnSpPr/>
      </xdr:nvCxnSpPr>
      <xdr:spPr>
        <a:xfrm flipV="1">
          <a:off x="6392333" y="11853333"/>
          <a:ext cx="582083" cy="152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185</xdr:row>
      <xdr:rowOff>169334</xdr:rowOff>
    </xdr:from>
    <xdr:to>
      <xdr:col>9</xdr:col>
      <xdr:colOff>603250</xdr:colOff>
      <xdr:row>194</xdr:row>
      <xdr:rowOff>31750</xdr:rowOff>
    </xdr:to>
    <xdr:cxnSp macro="">
      <xdr:nvCxnSpPr>
        <xdr:cNvPr id="279" name="Straight Arrow Connector 278">
          <a:extLst>
            <a:ext uri="{FF2B5EF4-FFF2-40B4-BE49-F238E27FC236}">
              <a16:creationId xmlns:a16="http://schemas.microsoft.com/office/drawing/2014/main" id="{00000000-0008-0000-1300-000017010000}"/>
            </a:ext>
          </a:extLst>
        </xdr:cNvPr>
        <xdr:cNvCxnSpPr/>
      </xdr:nvCxnSpPr>
      <xdr:spPr>
        <a:xfrm>
          <a:off x="6413500" y="13885334"/>
          <a:ext cx="571500" cy="1576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571500</xdr:colOff>
      <xdr:row>191</xdr:row>
      <xdr:rowOff>158750</xdr:rowOff>
    </xdr:from>
    <xdr:to>
      <xdr:col>11</xdr:col>
      <xdr:colOff>571500</xdr:colOff>
      <xdr:row>194</xdr:row>
      <xdr:rowOff>0</xdr:rowOff>
    </xdr:to>
    <xdr:cxnSp macro="">
      <xdr:nvCxnSpPr>
        <xdr:cNvPr id="280" name="Straight Arrow Connector 279">
          <a:extLst>
            <a:ext uri="{FF2B5EF4-FFF2-40B4-BE49-F238E27FC236}">
              <a16:creationId xmlns:a16="http://schemas.microsoft.com/office/drawing/2014/main" id="{00000000-0008-0000-1300-000018010000}"/>
            </a:ext>
          </a:extLst>
        </xdr:cNvPr>
        <xdr:cNvCxnSpPr/>
      </xdr:nvCxnSpPr>
      <xdr:spPr>
        <a:xfrm flipV="1">
          <a:off x="7556500" y="15017750"/>
          <a:ext cx="603250" cy="412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149</xdr:row>
      <xdr:rowOff>0</xdr:rowOff>
    </xdr:from>
    <xdr:to>
      <xdr:col>15</xdr:col>
      <xdr:colOff>603250</xdr:colOff>
      <xdr:row>151</xdr:row>
      <xdr:rowOff>1</xdr:rowOff>
    </xdr:to>
    <xdr:cxnSp macro="">
      <xdr:nvCxnSpPr>
        <xdr:cNvPr id="281" name="Straight Arrow Connector 280">
          <a:extLst>
            <a:ext uri="{FF2B5EF4-FFF2-40B4-BE49-F238E27FC236}">
              <a16:creationId xmlns:a16="http://schemas.microsoft.com/office/drawing/2014/main" id="{00000000-0008-0000-1300-000019010000}"/>
            </a:ext>
          </a:extLst>
        </xdr:cNvPr>
        <xdr:cNvCxnSpPr/>
      </xdr:nvCxnSpPr>
      <xdr:spPr>
        <a:xfrm flipV="1">
          <a:off x="11765781" y="27524364"/>
          <a:ext cx="625378" cy="36945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151</xdr:row>
      <xdr:rowOff>10584</xdr:rowOff>
    </xdr:from>
    <xdr:to>
      <xdr:col>15</xdr:col>
      <xdr:colOff>592666</xdr:colOff>
      <xdr:row>152</xdr:row>
      <xdr:rowOff>95250</xdr:rowOff>
    </xdr:to>
    <xdr:cxnSp macro="">
      <xdr:nvCxnSpPr>
        <xdr:cNvPr id="282" name="Straight Arrow Connector 281">
          <a:extLst>
            <a:ext uri="{FF2B5EF4-FFF2-40B4-BE49-F238E27FC236}">
              <a16:creationId xmlns:a16="http://schemas.microsoft.com/office/drawing/2014/main" id="{00000000-0008-0000-1300-00001A010000}"/>
            </a:ext>
          </a:extLst>
        </xdr:cNvPr>
        <xdr:cNvCxnSpPr/>
      </xdr:nvCxnSpPr>
      <xdr:spPr>
        <a:xfrm>
          <a:off x="10572750" y="72495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151</xdr:row>
      <xdr:rowOff>10584</xdr:rowOff>
    </xdr:from>
    <xdr:to>
      <xdr:col>15</xdr:col>
      <xdr:colOff>560916</xdr:colOff>
      <xdr:row>155</xdr:row>
      <xdr:rowOff>52917</xdr:rowOff>
    </xdr:to>
    <xdr:cxnSp macro="">
      <xdr:nvCxnSpPr>
        <xdr:cNvPr id="283" name="Straight Arrow Connector 282">
          <a:extLst>
            <a:ext uri="{FF2B5EF4-FFF2-40B4-BE49-F238E27FC236}">
              <a16:creationId xmlns:a16="http://schemas.microsoft.com/office/drawing/2014/main" id="{00000000-0008-0000-1300-00001B010000}"/>
            </a:ext>
          </a:extLst>
        </xdr:cNvPr>
        <xdr:cNvCxnSpPr/>
      </xdr:nvCxnSpPr>
      <xdr:spPr>
        <a:xfrm>
          <a:off x="10551583" y="72495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151</xdr:row>
      <xdr:rowOff>31750</xdr:rowOff>
    </xdr:from>
    <xdr:to>
      <xdr:col>16</xdr:col>
      <xdr:colOff>21167</xdr:colOff>
      <xdr:row>158</xdr:row>
      <xdr:rowOff>95250</xdr:rowOff>
    </xdr:to>
    <xdr:cxnSp macro="">
      <xdr:nvCxnSpPr>
        <xdr:cNvPr id="284" name="Straight Arrow Connector 283">
          <a:extLst>
            <a:ext uri="{FF2B5EF4-FFF2-40B4-BE49-F238E27FC236}">
              <a16:creationId xmlns:a16="http://schemas.microsoft.com/office/drawing/2014/main" id="{00000000-0008-0000-1300-00001C010000}"/>
            </a:ext>
          </a:extLst>
        </xdr:cNvPr>
        <xdr:cNvCxnSpPr/>
      </xdr:nvCxnSpPr>
      <xdr:spPr>
        <a:xfrm>
          <a:off x="10583333" y="72707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165</xdr:row>
      <xdr:rowOff>0</xdr:rowOff>
    </xdr:from>
    <xdr:to>
      <xdr:col>16</xdr:col>
      <xdr:colOff>0</xdr:colOff>
      <xdr:row>165</xdr:row>
      <xdr:rowOff>42334</xdr:rowOff>
    </xdr:to>
    <xdr:cxnSp macro="">
      <xdr:nvCxnSpPr>
        <xdr:cNvPr id="285" name="Straight Arrow Connector 284">
          <a:extLst>
            <a:ext uri="{FF2B5EF4-FFF2-40B4-BE49-F238E27FC236}">
              <a16:creationId xmlns:a16="http://schemas.microsoft.com/office/drawing/2014/main" id="{00000000-0008-0000-1300-00001D010000}"/>
            </a:ext>
          </a:extLst>
        </xdr:cNvPr>
        <xdr:cNvCxnSpPr/>
      </xdr:nvCxnSpPr>
      <xdr:spPr>
        <a:xfrm>
          <a:off x="10562166" y="99060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165</xdr:row>
      <xdr:rowOff>21166</xdr:rowOff>
    </xdr:from>
    <xdr:to>
      <xdr:col>15</xdr:col>
      <xdr:colOff>560916</xdr:colOff>
      <xdr:row>168</xdr:row>
      <xdr:rowOff>84667</xdr:rowOff>
    </xdr:to>
    <xdr:cxnSp macro="">
      <xdr:nvCxnSpPr>
        <xdr:cNvPr id="286" name="Straight Arrow Connector 285">
          <a:extLst>
            <a:ext uri="{FF2B5EF4-FFF2-40B4-BE49-F238E27FC236}">
              <a16:creationId xmlns:a16="http://schemas.microsoft.com/office/drawing/2014/main" id="{00000000-0008-0000-1300-00001E010000}"/>
            </a:ext>
          </a:extLst>
        </xdr:cNvPr>
        <xdr:cNvCxnSpPr/>
      </xdr:nvCxnSpPr>
      <xdr:spPr>
        <a:xfrm>
          <a:off x="10615083" y="99271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165</xdr:row>
      <xdr:rowOff>52916</xdr:rowOff>
    </xdr:from>
    <xdr:to>
      <xdr:col>15</xdr:col>
      <xdr:colOff>592666</xdr:colOff>
      <xdr:row>171</xdr:row>
      <xdr:rowOff>63501</xdr:rowOff>
    </xdr:to>
    <xdr:cxnSp macro="">
      <xdr:nvCxnSpPr>
        <xdr:cNvPr id="287" name="Straight Arrow Connector 286">
          <a:extLst>
            <a:ext uri="{FF2B5EF4-FFF2-40B4-BE49-F238E27FC236}">
              <a16:creationId xmlns:a16="http://schemas.microsoft.com/office/drawing/2014/main" id="{00000000-0008-0000-1300-00001F010000}"/>
            </a:ext>
          </a:extLst>
        </xdr:cNvPr>
        <xdr:cNvCxnSpPr/>
      </xdr:nvCxnSpPr>
      <xdr:spPr>
        <a:xfrm>
          <a:off x="10572750" y="99589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179</xdr:row>
      <xdr:rowOff>116416</xdr:rowOff>
    </xdr:from>
    <xdr:to>
      <xdr:col>15</xdr:col>
      <xdr:colOff>592666</xdr:colOff>
      <xdr:row>182</xdr:row>
      <xdr:rowOff>158750</xdr:rowOff>
    </xdr:to>
    <xdr:cxnSp macro="">
      <xdr:nvCxnSpPr>
        <xdr:cNvPr id="288" name="Straight Arrow Connector 287">
          <a:extLst>
            <a:ext uri="{FF2B5EF4-FFF2-40B4-BE49-F238E27FC236}">
              <a16:creationId xmlns:a16="http://schemas.microsoft.com/office/drawing/2014/main" id="{00000000-0008-0000-1300-000020010000}"/>
            </a:ext>
          </a:extLst>
        </xdr:cNvPr>
        <xdr:cNvCxnSpPr/>
      </xdr:nvCxnSpPr>
      <xdr:spPr>
        <a:xfrm flipV="1">
          <a:off x="10562166" y="12689416"/>
          <a:ext cx="571500" cy="613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181</xdr:row>
      <xdr:rowOff>95250</xdr:rowOff>
    </xdr:from>
    <xdr:to>
      <xdr:col>15</xdr:col>
      <xdr:colOff>582083</xdr:colOff>
      <xdr:row>183</xdr:row>
      <xdr:rowOff>52917</xdr:rowOff>
    </xdr:to>
    <xdr:cxnSp macro="">
      <xdr:nvCxnSpPr>
        <xdr:cNvPr id="289" name="Straight Arrow Connector 288">
          <a:extLst>
            <a:ext uri="{FF2B5EF4-FFF2-40B4-BE49-F238E27FC236}">
              <a16:creationId xmlns:a16="http://schemas.microsoft.com/office/drawing/2014/main" id="{00000000-0008-0000-1300-000021010000}"/>
            </a:ext>
          </a:extLst>
        </xdr:cNvPr>
        <xdr:cNvCxnSpPr/>
      </xdr:nvCxnSpPr>
      <xdr:spPr>
        <a:xfrm flipV="1">
          <a:off x="10604500" y="13049250"/>
          <a:ext cx="518583" cy="338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183</xdr:row>
      <xdr:rowOff>116417</xdr:rowOff>
    </xdr:from>
    <xdr:to>
      <xdr:col>15</xdr:col>
      <xdr:colOff>592666</xdr:colOff>
      <xdr:row>187</xdr:row>
      <xdr:rowOff>95250</xdr:rowOff>
    </xdr:to>
    <xdr:cxnSp macro="">
      <xdr:nvCxnSpPr>
        <xdr:cNvPr id="290" name="Straight Arrow Connector 289">
          <a:extLst>
            <a:ext uri="{FF2B5EF4-FFF2-40B4-BE49-F238E27FC236}">
              <a16:creationId xmlns:a16="http://schemas.microsoft.com/office/drawing/2014/main" id="{00000000-0008-0000-1300-000022010000}"/>
            </a:ext>
          </a:extLst>
        </xdr:cNvPr>
        <xdr:cNvCxnSpPr/>
      </xdr:nvCxnSpPr>
      <xdr:spPr>
        <a:xfrm>
          <a:off x="10593916" y="13451417"/>
          <a:ext cx="53975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194</xdr:row>
      <xdr:rowOff>116416</xdr:rowOff>
    </xdr:from>
    <xdr:to>
      <xdr:col>16</xdr:col>
      <xdr:colOff>0</xdr:colOff>
      <xdr:row>201</xdr:row>
      <xdr:rowOff>74084</xdr:rowOff>
    </xdr:to>
    <xdr:cxnSp macro="">
      <xdr:nvCxnSpPr>
        <xdr:cNvPr id="291" name="Straight Arrow Connector 290">
          <a:extLst>
            <a:ext uri="{FF2B5EF4-FFF2-40B4-BE49-F238E27FC236}">
              <a16:creationId xmlns:a16="http://schemas.microsoft.com/office/drawing/2014/main" id="{00000000-0008-0000-1300-000023010000}"/>
            </a:ext>
          </a:extLst>
        </xdr:cNvPr>
        <xdr:cNvCxnSpPr/>
      </xdr:nvCxnSpPr>
      <xdr:spPr>
        <a:xfrm>
          <a:off x="10572750" y="15546916"/>
          <a:ext cx="571500" cy="12911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162</xdr:row>
      <xdr:rowOff>52917</xdr:rowOff>
    </xdr:from>
    <xdr:to>
      <xdr:col>15</xdr:col>
      <xdr:colOff>603250</xdr:colOff>
      <xdr:row>164</xdr:row>
      <xdr:rowOff>148167</xdr:rowOff>
    </xdr:to>
    <xdr:cxnSp macro="">
      <xdr:nvCxnSpPr>
        <xdr:cNvPr id="292" name="Straight Arrow Connector 291">
          <a:extLst>
            <a:ext uri="{FF2B5EF4-FFF2-40B4-BE49-F238E27FC236}">
              <a16:creationId xmlns:a16="http://schemas.microsoft.com/office/drawing/2014/main" id="{00000000-0008-0000-1300-000024010000}"/>
            </a:ext>
          </a:extLst>
        </xdr:cNvPr>
        <xdr:cNvCxnSpPr/>
      </xdr:nvCxnSpPr>
      <xdr:spPr>
        <a:xfrm flipV="1">
          <a:off x="10583333" y="93874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197</xdr:row>
      <xdr:rowOff>42333</xdr:rowOff>
    </xdr:from>
    <xdr:to>
      <xdr:col>11</xdr:col>
      <xdr:colOff>603250</xdr:colOff>
      <xdr:row>209</xdr:row>
      <xdr:rowOff>10583</xdr:rowOff>
    </xdr:to>
    <xdr:cxnSp macro="">
      <xdr:nvCxnSpPr>
        <xdr:cNvPr id="293" name="Straight Arrow Connector 292">
          <a:extLst>
            <a:ext uri="{FF2B5EF4-FFF2-40B4-BE49-F238E27FC236}">
              <a16:creationId xmlns:a16="http://schemas.microsoft.com/office/drawing/2014/main" id="{00000000-0008-0000-1300-000025010000}"/>
            </a:ext>
          </a:extLst>
        </xdr:cNvPr>
        <xdr:cNvCxnSpPr/>
      </xdr:nvCxnSpPr>
      <xdr:spPr>
        <a:xfrm>
          <a:off x="7598834" y="160443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187</xdr:row>
      <xdr:rowOff>21167</xdr:rowOff>
    </xdr:from>
    <xdr:to>
      <xdr:col>13</xdr:col>
      <xdr:colOff>592667</xdr:colOff>
      <xdr:row>189</xdr:row>
      <xdr:rowOff>0</xdr:rowOff>
    </xdr:to>
    <xdr:cxnSp macro="">
      <xdr:nvCxnSpPr>
        <xdr:cNvPr id="294" name="Straight Arrow Connector 293">
          <a:extLst>
            <a:ext uri="{FF2B5EF4-FFF2-40B4-BE49-F238E27FC236}">
              <a16:creationId xmlns:a16="http://schemas.microsoft.com/office/drawing/2014/main" id="{00000000-0008-0000-1300-000026010000}"/>
            </a:ext>
          </a:extLst>
        </xdr:cNvPr>
        <xdr:cNvCxnSpPr/>
      </xdr:nvCxnSpPr>
      <xdr:spPr>
        <a:xfrm flipV="1">
          <a:off x="8794750" y="141181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192</xdr:row>
      <xdr:rowOff>21166</xdr:rowOff>
    </xdr:from>
    <xdr:to>
      <xdr:col>13</xdr:col>
      <xdr:colOff>592667</xdr:colOff>
      <xdr:row>193</xdr:row>
      <xdr:rowOff>169334</xdr:rowOff>
    </xdr:to>
    <xdr:cxnSp macro="">
      <xdr:nvCxnSpPr>
        <xdr:cNvPr id="295" name="Straight Arrow Connector 294">
          <a:extLst>
            <a:ext uri="{FF2B5EF4-FFF2-40B4-BE49-F238E27FC236}">
              <a16:creationId xmlns:a16="http://schemas.microsoft.com/office/drawing/2014/main" id="{00000000-0008-0000-1300-000027010000}"/>
            </a:ext>
          </a:extLst>
        </xdr:cNvPr>
        <xdr:cNvCxnSpPr/>
      </xdr:nvCxnSpPr>
      <xdr:spPr>
        <a:xfrm>
          <a:off x="8784166" y="150706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207</xdr:row>
      <xdr:rowOff>21167</xdr:rowOff>
    </xdr:from>
    <xdr:to>
      <xdr:col>13</xdr:col>
      <xdr:colOff>592667</xdr:colOff>
      <xdr:row>209</xdr:row>
      <xdr:rowOff>63500</xdr:rowOff>
    </xdr:to>
    <xdr:cxnSp macro="">
      <xdr:nvCxnSpPr>
        <xdr:cNvPr id="296" name="Straight Arrow Connector 295">
          <a:extLst>
            <a:ext uri="{FF2B5EF4-FFF2-40B4-BE49-F238E27FC236}">
              <a16:creationId xmlns:a16="http://schemas.microsoft.com/office/drawing/2014/main" id="{00000000-0008-0000-1300-000028010000}"/>
            </a:ext>
          </a:extLst>
        </xdr:cNvPr>
        <xdr:cNvCxnSpPr/>
      </xdr:nvCxnSpPr>
      <xdr:spPr>
        <a:xfrm flipV="1">
          <a:off x="8794750" y="181186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212</xdr:row>
      <xdr:rowOff>0</xdr:rowOff>
    </xdr:from>
    <xdr:to>
      <xdr:col>14</xdr:col>
      <xdr:colOff>10584</xdr:colOff>
      <xdr:row>220</xdr:row>
      <xdr:rowOff>148167</xdr:rowOff>
    </xdr:to>
    <xdr:cxnSp macro="">
      <xdr:nvCxnSpPr>
        <xdr:cNvPr id="297" name="Straight Arrow Connector 296">
          <a:extLst>
            <a:ext uri="{FF2B5EF4-FFF2-40B4-BE49-F238E27FC236}">
              <a16:creationId xmlns:a16="http://schemas.microsoft.com/office/drawing/2014/main" id="{00000000-0008-0000-1300-000029010000}"/>
            </a:ext>
          </a:extLst>
        </xdr:cNvPr>
        <xdr:cNvCxnSpPr/>
      </xdr:nvCxnSpPr>
      <xdr:spPr>
        <a:xfrm>
          <a:off x="8805333" y="190500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183</xdr:row>
      <xdr:rowOff>95250</xdr:rowOff>
    </xdr:from>
    <xdr:to>
      <xdr:col>15</xdr:col>
      <xdr:colOff>582083</xdr:colOff>
      <xdr:row>185</xdr:row>
      <xdr:rowOff>137583</xdr:rowOff>
    </xdr:to>
    <xdr:cxnSp macro="">
      <xdr:nvCxnSpPr>
        <xdr:cNvPr id="298" name="Straight Arrow Connector 297">
          <a:extLst>
            <a:ext uri="{FF2B5EF4-FFF2-40B4-BE49-F238E27FC236}">
              <a16:creationId xmlns:a16="http://schemas.microsoft.com/office/drawing/2014/main" id="{00000000-0008-0000-1300-00002A010000}"/>
            </a:ext>
          </a:extLst>
        </xdr:cNvPr>
        <xdr:cNvCxnSpPr/>
      </xdr:nvCxnSpPr>
      <xdr:spPr>
        <a:xfrm>
          <a:off x="10593916" y="13430250"/>
          <a:ext cx="5291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192</xdr:row>
      <xdr:rowOff>52916</xdr:rowOff>
    </xdr:from>
    <xdr:to>
      <xdr:col>16</xdr:col>
      <xdr:colOff>0</xdr:colOff>
      <xdr:row>194</xdr:row>
      <xdr:rowOff>0</xdr:rowOff>
    </xdr:to>
    <xdr:cxnSp macro="">
      <xdr:nvCxnSpPr>
        <xdr:cNvPr id="299" name="Straight Arrow Connector 298">
          <a:extLst>
            <a:ext uri="{FF2B5EF4-FFF2-40B4-BE49-F238E27FC236}">
              <a16:creationId xmlns:a16="http://schemas.microsoft.com/office/drawing/2014/main" id="{00000000-0008-0000-1300-00002B010000}"/>
            </a:ext>
          </a:extLst>
        </xdr:cNvPr>
        <xdr:cNvCxnSpPr/>
      </xdr:nvCxnSpPr>
      <xdr:spPr>
        <a:xfrm flipV="1">
          <a:off x="10541000" y="151024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194</xdr:row>
      <xdr:rowOff>0</xdr:rowOff>
    </xdr:from>
    <xdr:to>
      <xdr:col>16</xdr:col>
      <xdr:colOff>0</xdr:colOff>
      <xdr:row>198</xdr:row>
      <xdr:rowOff>42334</xdr:rowOff>
    </xdr:to>
    <xdr:cxnSp macro="">
      <xdr:nvCxnSpPr>
        <xdr:cNvPr id="301" name="Straight Arrow Connector 300">
          <a:extLst>
            <a:ext uri="{FF2B5EF4-FFF2-40B4-BE49-F238E27FC236}">
              <a16:creationId xmlns:a16="http://schemas.microsoft.com/office/drawing/2014/main" id="{00000000-0008-0000-1300-00002D010000}"/>
            </a:ext>
          </a:extLst>
        </xdr:cNvPr>
        <xdr:cNvCxnSpPr/>
      </xdr:nvCxnSpPr>
      <xdr:spPr>
        <a:xfrm>
          <a:off x="10530417" y="15430500"/>
          <a:ext cx="613833" cy="804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205</xdr:row>
      <xdr:rowOff>0</xdr:rowOff>
    </xdr:from>
    <xdr:to>
      <xdr:col>15</xdr:col>
      <xdr:colOff>603250</xdr:colOff>
      <xdr:row>207</xdr:row>
      <xdr:rowOff>1</xdr:rowOff>
    </xdr:to>
    <xdr:cxnSp macro="">
      <xdr:nvCxnSpPr>
        <xdr:cNvPr id="302" name="Straight Arrow Connector 301">
          <a:extLst>
            <a:ext uri="{FF2B5EF4-FFF2-40B4-BE49-F238E27FC236}">
              <a16:creationId xmlns:a16="http://schemas.microsoft.com/office/drawing/2014/main" id="{00000000-0008-0000-1300-00002E010000}"/>
            </a:ext>
          </a:extLst>
        </xdr:cNvPr>
        <xdr:cNvCxnSpPr/>
      </xdr:nvCxnSpPr>
      <xdr:spPr>
        <a:xfrm flipV="1">
          <a:off x="10530417" y="177165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207</xdr:row>
      <xdr:rowOff>10584</xdr:rowOff>
    </xdr:from>
    <xdr:to>
      <xdr:col>15</xdr:col>
      <xdr:colOff>592666</xdr:colOff>
      <xdr:row>208</xdr:row>
      <xdr:rowOff>95250</xdr:rowOff>
    </xdr:to>
    <xdr:cxnSp macro="">
      <xdr:nvCxnSpPr>
        <xdr:cNvPr id="303" name="Straight Arrow Connector 302">
          <a:extLst>
            <a:ext uri="{FF2B5EF4-FFF2-40B4-BE49-F238E27FC236}">
              <a16:creationId xmlns:a16="http://schemas.microsoft.com/office/drawing/2014/main" id="{00000000-0008-0000-1300-00002F010000}"/>
            </a:ext>
          </a:extLst>
        </xdr:cNvPr>
        <xdr:cNvCxnSpPr/>
      </xdr:nvCxnSpPr>
      <xdr:spPr>
        <a:xfrm>
          <a:off x="10572750" y="181080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207</xdr:row>
      <xdr:rowOff>10584</xdr:rowOff>
    </xdr:from>
    <xdr:to>
      <xdr:col>15</xdr:col>
      <xdr:colOff>560916</xdr:colOff>
      <xdr:row>211</xdr:row>
      <xdr:rowOff>52917</xdr:rowOff>
    </xdr:to>
    <xdr:cxnSp macro="">
      <xdr:nvCxnSpPr>
        <xdr:cNvPr id="304" name="Straight Arrow Connector 303">
          <a:extLst>
            <a:ext uri="{FF2B5EF4-FFF2-40B4-BE49-F238E27FC236}">
              <a16:creationId xmlns:a16="http://schemas.microsoft.com/office/drawing/2014/main" id="{00000000-0008-0000-1300-000030010000}"/>
            </a:ext>
          </a:extLst>
        </xdr:cNvPr>
        <xdr:cNvCxnSpPr/>
      </xdr:nvCxnSpPr>
      <xdr:spPr>
        <a:xfrm>
          <a:off x="10551583" y="181080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207</xdr:row>
      <xdr:rowOff>31750</xdr:rowOff>
    </xdr:from>
    <xdr:to>
      <xdr:col>16</xdr:col>
      <xdr:colOff>21167</xdr:colOff>
      <xdr:row>214</xdr:row>
      <xdr:rowOff>95250</xdr:rowOff>
    </xdr:to>
    <xdr:cxnSp macro="">
      <xdr:nvCxnSpPr>
        <xdr:cNvPr id="305" name="Straight Arrow Connector 304">
          <a:extLst>
            <a:ext uri="{FF2B5EF4-FFF2-40B4-BE49-F238E27FC236}">
              <a16:creationId xmlns:a16="http://schemas.microsoft.com/office/drawing/2014/main" id="{00000000-0008-0000-1300-000031010000}"/>
            </a:ext>
          </a:extLst>
        </xdr:cNvPr>
        <xdr:cNvCxnSpPr/>
      </xdr:nvCxnSpPr>
      <xdr:spPr>
        <a:xfrm>
          <a:off x="10583333" y="181292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221</xdr:row>
      <xdr:rowOff>0</xdr:rowOff>
    </xdr:from>
    <xdr:to>
      <xdr:col>16</xdr:col>
      <xdr:colOff>0</xdr:colOff>
      <xdr:row>221</xdr:row>
      <xdr:rowOff>42334</xdr:rowOff>
    </xdr:to>
    <xdr:cxnSp macro="">
      <xdr:nvCxnSpPr>
        <xdr:cNvPr id="306" name="Straight Arrow Connector 305">
          <a:extLst>
            <a:ext uri="{FF2B5EF4-FFF2-40B4-BE49-F238E27FC236}">
              <a16:creationId xmlns:a16="http://schemas.microsoft.com/office/drawing/2014/main" id="{00000000-0008-0000-1300-000032010000}"/>
            </a:ext>
          </a:extLst>
        </xdr:cNvPr>
        <xdr:cNvCxnSpPr/>
      </xdr:nvCxnSpPr>
      <xdr:spPr>
        <a:xfrm>
          <a:off x="10562166" y="207645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221</xdr:row>
      <xdr:rowOff>21166</xdr:rowOff>
    </xdr:from>
    <xdr:to>
      <xdr:col>15</xdr:col>
      <xdr:colOff>560916</xdr:colOff>
      <xdr:row>224</xdr:row>
      <xdr:rowOff>84667</xdr:rowOff>
    </xdr:to>
    <xdr:cxnSp macro="">
      <xdr:nvCxnSpPr>
        <xdr:cNvPr id="307" name="Straight Arrow Connector 306">
          <a:extLst>
            <a:ext uri="{FF2B5EF4-FFF2-40B4-BE49-F238E27FC236}">
              <a16:creationId xmlns:a16="http://schemas.microsoft.com/office/drawing/2014/main" id="{00000000-0008-0000-1300-000033010000}"/>
            </a:ext>
          </a:extLst>
        </xdr:cNvPr>
        <xdr:cNvCxnSpPr/>
      </xdr:nvCxnSpPr>
      <xdr:spPr>
        <a:xfrm>
          <a:off x="10615083" y="207856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221</xdr:row>
      <xdr:rowOff>52916</xdr:rowOff>
    </xdr:from>
    <xdr:to>
      <xdr:col>15</xdr:col>
      <xdr:colOff>592666</xdr:colOff>
      <xdr:row>227</xdr:row>
      <xdr:rowOff>63501</xdr:rowOff>
    </xdr:to>
    <xdr:cxnSp macro="">
      <xdr:nvCxnSpPr>
        <xdr:cNvPr id="308" name="Straight Arrow Connector 307">
          <a:extLst>
            <a:ext uri="{FF2B5EF4-FFF2-40B4-BE49-F238E27FC236}">
              <a16:creationId xmlns:a16="http://schemas.microsoft.com/office/drawing/2014/main" id="{00000000-0008-0000-1300-000034010000}"/>
            </a:ext>
          </a:extLst>
        </xdr:cNvPr>
        <xdr:cNvCxnSpPr/>
      </xdr:nvCxnSpPr>
      <xdr:spPr>
        <a:xfrm>
          <a:off x="10572750" y="208174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218</xdr:row>
      <xdr:rowOff>52917</xdr:rowOff>
    </xdr:from>
    <xdr:to>
      <xdr:col>15</xdr:col>
      <xdr:colOff>603250</xdr:colOff>
      <xdr:row>220</xdr:row>
      <xdr:rowOff>148167</xdr:rowOff>
    </xdr:to>
    <xdr:cxnSp macro="">
      <xdr:nvCxnSpPr>
        <xdr:cNvPr id="309" name="Straight Arrow Connector 308">
          <a:extLst>
            <a:ext uri="{FF2B5EF4-FFF2-40B4-BE49-F238E27FC236}">
              <a16:creationId xmlns:a16="http://schemas.microsoft.com/office/drawing/2014/main" id="{00000000-0008-0000-1300-000035010000}"/>
            </a:ext>
          </a:extLst>
        </xdr:cNvPr>
        <xdr:cNvCxnSpPr/>
      </xdr:nvCxnSpPr>
      <xdr:spPr>
        <a:xfrm flipV="1">
          <a:off x="10583333" y="202459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31750</xdr:colOff>
      <xdr:row>129</xdr:row>
      <xdr:rowOff>127000</xdr:rowOff>
    </xdr:from>
    <xdr:to>
      <xdr:col>8</xdr:col>
      <xdr:colOff>63500</xdr:colOff>
      <xdr:row>148</xdr:row>
      <xdr:rowOff>0</xdr:rowOff>
    </xdr:to>
    <xdr:cxnSp macro="">
      <xdr:nvCxnSpPr>
        <xdr:cNvPr id="312" name="Straight Arrow Connector 311">
          <a:extLst>
            <a:ext uri="{FF2B5EF4-FFF2-40B4-BE49-F238E27FC236}">
              <a16:creationId xmlns:a16="http://schemas.microsoft.com/office/drawing/2014/main" id="{00000000-0008-0000-1300-000038010000}"/>
            </a:ext>
          </a:extLst>
        </xdr:cNvPr>
        <xdr:cNvCxnSpPr/>
      </xdr:nvCxnSpPr>
      <xdr:spPr>
        <a:xfrm flipV="1">
          <a:off x="5207000" y="24701500"/>
          <a:ext cx="635000" cy="3587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825500</xdr:colOff>
      <xdr:row>266</xdr:row>
      <xdr:rowOff>1</xdr:rowOff>
    </xdr:from>
    <xdr:to>
      <xdr:col>6</xdr:col>
      <xdr:colOff>0</xdr:colOff>
      <xdr:row>300</xdr:row>
      <xdr:rowOff>116417</xdr:rowOff>
    </xdr:to>
    <xdr:cxnSp macro="">
      <xdr:nvCxnSpPr>
        <xdr:cNvPr id="313" name="Straight Arrow Connector 312">
          <a:extLst>
            <a:ext uri="{FF2B5EF4-FFF2-40B4-BE49-F238E27FC236}">
              <a16:creationId xmlns:a16="http://schemas.microsoft.com/office/drawing/2014/main" id="{00000000-0008-0000-1300-000039010000}"/>
            </a:ext>
          </a:extLst>
        </xdr:cNvPr>
        <xdr:cNvCxnSpPr/>
      </xdr:nvCxnSpPr>
      <xdr:spPr>
        <a:xfrm flipV="1">
          <a:off x="3714750" y="7810501"/>
          <a:ext cx="666750" cy="65934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21167</xdr:colOff>
      <xdr:row>303</xdr:row>
      <xdr:rowOff>169334</xdr:rowOff>
    </xdr:from>
    <xdr:to>
      <xdr:col>5</xdr:col>
      <xdr:colOff>571500</xdr:colOff>
      <xdr:row>372</xdr:row>
      <xdr:rowOff>0</xdr:rowOff>
    </xdr:to>
    <xdr:cxnSp macro="">
      <xdr:nvCxnSpPr>
        <xdr:cNvPr id="314" name="Straight Arrow Connector 313">
          <a:extLst>
            <a:ext uri="{FF2B5EF4-FFF2-40B4-BE49-F238E27FC236}">
              <a16:creationId xmlns:a16="http://schemas.microsoft.com/office/drawing/2014/main" id="{00000000-0008-0000-1300-00003A010000}"/>
            </a:ext>
          </a:extLst>
        </xdr:cNvPr>
        <xdr:cNvCxnSpPr/>
      </xdr:nvCxnSpPr>
      <xdr:spPr>
        <a:xfrm>
          <a:off x="3799417" y="15028334"/>
          <a:ext cx="550333" cy="133244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241</xdr:row>
      <xdr:rowOff>148167</xdr:rowOff>
    </xdr:from>
    <xdr:to>
      <xdr:col>7</xdr:col>
      <xdr:colOff>603250</xdr:colOff>
      <xdr:row>263</xdr:row>
      <xdr:rowOff>31750</xdr:rowOff>
    </xdr:to>
    <xdr:cxnSp macro="">
      <xdr:nvCxnSpPr>
        <xdr:cNvPr id="315" name="Straight Arrow Connector 314">
          <a:extLst>
            <a:ext uri="{FF2B5EF4-FFF2-40B4-BE49-F238E27FC236}">
              <a16:creationId xmlns:a16="http://schemas.microsoft.com/office/drawing/2014/main" id="{00000000-0008-0000-1300-00003B010000}"/>
            </a:ext>
          </a:extLst>
        </xdr:cNvPr>
        <xdr:cNvCxnSpPr/>
      </xdr:nvCxnSpPr>
      <xdr:spPr>
        <a:xfrm flipV="1">
          <a:off x="5175250" y="3005667"/>
          <a:ext cx="603250" cy="42650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266</xdr:row>
      <xdr:rowOff>10584</xdr:rowOff>
    </xdr:from>
    <xdr:to>
      <xdr:col>8</xdr:col>
      <xdr:colOff>21167</xdr:colOff>
      <xdr:row>294</xdr:row>
      <xdr:rowOff>148166</xdr:rowOff>
    </xdr:to>
    <xdr:cxnSp macro="">
      <xdr:nvCxnSpPr>
        <xdr:cNvPr id="316" name="Straight Arrow Connector 315">
          <a:extLst>
            <a:ext uri="{FF2B5EF4-FFF2-40B4-BE49-F238E27FC236}">
              <a16:creationId xmlns:a16="http://schemas.microsoft.com/office/drawing/2014/main" id="{00000000-0008-0000-1300-00003C010000}"/>
            </a:ext>
          </a:extLst>
        </xdr:cNvPr>
        <xdr:cNvCxnSpPr/>
      </xdr:nvCxnSpPr>
      <xdr:spPr>
        <a:xfrm>
          <a:off x="5175250" y="7821084"/>
          <a:ext cx="624417" cy="547158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233</xdr:row>
      <xdr:rowOff>137583</xdr:rowOff>
    </xdr:from>
    <xdr:to>
      <xdr:col>9</xdr:col>
      <xdr:colOff>603250</xdr:colOff>
      <xdr:row>239</xdr:row>
      <xdr:rowOff>21166</xdr:rowOff>
    </xdr:to>
    <xdr:cxnSp macro="">
      <xdr:nvCxnSpPr>
        <xdr:cNvPr id="317" name="Straight Arrow Connector 316">
          <a:extLst>
            <a:ext uri="{FF2B5EF4-FFF2-40B4-BE49-F238E27FC236}">
              <a16:creationId xmlns:a16="http://schemas.microsoft.com/office/drawing/2014/main" id="{00000000-0008-0000-1300-00003D010000}"/>
            </a:ext>
          </a:extLst>
        </xdr:cNvPr>
        <xdr:cNvCxnSpPr/>
      </xdr:nvCxnSpPr>
      <xdr:spPr>
        <a:xfrm flipV="1">
          <a:off x="6381750" y="1471083"/>
          <a:ext cx="603250" cy="1026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242</xdr:row>
      <xdr:rowOff>0</xdr:rowOff>
    </xdr:from>
    <xdr:to>
      <xdr:col>9</xdr:col>
      <xdr:colOff>582083</xdr:colOff>
      <xdr:row>250</xdr:row>
      <xdr:rowOff>10583</xdr:rowOff>
    </xdr:to>
    <xdr:cxnSp macro="">
      <xdr:nvCxnSpPr>
        <xdr:cNvPr id="318" name="Straight Arrow Connector 317">
          <a:extLst>
            <a:ext uri="{FF2B5EF4-FFF2-40B4-BE49-F238E27FC236}">
              <a16:creationId xmlns:a16="http://schemas.microsoft.com/office/drawing/2014/main" id="{00000000-0008-0000-1300-00003E010000}"/>
            </a:ext>
          </a:extLst>
        </xdr:cNvPr>
        <xdr:cNvCxnSpPr/>
      </xdr:nvCxnSpPr>
      <xdr:spPr>
        <a:xfrm>
          <a:off x="6413500" y="3048000"/>
          <a:ext cx="550333" cy="1534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21167</xdr:colOff>
      <xdr:row>247</xdr:row>
      <xdr:rowOff>169333</xdr:rowOff>
    </xdr:from>
    <xdr:to>
      <xdr:col>11</xdr:col>
      <xdr:colOff>603250</xdr:colOff>
      <xdr:row>250</xdr:row>
      <xdr:rowOff>21167</xdr:rowOff>
    </xdr:to>
    <xdr:cxnSp macro="">
      <xdr:nvCxnSpPr>
        <xdr:cNvPr id="319" name="Straight Arrow Connector 318">
          <a:extLst>
            <a:ext uri="{FF2B5EF4-FFF2-40B4-BE49-F238E27FC236}">
              <a16:creationId xmlns:a16="http://schemas.microsoft.com/office/drawing/2014/main" id="{00000000-0008-0000-1300-00003F010000}"/>
            </a:ext>
          </a:extLst>
        </xdr:cNvPr>
        <xdr:cNvCxnSpPr/>
      </xdr:nvCxnSpPr>
      <xdr:spPr>
        <a:xfrm flipV="1">
          <a:off x="7609417" y="4169833"/>
          <a:ext cx="582083" cy="423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253</xdr:row>
      <xdr:rowOff>42333</xdr:rowOff>
    </xdr:from>
    <xdr:to>
      <xdr:col>11</xdr:col>
      <xdr:colOff>603250</xdr:colOff>
      <xdr:row>265</xdr:row>
      <xdr:rowOff>10583</xdr:rowOff>
    </xdr:to>
    <xdr:cxnSp macro="">
      <xdr:nvCxnSpPr>
        <xdr:cNvPr id="320" name="Straight Arrow Connector 319">
          <a:extLst>
            <a:ext uri="{FF2B5EF4-FFF2-40B4-BE49-F238E27FC236}">
              <a16:creationId xmlns:a16="http://schemas.microsoft.com/office/drawing/2014/main" id="{00000000-0008-0000-1300-000040010000}"/>
            </a:ext>
          </a:extLst>
        </xdr:cNvPr>
        <xdr:cNvCxnSpPr/>
      </xdr:nvCxnSpPr>
      <xdr:spPr>
        <a:xfrm>
          <a:off x="7598834" y="51858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243</xdr:row>
      <xdr:rowOff>21167</xdr:rowOff>
    </xdr:from>
    <xdr:to>
      <xdr:col>13</xdr:col>
      <xdr:colOff>592667</xdr:colOff>
      <xdr:row>245</xdr:row>
      <xdr:rowOff>0</xdr:rowOff>
    </xdr:to>
    <xdr:cxnSp macro="">
      <xdr:nvCxnSpPr>
        <xdr:cNvPr id="321" name="Straight Arrow Connector 320">
          <a:extLst>
            <a:ext uri="{FF2B5EF4-FFF2-40B4-BE49-F238E27FC236}">
              <a16:creationId xmlns:a16="http://schemas.microsoft.com/office/drawing/2014/main" id="{00000000-0008-0000-1300-000041010000}"/>
            </a:ext>
          </a:extLst>
        </xdr:cNvPr>
        <xdr:cNvCxnSpPr/>
      </xdr:nvCxnSpPr>
      <xdr:spPr>
        <a:xfrm flipV="1">
          <a:off x="8794750" y="32596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248</xdr:row>
      <xdr:rowOff>21166</xdr:rowOff>
    </xdr:from>
    <xdr:to>
      <xdr:col>13</xdr:col>
      <xdr:colOff>592667</xdr:colOff>
      <xdr:row>249</xdr:row>
      <xdr:rowOff>169334</xdr:rowOff>
    </xdr:to>
    <xdr:cxnSp macro="">
      <xdr:nvCxnSpPr>
        <xdr:cNvPr id="322" name="Straight Arrow Connector 321">
          <a:extLst>
            <a:ext uri="{FF2B5EF4-FFF2-40B4-BE49-F238E27FC236}">
              <a16:creationId xmlns:a16="http://schemas.microsoft.com/office/drawing/2014/main" id="{00000000-0008-0000-1300-000042010000}"/>
            </a:ext>
          </a:extLst>
        </xdr:cNvPr>
        <xdr:cNvCxnSpPr/>
      </xdr:nvCxnSpPr>
      <xdr:spPr>
        <a:xfrm>
          <a:off x="8784166" y="42121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263</xdr:row>
      <xdr:rowOff>21167</xdr:rowOff>
    </xdr:from>
    <xdr:to>
      <xdr:col>13</xdr:col>
      <xdr:colOff>592667</xdr:colOff>
      <xdr:row>265</xdr:row>
      <xdr:rowOff>63500</xdr:rowOff>
    </xdr:to>
    <xdr:cxnSp macro="">
      <xdr:nvCxnSpPr>
        <xdr:cNvPr id="323" name="Straight Arrow Connector 322">
          <a:extLst>
            <a:ext uri="{FF2B5EF4-FFF2-40B4-BE49-F238E27FC236}">
              <a16:creationId xmlns:a16="http://schemas.microsoft.com/office/drawing/2014/main" id="{00000000-0008-0000-1300-000043010000}"/>
            </a:ext>
          </a:extLst>
        </xdr:cNvPr>
        <xdr:cNvCxnSpPr/>
      </xdr:nvCxnSpPr>
      <xdr:spPr>
        <a:xfrm flipV="1">
          <a:off x="8794750" y="72601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268</xdr:row>
      <xdr:rowOff>0</xdr:rowOff>
    </xdr:from>
    <xdr:to>
      <xdr:col>14</xdr:col>
      <xdr:colOff>10584</xdr:colOff>
      <xdr:row>276</xdr:row>
      <xdr:rowOff>148167</xdr:rowOff>
    </xdr:to>
    <xdr:cxnSp macro="">
      <xdr:nvCxnSpPr>
        <xdr:cNvPr id="324" name="Straight Arrow Connector 323">
          <a:extLst>
            <a:ext uri="{FF2B5EF4-FFF2-40B4-BE49-F238E27FC236}">
              <a16:creationId xmlns:a16="http://schemas.microsoft.com/office/drawing/2014/main" id="{00000000-0008-0000-1300-000044010000}"/>
            </a:ext>
          </a:extLst>
        </xdr:cNvPr>
        <xdr:cNvCxnSpPr/>
      </xdr:nvCxnSpPr>
      <xdr:spPr>
        <a:xfrm>
          <a:off x="8805333" y="81915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235</xdr:row>
      <xdr:rowOff>0</xdr:rowOff>
    </xdr:from>
    <xdr:to>
      <xdr:col>15</xdr:col>
      <xdr:colOff>603250</xdr:colOff>
      <xdr:row>240</xdr:row>
      <xdr:rowOff>31750</xdr:rowOff>
    </xdr:to>
    <xdr:cxnSp macro="">
      <xdr:nvCxnSpPr>
        <xdr:cNvPr id="325" name="Straight Arrow Connector 324">
          <a:extLst>
            <a:ext uri="{FF2B5EF4-FFF2-40B4-BE49-F238E27FC236}">
              <a16:creationId xmlns:a16="http://schemas.microsoft.com/office/drawing/2014/main" id="{00000000-0008-0000-1300-000045010000}"/>
            </a:ext>
          </a:extLst>
        </xdr:cNvPr>
        <xdr:cNvCxnSpPr/>
      </xdr:nvCxnSpPr>
      <xdr:spPr>
        <a:xfrm flipV="1">
          <a:off x="10541000" y="1714500"/>
          <a:ext cx="603250" cy="984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238</xdr:row>
      <xdr:rowOff>52917</xdr:rowOff>
    </xdr:from>
    <xdr:to>
      <xdr:col>15</xdr:col>
      <xdr:colOff>603250</xdr:colOff>
      <xdr:row>240</xdr:row>
      <xdr:rowOff>95250</xdr:rowOff>
    </xdr:to>
    <xdr:cxnSp macro="">
      <xdr:nvCxnSpPr>
        <xdr:cNvPr id="326" name="Straight Arrow Connector 325">
          <a:extLst>
            <a:ext uri="{FF2B5EF4-FFF2-40B4-BE49-F238E27FC236}">
              <a16:creationId xmlns:a16="http://schemas.microsoft.com/office/drawing/2014/main" id="{00000000-0008-0000-1300-000046010000}"/>
            </a:ext>
          </a:extLst>
        </xdr:cNvPr>
        <xdr:cNvCxnSpPr/>
      </xdr:nvCxnSpPr>
      <xdr:spPr>
        <a:xfrm flipV="1">
          <a:off x="10583333" y="2338917"/>
          <a:ext cx="56091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240</xdr:row>
      <xdr:rowOff>158750</xdr:rowOff>
    </xdr:from>
    <xdr:to>
      <xdr:col>15</xdr:col>
      <xdr:colOff>582083</xdr:colOff>
      <xdr:row>241</xdr:row>
      <xdr:rowOff>137583</xdr:rowOff>
    </xdr:to>
    <xdr:cxnSp macro="">
      <xdr:nvCxnSpPr>
        <xdr:cNvPr id="327" name="Straight Arrow Connector 326">
          <a:extLst>
            <a:ext uri="{FF2B5EF4-FFF2-40B4-BE49-F238E27FC236}">
              <a16:creationId xmlns:a16="http://schemas.microsoft.com/office/drawing/2014/main" id="{00000000-0008-0000-1300-000047010000}"/>
            </a:ext>
          </a:extLst>
        </xdr:cNvPr>
        <xdr:cNvCxnSpPr/>
      </xdr:nvCxnSpPr>
      <xdr:spPr>
        <a:xfrm>
          <a:off x="10604500" y="2825750"/>
          <a:ext cx="518583" cy="169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1121834</xdr:colOff>
      <xdr:row>240</xdr:row>
      <xdr:rowOff>105834</xdr:rowOff>
    </xdr:from>
    <xdr:to>
      <xdr:col>16</xdr:col>
      <xdr:colOff>0</xdr:colOff>
      <xdr:row>244</xdr:row>
      <xdr:rowOff>84667</xdr:rowOff>
    </xdr:to>
    <xdr:cxnSp macro="">
      <xdr:nvCxnSpPr>
        <xdr:cNvPr id="328" name="Straight Arrow Connector 327">
          <a:extLst>
            <a:ext uri="{FF2B5EF4-FFF2-40B4-BE49-F238E27FC236}">
              <a16:creationId xmlns:a16="http://schemas.microsoft.com/office/drawing/2014/main" id="{00000000-0008-0000-1300-000048010000}"/>
            </a:ext>
          </a:extLst>
        </xdr:cNvPr>
        <xdr:cNvCxnSpPr/>
      </xdr:nvCxnSpPr>
      <xdr:spPr>
        <a:xfrm>
          <a:off x="10519834" y="2772834"/>
          <a:ext cx="624416"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248</xdr:row>
      <xdr:rowOff>52916</xdr:rowOff>
    </xdr:from>
    <xdr:to>
      <xdr:col>16</xdr:col>
      <xdr:colOff>0</xdr:colOff>
      <xdr:row>250</xdr:row>
      <xdr:rowOff>0</xdr:rowOff>
    </xdr:to>
    <xdr:cxnSp macro="">
      <xdr:nvCxnSpPr>
        <xdr:cNvPr id="329" name="Straight Arrow Connector 328">
          <a:extLst>
            <a:ext uri="{FF2B5EF4-FFF2-40B4-BE49-F238E27FC236}">
              <a16:creationId xmlns:a16="http://schemas.microsoft.com/office/drawing/2014/main" id="{00000000-0008-0000-1300-000049010000}"/>
            </a:ext>
          </a:extLst>
        </xdr:cNvPr>
        <xdr:cNvCxnSpPr/>
      </xdr:nvCxnSpPr>
      <xdr:spPr>
        <a:xfrm flipV="1">
          <a:off x="10541000" y="42439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250</xdr:row>
      <xdr:rowOff>21167</xdr:rowOff>
    </xdr:from>
    <xdr:to>
      <xdr:col>15</xdr:col>
      <xdr:colOff>582083</xdr:colOff>
      <xdr:row>251</xdr:row>
      <xdr:rowOff>42333</xdr:rowOff>
    </xdr:to>
    <xdr:cxnSp macro="">
      <xdr:nvCxnSpPr>
        <xdr:cNvPr id="330" name="Straight Arrow Connector 329">
          <a:extLst>
            <a:ext uri="{FF2B5EF4-FFF2-40B4-BE49-F238E27FC236}">
              <a16:creationId xmlns:a16="http://schemas.microsoft.com/office/drawing/2014/main" id="{00000000-0008-0000-1300-00004A010000}"/>
            </a:ext>
          </a:extLst>
        </xdr:cNvPr>
        <xdr:cNvCxnSpPr/>
      </xdr:nvCxnSpPr>
      <xdr:spPr>
        <a:xfrm>
          <a:off x="10551583" y="4593167"/>
          <a:ext cx="571500" cy="211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250</xdr:row>
      <xdr:rowOff>21167</xdr:rowOff>
    </xdr:from>
    <xdr:to>
      <xdr:col>16</xdr:col>
      <xdr:colOff>42333</xdr:colOff>
      <xdr:row>255</xdr:row>
      <xdr:rowOff>21168</xdr:rowOff>
    </xdr:to>
    <xdr:cxnSp macro="">
      <xdr:nvCxnSpPr>
        <xdr:cNvPr id="331" name="Straight Arrow Connector 330">
          <a:extLst>
            <a:ext uri="{FF2B5EF4-FFF2-40B4-BE49-F238E27FC236}">
              <a16:creationId xmlns:a16="http://schemas.microsoft.com/office/drawing/2014/main" id="{00000000-0008-0000-1300-00004B010000}"/>
            </a:ext>
          </a:extLst>
        </xdr:cNvPr>
        <xdr:cNvCxnSpPr/>
      </xdr:nvCxnSpPr>
      <xdr:spPr>
        <a:xfrm>
          <a:off x="10530417" y="4593167"/>
          <a:ext cx="656166" cy="9525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10583</xdr:colOff>
      <xdr:row>287</xdr:row>
      <xdr:rowOff>42333</xdr:rowOff>
    </xdr:from>
    <xdr:to>
      <xdr:col>9</xdr:col>
      <xdr:colOff>592666</xdr:colOff>
      <xdr:row>295</xdr:row>
      <xdr:rowOff>42333</xdr:rowOff>
    </xdr:to>
    <xdr:cxnSp macro="">
      <xdr:nvCxnSpPr>
        <xdr:cNvPr id="333" name="Straight Arrow Connector 332">
          <a:extLst>
            <a:ext uri="{FF2B5EF4-FFF2-40B4-BE49-F238E27FC236}">
              <a16:creationId xmlns:a16="http://schemas.microsoft.com/office/drawing/2014/main" id="{00000000-0008-0000-1300-00004D010000}"/>
            </a:ext>
          </a:extLst>
        </xdr:cNvPr>
        <xdr:cNvCxnSpPr/>
      </xdr:nvCxnSpPr>
      <xdr:spPr>
        <a:xfrm flipV="1">
          <a:off x="6392333" y="11853333"/>
          <a:ext cx="582083" cy="152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297</xdr:row>
      <xdr:rowOff>169334</xdr:rowOff>
    </xdr:from>
    <xdr:to>
      <xdr:col>9</xdr:col>
      <xdr:colOff>603250</xdr:colOff>
      <xdr:row>306</xdr:row>
      <xdr:rowOff>31750</xdr:rowOff>
    </xdr:to>
    <xdr:cxnSp macro="">
      <xdr:nvCxnSpPr>
        <xdr:cNvPr id="334" name="Straight Arrow Connector 333">
          <a:extLst>
            <a:ext uri="{FF2B5EF4-FFF2-40B4-BE49-F238E27FC236}">
              <a16:creationId xmlns:a16="http://schemas.microsoft.com/office/drawing/2014/main" id="{00000000-0008-0000-1300-00004E010000}"/>
            </a:ext>
          </a:extLst>
        </xdr:cNvPr>
        <xdr:cNvCxnSpPr/>
      </xdr:nvCxnSpPr>
      <xdr:spPr>
        <a:xfrm>
          <a:off x="6413500" y="13885334"/>
          <a:ext cx="571500" cy="1576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571500</xdr:colOff>
      <xdr:row>303</xdr:row>
      <xdr:rowOff>158750</xdr:rowOff>
    </xdr:from>
    <xdr:to>
      <xdr:col>11</xdr:col>
      <xdr:colOff>571500</xdr:colOff>
      <xdr:row>306</xdr:row>
      <xdr:rowOff>0</xdr:rowOff>
    </xdr:to>
    <xdr:cxnSp macro="">
      <xdr:nvCxnSpPr>
        <xdr:cNvPr id="335" name="Straight Arrow Connector 334">
          <a:extLst>
            <a:ext uri="{FF2B5EF4-FFF2-40B4-BE49-F238E27FC236}">
              <a16:creationId xmlns:a16="http://schemas.microsoft.com/office/drawing/2014/main" id="{00000000-0008-0000-1300-00004F010000}"/>
            </a:ext>
          </a:extLst>
        </xdr:cNvPr>
        <xdr:cNvCxnSpPr/>
      </xdr:nvCxnSpPr>
      <xdr:spPr>
        <a:xfrm flipV="1">
          <a:off x="7556500" y="15017750"/>
          <a:ext cx="603250" cy="412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261</xdr:row>
      <xdr:rowOff>0</xdr:rowOff>
    </xdr:from>
    <xdr:to>
      <xdr:col>15</xdr:col>
      <xdr:colOff>603250</xdr:colOff>
      <xdr:row>263</xdr:row>
      <xdr:rowOff>1</xdr:rowOff>
    </xdr:to>
    <xdr:cxnSp macro="">
      <xdr:nvCxnSpPr>
        <xdr:cNvPr id="336" name="Straight Arrow Connector 335">
          <a:extLst>
            <a:ext uri="{FF2B5EF4-FFF2-40B4-BE49-F238E27FC236}">
              <a16:creationId xmlns:a16="http://schemas.microsoft.com/office/drawing/2014/main" id="{00000000-0008-0000-1300-000050010000}"/>
            </a:ext>
          </a:extLst>
        </xdr:cNvPr>
        <xdr:cNvCxnSpPr/>
      </xdr:nvCxnSpPr>
      <xdr:spPr>
        <a:xfrm flipV="1">
          <a:off x="10530417" y="68580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263</xdr:row>
      <xdr:rowOff>10584</xdr:rowOff>
    </xdr:from>
    <xdr:to>
      <xdr:col>15</xdr:col>
      <xdr:colOff>592666</xdr:colOff>
      <xdr:row>264</xdr:row>
      <xdr:rowOff>95250</xdr:rowOff>
    </xdr:to>
    <xdr:cxnSp macro="">
      <xdr:nvCxnSpPr>
        <xdr:cNvPr id="337" name="Straight Arrow Connector 336">
          <a:extLst>
            <a:ext uri="{FF2B5EF4-FFF2-40B4-BE49-F238E27FC236}">
              <a16:creationId xmlns:a16="http://schemas.microsoft.com/office/drawing/2014/main" id="{00000000-0008-0000-1300-000051010000}"/>
            </a:ext>
          </a:extLst>
        </xdr:cNvPr>
        <xdr:cNvCxnSpPr/>
      </xdr:nvCxnSpPr>
      <xdr:spPr>
        <a:xfrm>
          <a:off x="10572750" y="72495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263</xdr:row>
      <xdr:rowOff>10584</xdr:rowOff>
    </xdr:from>
    <xdr:to>
      <xdr:col>15</xdr:col>
      <xdr:colOff>560916</xdr:colOff>
      <xdr:row>267</xdr:row>
      <xdr:rowOff>52917</xdr:rowOff>
    </xdr:to>
    <xdr:cxnSp macro="">
      <xdr:nvCxnSpPr>
        <xdr:cNvPr id="338" name="Straight Arrow Connector 337">
          <a:extLst>
            <a:ext uri="{FF2B5EF4-FFF2-40B4-BE49-F238E27FC236}">
              <a16:creationId xmlns:a16="http://schemas.microsoft.com/office/drawing/2014/main" id="{00000000-0008-0000-1300-000052010000}"/>
            </a:ext>
          </a:extLst>
        </xdr:cNvPr>
        <xdr:cNvCxnSpPr/>
      </xdr:nvCxnSpPr>
      <xdr:spPr>
        <a:xfrm>
          <a:off x="10551583" y="72495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263</xdr:row>
      <xdr:rowOff>31750</xdr:rowOff>
    </xdr:from>
    <xdr:to>
      <xdr:col>16</xdr:col>
      <xdr:colOff>21167</xdr:colOff>
      <xdr:row>270</xdr:row>
      <xdr:rowOff>95250</xdr:rowOff>
    </xdr:to>
    <xdr:cxnSp macro="">
      <xdr:nvCxnSpPr>
        <xdr:cNvPr id="339" name="Straight Arrow Connector 338">
          <a:extLst>
            <a:ext uri="{FF2B5EF4-FFF2-40B4-BE49-F238E27FC236}">
              <a16:creationId xmlns:a16="http://schemas.microsoft.com/office/drawing/2014/main" id="{00000000-0008-0000-1300-000053010000}"/>
            </a:ext>
          </a:extLst>
        </xdr:cNvPr>
        <xdr:cNvCxnSpPr/>
      </xdr:nvCxnSpPr>
      <xdr:spPr>
        <a:xfrm>
          <a:off x="10583333" y="72707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277</xdr:row>
      <xdr:rowOff>0</xdr:rowOff>
    </xdr:from>
    <xdr:to>
      <xdr:col>16</xdr:col>
      <xdr:colOff>0</xdr:colOff>
      <xdr:row>277</xdr:row>
      <xdr:rowOff>42334</xdr:rowOff>
    </xdr:to>
    <xdr:cxnSp macro="">
      <xdr:nvCxnSpPr>
        <xdr:cNvPr id="340" name="Straight Arrow Connector 339">
          <a:extLst>
            <a:ext uri="{FF2B5EF4-FFF2-40B4-BE49-F238E27FC236}">
              <a16:creationId xmlns:a16="http://schemas.microsoft.com/office/drawing/2014/main" id="{00000000-0008-0000-1300-000054010000}"/>
            </a:ext>
          </a:extLst>
        </xdr:cNvPr>
        <xdr:cNvCxnSpPr/>
      </xdr:nvCxnSpPr>
      <xdr:spPr>
        <a:xfrm>
          <a:off x="10562166" y="99060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277</xdr:row>
      <xdr:rowOff>21166</xdr:rowOff>
    </xdr:from>
    <xdr:to>
      <xdr:col>15</xdr:col>
      <xdr:colOff>560916</xdr:colOff>
      <xdr:row>280</xdr:row>
      <xdr:rowOff>84667</xdr:rowOff>
    </xdr:to>
    <xdr:cxnSp macro="">
      <xdr:nvCxnSpPr>
        <xdr:cNvPr id="341" name="Straight Arrow Connector 340">
          <a:extLst>
            <a:ext uri="{FF2B5EF4-FFF2-40B4-BE49-F238E27FC236}">
              <a16:creationId xmlns:a16="http://schemas.microsoft.com/office/drawing/2014/main" id="{00000000-0008-0000-1300-000055010000}"/>
            </a:ext>
          </a:extLst>
        </xdr:cNvPr>
        <xdr:cNvCxnSpPr/>
      </xdr:nvCxnSpPr>
      <xdr:spPr>
        <a:xfrm>
          <a:off x="10615083" y="99271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277</xdr:row>
      <xdr:rowOff>52916</xdr:rowOff>
    </xdr:from>
    <xdr:to>
      <xdr:col>15</xdr:col>
      <xdr:colOff>592666</xdr:colOff>
      <xdr:row>283</xdr:row>
      <xdr:rowOff>63501</xdr:rowOff>
    </xdr:to>
    <xdr:cxnSp macro="">
      <xdr:nvCxnSpPr>
        <xdr:cNvPr id="342" name="Straight Arrow Connector 341">
          <a:extLst>
            <a:ext uri="{FF2B5EF4-FFF2-40B4-BE49-F238E27FC236}">
              <a16:creationId xmlns:a16="http://schemas.microsoft.com/office/drawing/2014/main" id="{00000000-0008-0000-1300-000056010000}"/>
            </a:ext>
          </a:extLst>
        </xdr:cNvPr>
        <xdr:cNvCxnSpPr/>
      </xdr:nvCxnSpPr>
      <xdr:spPr>
        <a:xfrm>
          <a:off x="10572750" y="99589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291</xdr:row>
      <xdr:rowOff>116416</xdr:rowOff>
    </xdr:from>
    <xdr:to>
      <xdr:col>15</xdr:col>
      <xdr:colOff>592666</xdr:colOff>
      <xdr:row>294</xdr:row>
      <xdr:rowOff>158750</xdr:rowOff>
    </xdr:to>
    <xdr:cxnSp macro="">
      <xdr:nvCxnSpPr>
        <xdr:cNvPr id="343" name="Straight Arrow Connector 342">
          <a:extLst>
            <a:ext uri="{FF2B5EF4-FFF2-40B4-BE49-F238E27FC236}">
              <a16:creationId xmlns:a16="http://schemas.microsoft.com/office/drawing/2014/main" id="{00000000-0008-0000-1300-000057010000}"/>
            </a:ext>
          </a:extLst>
        </xdr:cNvPr>
        <xdr:cNvCxnSpPr/>
      </xdr:nvCxnSpPr>
      <xdr:spPr>
        <a:xfrm flipV="1">
          <a:off x="10562166" y="12689416"/>
          <a:ext cx="571500" cy="613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293</xdr:row>
      <xdr:rowOff>95250</xdr:rowOff>
    </xdr:from>
    <xdr:to>
      <xdr:col>15</xdr:col>
      <xdr:colOff>582083</xdr:colOff>
      <xdr:row>295</xdr:row>
      <xdr:rowOff>52917</xdr:rowOff>
    </xdr:to>
    <xdr:cxnSp macro="">
      <xdr:nvCxnSpPr>
        <xdr:cNvPr id="344" name="Straight Arrow Connector 343">
          <a:extLst>
            <a:ext uri="{FF2B5EF4-FFF2-40B4-BE49-F238E27FC236}">
              <a16:creationId xmlns:a16="http://schemas.microsoft.com/office/drawing/2014/main" id="{00000000-0008-0000-1300-000058010000}"/>
            </a:ext>
          </a:extLst>
        </xdr:cNvPr>
        <xdr:cNvCxnSpPr/>
      </xdr:nvCxnSpPr>
      <xdr:spPr>
        <a:xfrm flipV="1">
          <a:off x="10604500" y="13049250"/>
          <a:ext cx="518583" cy="338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295</xdr:row>
      <xdr:rowOff>116417</xdr:rowOff>
    </xdr:from>
    <xdr:to>
      <xdr:col>15</xdr:col>
      <xdr:colOff>592666</xdr:colOff>
      <xdr:row>299</xdr:row>
      <xdr:rowOff>95250</xdr:rowOff>
    </xdr:to>
    <xdr:cxnSp macro="">
      <xdr:nvCxnSpPr>
        <xdr:cNvPr id="345" name="Straight Arrow Connector 344">
          <a:extLst>
            <a:ext uri="{FF2B5EF4-FFF2-40B4-BE49-F238E27FC236}">
              <a16:creationId xmlns:a16="http://schemas.microsoft.com/office/drawing/2014/main" id="{00000000-0008-0000-1300-000059010000}"/>
            </a:ext>
          </a:extLst>
        </xdr:cNvPr>
        <xdr:cNvCxnSpPr/>
      </xdr:nvCxnSpPr>
      <xdr:spPr>
        <a:xfrm>
          <a:off x="10593916" y="13451417"/>
          <a:ext cx="53975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306</xdr:row>
      <xdr:rowOff>116416</xdr:rowOff>
    </xdr:from>
    <xdr:to>
      <xdr:col>16</xdr:col>
      <xdr:colOff>0</xdr:colOff>
      <xdr:row>313</xdr:row>
      <xdr:rowOff>74084</xdr:rowOff>
    </xdr:to>
    <xdr:cxnSp macro="">
      <xdr:nvCxnSpPr>
        <xdr:cNvPr id="346" name="Straight Arrow Connector 345">
          <a:extLst>
            <a:ext uri="{FF2B5EF4-FFF2-40B4-BE49-F238E27FC236}">
              <a16:creationId xmlns:a16="http://schemas.microsoft.com/office/drawing/2014/main" id="{00000000-0008-0000-1300-00005A010000}"/>
            </a:ext>
          </a:extLst>
        </xdr:cNvPr>
        <xdr:cNvCxnSpPr/>
      </xdr:nvCxnSpPr>
      <xdr:spPr>
        <a:xfrm>
          <a:off x="10572750" y="15546916"/>
          <a:ext cx="571500" cy="12911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274</xdr:row>
      <xdr:rowOff>52917</xdr:rowOff>
    </xdr:from>
    <xdr:to>
      <xdr:col>15</xdr:col>
      <xdr:colOff>603250</xdr:colOff>
      <xdr:row>276</xdr:row>
      <xdr:rowOff>148167</xdr:rowOff>
    </xdr:to>
    <xdr:cxnSp macro="">
      <xdr:nvCxnSpPr>
        <xdr:cNvPr id="347" name="Straight Arrow Connector 346">
          <a:extLst>
            <a:ext uri="{FF2B5EF4-FFF2-40B4-BE49-F238E27FC236}">
              <a16:creationId xmlns:a16="http://schemas.microsoft.com/office/drawing/2014/main" id="{00000000-0008-0000-1300-00005B010000}"/>
            </a:ext>
          </a:extLst>
        </xdr:cNvPr>
        <xdr:cNvCxnSpPr/>
      </xdr:nvCxnSpPr>
      <xdr:spPr>
        <a:xfrm flipV="1">
          <a:off x="10583333" y="93874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309</xdr:row>
      <xdr:rowOff>42333</xdr:rowOff>
    </xdr:from>
    <xdr:to>
      <xdr:col>11</xdr:col>
      <xdr:colOff>603250</xdr:colOff>
      <xdr:row>321</xdr:row>
      <xdr:rowOff>10583</xdr:rowOff>
    </xdr:to>
    <xdr:cxnSp macro="">
      <xdr:nvCxnSpPr>
        <xdr:cNvPr id="348" name="Straight Arrow Connector 347">
          <a:extLst>
            <a:ext uri="{FF2B5EF4-FFF2-40B4-BE49-F238E27FC236}">
              <a16:creationId xmlns:a16="http://schemas.microsoft.com/office/drawing/2014/main" id="{00000000-0008-0000-1300-00005C010000}"/>
            </a:ext>
          </a:extLst>
        </xdr:cNvPr>
        <xdr:cNvCxnSpPr/>
      </xdr:nvCxnSpPr>
      <xdr:spPr>
        <a:xfrm>
          <a:off x="7598834" y="160443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299</xdr:row>
      <xdr:rowOff>21167</xdr:rowOff>
    </xdr:from>
    <xdr:to>
      <xdr:col>13</xdr:col>
      <xdr:colOff>592667</xdr:colOff>
      <xdr:row>301</xdr:row>
      <xdr:rowOff>0</xdr:rowOff>
    </xdr:to>
    <xdr:cxnSp macro="">
      <xdr:nvCxnSpPr>
        <xdr:cNvPr id="349" name="Straight Arrow Connector 348">
          <a:extLst>
            <a:ext uri="{FF2B5EF4-FFF2-40B4-BE49-F238E27FC236}">
              <a16:creationId xmlns:a16="http://schemas.microsoft.com/office/drawing/2014/main" id="{00000000-0008-0000-1300-00005D010000}"/>
            </a:ext>
          </a:extLst>
        </xdr:cNvPr>
        <xdr:cNvCxnSpPr/>
      </xdr:nvCxnSpPr>
      <xdr:spPr>
        <a:xfrm flipV="1">
          <a:off x="8794750" y="141181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304</xdr:row>
      <xdr:rowOff>21166</xdr:rowOff>
    </xdr:from>
    <xdr:to>
      <xdr:col>13</xdr:col>
      <xdr:colOff>592667</xdr:colOff>
      <xdr:row>305</xdr:row>
      <xdr:rowOff>169334</xdr:rowOff>
    </xdr:to>
    <xdr:cxnSp macro="">
      <xdr:nvCxnSpPr>
        <xdr:cNvPr id="350" name="Straight Arrow Connector 349">
          <a:extLst>
            <a:ext uri="{FF2B5EF4-FFF2-40B4-BE49-F238E27FC236}">
              <a16:creationId xmlns:a16="http://schemas.microsoft.com/office/drawing/2014/main" id="{00000000-0008-0000-1300-00005E010000}"/>
            </a:ext>
          </a:extLst>
        </xdr:cNvPr>
        <xdr:cNvCxnSpPr/>
      </xdr:nvCxnSpPr>
      <xdr:spPr>
        <a:xfrm>
          <a:off x="8784166" y="150706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319</xdr:row>
      <xdr:rowOff>21167</xdr:rowOff>
    </xdr:from>
    <xdr:to>
      <xdr:col>13</xdr:col>
      <xdr:colOff>592667</xdr:colOff>
      <xdr:row>321</xdr:row>
      <xdr:rowOff>63500</xdr:rowOff>
    </xdr:to>
    <xdr:cxnSp macro="">
      <xdr:nvCxnSpPr>
        <xdr:cNvPr id="351" name="Straight Arrow Connector 350">
          <a:extLst>
            <a:ext uri="{FF2B5EF4-FFF2-40B4-BE49-F238E27FC236}">
              <a16:creationId xmlns:a16="http://schemas.microsoft.com/office/drawing/2014/main" id="{00000000-0008-0000-1300-00005F010000}"/>
            </a:ext>
          </a:extLst>
        </xdr:cNvPr>
        <xdr:cNvCxnSpPr/>
      </xdr:nvCxnSpPr>
      <xdr:spPr>
        <a:xfrm flipV="1">
          <a:off x="8794750" y="181186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324</xdr:row>
      <xdr:rowOff>0</xdr:rowOff>
    </xdr:from>
    <xdr:to>
      <xdr:col>14</xdr:col>
      <xdr:colOff>10584</xdr:colOff>
      <xdr:row>332</xdr:row>
      <xdr:rowOff>148167</xdr:rowOff>
    </xdr:to>
    <xdr:cxnSp macro="">
      <xdr:nvCxnSpPr>
        <xdr:cNvPr id="352" name="Straight Arrow Connector 351">
          <a:extLst>
            <a:ext uri="{FF2B5EF4-FFF2-40B4-BE49-F238E27FC236}">
              <a16:creationId xmlns:a16="http://schemas.microsoft.com/office/drawing/2014/main" id="{00000000-0008-0000-1300-000060010000}"/>
            </a:ext>
          </a:extLst>
        </xdr:cNvPr>
        <xdr:cNvCxnSpPr/>
      </xdr:nvCxnSpPr>
      <xdr:spPr>
        <a:xfrm>
          <a:off x="8805333" y="190500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295</xdr:row>
      <xdr:rowOff>95250</xdr:rowOff>
    </xdr:from>
    <xdr:to>
      <xdr:col>15</xdr:col>
      <xdr:colOff>582083</xdr:colOff>
      <xdr:row>297</xdr:row>
      <xdr:rowOff>137583</xdr:rowOff>
    </xdr:to>
    <xdr:cxnSp macro="">
      <xdr:nvCxnSpPr>
        <xdr:cNvPr id="353" name="Straight Arrow Connector 352">
          <a:extLst>
            <a:ext uri="{FF2B5EF4-FFF2-40B4-BE49-F238E27FC236}">
              <a16:creationId xmlns:a16="http://schemas.microsoft.com/office/drawing/2014/main" id="{00000000-0008-0000-1300-000061010000}"/>
            </a:ext>
          </a:extLst>
        </xdr:cNvPr>
        <xdr:cNvCxnSpPr/>
      </xdr:nvCxnSpPr>
      <xdr:spPr>
        <a:xfrm>
          <a:off x="10593916" y="13430250"/>
          <a:ext cx="5291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304</xdr:row>
      <xdr:rowOff>52916</xdr:rowOff>
    </xdr:from>
    <xdr:to>
      <xdr:col>16</xdr:col>
      <xdr:colOff>0</xdr:colOff>
      <xdr:row>306</xdr:row>
      <xdr:rowOff>0</xdr:rowOff>
    </xdr:to>
    <xdr:cxnSp macro="">
      <xdr:nvCxnSpPr>
        <xdr:cNvPr id="354" name="Straight Arrow Connector 353">
          <a:extLst>
            <a:ext uri="{FF2B5EF4-FFF2-40B4-BE49-F238E27FC236}">
              <a16:creationId xmlns:a16="http://schemas.microsoft.com/office/drawing/2014/main" id="{00000000-0008-0000-1300-000062010000}"/>
            </a:ext>
          </a:extLst>
        </xdr:cNvPr>
        <xdr:cNvCxnSpPr/>
      </xdr:nvCxnSpPr>
      <xdr:spPr>
        <a:xfrm flipV="1">
          <a:off x="10541000" y="151024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306</xdr:row>
      <xdr:rowOff>21167</xdr:rowOff>
    </xdr:from>
    <xdr:to>
      <xdr:col>15</xdr:col>
      <xdr:colOff>592666</xdr:colOff>
      <xdr:row>307</xdr:row>
      <xdr:rowOff>84667</xdr:rowOff>
    </xdr:to>
    <xdr:cxnSp macro="">
      <xdr:nvCxnSpPr>
        <xdr:cNvPr id="355" name="Straight Arrow Connector 354">
          <a:extLst>
            <a:ext uri="{FF2B5EF4-FFF2-40B4-BE49-F238E27FC236}">
              <a16:creationId xmlns:a16="http://schemas.microsoft.com/office/drawing/2014/main" id="{00000000-0008-0000-1300-000063010000}"/>
            </a:ext>
          </a:extLst>
        </xdr:cNvPr>
        <xdr:cNvCxnSpPr/>
      </xdr:nvCxnSpPr>
      <xdr:spPr>
        <a:xfrm>
          <a:off x="10530417" y="15451667"/>
          <a:ext cx="603249" cy="25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306</xdr:row>
      <xdr:rowOff>0</xdr:rowOff>
    </xdr:from>
    <xdr:to>
      <xdr:col>16</xdr:col>
      <xdr:colOff>0</xdr:colOff>
      <xdr:row>310</xdr:row>
      <xdr:rowOff>42334</xdr:rowOff>
    </xdr:to>
    <xdr:cxnSp macro="">
      <xdr:nvCxnSpPr>
        <xdr:cNvPr id="356" name="Straight Arrow Connector 355">
          <a:extLst>
            <a:ext uri="{FF2B5EF4-FFF2-40B4-BE49-F238E27FC236}">
              <a16:creationId xmlns:a16="http://schemas.microsoft.com/office/drawing/2014/main" id="{00000000-0008-0000-1300-000064010000}"/>
            </a:ext>
          </a:extLst>
        </xdr:cNvPr>
        <xdr:cNvCxnSpPr/>
      </xdr:nvCxnSpPr>
      <xdr:spPr>
        <a:xfrm>
          <a:off x="10530417" y="15430500"/>
          <a:ext cx="613833" cy="804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317</xdr:row>
      <xdr:rowOff>0</xdr:rowOff>
    </xdr:from>
    <xdr:to>
      <xdr:col>15</xdr:col>
      <xdr:colOff>603250</xdr:colOff>
      <xdr:row>319</xdr:row>
      <xdr:rowOff>1</xdr:rowOff>
    </xdr:to>
    <xdr:cxnSp macro="">
      <xdr:nvCxnSpPr>
        <xdr:cNvPr id="357" name="Straight Arrow Connector 356">
          <a:extLst>
            <a:ext uri="{FF2B5EF4-FFF2-40B4-BE49-F238E27FC236}">
              <a16:creationId xmlns:a16="http://schemas.microsoft.com/office/drawing/2014/main" id="{00000000-0008-0000-1300-000065010000}"/>
            </a:ext>
          </a:extLst>
        </xdr:cNvPr>
        <xdr:cNvCxnSpPr/>
      </xdr:nvCxnSpPr>
      <xdr:spPr>
        <a:xfrm flipV="1">
          <a:off x="10530417" y="177165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319</xdr:row>
      <xdr:rowOff>10584</xdr:rowOff>
    </xdr:from>
    <xdr:to>
      <xdr:col>15</xdr:col>
      <xdr:colOff>592666</xdr:colOff>
      <xdr:row>320</xdr:row>
      <xdr:rowOff>95250</xdr:rowOff>
    </xdr:to>
    <xdr:cxnSp macro="">
      <xdr:nvCxnSpPr>
        <xdr:cNvPr id="358" name="Straight Arrow Connector 357">
          <a:extLst>
            <a:ext uri="{FF2B5EF4-FFF2-40B4-BE49-F238E27FC236}">
              <a16:creationId xmlns:a16="http://schemas.microsoft.com/office/drawing/2014/main" id="{00000000-0008-0000-1300-000066010000}"/>
            </a:ext>
          </a:extLst>
        </xdr:cNvPr>
        <xdr:cNvCxnSpPr/>
      </xdr:nvCxnSpPr>
      <xdr:spPr>
        <a:xfrm>
          <a:off x="10572750" y="181080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319</xdr:row>
      <xdr:rowOff>10584</xdr:rowOff>
    </xdr:from>
    <xdr:to>
      <xdr:col>15</xdr:col>
      <xdr:colOff>560916</xdr:colOff>
      <xdr:row>323</xdr:row>
      <xdr:rowOff>52917</xdr:rowOff>
    </xdr:to>
    <xdr:cxnSp macro="">
      <xdr:nvCxnSpPr>
        <xdr:cNvPr id="359" name="Straight Arrow Connector 358">
          <a:extLst>
            <a:ext uri="{FF2B5EF4-FFF2-40B4-BE49-F238E27FC236}">
              <a16:creationId xmlns:a16="http://schemas.microsoft.com/office/drawing/2014/main" id="{00000000-0008-0000-1300-000067010000}"/>
            </a:ext>
          </a:extLst>
        </xdr:cNvPr>
        <xdr:cNvCxnSpPr/>
      </xdr:nvCxnSpPr>
      <xdr:spPr>
        <a:xfrm>
          <a:off x="10551583" y="181080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319</xdr:row>
      <xdr:rowOff>31750</xdr:rowOff>
    </xdr:from>
    <xdr:to>
      <xdr:col>16</xdr:col>
      <xdr:colOff>21167</xdr:colOff>
      <xdr:row>326</xdr:row>
      <xdr:rowOff>95250</xdr:rowOff>
    </xdr:to>
    <xdr:cxnSp macro="">
      <xdr:nvCxnSpPr>
        <xdr:cNvPr id="360" name="Straight Arrow Connector 359">
          <a:extLst>
            <a:ext uri="{FF2B5EF4-FFF2-40B4-BE49-F238E27FC236}">
              <a16:creationId xmlns:a16="http://schemas.microsoft.com/office/drawing/2014/main" id="{00000000-0008-0000-1300-000068010000}"/>
            </a:ext>
          </a:extLst>
        </xdr:cNvPr>
        <xdr:cNvCxnSpPr/>
      </xdr:nvCxnSpPr>
      <xdr:spPr>
        <a:xfrm>
          <a:off x="10583333" y="181292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333</xdr:row>
      <xdr:rowOff>0</xdr:rowOff>
    </xdr:from>
    <xdr:to>
      <xdr:col>16</xdr:col>
      <xdr:colOff>0</xdr:colOff>
      <xdr:row>333</xdr:row>
      <xdr:rowOff>42334</xdr:rowOff>
    </xdr:to>
    <xdr:cxnSp macro="">
      <xdr:nvCxnSpPr>
        <xdr:cNvPr id="361" name="Straight Arrow Connector 360">
          <a:extLst>
            <a:ext uri="{FF2B5EF4-FFF2-40B4-BE49-F238E27FC236}">
              <a16:creationId xmlns:a16="http://schemas.microsoft.com/office/drawing/2014/main" id="{00000000-0008-0000-1300-000069010000}"/>
            </a:ext>
          </a:extLst>
        </xdr:cNvPr>
        <xdr:cNvCxnSpPr/>
      </xdr:nvCxnSpPr>
      <xdr:spPr>
        <a:xfrm>
          <a:off x="10562166" y="207645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333</xdr:row>
      <xdr:rowOff>21166</xdr:rowOff>
    </xdr:from>
    <xdr:to>
      <xdr:col>15</xdr:col>
      <xdr:colOff>560916</xdr:colOff>
      <xdr:row>336</xdr:row>
      <xdr:rowOff>84667</xdr:rowOff>
    </xdr:to>
    <xdr:cxnSp macro="">
      <xdr:nvCxnSpPr>
        <xdr:cNvPr id="362" name="Straight Arrow Connector 361">
          <a:extLst>
            <a:ext uri="{FF2B5EF4-FFF2-40B4-BE49-F238E27FC236}">
              <a16:creationId xmlns:a16="http://schemas.microsoft.com/office/drawing/2014/main" id="{00000000-0008-0000-1300-00006A010000}"/>
            </a:ext>
          </a:extLst>
        </xdr:cNvPr>
        <xdr:cNvCxnSpPr/>
      </xdr:nvCxnSpPr>
      <xdr:spPr>
        <a:xfrm>
          <a:off x="10615083" y="207856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333</xdr:row>
      <xdr:rowOff>52916</xdr:rowOff>
    </xdr:from>
    <xdr:to>
      <xdr:col>15</xdr:col>
      <xdr:colOff>592666</xdr:colOff>
      <xdr:row>339</xdr:row>
      <xdr:rowOff>63501</xdr:rowOff>
    </xdr:to>
    <xdr:cxnSp macro="">
      <xdr:nvCxnSpPr>
        <xdr:cNvPr id="363" name="Straight Arrow Connector 362">
          <a:extLst>
            <a:ext uri="{FF2B5EF4-FFF2-40B4-BE49-F238E27FC236}">
              <a16:creationId xmlns:a16="http://schemas.microsoft.com/office/drawing/2014/main" id="{00000000-0008-0000-1300-00006B010000}"/>
            </a:ext>
          </a:extLst>
        </xdr:cNvPr>
        <xdr:cNvCxnSpPr/>
      </xdr:nvCxnSpPr>
      <xdr:spPr>
        <a:xfrm>
          <a:off x="10572750" y="208174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330</xdr:row>
      <xdr:rowOff>52917</xdr:rowOff>
    </xdr:from>
    <xdr:to>
      <xdr:col>15</xdr:col>
      <xdr:colOff>603250</xdr:colOff>
      <xdr:row>332</xdr:row>
      <xdr:rowOff>148167</xdr:rowOff>
    </xdr:to>
    <xdr:cxnSp macro="">
      <xdr:nvCxnSpPr>
        <xdr:cNvPr id="364" name="Straight Arrow Connector 363">
          <a:extLst>
            <a:ext uri="{FF2B5EF4-FFF2-40B4-BE49-F238E27FC236}">
              <a16:creationId xmlns:a16="http://schemas.microsoft.com/office/drawing/2014/main" id="{00000000-0008-0000-1300-00006C010000}"/>
            </a:ext>
          </a:extLst>
        </xdr:cNvPr>
        <xdr:cNvCxnSpPr/>
      </xdr:nvCxnSpPr>
      <xdr:spPr>
        <a:xfrm flipV="1">
          <a:off x="10583333" y="202459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698500</xdr:colOff>
      <xdr:row>374</xdr:row>
      <xdr:rowOff>95250</xdr:rowOff>
    </xdr:from>
    <xdr:to>
      <xdr:col>8</xdr:col>
      <xdr:colOff>21167</xdr:colOff>
      <xdr:row>406</xdr:row>
      <xdr:rowOff>148166</xdr:rowOff>
    </xdr:to>
    <xdr:cxnSp macro="">
      <xdr:nvCxnSpPr>
        <xdr:cNvPr id="365" name="Straight Arrow Connector 364">
          <a:extLst>
            <a:ext uri="{FF2B5EF4-FFF2-40B4-BE49-F238E27FC236}">
              <a16:creationId xmlns:a16="http://schemas.microsoft.com/office/drawing/2014/main" id="{00000000-0008-0000-1300-00006D010000}"/>
            </a:ext>
          </a:extLst>
        </xdr:cNvPr>
        <xdr:cNvCxnSpPr/>
      </xdr:nvCxnSpPr>
      <xdr:spPr>
        <a:xfrm>
          <a:off x="5080000" y="28860750"/>
          <a:ext cx="719667" cy="6148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345</xdr:row>
      <xdr:rowOff>137583</xdr:rowOff>
    </xdr:from>
    <xdr:to>
      <xdr:col>9</xdr:col>
      <xdr:colOff>603250</xdr:colOff>
      <xdr:row>351</xdr:row>
      <xdr:rowOff>21166</xdr:rowOff>
    </xdr:to>
    <xdr:cxnSp macro="">
      <xdr:nvCxnSpPr>
        <xdr:cNvPr id="366" name="Straight Arrow Connector 365">
          <a:extLst>
            <a:ext uri="{FF2B5EF4-FFF2-40B4-BE49-F238E27FC236}">
              <a16:creationId xmlns:a16="http://schemas.microsoft.com/office/drawing/2014/main" id="{00000000-0008-0000-1300-00006E010000}"/>
            </a:ext>
          </a:extLst>
        </xdr:cNvPr>
        <xdr:cNvCxnSpPr/>
      </xdr:nvCxnSpPr>
      <xdr:spPr>
        <a:xfrm flipV="1">
          <a:off x="6381750" y="23188083"/>
          <a:ext cx="603250" cy="1026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354</xdr:row>
      <xdr:rowOff>0</xdr:rowOff>
    </xdr:from>
    <xdr:to>
      <xdr:col>9</xdr:col>
      <xdr:colOff>582083</xdr:colOff>
      <xdr:row>362</xdr:row>
      <xdr:rowOff>10583</xdr:rowOff>
    </xdr:to>
    <xdr:cxnSp macro="">
      <xdr:nvCxnSpPr>
        <xdr:cNvPr id="367" name="Straight Arrow Connector 366">
          <a:extLst>
            <a:ext uri="{FF2B5EF4-FFF2-40B4-BE49-F238E27FC236}">
              <a16:creationId xmlns:a16="http://schemas.microsoft.com/office/drawing/2014/main" id="{00000000-0008-0000-1300-00006F010000}"/>
            </a:ext>
          </a:extLst>
        </xdr:cNvPr>
        <xdr:cNvCxnSpPr/>
      </xdr:nvCxnSpPr>
      <xdr:spPr>
        <a:xfrm>
          <a:off x="6413500" y="24765000"/>
          <a:ext cx="550333" cy="1534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21167</xdr:colOff>
      <xdr:row>359</xdr:row>
      <xdr:rowOff>169333</xdr:rowOff>
    </xdr:from>
    <xdr:to>
      <xdr:col>11</xdr:col>
      <xdr:colOff>603250</xdr:colOff>
      <xdr:row>362</xdr:row>
      <xdr:rowOff>21167</xdr:rowOff>
    </xdr:to>
    <xdr:cxnSp macro="">
      <xdr:nvCxnSpPr>
        <xdr:cNvPr id="368" name="Straight Arrow Connector 367">
          <a:extLst>
            <a:ext uri="{FF2B5EF4-FFF2-40B4-BE49-F238E27FC236}">
              <a16:creationId xmlns:a16="http://schemas.microsoft.com/office/drawing/2014/main" id="{00000000-0008-0000-1300-000070010000}"/>
            </a:ext>
          </a:extLst>
        </xdr:cNvPr>
        <xdr:cNvCxnSpPr/>
      </xdr:nvCxnSpPr>
      <xdr:spPr>
        <a:xfrm flipV="1">
          <a:off x="7609417" y="25886833"/>
          <a:ext cx="582083" cy="423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365</xdr:row>
      <xdr:rowOff>42333</xdr:rowOff>
    </xdr:from>
    <xdr:to>
      <xdr:col>11</xdr:col>
      <xdr:colOff>603250</xdr:colOff>
      <xdr:row>377</xdr:row>
      <xdr:rowOff>10583</xdr:rowOff>
    </xdr:to>
    <xdr:cxnSp macro="">
      <xdr:nvCxnSpPr>
        <xdr:cNvPr id="369" name="Straight Arrow Connector 368">
          <a:extLst>
            <a:ext uri="{FF2B5EF4-FFF2-40B4-BE49-F238E27FC236}">
              <a16:creationId xmlns:a16="http://schemas.microsoft.com/office/drawing/2014/main" id="{00000000-0008-0000-1300-000071010000}"/>
            </a:ext>
          </a:extLst>
        </xdr:cNvPr>
        <xdr:cNvCxnSpPr/>
      </xdr:nvCxnSpPr>
      <xdr:spPr>
        <a:xfrm>
          <a:off x="7598834" y="269028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355</xdr:row>
      <xdr:rowOff>21167</xdr:rowOff>
    </xdr:from>
    <xdr:to>
      <xdr:col>13</xdr:col>
      <xdr:colOff>592667</xdr:colOff>
      <xdr:row>357</xdr:row>
      <xdr:rowOff>0</xdr:rowOff>
    </xdr:to>
    <xdr:cxnSp macro="">
      <xdr:nvCxnSpPr>
        <xdr:cNvPr id="370" name="Straight Arrow Connector 369">
          <a:extLst>
            <a:ext uri="{FF2B5EF4-FFF2-40B4-BE49-F238E27FC236}">
              <a16:creationId xmlns:a16="http://schemas.microsoft.com/office/drawing/2014/main" id="{00000000-0008-0000-1300-000072010000}"/>
            </a:ext>
          </a:extLst>
        </xdr:cNvPr>
        <xdr:cNvCxnSpPr/>
      </xdr:nvCxnSpPr>
      <xdr:spPr>
        <a:xfrm flipV="1">
          <a:off x="8794750" y="249766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375</xdr:row>
      <xdr:rowOff>21167</xdr:rowOff>
    </xdr:from>
    <xdr:to>
      <xdr:col>13</xdr:col>
      <xdr:colOff>592667</xdr:colOff>
      <xdr:row>377</xdr:row>
      <xdr:rowOff>63500</xdr:rowOff>
    </xdr:to>
    <xdr:cxnSp macro="">
      <xdr:nvCxnSpPr>
        <xdr:cNvPr id="372" name="Straight Arrow Connector 371">
          <a:extLst>
            <a:ext uri="{FF2B5EF4-FFF2-40B4-BE49-F238E27FC236}">
              <a16:creationId xmlns:a16="http://schemas.microsoft.com/office/drawing/2014/main" id="{00000000-0008-0000-1300-000074010000}"/>
            </a:ext>
          </a:extLst>
        </xdr:cNvPr>
        <xdr:cNvCxnSpPr/>
      </xdr:nvCxnSpPr>
      <xdr:spPr>
        <a:xfrm flipV="1">
          <a:off x="8794750" y="289771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380</xdr:row>
      <xdr:rowOff>0</xdr:rowOff>
    </xdr:from>
    <xdr:to>
      <xdr:col>14</xdr:col>
      <xdr:colOff>10584</xdr:colOff>
      <xdr:row>388</xdr:row>
      <xdr:rowOff>148167</xdr:rowOff>
    </xdr:to>
    <xdr:cxnSp macro="">
      <xdr:nvCxnSpPr>
        <xdr:cNvPr id="373" name="Straight Arrow Connector 372">
          <a:extLst>
            <a:ext uri="{FF2B5EF4-FFF2-40B4-BE49-F238E27FC236}">
              <a16:creationId xmlns:a16="http://schemas.microsoft.com/office/drawing/2014/main" id="{00000000-0008-0000-1300-000075010000}"/>
            </a:ext>
          </a:extLst>
        </xdr:cNvPr>
        <xdr:cNvCxnSpPr/>
      </xdr:nvCxnSpPr>
      <xdr:spPr>
        <a:xfrm>
          <a:off x="8805333" y="299085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347</xdr:row>
      <xdr:rowOff>0</xdr:rowOff>
    </xdr:from>
    <xdr:to>
      <xdr:col>15</xdr:col>
      <xdr:colOff>603250</xdr:colOff>
      <xdr:row>352</xdr:row>
      <xdr:rowOff>31750</xdr:rowOff>
    </xdr:to>
    <xdr:cxnSp macro="">
      <xdr:nvCxnSpPr>
        <xdr:cNvPr id="374" name="Straight Arrow Connector 373">
          <a:extLst>
            <a:ext uri="{FF2B5EF4-FFF2-40B4-BE49-F238E27FC236}">
              <a16:creationId xmlns:a16="http://schemas.microsoft.com/office/drawing/2014/main" id="{00000000-0008-0000-1300-000076010000}"/>
            </a:ext>
          </a:extLst>
        </xdr:cNvPr>
        <xdr:cNvCxnSpPr/>
      </xdr:nvCxnSpPr>
      <xdr:spPr>
        <a:xfrm flipV="1">
          <a:off x="10541000" y="23431500"/>
          <a:ext cx="603250" cy="984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350</xdr:row>
      <xdr:rowOff>52917</xdr:rowOff>
    </xdr:from>
    <xdr:to>
      <xdr:col>15</xdr:col>
      <xdr:colOff>603250</xdr:colOff>
      <xdr:row>352</xdr:row>
      <xdr:rowOff>95250</xdr:rowOff>
    </xdr:to>
    <xdr:cxnSp macro="">
      <xdr:nvCxnSpPr>
        <xdr:cNvPr id="375" name="Straight Arrow Connector 374">
          <a:extLst>
            <a:ext uri="{FF2B5EF4-FFF2-40B4-BE49-F238E27FC236}">
              <a16:creationId xmlns:a16="http://schemas.microsoft.com/office/drawing/2014/main" id="{00000000-0008-0000-1300-000077010000}"/>
            </a:ext>
          </a:extLst>
        </xdr:cNvPr>
        <xdr:cNvCxnSpPr/>
      </xdr:nvCxnSpPr>
      <xdr:spPr>
        <a:xfrm flipV="1">
          <a:off x="10583333" y="24055917"/>
          <a:ext cx="56091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352</xdr:row>
      <xdr:rowOff>158750</xdr:rowOff>
    </xdr:from>
    <xdr:to>
      <xdr:col>15</xdr:col>
      <xdr:colOff>582083</xdr:colOff>
      <xdr:row>353</xdr:row>
      <xdr:rowOff>137583</xdr:rowOff>
    </xdr:to>
    <xdr:cxnSp macro="">
      <xdr:nvCxnSpPr>
        <xdr:cNvPr id="376" name="Straight Arrow Connector 375">
          <a:extLst>
            <a:ext uri="{FF2B5EF4-FFF2-40B4-BE49-F238E27FC236}">
              <a16:creationId xmlns:a16="http://schemas.microsoft.com/office/drawing/2014/main" id="{00000000-0008-0000-1300-000078010000}"/>
            </a:ext>
          </a:extLst>
        </xdr:cNvPr>
        <xdr:cNvCxnSpPr/>
      </xdr:nvCxnSpPr>
      <xdr:spPr>
        <a:xfrm>
          <a:off x="10604500" y="24542750"/>
          <a:ext cx="518583" cy="169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1121834</xdr:colOff>
      <xdr:row>352</xdr:row>
      <xdr:rowOff>105834</xdr:rowOff>
    </xdr:from>
    <xdr:to>
      <xdr:col>16</xdr:col>
      <xdr:colOff>0</xdr:colOff>
      <xdr:row>356</xdr:row>
      <xdr:rowOff>84667</xdr:rowOff>
    </xdr:to>
    <xdr:cxnSp macro="">
      <xdr:nvCxnSpPr>
        <xdr:cNvPr id="377" name="Straight Arrow Connector 376">
          <a:extLst>
            <a:ext uri="{FF2B5EF4-FFF2-40B4-BE49-F238E27FC236}">
              <a16:creationId xmlns:a16="http://schemas.microsoft.com/office/drawing/2014/main" id="{00000000-0008-0000-1300-000079010000}"/>
            </a:ext>
          </a:extLst>
        </xdr:cNvPr>
        <xdr:cNvCxnSpPr/>
      </xdr:nvCxnSpPr>
      <xdr:spPr>
        <a:xfrm>
          <a:off x="10519834" y="24489834"/>
          <a:ext cx="624416"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360</xdr:row>
      <xdr:rowOff>52916</xdr:rowOff>
    </xdr:from>
    <xdr:to>
      <xdr:col>16</xdr:col>
      <xdr:colOff>0</xdr:colOff>
      <xdr:row>362</xdr:row>
      <xdr:rowOff>0</xdr:rowOff>
    </xdr:to>
    <xdr:cxnSp macro="">
      <xdr:nvCxnSpPr>
        <xdr:cNvPr id="378" name="Straight Arrow Connector 377">
          <a:extLst>
            <a:ext uri="{FF2B5EF4-FFF2-40B4-BE49-F238E27FC236}">
              <a16:creationId xmlns:a16="http://schemas.microsoft.com/office/drawing/2014/main" id="{00000000-0008-0000-1300-00007A010000}"/>
            </a:ext>
          </a:extLst>
        </xdr:cNvPr>
        <xdr:cNvCxnSpPr/>
      </xdr:nvCxnSpPr>
      <xdr:spPr>
        <a:xfrm flipV="1">
          <a:off x="10541000" y="259609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362</xdr:row>
      <xdr:rowOff>21167</xdr:rowOff>
    </xdr:from>
    <xdr:to>
      <xdr:col>15</xdr:col>
      <xdr:colOff>582083</xdr:colOff>
      <xdr:row>363</xdr:row>
      <xdr:rowOff>42333</xdr:rowOff>
    </xdr:to>
    <xdr:cxnSp macro="">
      <xdr:nvCxnSpPr>
        <xdr:cNvPr id="379" name="Straight Arrow Connector 378">
          <a:extLst>
            <a:ext uri="{FF2B5EF4-FFF2-40B4-BE49-F238E27FC236}">
              <a16:creationId xmlns:a16="http://schemas.microsoft.com/office/drawing/2014/main" id="{00000000-0008-0000-1300-00007B010000}"/>
            </a:ext>
          </a:extLst>
        </xdr:cNvPr>
        <xdr:cNvCxnSpPr/>
      </xdr:nvCxnSpPr>
      <xdr:spPr>
        <a:xfrm>
          <a:off x="10551583" y="26310167"/>
          <a:ext cx="571500" cy="211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362</xdr:row>
      <xdr:rowOff>21167</xdr:rowOff>
    </xdr:from>
    <xdr:to>
      <xdr:col>16</xdr:col>
      <xdr:colOff>42333</xdr:colOff>
      <xdr:row>367</xdr:row>
      <xdr:rowOff>21168</xdr:rowOff>
    </xdr:to>
    <xdr:cxnSp macro="">
      <xdr:nvCxnSpPr>
        <xdr:cNvPr id="380" name="Straight Arrow Connector 379">
          <a:extLst>
            <a:ext uri="{FF2B5EF4-FFF2-40B4-BE49-F238E27FC236}">
              <a16:creationId xmlns:a16="http://schemas.microsoft.com/office/drawing/2014/main" id="{00000000-0008-0000-1300-00007C010000}"/>
            </a:ext>
          </a:extLst>
        </xdr:cNvPr>
        <xdr:cNvCxnSpPr/>
      </xdr:nvCxnSpPr>
      <xdr:spPr>
        <a:xfrm>
          <a:off x="10530417" y="26310167"/>
          <a:ext cx="656166" cy="9525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362</xdr:row>
      <xdr:rowOff>31750</xdr:rowOff>
    </xdr:from>
    <xdr:to>
      <xdr:col>16</xdr:col>
      <xdr:colOff>42334</xdr:colOff>
      <xdr:row>369</xdr:row>
      <xdr:rowOff>63501</xdr:rowOff>
    </xdr:to>
    <xdr:cxnSp macro="">
      <xdr:nvCxnSpPr>
        <xdr:cNvPr id="381" name="Straight Arrow Connector 380">
          <a:extLst>
            <a:ext uri="{FF2B5EF4-FFF2-40B4-BE49-F238E27FC236}">
              <a16:creationId xmlns:a16="http://schemas.microsoft.com/office/drawing/2014/main" id="{00000000-0008-0000-1300-00007D010000}"/>
            </a:ext>
          </a:extLst>
        </xdr:cNvPr>
        <xdr:cNvCxnSpPr/>
      </xdr:nvCxnSpPr>
      <xdr:spPr>
        <a:xfrm>
          <a:off x="10541000" y="26320750"/>
          <a:ext cx="645584"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10583</xdr:colOff>
      <xdr:row>399</xdr:row>
      <xdr:rowOff>42333</xdr:rowOff>
    </xdr:from>
    <xdr:to>
      <xdr:col>9</xdr:col>
      <xdr:colOff>592666</xdr:colOff>
      <xdr:row>407</xdr:row>
      <xdr:rowOff>42333</xdr:rowOff>
    </xdr:to>
    <xdr:cxnSp macro="">
      <xdr:nvCxnSpPr>
        <xdr:cNvPr id="382" name="Straight Arrow Connector 381">
          <a:extLst>
            <a:ext uri="{FF2B5EF4-FFF2-40B4-BE49-F238E27FC236}">
              <a16:creationId xmlns:a16="http://schemas.microsoft.com/office/drawing/2014/main" id="{00000000-0008-0000-1300-00007E010000}"/>
            </a:ext>
          </a:extLst>
        </xdr:cNvPr>
        <xdr:cNvCxnSpPr/>
      </xdr:nvCxnSpPr>
      <xdr:spPr>
        <a:xfrm flipV="1">
          <a:off x="6392333" y="33570333"/>
          <a:ext cx="582083" cy="152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409</xdr:row>
      <xdr:rowOff>169334</xdr:rowOff>
    </xdr:from>
    <xdr:to>
      <xdr:col>9</xdr:col>
      <xdr:colOff>603250</xdr:colOff>
      <xdr:row>418</xdr:row>
      <xdr:rowOff>31750</xdr:rowOff>
    </xdr:to>
    <xdr:cxnSp macro="">
      <xdr:nvCxnSpPr>
        <xdr:cNvPr id="383" name="Straight Arrow Connector 382">
          <a:extLst>
            <a:ext uri="{FF2B5EF4-FFF2-40B4-BE49-F238E27FC236}">
              <a16:creationId xmlns:a16="http://schemas.microsoft.com/office/drawing/2014/main" id="{00000000-0008-0000-1300-00007F010000}"/>
            </a:ext>
          </a:extLst>
        </xdr:cNvPr>
        <xdr:cNvCxnSpPr/>
      </xdr:nvCxnSpPr>
      <xdr:spPr>
        <a:xfrm>
          <a:off x="6413500" y="35602334"/>
          <a:ext cx="571500" cy="1576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571500</xdr:colOff>
      <xdr:row>415</xdr:row>
      <xdr:rowOff>158750</xdr:rowOff>
    </xdr:from>
    <xdr:to>
      <xdr:col>11</xdr:col>
      <xdr:colOff>571500</xdr:colOff>
      <xdr:row>418</xdr:row>
      <xdr:rowOff>0</xdr:rowOff>
    </xdr:to>
    <xdr:cxnSp macro="">
      <xdr:nvCxnSpPr>
        <xdr:cNvPr id="384" name="Straight Arrow Connector 383">
          <a:extLst>
            <a:ext uri="{FF2B5EF4-FFF2-40B4-BE49-F238E27FC236}">
              <a16:creationId xmlns:a16="http://schemas.microsoft.com/office/drawing/2014/main" id="{00000000-0008-0000-1300-000080010000}"/>
            </a:ext>
          </a:extLst>
        </xdr:cNvPr>
        <xdr:cNvCxnSpPr/>
      </xdr:nvCxnSpPr>
      <xdr:spPr>
        <a:xfrm flipV="1">
          <a:off x="7556500" y="36734750"/>
          <a:ext cx="603250" cy="412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375</xdr:row>
      <xdr:rowOff>10584</xdr:rowOff>
    </xdr:from>
    <xdr:to>
      <xdr:col>15</xdr:col>
      <xdr:colOff>592666</xdr:colOff>
      <xdr:row>376</xdr:row>
      <xdr:rowOff>95250</xdr:rowOff>
    </xdr:to>
    <xdr:cxnSp macro="">
      <xdr:nvCxnSpPr>
        <xdr:cNvPr id="386" name="Straight Arrow Connector 385">
          <a:extLst>
            <a:ext uri="{FF2B5EF4-FFF2-40B4-BE49-F238E27FC236}">
              <a16:creationId xmlns:a16="http://schemas.microsoft.com/office/drawing/2014/main" id="{00000000-0008-0000-1300-000082010000}"/>
            </a:ext>
          </a:extLst>
        </xdr:cNvPr>
        <xdr:cNvCxnSpPr/>
      </xdr:nvCxnSpPr>
      <xdr:spPr>
        <a:xfrm>
          <a:off x="10572750" y="289665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375</xdr:row>
      <xdr:rowOff>10584</xdr:rowOff>
    </xdr:from>
    <xdr:to>
      <xdr:col>15</xdr:col>
      <xdr:colOff>560916</xdr:colOff>
      <xdr:row>379</xdr:row>
      <xdr:rowOff>52917</xdr:rowOff>
    </xdr:to>
    <xdr:cxnSp macro="">
      <xdr:nvCxnSpPr>
        <xdr:cNvPr id="387" name="Straight Arrow Connector 386">
          <a:extLst>
            <a:ext uri="{FF2B5EF4-FFF2-40B4-BE49-F238E27FC236}">
              <a16:creationId xmlns:a16="http://schemas.microsoft.com/office/drawing/2014/main" id="{00000000-0008-0000-1300-000083010000}"/>
            </a:ext>
          </a:extLst>
        </xdr:cNvPr>
        <xdr:cNvCxnSpPr/>
      </xdr:nvCxnSpPr>
      <xdr:spPr>
        <a:xfrm>
          <a:off x="10551583" y="289665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375</xdr:row>
      <xdr:rowOff>31750</xdr:rowOff>
    </xdr:from>
    <xdr:to>
      <xdr:col>16</xdr:col>
      <xdr:colOff>21167</xdr:colOff>
      <xdr:row>382</xdr:row>
      <xdr:rowOff>95250</xdr:rowOff>
    </xdr:to>
    <xdr:cxnSp macro="">
      <xdr:nvCxnSpPr>
        <xdr:cNvPr id="388" name="Straight Arrow Connector 387">
          <a:extLst>
            <a:ext uri="{FF2B5EF4-FFF2-40B4-BE49-F238E27FC236}">
              <a16:creationId xmlns:a16="http://schemas.microsoft.com/office/drawing/2014/main" id="{00000000-0008-0000-1300-000084010000}"/>
            </a:ext>
          </a:extLst>
        </xdr:cNvPr>
        <xdr:cNvCxnSpPr/>
      </xdr:nvCxnSpPr>
      <xdr:spPr>
        <a:xfrm>
          <a:off x="10583333" y="289877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389</xdr:row>
      <xdr:rowOff>0</xdr:rowOff>
    </xdr:from>
    <xdr:to>
      <xdr:col>16</xdr:col>
      <xdr:colOff>0</xdr:colOff>
      <xdr:row>389</xdr:row>
      <xdr:rowOff>42334</xdr:rowOff>
    </xdr:to>
    <xdr:cxnSp macro="">
      <xdr:nvCxnSpPr>
        <xdr:cNvPr id="389" name="Straight Arrow Connector 388">
          <a:extLst>
            <a:ext uri="{FF2B5EF4-FFF2-40B4-BE49-F238E27FC236}">
              <a16:creationId xmlns:a16="http://schemas.microsoft.com/office/drawing/2014/main" id="{00000000-0008-0000-1300-000085010000}"/>
            </a:ext>
          </a:extLst>
        </xdr:cNvPr>
        <xdr:cNvCxnSpPr/>
      </xdr:nvCxnSpPr>
      <xdr:spPr>
        <a:xfrm>
          <a:off x="10562166" y="316230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389</xdr:row>
      <xdr:rowOff>21166</xdr:rowOff>
    </xdr:from>
    <xdr:to>
      <xdr:col>15</xdr:col>
      <xdr:colOff>560916</xdr:colOff>
      <xdr:row>392</xdr:row>
      <xdr:rowOff>84667</xdr:rowOff>
    </xdr:to>
    <xdr:cxnSp macro="">
      <xdr:nvCxnSpPr>
        <xdr:cNvPr id="390" name="Straight Arrow Connector 389">
          <a:extLst>
            <a:ext uri="{FF2B5EF4-FFF2-40B4-BE49-F238E27FC236}">
              <a16:creationId xmlns:a16="http://schemas.microsoft.com/office/drawing/2014/main" id="{00000000-0008-0000-1300-000086010000}"/>
            </a:ext>
          </a:extLst>
        </xdr:cNvPr>
        <xdr:cNvCxnSpPr/>
      </xdr:nvCxnSpPr>
      <xdr:spPr>
        <a:xfrm>
          <a:off x="10615083" y="316441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389</xdr:row>
      <xdr:rowOff>52916</xdr:rowOff>
    </xdr:from>
    <xdr:to>
      <xdr:col>15</xdr:col>
      <xdr:colOff>592666</xdr:colOff>
      <xdr:row>395</xdr:row>
      <xdr:rowOff>63501</xdr:rowOff>
    </xdr:to>
    <xdr:cxnSp macro="">
      <xdr:nvCxnSpPr>
        <xdr:cNvPr id="391" name="Straight Arrow Connector 390">
          <a:extLst>
            <a:ext uri="{FF2B5EF4-FFF2-40B4-BE49-F238E27FC236}">
              <a16:creationId xmlns:a16="http://schemas.microsoft.com/office/drawing/2014/main" id="{00000000-0008-0000-1300-000087010000}"/>
            </a:ext>
          </a:extLst>
        </xdr:cNvPr>
        <xdr:cNvCxnSpPr/>
      </xdr:nvCxnSpPr>
      <xdr:spPr>
        <a:xfrm>
          <a:off x="10572750" y="316759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403</xdr:row>
      <xdr:rowOff>116416</xdr:rowOff>
    </xdr:from>
    <xdr:to>
      <xdr:col>15</xdr:col>
      <xdr:colOff>592666</xdr:colOff>
      <xdr:row>406</xdr:row>
      <xdr:rowOff>158750</xdr:rowOff>
    </xdr:to>
    <xdr:cxnSp macro="">
      <xdr:nvCxnSpPr>
        <xdr:cNvPr id="392" name="Straight Arrow Connector 391">
          <a:extLst>
            <a:ext uri="{FF2B5EF4-FFF2-40B4-BE49-F238E27FC236}">
              <a16:creationId xmlns:a16="http://schemas.microsoft.com/office/drawing/2014/main" id="{00000000-0008-0000-1300-000088010000}"/>
            </a:ext>
          </a:extLst>
        </xdr:cNvPr>
        <xdr:cNvCxnSpPr/>
      </xdr:nvCxnSpPr>
      <xdr:spPr>
        <a:xfrm flipV="1">
          <a:off x="10562166" y="34406416"/>
          <a:ext cx="571500" cy="613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405</xdr:row>
      <xdr:rowOff>95250</xdr:rowOff>
    </xdr:from>
    <xdr:to>
      <xdr:col>15</xdr:col>
      <xdr:colOff>582083</xdr:colOff>
      <xdr:row>407</xdr:row>
      <xdr:rowOff>52917</xdr:rowOff>
    </xdr:to>
    <xdr:cxnSp macro="">
      <xdr:nvCxnSpPr>
        <xdr:cNvPr id="393" name="Straight Arrow Connector 392">
          <a:extLst>
            <a:ext uri="{FF2B5EF4-FFF2-40B4-BE49-F238E27FC236}">
              <a16:creationId xmlns:a16="http://schemas.microsoft.com/office/drawing/2014/main" id="{00000000-0008-0000-1300-000089010000}"/>
            </a:ext>
          </a:extLst>
        </xdr:cNvPr>
        <xdr:cNvCxnSpPr/>
      </xdr:nvCxnSpPr>
      <xdr:spPr>
        <a:xfrm flipV="1">
          <a:off x="10604500" y="34766250"/>
          <a:ext cx="518583" cy="338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407</xdr:row>
      <xdr:rowOff>116417</xdr:rowOff>
    </xdr:from>
    <xdr:to>
      <xdr:col>15</xdr:col>
      <xdr:colOff>592666</xdr:colOff>
      <xdr:row>411</xdr:row>
      <xdr:rowOff>95250</xdr:rowOff>
    </xdr:to>
    <xdr:cxnSp macro="">
      <xdr:nvCxnSpPr>
        <xdr:cNvPr id="394" name="Straight Arrow Connector 393">
          <a:extLst>
            <a:ext uri="{FF2B5EF4-FFF2-40B4-BE49-F238E27FC236}">
              <a16:creationId xmlns:a16="http://schemas.microsoft.com/office/drawing/2014/main" id="{00000000-0008-0000-1300-00008A010000}"/>
            </a:ext>
          </a:extLst>
        </xdr:cNvPr>
        <xdr:cNvCxnSpPr/>
      </xdr:nvCxnSpPr>
      <xdr:spPr>
        <a:xfrm>
          <a:off x="10593916" y="35168417"/>
          <a:ext cx="53975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418</xdr:row>
      <xdr:rowOff>116416</xdr:rowOff>
    </xdr:from>
    <xdr:to>
      <xdr:col>16</xdr:col>
      <xdr:colOff>0</xdr:colOff>
      <xdr:row>425</xdr:row>
      <xdr:rowOff>74084</xdr:rowOff>
    </xdr:to>
    <xdr:cxnSp macro="">
      <xdr:nvCxnSpPr>
        <xdr:cNvPr id="395" name="Straight Arrow Connector 394">
          <a:extLst>
            <a:ext uri="{FF2B5EF4-FFF2-40B4-BE49-F238E27FC236}">
              <a16:creationId xmlns:a16="http://schemas.microsoft.com/office/drawing/2014/main" id="{00000000-0008-0000-1300-00008B010000}"/>
            </a:ext>
          </a:extLst>
        </xdr:cNvPr>
        <xdr:cNvCxnSpPr/>
      </xdr:nvCxnSpPr>
      <xdr:spPr>
        <a:xfrm>
          <a:off x="10572750" y="37263916"/>
          <a:ext cx="571500" cy="12911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386</xdr:row>
      <xdr:rowOff>52917</xdr:rowOff>
    </xdr:from>
    <xdr:to>
      <xdr:col>15</xdr:col>
      <xdr:colOff>603250</xdr:colOff>
      <xdr:row>388</xdr:row>
      <xdr:rowOff>148167</xdr:rowOff>
    </xdr:to>
    <xdr:cxnSp macro="">
      <xdr:nvCxnSpPr>
        <xdr:cNvPr id="396" name="Straight Arrow Connector 395">
          <a:extLst>
            <a:ext uri="{FF2B5EF4-FFF2-40B4-BE49-F238E27FC236}">
              <a16:creationId xmlns:a16="http://schemas.microsoft.com/office/drawing/2014/main" id="{00000000-0008-0000-1300-00008C010000}"/>
            </a:ext>
          </a:extLst>
        </xdr:cNvPr>
        <xdr:cNvCxnSpPr/>
      </xdr:nvCxnSpPr>
      <xdr:spPr>
        <a:xfrm flipV="1">
          <a:off x="10583333" y="311044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421</xdr:row>
      <xdr:rowOff>42333</xdr:rowOff>
    </xdr:from>
    <xdr:to>
      <xdr:col>11</xdr:col>
      <xdr:colOff>603250</xdr:colOff>
      <xdr:row>433</xdr:row>
      <xdr:rowOff>10583</xdr:rowOff>
    </xdr:to>
    <xdr:cxnSp macro="">
      <xdr:nvCxnSpPr>
        <xdr:cNvPr id="397" name="Straight Arrow Connector 396">
          <a:extLst>
            <a:ext uri="{FF2B5EF4-FFF2-40B4-BE49-F238E27FC236}">
              <a16:creationId xmlns:a16="http://schemas.microsoft.com/office/drawing/2014/main" id="{00000000-0008-0000-1300-00008D010000}"/>
            </a:ext>
          </a:extLst>
        </xdr:cNvPr>
        <xdr:cNvCxnSpPr/>
      </xdr:nvCxnSpPr>
      <xdr:spPr>
        <a:xfrm>
          <a:off x="7598834" y="377613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411</xdr:row>
      <xdr:rowOff>21167</xdr:rowOff>
    </xdr:from>
    <xdr:to>
      <xdr:col>13</xdr:col>
      <xdr:colOff>592667</xdr:colOff>
      <xdr:row>413</xdr:row>
      <xdr:rowOff>0</xdr:rowOff>
    </xdr:to>
    <xdr:cxnSp macro="">
      <xdr:nvCxnSpPr>
        <xdr:cNvPr id="398" name="Straight Arrow Connector 397">
          <a:extLst>
            <a:ext uri="{FF2B5EF4-FFF2-40B4-BE49-F238E27FC236}">
              <a16:creationId xmlns:a16="http://schemas.microsoft.com/office/drawing/2014/main" id="{00000000-0008-0000-1300-00008E010000}"/>
            </a:ext>
          </a:extLst>
        </xdr:cNvPr>
        <xdr:cNvCxnSpPr/>
      </xdr:nvCxnSpPr>
      <xdr:spPr>
        <a:xfrm flipV="1">
          <a:off x="8794750" y="358351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416</xdr:row>
      <xdr:rowOff>21166</xdr:rowOff>
    </xdr:from>
    <xdr:to>
      <xdr:col>13</xdr:col>
      <xdr:colOff>592667</xdr:colOff>
      <xdr:row>417</xdr:row>
      <xdr:rowOff>169334</xdr:rowOff>
    </xdr:to>
    <xdr:cxnSp macro="">
      <xdr:nvCxnSpPr>
        <xdr:cNvPr id="399" name="Straight Arrow Connector 398">
          <a:extLst>
            <a:ext uri="{FF2B5EF4-FFF2-40B4-BE49-F238E27FC236}">
              <a16:creationId xmlns:a16="http://schemas.microsoft.com/office/drawing/2014/main" id="{00000000-0008-0000-1300-00008F010000}"/>
            </a:ext>
          </a:extLst>
        </xdr:cNvPr>
        <xdr:cNvCxnSpPr/>
      </xdr:nvCxnSpPr>
      <xdr:spPr>
        <a:xfrm>
          <a:off x="8784166" y="367876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431</xdr:row>
      <xdr:rowOff>21167</xdr:rowOff>
    </xdr:from>
    <xdr:to>
      <xdr:col>13</xdr:col>
      <xdr:colOff>592667</xdr:colOff>
      <xdr:row>433</xdr:row>
      <xdr:rowOff>63500</xdr:rowOff>
    </xdr:to>
    <xdr:cxnSp macro="">
      <xdr:nvCxnSpPr>
        <xdr:cNvPr id="400" name="Straight Arrow Connector 399">
          <a:extLst>
            <a:ext uri="{FF2B5EF4-FFF2-40B4-BE49-F238E27FC236}">
              <a16:creationId xmlns:a16="http://schemas.microsoft.com/office/drawing/2014/main" id="{00000000-0008-0000-1300-000090010000}"/>
            </a:ext>
          </a:extLst>
        </xdr:cNvPr>
        <xdr:cNvCxnSpPr/>
      </xdr:nvCxnSpPr>
      <xdr:spPr>
        <a:xfrm flipV="1">
          <a:off x="8794750" y="398356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436</xdr:row>
      <xdr:rowOff>0</xdr:rowOff>
    </xdr:from>
    <xdr:to>
      <xdr:col>14</xdr:col>
      <xdr:colOff>10584</xdr:colOff>
      <xdr:row>444</xdr:row>
      <xdr:rowOff>148167</xdr:rowOff>
    </xdr:to>
    <xdr:cxnSp macro="">
      <xdr:nvCxnSpPr>
        <xdr:cNvPr id="401" name="Straight Arrow Connector 400">
          <a:extLst>
            <a:ext uri="{FF2B5EF4-FFF2-40B4-BE49-F238E27FC236}">
              <a16:creationId xmlns:a16="http://schemas.microsoft.com/office/drawing/2014/main" id="{00000000-0008-0000-1300-000091010000}"/>
            </a:ext>
          </a:extLst>
        </xdr:cNvPr>
        <xdr:cNvCxnSpPr/>
      </xdr:nvCxnSpPr>
      <xdr:spPr>
        <a:xfrm>
          <a:off x="8805333" y="407670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407</xdr:row>
      <xdr:rowOff>95250</xdr:rowOff>
    </xdr:from>
    <xdr:to>
      <xdr:col>15</xdr:col>
      <xdr:colOff>582083</xdr:colOff>
      <xdr:row>409</xdr:row>
      <xdr:rowOff>137583</xdr:rowOff>
    </xdr:to>
    <xdr:cxnSp macro="">
      <xdr:nvCxnSpPr>
        <xdr:cNvPr id="402" name="Straight Arrow Connector 401">
          <a:extLst>
            <a:ext uri="{FF2B5EF4-FFF2-40B4-BE49-F238E27FC236}">
              <a16:creationId xmlns:a16="http://schemas.microsoft.com/office/drawing/2014/main" id="{00000000-0008-0000-1300-000092010000}"/>
            </a:ext>
          </a:extLst>
        </xdr:cNvPr>
        <xdr:cNvCxnSpPr/>
      </xdr:nvCxnSpPr>
      <xdr:spPr>
        <a:xfrm>
          <a:off x="10593916" y="35147250"/>
          <a:ext cx="5291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416</xdr:row>
      <xdr:rowOff>52916</xdr:rowOff>
    </xdr:from>
    <xdr:to>
      <xdr:col>16</xdr:col>
      <xdr:colOff>0</xdr:colOff>
      <xdr:row>418</xdr:row>
      <xdr:rowOff>0</xdr:rowOff>
    </xdr:to>
    <xdr:cxnSp macro="">
      <xdr:nvCxnSpPr>
        <xdr:cNvPr id="403" name="Straight Arrow Connector 402">
          <a:extLst>
            <a:ext uri="{FF2B5EF4-FFF2-40B4-BE49-F238E27FC236}">
              <a16:creationId xmlns:a16="http://schemas.microsoft.com/office/drawing/2014/main" id="{00000000-0008-0000-1300-000093010000}"/>
            </a:ext>
          </a:extLst>
        </xdr:cNvPr>
        <xdr:cNvCxnSpPr/>
      </xdr:nvCxnSpPr>
      <xdr:spPr>
        <a:xfrm flipV="1">
          <a:off x="10541000" y="368194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418</xdr:row>
      <xdr:rowOff>21167</xdr:rowOff>
    </xdr:from>
    <xdr:to>
      <xdr:col>15</xdr:col>
      <xdr:colOff>592666</xdr:colOff>
      <xdr:row>419</xdr:row>
      <xdr:rowOff>84667</xdr:rowOff>
    </xdr:to>
    <xdr:cxnSp macro="">
      <xdr:nvCxnSpPr>
        <xdr:cNvPr id="404" name="Straight Arrow Connector 403">
          <a:extLst>
            <a:ext uri="{FF2B5EF4-FFF2-40B4-BE49-F238E27FC236}">
              <a16:creationId xmlns:a16="http://schemas.microsoft.com/office/drawing/2014/main" id="{00000000-0008-0000-1300-000094010000}"/>
            </a:ext>
          </a:extLst>
        </xdr:cNvPr>
        <xdr:cNvCxnSpPr/>
      </xdr:nvCxnSpPr>
      <xdr:spPr>
        <a:xfrm>
          <a:off x="10530417" y="37168667"/>
          <a:ext cx="603249" cy="25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418</xdr:row>
      <xdr:rowOff>0</xdr:rowOff>
    </xdr:from>
    <xdr:to>
      <xdr:col>16</xdr:col>
      <xdr:colOff>0</xdr:colOff>
      <xdr:row>422</xdr:row>
      <xdr:rowOff>42334</xdr:rowOff>
    </xdr:to>
    <xdr:cxnSp macro="">
      <xdr:nvCxnSpPr>
        <xdr:cNvPr id="405" name="Straight Arrow Connector 404">
          <a:extLst>
            <a:ext uri="{FF2B5EF4-FFF2-40B4-BE49-F238E27FC236}">
              <a16:creationId xmlns:a16="http://schemas.microsoft.com/office/drawing/2014/main" id="{00000000-0008-0000-1300-000095010000}"/>
            </a:ext>
          </a:extLst>
        </xdr:cNvPr>
        <xdr:cNvCxnSpPr/>
      </xdr:nvCxnSpPr>
      <xdr:spPr>
        <a:xfrm>
          <a:off x="10530417" y="37147500"/>
          <a:ext cx="613833" cy="804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431</xdr:row>
      <xdr:rowOff>10584</xdr:rowOff>
    </xdr:from>
    <xdr:to>
      <xdr:col>15</xdr:col>
      <xdr:colOff>592666</xdr:colOff>
      <xdr:row>432</xdr:row>
      <xdr:rowOff>95250</xdr:rowOff>
    </xdr:to>
    <xdr:cxnSp macro="">
      <xdr:nvCxnSpPr>
        <xdr:cNvPr id="407" name="Straight Arrow Connector 406">
          <a:extLst>
            <a:ext uri="{FF2B5EF4-FFF2-40B4-BE49-F238E27FC236}">
              <a16:creationId xmlns:a16="http://schemas.microsoft.com/office/drawing/2014/main" id="{00000000-0008-0000-1300-000097010000}"/>
            </a:ext>
          </a:extLst>
        </xdr:cNvPr>
        <xdr:cNvCxnSpPr/>
      </xdr:nvCxnSpPr>
      <xdr:spPr>
        <a:xfrm>
          <a:off x="10572750" y="398250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431</xdr:row>
      <xdr:rowOff>10584</xdr:rowOff>
    </xdr:from>
    <xdr:to>
      <xdr:col>15</xdr:col>
      <xdr:colOff>560916</xdr:colOff>
      <xdr:row>435</xdr:row>
      <xdr:rowOff>52917</xdr:rowOff>
    </xdr:to>
    <xdr:cxnSp macro="">
      <xdr:nvCxnSpPr>
        <xdr:cNvPr id="408" name="Straight Arrow Connector 407">
          <a:extLst>
            <a:ext uri="{FF2B5EF4-FFF2-40B4-BE49-F238E27FC236}">
              <a16:creationId xmlns:a16="http://schemas.microsoft.com/office/drawing/2014/main" id="{00000000-0008-0000-1300-000098010000}"/>
            </a:ext>
          </a:extLst>
        </xdr:cNvPr>
        <xdr:cNvCxnSpPr/>
      </xdr:nvCxnSpPr>
      <xdr:spPr>
        <a:xfrm>
          <a:off x="10551583" y="398250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431</xdr:row>
      <xdr:rowOff>31750</xdr:rowOff>
    </xdr:from>
    <xdr:to>
      <xdr:col>16</xdr:col>
      <xdr:colOff>21167</xdr:colOff>
      <xdr:row>438</xdr:row>
      <xdr:rowOff>95250</xdr:rowOff>
    </xdr:to>
    <xdr:cxnSp macro="">
      <xdr:nvCxnSpPr>
        <xdr:cNvPr id="409" name="Straight Arrow Connector 408">
          <a:extLst>
            <a:ext uri="{FF2B5EF4-FFF2-40B4-BE49-F238E27FC236}">
              <a16:creationId xmlns:a16="http://schemas.microsoft.com/office/drawing/2014/main" id="{00000000-0008-0000-1300-000099010000}"/>
            </a:ext>
          </a:extLst>
        </xdr:cNvPr>
        <xdr:cNvCxnSpPr/>
      </xdr:nvCxnSpPr>
      <xdr:spPr>
        <a:xfrm>
          <a:off x="10583333" y="398462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445</xdr:row>
      <xdr:rowOff>0</xdr:rowOff>
    </xdr:from>
    <xdr:to>
      <xdr:col>16</xdr:col>
      <xdr:colOff>0</xdr:colOff>
      <xdr:row>445</xdr:row>
      <xdr:rowOff>42334</xdr:rowOff>
    </xdr:to>
    <xdr:cxnSp macro="">
      <xdr:nvCxnSpPr>
        <xdr:cNvPr id="410" name="Straight Arrow Connector 409">
          <a:extLst>
            <a:ext uri="{FF2B5EF4-FFF2-40B4-BE49-F238E27FC236}">
              <a16:creationId xmlns:a16="http://schemas.microsoft.com/office/drawing/2014/main" id="{00000000-0008-0000-1300-00009A010000}"/>
            </a:ext>
          </a:extLst>
        </xdr:cNvPr>
        <xdr:cNvCxnSpPr/>
      </xdr:nvCxnSpPr>
      <xdr:spPr>
        <a:xfrm>
          <a:off x="10562166" y="424815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445</xdr:row>
      <xdr:rowOff>21166</xdr:rowOff>
    </xdr:from>
    <xdr:to>
      <xdr:col>15</xdr:col>
      <xdr:colOff>560916</xdr:colOff>
      <xdr:row>448</xdr:row>
      <xdr:rowOff>84667</xdr:rowOff>
    </xdr:to>
    <xdr:cxnSp macro="">
      <xdr:nvCxnSpPr>
        <xdr:cNvPr id="411" name="Straight Arrow Connector 410">
          <a:extLst>
            <a:ext uri="{FF2B5EF4-FFF2-40B4-BE49-F238E27FC236}">
              <a16:creationId xmlns:a16="http://schemas.microsoft.com/office/drawing/2014/main" id="{00000000-0008-0000-1300-00009B010000}"/>
            </a:ext>
          </a:extLst>
        </xdr:cNvPr>
        <xdr:cNvCxnSpPr/>
      </xdr:nvCxnSpPr>
      <xdr:spPr>
        <a:xfrm>
          <a:off x="10615083" y="425026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445</xdr:row>
      <xdr:rowOff>52916</xdr:rowOff>
    </xdr:from>
    <xdr:to>
      <xdr:col>15</xdr:col>
      <xdr:colOff>592666</xdr:colOff>
      <xdr:row>451</xdr:row>
      <xdr:rowOff>63501</xdr:rowOff>
    </xdr:to>
    <xdr:cxnSp macro="">
      <xdr:nvCxnSpPr>
        <xdr:cNvPr id="412" name="Straight Arrow Connector 411">
          <a:extLst>
            <a:ext uri="{FF2B5EF4-FFF2-40B4-BE49-F238E27FC236}">
              <a16:creationId xmlns:a16="http://schemas.microsoft.com/office/drawing/2014/main" id="{00000000-0008-0000-1300-00009C010000}"/>
            </a:ext>
          </a:extLst>
        </xdr:cNvPr>
        <xdr:cNvCxnSpPr/>
      </xdr:nvCxnSpPr>
      <xdr:spPr>
        <a:xfrm>
          <a:off x="10572750" y="425344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442</xdr:row>
      <xdr:rowOff>52917</xdr:rowOff>
    </xdr:from>
    <xdr:to>
      <xdr:col>15</xdr:col>
      <xdr:colOff>603250</xdr:colOff>
      <xdr:row>444</xdr:row>
      <xdr:rowOff>148167</xdr:rowOff>
    </xdr:to>
    <xdr:cxnSp macro="">
      <xdr:nvCxnSpPr>
        <xdr:cNvPr id="413" name="Straight Arrow Connector 412">
          <a:extLst>
            <a:ext uri="{FF2B5EF4-FFF2-40B4-BE49-F238E27FC236}">
              <a16:creationId xmlns:a16="http://schemas.microsoft.com/office/drawing/2014/main" id="{00000000-0008-0000-1300-00009D010000}"/>
            </a:ext>
          </a:extLst>
        </xdr:cNvPr>
        <xdr:cNvCxnSpPr/>
      </xdr:nvCxnSpPr>
      <xdr:spPr>
        <a:xfrm flipV="1">
          <a:off x="10583333" y="419629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31750</xdr:colOff>
      <xdr:row>353</xdr:row>
      <xdr:rowOff>127000</xdr:rowOff>
    </xdr:from>
    <xdr:to>
      <xdr:col>8</xdr:col>
      <xdr:colOff>63500</xdr:colOff>
      <xdr:row>372</xdr:row>
      <xdr:rowOff>0</xdr:rowOff>
    </xdr:to>
    <xdr:cxnSp macro="">
      <xdr:nvCxnSpPr>
        <xdr:cNvPr id="414" name="Straight Arrow Connector 413">
          <a:extLst>
            <a:ext uri="{FF2B5EF4-FFF2-40B4-BE49-F238E27FC236}">
              <a16:creationId xmlns:a16="http://schemas.microsoft.com/office/drawing/2014/main" id="{00000000-0008-0000-1300-00009E010000}"/>
            </a:ext>
          </a:extLst>
        </xdr:cNvPr>
        <xdr:cNvCxnSpPr/>
      </xdr:nvCxnSpPr>
      <xdr:spPr>
        <a:xfrm flipV="1">
          <a:off x="5207000" y="24701500"/>
          <a:ext cx="635000" cy="3587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603250</xdr:colOff>
      <xdr:row>459</xdr:row>
      <xdr:rowOff>10584</xdr:rowOff>
    </xdr:from>
    <xdr:to>
      <xdr:col>1</xdr:col>
      <xdr:colOff>603250</xdr:colOff>
      <xdr:row>552</xdr:row>
      <xdr:rowOff>158750</xdr:rowOff>
    </xdr:to>
    <xdr:cxnSp macro="">
      <xdr:nvCxnSpPr>
        <xdr:cNvPr id="416" name="Straight Arrow Connector 415">
          <a:extLst>
            <a:ext uri="{FF2B5EF4-FFF2-40B4-BE49-F238E27FC236}">
              <a16:creationId xmlns:a16="http://schemas.microsoft.com/office/drawing/2014/main" id="{00000000-0008-0000-1300-0000A0010000}"/>
            </a:ext>
          </a:extLst>
        </xdr:cNvPr>
        <xdr:cNvCxnSpPr/>
      </xdr:nvCxnSpPr>
      <xdr:spPr>
        <a:xfrm flipV="1">
          <a:off x="603250" y="963084"/>
          <a:ext cx="603250" cy="18245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603250</xdr:colOff>
      <xdr:row>555</xdr:row>
      <xdr:rowOff>169333</xdr:rowOff>
    </xdr:from>
    <xdr:to>
      <xdr:col>1</xdr:col>
      <xdr:colOff>603250</xdr:colOff>
      <xdr:row>597</xdr:row>
      <xdr:rowOff>148167</xdr:rowOff>
    </xdr:to>
    <xdr:cxnSp macro="">
      <xdr:nvCxnSpPr>
        <xdr:cNvPr id="417" name="Straight Arrow Connector 416">
          <a:extLst>
            <a:ext uri="{FF2B5EF4-FFF2-40B4-BE49-F238E27FC236}">
              <a16:creationId xmlns:a16="http://schemas.microsoft.com/office/drawing/2014/main" id="{00000000-0008-0000-1300-0000A1010000}"/>
            </a:ext>
          </a:extLst>
        </xdr:cNvPr>
        <xdr:cNvCxnSpPr/>
      </xdr:nvCxnSpPr>
      <xdr:spPr>
        <a:xfrm>
          <a:off x="603250" y="19790833"/>
          <a:ext cx="603250" cy="7979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10584</xdr:colOff>
      <xdr:row>531</xdr:row>
      <xdr:rowOff>158750</xdr:rowOff>
    </xdr:from>
    <xdr:to>
      <xdr:col>3</xdr:col>
      <xdr:colOff>603250</xdr:colOff>
      <xdr:row>598</xdr:row>
      <xdr:rowOff>10583</xdr:rowOff>
    </xdr:to>
    <xdr:cxnSp macro="">
      <xdr:nvCxnSpPr>
        <xdr:cNvPr id="418" name="Straight Arrow Connector 417">
          <a:extLst>
            <a:ext uri="{FF2B5EF4-FFF2-40B4-BE49-F238E27FC236}">
              <a16:creationId xmlns:a16="http://schemas.microsoft.com/office/drawing/2014/main" id="{00000000-0008-0000-1300-0000A2010000}"/>
            </a:ext>
          </a:extLst>
        </xdr:cNvPr>
        <xdr:cNvCxnSpPr/>
      </xdr:nvCxnSpPr>
      <xdr:spPr>
        <a:xfrm flipV="1">
          <a:off x="2296584" y="15017750"/>
          <a:ext cx="592666" cy="12805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21167</xdr:colOff>
      <xdr:row>600</xdr:row>
      <xdr:rowOff>10583</xdr:rowOff>
    </xdr:from>
    <xdr:to>
      <xdr:col>4</xdr:col>
      <xdr:colOff>63500</xdr:colOff>
      <xdr:row>751</xdr:row>
      <xdr:rowOff>158750</xdr:rowOff>
    </xdr:to>
    <xdr:cxnSp macro="">
      <xdr:nvCxnSpPr>
        <xdr:cNvPr id="419" name="Straight Arrow Connector 418">
          <a:extLst>
            <a:ext uri="{FF2B5EF4-FFF2-40B4-BE49-F238E27FC236}">
              <a16:creationId xmlns:a16="http://schemas.microsoft.com/office/drawing/2014/main" id="{00000000-0008-0000-1300-0000A3010000}"/>
            </a:ext>
          </a:extLst>
        </xdr:cNvPr>
        <xdr:cNvCxnSpPr/>
      </xdr:nvCxnSpPr>
      <xdr:spPr>
        <a:xfrm>
          <a:off x="2307167" y="28395083"/>
          <a:ext cx="645583" cy="29294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825500</xdr:colOff>
      <xdr:row>494</xdr:row>
      <xdr:rowOff>1</xdr:rowOff>
    </xdr:from>
    <xdr:to>
      <xdr:col>6</xdr:col>
      <xdr:colOff>0</xdr:colOff>
      <xdr:row>528</xdr:row>
      <xdr:rowOff>116417</xdr:rowOff>
    </xdr:to>
    <xdr:cxnSp macro="">
      <xdr:nvCxnSpPr>
        <xdr:cNvPr id="420" name="Straight Arrow Connector 419">
          <a:extLst>
            <a:ext uri="{FF2B5EF4-FFF2-40B4-BE49-F238E27FC236}">
              <a16:creationId xmlns:a16="http://schemas.microsoft.com/office/drawing/2014/main" id="{00000000-0008-0000-1300-0000A4010000}"/>
            </a:ext>
          </a:extLst>
        </xdr:cNvPr>
        <xdr:cNvCxnSpPr/>
      </xdr:nvCxnSpPr>
      <xdr:spPr>
        <a:xfrm flipV="1">
          <a:off x="3714750" y="7810501"/>
          <a:ext cx="666750" cy="65934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21167</xdr:colOff>
      <xdr:row>531</xdr:row>
      <xdr:rowOff>169334</xdr:rowOff>
    </xdr:from>
    <xdr:to>
      <xdr:col>5</xdr:col>
      <xdr:colOff>571500</xdr:colOff>
      <xdr:row>600</xdr:row>
      <xdr:rowOff>0</xdr:rowOff>
    </xdr:to>
    <xdr:cxnSp macro="">
      <xdr:nvCxnSpPr>
        <xdr:cNvPr id="421" name="Straight Arrow Connector 420">
          <a:extLst>
            <a:ext uri="{FF2B5EF4-FFF2-40B4-BE49-F238E27FC236}">
              <a16:creationId xmlns:a16="http://schemas.microsoft.com/office/drawing/2014/main" id="{00000000-0008-0000-1300-0000A5010000}"/>
            </a:ext>
          </a:extLst>
        </xdr:cNvPr>
        <xdr:cNvCxnSpPr/>
      </xdr:nvCxnSpPr>
      <xdr:spPr>
        <a:xfrm>
          <a:off x="3799417" y="15028334"/>
          <a:ext cx="550333" cy="133244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469</xdr:row>
      <xdr:rowOff>148167</xdr:rowOff>
    </xdr:from>
    <xdr:to>
      <xdr:col>7</xdr:col>
      <xdr:colOff>603250</xdr:colOff>
      <xdr:row>491</xdr:row>
      <xdr:rowOff>31750</xdr:rowOff>
    </xdr:to>
    <xdr:cxnSp macro="">
      <xdr:nvCxnSpPr>
        <xdr:cNvPr id="422" name="Straight Arrow Connector 421">
          <a:extLst>
            <a:ext uri="{FF2B5EF4-FFF2-40B4-BE49-F238E27FC236}">
              <a16:creationId xmlns:a16="http://schemas.microsoft.com/office/drawing/2014/main" id="{00000000-0008-0000-1300-0000A6010000}"/>
            </a:ext>
          </a:extLst>
        </xdr:cNvPr>
        <xdr:cNvCxnSpPr/>
      </xdr:nvCxnSpPr>
      <xdr:spPr>
        <a:xfrm flipV="1">
          <a:off x="5175250" y="3005667"/>
          <a:ext cx="603250" cy="42650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494</xdr:row>
      <xdr:rowOff>10584</xdr:rowOff>
    </xdr:from>
    <xdr:to>
      <xdr:col>8</xdr:col>
      <xdr:colOff>21167</xdr:colOff>
      <xdr:row>522</xdr:row>
      <xdr:rowOff>148166</xdr:rowOff>
    </xdr:to>
    <xdr:cxnSp macro="">
      <xdr:nvCxnSpPr>
        <xdr:cNvPr id="423" name="Straight Arrow Connector 422">
          <a:extLst>
            <a:ext uri="{FF2B5EF4-FFF2-40B4-BE49-F238E27FC236}">
              <a16:creationId xmlns:a16="http://schemas.microsoft.com/office/drawing/2014/main" id="{00000000-0008-0000-1300-0000A7010000}"/>
            </a:ext>
          </a:extLst>
        </xdr:cNvPr>
        <xdr:cNvCxnSpPr/>
      </xdr:nvCxnSpPr>
      <xdr:spPr>
        <a:xfrm>
          <a:off x="5175250" y="7821084"/>
          <a:ext cx="624417" cy="547158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461</xdr:row>
      <xdr:rowOff>137583</xdr:rowOff>
    </xdr:from>
    <xdr:to>
      <xdr:col>9</xdr:col>
      <xdr:colOff>603250</xdr:colOff>
      <xdr:row>467</xdr:row>
      <xdr:rowOff>21166</xdr:rowOff>
    </xdr:to>
    <xdr:cxnSp macro="">
      <xdr:nvCxnSpPr>
        <xdr:cNvPr id="424" name="Straight Arrow Connector 423">
          <a:extLst>
            <a:ext uri="{FF2B5EF4-FFF2-40B4-BE49-F238E27FC236}">
              <a16:creationId xmlns:a16="http://schemas.microsoft.com/office/drawing/2014/main" id="{00000000-0008-0000-1300-0000A8010000}"/>
            </a:ext>
          </a:extLst>
        </xdr:cNvPr>
        <xdr:cNvCxnSpPr/>
      </xdr:nvCxnSpPr>
      <xdr:spPr>
        <a:xfrm flipV="1">
          <a:off x="6381750" y="1471083"/>
          <a:ext cx="603250" cy="1026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470</xdr:row>
      <xdr:rowOff>0</xdr:rowOff>
    </xdr:from>
    <xdr:to>
      <xdr:col>9</xdr:col>
      <xdr:colOff>582083</xdr:colOff>
      <xdr:row>478</xdr:row>
      <xdr:rowOff>10583</xdr:rowOff>
    </xdr:to>
    <xdr:cxnSp macro="">
      <xdr:nvCxnSpPr>
        <xdr:cNvPr id="425" name="Straight Arrow Connector 424">
          <a:extLst>
            <a:ext uri="{FF2B5EF4-FFF2-40B4-BE49-F238E27FC236}">
              <a16:creationId xmlns:a16="http://schemas.microsoft.com/office/drawing/2014/main" id="{00000000-0008-0000-1300-0000A9010000}"/>
            </a:ext>
          </a:extLst>
        </xdr:cNvPr>
        <xdr:cNvCxnSpPr/>
      </xdr:nvCxnSpPr>
      <xdr:spPr>
        <a:xfrm>
          <a:off x="6413500" y="3048000"/>
          <a:ext cx="550333" cy="1534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21167</xdr:colOff>
      <xdr:row>475</xdr:row>
      <xdr:rowOff>169333</xdr:rowOff>
    </xdr:from>
    <xdr:to>
      <xdr:col>11</xdr:col>
      <xdr:colOff>603250</xdr:colOff>
      <xdr:row>478</xdr:row>
      <xdr:rowOff>21167</xdr:rowOff>
    </xdr:to>
    <xdr:cxnSp macro="">
      <xdr:nvCxnSpPr>
        <xdr:cNvPr id="426" name="Straight Arrow Connector 425">
          <a:extLst>
            <a:ext uri="{FF2B5EF4-FFF2-40B4-BE49-F238E27FC236}">
              <a16:creationId xmlns:a16="http://schemas.microsoft.com/office/drawing/2014/main" id="{00000000-0008-0000-1300-0000AA010000}"/>
            </a:ext>
          </a:extLst>
        </xdr:cNvPr>
        <xdr:cNvCxnSpPr/>
      </xdr:nvCxnSpPr>
      <xdr:spPr>
        <a:xfrm flipV="1">
          <a:off x="7609417" y="4169833"/>
          <a:ext cx="582083" cy="423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481</xdr:row>
      <xdr:rowOff>42333</xdr:rowOff>
    </xdr:from>
    <xdr:to>
      <xdr:col>11</xdr:col>
      <xdr:colOff>603250</xdr:colOff>
      <xdr:row>493</xdr:row>
      <xdr:rowOff>10583</xdr:rowOff>
    </xdr:to>
    <xdr:cxnSp macro="">
      <xdr:nvCxnSpPr>
        <xdr:cNvPr id="427" name="Straight Arrow Connector 426">
          <a:extLst>
            <a:ext uri="{FF2B5EF4-FFF2-40B4-BE49-F238E27FC236}">
              <a16:creationId xmlns:a16="http://schemas.microsoft.com/office/drawing/2014/main" id="{00000000-0008-0000-1300-0000AB010000}"/>
            </a:ext>
          </a:extLst>
        </xdr:cNvPr>
        <xdr:cNvCxnSpPr/>
      </xdr:nvCxnSpPr>
      <xdr:spPr>
        <a:xfrm>
          <a:off x="7598834" y="51858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471</xdr:row>
      <xdr:rowOff>21167</xdr:rowOff>
    </xdr:from>
    <xdr:to>
      <xdr:col>13</xdr:col>
      <xdr:colOff>592667</xdr:colOff>
      <xdr:row>473</xdr:row>
      <xdr:rowOff>0</xdr:rowOff>
    </xdr:to>
    <xdr:cxnSp macro="">
      <xdr:nvCxnSpPr>
        <xdr:cNvPr id="428" name="Straight Arrow Connector 427">
          <a:extLst>
            <a:ext uri="{FF2B5EF4-FFF2-40B4-BE49-F238E27FC236}">
              <a16:creationId xmlns:a16="http://schemas.microsoft.com/office/drawing/2014/main" id="{00000000-0008-0000-1300-0000AC010000}"/>
            </a:ext>
          </a:extLst>
        </xdr:cNvPr>
        <xdr:cNvCxnSpPr/>
      </xdr:nvCxnSpPr>
      <xdr:spPr>
        <a:xfrm flipV="1">
          <a:off x="8794750" y="32596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476</xdr:row>
      <xdr:rowOff>21166</xdr:rowOff>
    </xdr:from>
    <xdr:to>
      <xdr:col>13</xdr:col>
      <xdr:colOff>592667</xdr:colOff>
      <xdr:row>477</xdr:row>
      <xdr:rowOff>169334</xdr:rowOff>
    </xdr:to>
    <xdr:cxnSp macro="">
      <xdr:nvCxnSpPr>
        <xdr:cNvPr id="429" name="Straight Arrow Connector 428">
          <a:extLst>
            <a:ext uri="{FF2B5EF4-FFF2-40B4-BE49-F238E27FC236}">
              <a16:creationId xmlns:a16="http://schemas.microsoft.com/office/drawing/2014/main" id="{00000000-0008-0000-1300-0000AD010000}"/>
            </a:ext>
          </a:extLst>
        </xdr:cNvPr>
        <xdr:cNvCxnSpPr/>
      </xdr:nvCxnSpPr>
      <xdr:spPr>
        <a:xfrm>
          <a:off x="8784166" y="42121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491</xdr:row>
      <xdr:rowOff>21167</xdr:rowOff>
    </xdr:from>
    <xdr:to>
      <xdr:col>13</xdr:col>
      <xdr:colOff>592667</xdr:colOff>
      <xdr:row>493</xdr:row>
      <xdr:rowOff>63500</xdr:rowOff>
    </xdr:to>
    <xdr:cxnSp macro="">
      <xdr:nvCxnSpPr>
        <xdr:cNvPr id="430" name="Straight Arrow Connector 429">
          <a:extLst>
            <a:ext uri="{FF2B5EF4-FFF2-40B4-BE49-F238E27FC236}">
              <a16:creationId xmlns:a16="http://schemas.microsoft.com/office/drawing/2014/main" id="{00000000-0008-0000-1300-0000AE010000}"/>
            </a:ext>
          </a:extLst>
        </xdr:cNvPr>
        <xdr:cNvCxnSpPr/>
      </xdr:nvCxnSpPr>
      <xdr:spPr>
        <a:xfrm flipV="1">
          <a:off x="8794750" y="72601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496</xdr:row>
      <xdr:rowOff>0</xdr:rowOff>
    </xdr:from>
    <xdr:to>
      <xdr:col>14</xdr:col>
      <xdr:colOff>10584</xdr:colOff>
      <xdr:row>504</xdr:row>
      <xdr:rowOff>148167</xdr:rowOff>
    </xdr:to>
    <xdr:cxnSp macro="">
      <xdr:nvCxnSpPr>
        <xdr:cNvPr id="431" name="Straight Arrow Connector 430">
          <a:extLst>
            <a:ext uri="{FF2B5EF4-FFF2-40B4-BE49-F238E27FC236}">
              <a16:creationId xmlns:a16="http://schemas.microsoft.com/office/drawing/2014/main" id="{00000000-0008-0000-1300-0000AF010000}"/>
            </a:ext>
          </a:extLst>
        </xdr:cNvPr>
        <xdr:cNvCxnSpPr/>
      </xdr:nvCxnSpPr>
      <xdr:spPr>
        <a:xfrm>
          <a:off x="8805333" y="81915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463</xdr:row>
      <xdr:rowOff>0</xdr:rowOff>
    </xdr:from>
    <xdr:to>
      <xdr:col>15</xdr:col>
      <xdr:colOff>603250</xdr:colOff>
      <xdr:row>468</xdr:row>
      <xdr:rowOff>31750</xdr:rowOff>
    </xdr:to>
    <xdr:cxnSp macro="">
      <xdr:nvCxnSpPr>
        <xdr:cNvPr id="432" name="Straight Arrow Connector 431">
          <a:extLst>
            <a:ext uri="{FF2B5EF4-FFF2-40B4-BE49-F238E27FC236}">
              <a16:creationId xmlns:a16="http://schemas.microsoft.com/office/drawing/2014/main" id="{00000000-0008-0000-1300-0000B0010000}"/>
            </a:ext>
          </a:extLst>
        </xdr:cNvPr>
        <xdr:cNvCxnSpPr/>
      </xdr:nvCxnSpPr>
      <xdr:spPr>
        <a:xfrm flipV="1">
          <a:off x="10541000" y="1714500"/>
          <a:ext cx="603250" cy="984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466</xdr:row>
      <xdr:rowOff>52917</xdr:rowOff>
    </xdr:from>
    <xdr:to>
      <xdr:col>15</xdr:col>
      <xdr:colOff>603250</xdr:colOff>
      <xdr:row>468</xdr:row>
      <xdr:rowOff>95250</xdr:rowOff>
    </xdr:to>
    <xdr:cxnSp macro="">
      <xdr:nvCxnSpPr>
        <xdr:cNvPr id="433" name="Straight Arrow Connector 432">
          <a:extLst>
            <a:ext uri="{FF2B5EF4-FFF2-40B4-BE49-F238E27FC236}">
              <a16:creationId xmlns:a16="http://schemas.microsoft.com/office/drawing/2014/main" id="{00000000-0008-0000-1300-0000B1010000}"/>
            </a:ext>
          </a:extLst>
        </xdr:cNvPr>
        <xdr:cNvCxnSpPr/>
      </xdr:nvCxnSpPr>
      <xdr:spPr>
        <a:xfrm flipV="1">
          <a:off x="10583333" y="2338917"/>
          <a:ext cx="56091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468</xdr:row>
      <xdr:rowOff>158750</xdr:rowOff>
    </xdr:from>
    <xdr:to>
      <xdr:col>15</xdr:col>
      <xdr:colOff>582083</xdr:colOff>
      <xdr:row>469</xdr:row>
      <xdr:rowOff>137583</xdr:rowOff>
    </xdr:to>
    <xdr:cxnSp macro="">
      <xdr:nvCxnSpPr>
        <xdr:cNvPr id="434" name="Straight Arrow Connector 433">
          <a:extLst>
            <a:ext uri="{FF2B5EF4-FFF2-40B4-BE49-F238E27FC236}">
              <a16:creationId xmlns:a16="http://schemas.microsoft.com/office/drawing/2014/main" id="{00000000-0008-0000-1300-0000B2010000}"/>
            </a:ext>
          </a:extLst>
        </xdr:cNvPr>
        <xdr:cNvCxnSpPr/>
      </xdr:nvCxnSpPr>
      <xdr:spPr>
        <a:xfrm>
          <a:off x="10604500" y="2825750"/>
          <a:ext cx="518583" cy="169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1121834</xdr:colOff>
      <xdr:row>468</xdr:row>
      <xdr:rowOff>105834</xdr:rowOff>
    </xdr:from>
    <xdr:to>
      <xdr:col>16</xdr:col>
      <xdr:colOff>0</xdr:colOff>
      <xdr:row>472</xdr:row>
      <xdr:rowOff>84667</xdr:rowOff>
    </xdr:to>
    <xdr:cxnSp macro="">
      <xdr:nvCxnSpPr>
        <xdr:cNvPr id="435" name="Straight Arrow Connector 434">
          <a:extLst>
            <a:ext uri="{FF2B5EF4-FFF2-40B4-BE49-F238E27FC236}">
              <a16:creationId xmlns:a16="http://schemas.microsoft.com/office/drawing/2014/main" id="{00000000-0008-0000-1300-0000B3010000}"/>
            </a:ext>
          </a:extLst>
        </xdr:cNvPr>
        <xdr:cNvCxnSpPr/>
      </xdr:nvCxnSpPr>
      <xdr:spPr>
        <a:xfrm>
          <a:off x="10519834" y="2772834"/>
          <a:ext cx="624416"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476</xdr:row>
      <xdr:rowOff>52916</xdr:rowOff>
    </xdr:from>
    <xdr:to>
      <xdr:col>16</xdr:col>
      <xdr:colOff>0</xdr:colOff>
      <xdr:row>478</xdr:row>
      <xdr:rowOff>0</xdr:rowOff>
    </xdr:to>
    <xdr:cxnSp macro="">
      <xdr:nvCxnSpPr>
        <xdr:cNvPr id="436" name="Straight Arrow Connector 435">
          <a:extLst>
            <a:ext uri="{FF2B5EF4-FFF2-40B4-BE49-F238E27FC236}">
              <a16:creationId xmlns:a16="http://schemas.microsoft.com/office/drawing/2014/main" id="{00000000-0008-0000-1300-0000B4010000}"/>
            </a:ext>
          </a:extLst>
        </xdr:cNvPr>
        <xdr:cNvCxnSpPr/>
      </xdr:nvCxnSpPr>
      <xdr:spPr>
        <a:xfrm flipV="1">
          <a:off x="10541000" y="42439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478</xdr:row>
      <xdr:rowOff>21167</xdr:rowOff>
    </xdr:from>
    <xdr:to>
      <xdr:col>15</xdr:col>
      <xdr:colOff>582083</xdr:colOff>
      <xdr:row>479</xdr:row>
      <xdr:rowOff>42333</xdr:rowOff>
    </xdr:to>
    <xdr:cxnSp macro="">
      <xdr:nvCxnSpPr>
        <xdr:cNvPr id="437" name="Straight Arrow Connector 436">
          <a:extLst>
            <a:ext uri="{FF2B5EF4-FFF2-40B4-BE49-F238E27FC236}">
              <a16:creationId xmlns:a16="http://schemas.microsoft.com/office/drawing/2014/main" id="{00000000-0008-0000-1300-0000B5010000}"/>
            </a:ext>
          </a:extLst>
        </xdr:cNvPr>
        <xdr:cNvCxnSpPr/>
      </xdr:nvCxnSpPr>
      <xdr:spPr>
        <a:xfrm>
          <a:off x="10551583" y="4593167"/>
          <a:ext cx="571500" cy="211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478</xdr:row>
      <xdr:rowOff>21167</xdr:rowOff>
    </xdr:from>
    <xdr:to>
      <xdr:col>16</xdr:col>
      <xdr:colOff>42333</xdr:colOff>
      <xdr:row>483</xdr:row>
      <xdr:rowOff>21168</xdr:rowOff>
    </xdr:to>
    <xdr:cxnSp macro="">
      <xdr:nvCxnSpPr>
        <xdr:cNvPr id="438" name="Straight Arrow Connector 437">
          <a:extLst>
            <a:ext uri="{FF2B5EF4-FFF2-40B4-BE49-F238E27FC236}">
              <a16:creationId xmlns:a16="http://schemas.microsoft.com/office/drawing/2014/main" id="{00000000-0008-0000-1300-0000B6010000}"/>
            </a:ext>
          </a:extLst>
        </xdr:cNvPr>
        <xdr:cNvCxnSpPr/>
      </xdr:nvCxnSpPr>
      <xdr:spPr>
        <a:xfrm>
          <a:off x="10530417" y="4593167"/>
          <a:ext cx="656166" cy="9525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478</xdr:row>
      <xdr:rowOff>31750</xdr:rowOff>
    </xdr:from>
    <xdr:to>
      <xdr:col>16</xdr:col>
      <xdr:colOff>42334</xdr:colOff>
      <xdr:row>485</xdr:row>
      <xdr:rowOff>63501</xdr:rowOff>
    </xdr:to>
    <xdr:cxnSp macro="">
      <xdr:nvCxnSpPr>
        <xdr:cNvPr id="439" name="Straight Arrow Connector 438">
          <a:extLst>
            <a:ext uri="{FF2B5EF4-FFF2-40B4-BE49-F238E27FC236}">
              <a16:creationId xmlns:a16="http://schemas.microsoft.com/office/drawing/2014/main" id="{00000000-0008-0000-1300-0000B7010000}"/>
            </a:ext>
          </a:extLst>
        </xdr:cNvPr>
        <xdr:cNvCxnSpPr/>
      </xdr:nvCxnSpPr>
      <xdr:spPr>
        <a:xfrm>
          <a:off x="10541000" y="4603750"/>
          <a:ext cx="645584"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10583</xdr:colOff>
      <xdr:row>515</xdr:row>
      <xdr:rowOff>42333</xdr:rowOff>
    </xdr:from>
    <xdr:to>
      <xdr:col>9</xdr:col>
      <xdr:colOff>592666</xdr:colOff>
      <xdr:row>523</xdr:row>
      <xdr:rowOff>42333</xdr:rowOff>
    </xdr:to>
    <xdr:cxnSp macro="">
      <xdr:nvCxnSpPr>
        <xdr:cNvPr id="440" name="Straight Arrow Connector 439">
          <a:extLst>
            <a:ext uri="{FF2B5EF4-FFF2-40B4-BE49-F238E27FC236}">
              <a16:creationId xmlns:a16="http://schemas.microsoft.com/office/drawing/2014/main" id="{00000000-0008-0000-1300-0000B8010000}"/>
            </a:ext>
          </a:extLst>
        </xdr:cNvPr>
        <xdr:cNvCxnSpPr/>
      </xdr:nvCxnSpPr>
      <xdr:spPr>
        <a:xfrm flipV="1">
          <a:off x="6392333" y="11853333"/>
          <a:ext cx="582083" cy="152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525</xdr:row>
      <xdr:rowOff>169334</xdr:rowOff>
    </xdr:from>
    <xdr:to>
      <xdr:col>9</xdr:col>
      <xdr:colOff>603250</xdr:colOff>
      <xdr:row>534</xdr:row>
      <xdr:rowOff>31750</xdr:rowOff>
    </xdr:to>
    <xdr:cxnSp macro="">
      <xdr:nvCxnSpPr>
        <xdr:cNvPr id="441" name="Straight Arrow Connector 440">
          <a:extLst>
            <a:ext uri="{FF2B5EF4-FFF2-40B4-BE49-F238E27FC236}">
              <a16:creationId xmlns:a16="http://schemas.microsoft.com/office/drawing/2014/main" id="{00000000-0008-0000-1300-0000B9010000}"/>
            </a:ext>
          </a:extLst>
        </xdr:cNvPr>
        <xdr:cNvCxnSpPr/>
      </xdr:nvCxnSpPr>
      <xdr:spPr>
        <a:xfrm>
          <a:off x="6413500" y="13885334"/>
          <a:ext cx="571500" cy="1576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571500</xdr:colOff>
      <xdr:row>531</xdr:row>
      <xdr:rowOff>158750</xdr:rowOff>
    </xdr:from>
    <xdr:to>
      <xdr:col>11</xdr:col>
      <xdr:colOff>571500</xdr:colOff>
      <xdr:row>534</xdr:row>
      <xdr:rowOff>0</xdr:rowOff>
    </xdr:to>
    <xdr:cxnSp macro="">
      <xdr:nvCxnSpPr>
        <xdr:cNvPr id="442" name="Straight Arrow Connector 441">
          <a:extLst>
            <a:ext uri="{FF2B5EF4-FFF2-40B4-BE49-F238E27FC236}">
              <a16:creationId xmlns:a16="http://schemas.microsoft.com/office/drawing/2014/main" id="{00000000-0008-0000-1300-0000BA010000}"/>
            </a:ext>
          </a:extLst>
        </xdr:cNvPr>
        <xdr:cNvCxnSpPr/>
      </xdr:nvCxnSpPr>
      <xdr:spPr>
        <a:xfrm flipV="1">
          <a:off x="7556500" y="15017750"/>
          <a:ext cx="603250" cy="412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489</xdr:row>
      <xdr:rowOff>0</xdr:rowOff>
    </xdr:from>
    <xdr:to>
      <xdr:col>15</xdr:col>
      <xdr:colOff>603250</xdr:colOff>
      <xdr:row>491</xdr:row>
      <xdr:rowOff>1</xdr:rowOff>
    </xdr:to>
    <xdr:cxnSp macro="">
      <xdr:nvCxnSpPr>
        <xdr:cNvPr id="443" name="Straight Arrow Connector 442">
          <a:extLst>
            <a:ext uri="{FF2B5EF4-FFF2-40B4-BE49-F238E27FC236}">
              <a16:creationId xmlns:a16="http://schemas.microsoft.com/office/drawing/2014/main" id="{00000000-0008-0000-1300-0000BB010000}"/>
            </a:ext>
          </a:extLst>
        </xdr:cNvPr>
        <xdr:cNvCxnSpPr/>
      </xdr:nvCxnSpPr>
      <xdr:spPr>
        <a:xfrm flipV="1">
          <a:off x="10530417" y="68580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491</xdr:row>
      <xdr:rowOff>10584</xdr:rowOff>
    </xdr:from>
    <xdr:to>
      <xdr:col>15</xdr:col>
      <xdr:colOff>592666</xdr:colOff>
      <xdr:row>492</xdr:row>
      <xdr:rowOff>95250</xdr:rowOff>
    </xdr:to>
    <xdr:cxnSp macro="">
      <xdr:nvCxnSpPr>
        <xdr:cNvPr id="444" name="Straight Arrow Connector 443">
          <a:extLst>
            <a:ext uri="{FF2B5EF4-FFF2-40B4-BE49-F238E27FC236}">
              <a16:creationId xmlns:a16="http://schemas.microsoft.com/office/drawing/2014/main" id="{00000000-0008-0000-1300-0000BC010000}"/>
            </a:ext>
          </a:extLst>
        </xdr:cNvPr>
        <xdr:cNvCxnSpPr/>
      </xdr:nvCxnSpPr>
      <xdr:spPr>
        <a:xfrm>
          <a:off x="10572750" y="72495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491</xdr:row>
      <xdr:rowOff>10584</xdr:rowOff>
    </xdr:from>
    <xdr:to>
      <xdr:col>15</xdr:col>
      <xdr:colOff>560916</xdr:colOff>
      <xdr:row>495</xdr:row>
      <xdr:rowOff>52917</xdr:rowOff>
    </xdr:to>
    <xdr:cxnSp macro="">
      <xdr:nvCxnSpPr>
        <xdr:cNvPr id="445" name="Straight Arrow Connector 444">
          <a:extLst>
            <a:ext uri="{FF2B5EF4-FFF2-40B4-BE49-F238E27FC236}">
              <a16:creationId xmlns:a16="http://schemas.microsoft.com/office/drawing/2014/main" id="{00000000-0008-0000-1300-0000BD010000}"/>
            </a:ext>
          </a:extLst>
        </xdr:cNvPr>
        <xdr:cNvCxnSpPr/>
      </xdr:nvCxnSpPr>
      <xdr:spPr>
        <a:xfrm>
          <a:off x="10551583" y="72495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491</xdr:row>
      <xdr:rowOff>31750</xdr:rowOff>
    </xdr:from>
    <xdr:to>
      <xdr:col>16</xdr:col>
      <xdr:colOff>21167</xdr:colOff>
      <xdr:row>498</xdr:row>
      <xdr:rowOff>95250</xdr:rowOff>
    </xdr:to>
    <xdr:cxnSp macro="">
      <xdr:nvCxnSpPr>
        <xdr:cNvPr id="446" name="Straight Arrow Connector 445">
          <a:extLst>
            <a:ext uri="{FF2B5EF4-FFF2-40B4-BE49-F238E27FC236}">
              <a16:creationId xmlns:a16="http://schemas.microsoft.com/office/drawing/2014/main" id="{00000000-0008-0000-1300-0000BE010000}"/>
            </a:ext>
          </a:extLst>
        </xdr:cNvPr>
        <xdr:cNvCxnSpPr/>
      </xdr:nvCxnSpPr>
      <xdr:spPr>
        <a:xfrm>
          <a:off x="10583333" y="72707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505</xdr:row>
      <xdr:rowOff>0</xdr:rowOff>
    </xdr:from>
    <xdr:to>
      <xdr:col>16</xdr:col>
      <xdr:colOff>0</xdr:colOff>
      <xdr:row>505</xdr:row>
      <xdr:rowOff>42334</xdr:rowOff>
    </xdr:to>
    <xdr:cxnSp macro="">
      <xdr:nvCxnSpPr>
        <xdr:cNvPr id="447" name="Straight Arrow Connector 446">
          <a:extLst>
            <a:ext uri="{FF2B5EF4-FFF2-40B4-BE49-F238E27FC236}">
              <a16:creationId xmlns:a16="http://schemas.microsoft.com/office/drawing/2014/main" id="{00000000-0008-0000-1300-0000BF010000}"/>
            </a:ext>
          </a:extLst>
        </xdr:cNvPr>
        <xdr:cNvCxnSpPr/>
      </xdr:nvCxnSpPr>
      <xdr:spPr>
        <a:xfrm>
          <a:off x="10562166" y="99060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505</xdr:row>
      <xdr:rowOff>21166</xdr:rowOff>
    </xdr:from>
    <xdr:to>
      <xdr:col>15</xdr:col>
      <xdr:colOff>560916</xdr:colOff>
      <xdr:row>508</xdr:row>
      <xdr:rowOff>84667</xdr:rowOff>
    </xdr:to>
    <xdr:cxnSp macro="">
      <xdr:nvCxnSpPr>
        <xdr:cNvPr id="448" name="Straight Arrow Connector 447">
          <a:extLst>
            <a:ext uri="{FF2B5EF4-FFF2-40B4-BE49-F238E27FC236}">
              <a16:creationId xmlns:a16="http://schemas.microsoft.com/office/drawing/2014/main" id="{00000000-0008-0000-1300-0000C0010000}"/>
            </a:ext>
          </a:extLst>
        </xdr:cNvPr>
        <xdr:cNvCxnSpPr/>
      </xdr:nvCxnSpPr>
      <xdr:spPr>
        <a:xfrm>
          <a:off x="10615083" y="99271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505</xdr:row>
      <xdr:rowOff>52916</xdr:rowOff>
    </xdr:from>
    <xdr:to>
      <xdr:col>15</xdr:col>
      <xdr:colOff>592666</xdr:colOff>
      <xdr:row>511</xdr:row>
      <xdr:rowOff>63501</xdr:rowOff>
    </xdr:to>
    <xdr:cxnSp macro="">
      <xdr:nvCxnSpPr>
        <xdr:cNvPr id="449" name="Straight Arrow Connector 448">
          <a:extLst>
            <a:ext uri="{FF2B5EF4-FFF2-40B4-BE49-F238E27FC236}">
              <a16:creationId xmlns:a16="http://schemas.microsoft.com/office/drawing/2014/main" id="{00000000-0008-0000-1300-0000C1010000}"/>
            </a:ext>
          </a:extLst>
        </xdr:cNvPr>
        <xdr:cNvCxnSpPr/>
      </xdr:nvCxnSpPr>
      <xdr:spPr>
        <a:xfrm>
          <a:off x="10572750" y="99589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519</xdr:row>
      <xdr:rowOff>116416</xdr:rowOff>
    </xdr:from>
    <xdr:to>
      <xdr:col>15</xdr:col>
      <xdr:colOff>592666</xdr:colOff>
      <xdr:row>522</xdr:row>
      <xdr:rowOff>158750</xdr:rowOff>
    </xdr:to>
    <xdr:cxnSp macro="">
      <xdr:nvCxnSpPr>
        <xdr:cNvPr id="450" name="Straight Arrow Connector 449">
          <a:extLst>
            <a:ext uri="{FF2B5EF4-FFF2-40B4-BE49-F238E27FC236}">
              <a16:creationId xmlns:a16="http://schemas.microsoft.com/office/drawing/2014/main" id="{00000000-0008-0000-1300-0000C2010000}"/>
            </a:ext>
          </a:extLst>
        </xdr:cNvPr>
        <xdr:cNvCxnSpPr/>
      </xdr:nvCxnSpPr>
      <xdr:spPr>
        <a:xfrm flipV="1">
          <a:off x="10562166" y="12689416"/>
          <a:ext cx="571500" cy="613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521</xdr:row>
      <xdr:rowOff>95250</xdr:rowOff>
    </xdr:from>
    <xdr:to>
      <xdr:col>15</xdr:col>
      <xdr:colOff>582083</xdr:colOff>
      <xdr:row>523</xdr:row>
      <xdr:rowOff>52917</xdr:rowOff>
    </xdr:to>
    <xdr:cxnSp macro="">
      <xdr:nvCxnSpPr>
        <xdr:cNvPr id="451" name="Straight Arrow Connector 450">
          <a:extLst>
            <a:ext uri="{FF2B5EF4-FFF2-40B4-BE49-F238E27FC236}">
              <a16:creationId xmlns:a16="http://schemas.microsoft.com/office/drawing/2014/main" id="{00000000-0008-0000-1300-0000C3010000}"/>
            </a:ext>
          </a:extLst>
        </xdr:cNvPr>
        <xdr:cNvCxnSpPr/>
      </xdr:nvCxnSpPr>
      <xdr:spPr>
        <a:xfrm flipV="1">
          <a:off x="10604500" y="13049250"/>
          <a:ext cx="518583" cy="338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523</xdr:row>
      <xdr:rowOff>116417</xdr:rowOff>
    </xdr:from>
    <xdr:to>
      <xdr:col>15</xdr:col>
      <xdr:colOff>592666</xdr:colOff>
      <xdr:row>527</xdr:row>
      <xdr:rowOff>95250</xdr:rowOff>
    </xdr:to>
    <xdr:cxnSp macro="">
      <xdr:nvCxnSpPr>
        <xdr:cNvPr id="452" name="Straight Arrow Connector 451">
          <a:extLst>
            <a:ext uri="{FF2B5EF4-FFF2-40B4-BE49-F238E27FC236}">
              <a16:creationId xmlns:a16="http://schemas.microsoft.com/office/drawing/2014/main" id="{00000000-0008-0000-1300-0000C4010000}"/>
            </a:ext>
          </a:extLst>
        </xdr:cNvPr>
        <xdr:cNvCxnSpPr/>
      </xdr:nvCxnSpPr>
      <xdr:spPr>
        <a:xfrm>
          <a:off x="10593916" y="13451417"/>
          <a:ext cx="53975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534</xdr:row>
      <xdr:rowOff>116416</xdr:rowOff>
    </xdr:from>
    <xdr:to>
      <xdr:col>16</xdr:col>
      <xdr:colOff>0</xdr:colOff>
      <xdr:row>541</xdr:row>
      <xdr:rowOff>74084</xdr:rowOff>
    </xdr:to>
    <xdr:cxnSp macro="">
      <xdr:nvCxnSpPr>
        <xdr:cNvPr id="453" name="Straight Arrow Connector 452">
          <a:extLst>
            <a:ext uri="{FF2B5EF4-FFF2-40B4-BE49-F238E27FC236}">
              <a16:creationId xmlns:a16="http://schemas.microsoft.com/office/drawing/2014/main" id="{00000000-0008-0000-1300-0000C5010000}"/>
            </a:ext>
          </a:extLst>
        </xdr:cNvPr>
        <xdr:cNvCxnSpPr/>
      </xdr:nvCxnSpPr>
      <xdr:spPr>
        <a:xfrm>
          <a:off x="10572750" y="15546916"/>
          <a:ext cx="571500" cy="12911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502</xdr:row>
      <xdr:rowOff>52917</xdr:rowOff>
    </xdr:from>
    <xdr:to>
      <xdr:col>15</xdr:col>
      <xdr:colOff>603250</xdr:colOff>
      <xdr:row>504</xdr:row>
      <xdr:rowOff>148167</xdr:rowOff>
    </xdr:to>
    <xdr:cxnSp macro="">
      <xdr:nvCxnSpPr>
        <xdr:cNvPr id="454" name="Straight Arrow Connector 453">
          <a:extLst>
            <a:ext uri="{FF2B5EF4-FFF2-40B4-BE49-F238E27FC236}">
              <a16:creationId xmlns:a16="http://schemas.microsoft.com/office/drawing/2014/main" id="{00000000-0008-0000-1300-0000C6010000}"/>
            </a:ext>
          </a:extLst>
        </xdr:cNvPr>
        <xdr:cNvCxnSpPr/>
      </xdr:nvCxnSpPr>
      <xdr:spPr>
        <a:xfrm flipV="1">
          <a:off x="10583333" y="93874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537</xdr:row>
      <xdr:rowOff>42333</xdr:rowOff>
    </xdr:from>
    <xdr:to>
      <xdr:col>11</xdr:col>
      <xdr:colOff>603250</xdr:colOff>
      <xdr:row>549</xdr:row>
      <xdr:rowOff>10583</xdr:rowOff>
    </xdr:to>
    <xdr:cxnSp macro="">
      <xdr:nvCxnSpPr>
        <xdr:cNvPr id="455" name="Straight Arrow Connector 454">
          <a:extLst>
            <a:ext uri="{FF2B5EF4-FFF2-40B4-BE49-F238E27FC236}">
              <a16:creationId xmlns:a16="http://schemas.microsoft.com/office/drawing/2014/main" id="{00000000-0008-0000-1300-0000C7010000}"/>
            </a:ext>
          </a:extLst>
        </xdr:cNvPr>
        <xdr:cNvCxnSpPr/>
      </xdr:nvCxnSpPr>
      <xdr:spPr>
        <a:xfrm>
          <a:off x="7598834" y="160443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527</xdr:row>
      <xdr:rowOff>21167</xdr:rowOff>
    </xdr:from>
    <xdr:to>
      <xdr:col>13</xdr:col>
      <xdr:colOff>592667</xdr:colOff>
      <xdr:row>529</xdr:row>
      <xdr:rowOff>0</xdr:rowOff>
    </xdr:to>
    <xdr:cxnSp macro="">
      <xdr:nvCxnSpPr>
        <xdr:cNvPr id="456" name="Straight Arrow Connector 455">
          <a:extLst>
            <a:ext uri="{FF2B5EF4-FFF2-40B4-BE49-F238E27FC236}">
              <a16:creationId xmlns:a16="http://schemas.microsoft.com/office/drawing/2014/main" id="{00000000-0008-0000-1300-0000C8010000}"/>
            </a:ext>
          </a:extLst>
        </xdr:cNvPr>
        <xdr:cNvCxnSpPr/>
      </xdr:nvCxnSpPr>
      <xdr:spPr>
        <a:xfrm flipV="1">
          <a:off x="8794750" y="141181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532</xdr:row>
      <xdr:rowOff>21166</xdr:rowOff>
    </xdr:from>
    <xdr:to>
      <xdr:col>13</xdr:col>
      <xdr:colOff>592667</xdr:colOff>
      <xdr:row>533</xdr:row>
      <xdr:rowOff>169334</xdr:rowOff>
    </xdr:to>
    <xdr:cxnSp macro="">
      <xdr:nvCxnSpPr>
        <xdr:cNvPr id="457" name="Straight Arrow Connector 456">
          <a:extLst>
            <a:ext uri="{FF2B5EF4-FFF2-40B4-BE49-F238E27FC236}">
              <a16:creationId xmlns:a16="http://schemas.microsoft.com/office/drawing/2014/main" id="{00000000-0008-0000-1300-0000C9010000}"/>
            </a:ext>
          </a:extLst>
        </xdr:cNvPr>
        <xdr:cNvCxnSpPr/>
      </xdr:nvCxnSpPr>
      <xdr:spPr>
        <a:xfrm>
          <a:off x="8784166" y="150706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547</xdr:row>
      <xdr:rowOff>21167</xdr:rowOff>
    </xdr:from>
    <xdr:to>
      <xdr:col>13</xdr:col>
      <xdr:colOff>592667</xdr:colOff>
      <xdr:row>549</xdr:row>
      <xdr:rowOff>63500</xdr:rowOff>
    </xdr:to>
    <xdr:cxnSp macro="">
      <xdr:nvCxnSpPr>
        <xdr:cNvPr id="458" name="Straight Arrow Connector 457">
          <a:extLst>
            <a:ext uri="{FF2B5EF4-FFF2-40B4-BE49-F238E27FC236}">
              <a16:creationId xmlns:a16="http://schemas.microsoft.com/office/drawing/2014/main" id="{00000000-0008-0000-1300-0000CA010000}"/>
            </a:ext>
          </a:extLst>
        </xdr:cNvPr>
        <xdr:cNvCxnSpPr/>
      </xdr:nvCxnSpPr>
      <xdr:spPr>
        <a:xfrm flipV="1">
          <a:off x="8794750" y="181186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552</xdr:row>
      <xdr:rowOff>0</xdr:rowOff>
    </xdr:from>
    <xdr:to>
      <xdr:col>14</xdr:col>
      <xdr:colOff>10584</xdr:colOff>
      <xdr:row>560</xdr:row>
      <xdr:rowOff>148167</xdr:rowOff>
    </xdr:to>
    <xdr:cxnSp macro="">
      <xdr:nvCxnSpPr>
        <xdr:cNvPr id="459" name="Straight Arrow Connector 458">
          <a:extLst>
            <a:ext uri="{FF2B5EF4-FFF2-40B4-BE49-F238E27FC236}">
              <a16:creationId xmlns:a16="http://schemas.microsoft.com/office/drawing/2014/main" id="{00000000-0008-0000-1300-0000CB010000}"/>
            </a:ext>
          </a:extLst>
        </xdr:cNvPr>
        <xdr:cNvCxnSpPr/>
      </xdr:nvCxnSpPr>
      <xdr:spPr>
        <a:xfrm>
          <a:off x="8805333" y="190500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523</xdr:row>
      <xdr:rowOff>95250</xdr:rowOff>
    </xdr:from>
    <xdr:to>
      <xdr:col>15</xdr:col>
      <xdr:colOff>582083</xdr:colOff>
      <xdr:row>525</xdr:row>
      <xdr:rowOff>137583</xdr:rowOff>
    </xdr:to>
    <xdr:cxnSp macro="">
      <xdr:nvCxnSpPr>
        <xdr:cNvPr id="460" name="Straight Arrow Connector 459">
          <a:extLst>
            <a:ext uri="{FF2B5EF4-FFF2-40B4-BE49-F238E27FC236}">
              <a16:creationId xmlns:a16="http://schemas.microsoft.com/office/drawing/2014/main" id="{00000000-0008-0000-1300-0000CC010000}"/>
            </a:ext>
          </a:extLst>
        </xdr:cNvPr>
        <xdr:cNvCxnSpPr/>
      </xdr:nvCxnSpPr>
      <xdr:spPr>
        <a:xfrm>
          <a:off x="10593916" y="13430250"/>
          <a:ext cx="5291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532</xdr:row>
      <xdr:rowOff>52916</xdr:rowOff>
    </xdr:from>
    <xdr:to>
      <xdr:col>16</xdr:col>
      <xdr:colOff>0</xdr:colOff>
      <xdr:row>534</xdr:row>
      <xdr:rowOff>0</xdr:rowOff>
    </xdr:to>
    <xdr:cxnSp macro="">
      <xdr:nvCxnSpPr>
        <xdr:cNvPr id="461" name="Straight Arrow Connector 460">
          <a:extLst>
            <a:ext uri="{FF2B5EF4-FFF2-40B4-BE49-F238E27FC236}">
              <a16:creationId xmlns:a16="http://schemas.microsoft.com/office/drawing/2014/main" id="{00000000-0008-0000-1300-0000CD010000}"/>
            </a:ext>
          </a:extLst>
        </xdr:cNvPr>
        <xdr:cNvCxnSpPr/>
      </xdr:nvCxnSpPr>
      <xdr:spPr>
        <a:xfrm flipV="1">
          <a:off x="10541000" y="151024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534</xdr:row>
      <xdr:rowOff>21167</xdr:rowOff>
    </xdr:from>
    <xdr:to>
      <xdr:col>15</xdr:col>
      <xdr:colOff>592666</xdr:colOff>
      <xdr:row>535</xdr:row>
      <xdr:rowOff>84667</xdr:rowOff>
    </xdr:to>
    <xdr:cxnSp macro="">
      <xdr:nvCxnSpPr>
        <xdr:cNvPr id="462" name="Straight Arrow Connector 461">
          <a:extLst>
            <a:ext uri="{FF2B5EF4-FFF2-40B4-BE49-F238E27FC236}">
              <a16:creationId xmlns:a16="http://schemas.microsoft.com/office/drawing/2014/main" id="{00000000-0008-0000-1300-0000CE010000}"/>
            </a:ext>
          </a:extLst>
        </xdr:cNvPr>
        <xdr:cNvCxnSpPr/>
      </xdr:nvCxnSpPr>
      <xdr:spPr>
        <a:xfrm>
          <a:off x="10530417" y="15451667"/>
          <a:ext cx="603249" cy="25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534</xdr:row>
      <xdr:rowOff>0</xdr:rowOff>
    </xdr:from>
    <xdr:to>
      <xdr:col>16</xdr:col>
      <xdr:colOff>0</xdr:colOff>
      <xdr:row>538</xdr:row>
      <xdr:rowOff>42334</xdr:rowOff>
    </xdr:to>
    <xdr:cxnSp macro="">
      <xdr:nvCxnSpPr>
        <xdr:cNvPr id="463" name="Straight Arrow Connector 462">
          <a:extLst>
            <a:ext uri="{FF2B5EF4-FFF2-40B4-BE49-F238E27FC236}">
              <a16:creationId xmlns:a16="http://schemas.microsoft.com/office/drawing/2014/main" id="{00000000-0008-0000-1300-0000CF010000}"/>
            </a:ext>
          </a:extLst>
        </xdr:cNvPr>
        <xdr:cNvCxnSpPr/>
      </xdr:nvCxnSpPr>
      <xdr:spPr>
        <a:xfrm>
          <a:off x="10530417" y="15430500"/>
          <a:ext cx="613833" cy="804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545</xdr:row>
      <xdr:rowOff>0</xdr:rowOff>
    </xdr:from>
    <xdr:to>
      <xdr:col>15</xdr:col>
      <xdr:colOff>603250</xdr:colOff>
      <xdr:row>547</xdr:row>
      <xdr:rowOff>1</xdr:rowOff>
    </xdr:to>
    <xdr:cxnSp macro="">
      <xdr:nvCxnSpPr>
        <xdr:cNvPr id="464" name="Straight Arrow Connector 463">
          <a:extLst>
            <a:ext uri="{FF2B5EF4-FFF2-40B4-BE49-F238E27FC236}">
              <a16:creationId xmlns:a16="http://schemas.microsoft.com/office/drawing/2014/main" id="{00000000-0008-0000-1300-0000D0010000}"/>
            </a:ext>
          </a:extLst>
        </xdr:cNvPr>
        <xdr:cNvCxnSpPr/>
      </xdr:nvCxnSpPr>
      <xdr:spPr>
        <a:xfrm flipV="1">
          <a:off x="10530417" y="177165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547</xdr:row>
      <xdr:rowOff>10584</xdr:rowOff>
    </xdr:from>
    <xdr:to>
      <xdr:col>15</xdr:col>
      <xdr:colOff>592666</xdr:colOff>
      <xdr:row>548</xdr:row>
      <xdr:rowOff>95250</xdr:rowOff>
    </xdr:to>
    <xdr:cxnSp macro="">
      <xdr:nvCxnSpPr>
        <xdr:cNvPr id="465" name="Straight Arrow Connector 464">
          <a:extLst>
            <a:ext uri="{FF2B5EF4-FFF2-40B4-BE49-F238E27FC236}">
              <a16:creationId xmlns:a16="http://schemas.microsoft.com/office/drawing/2014/main" id="{00000000-0008-0000-1300-0000D1010000}"/>
            </a:ext>
          </a:extLst>
        </xdr:cNvPr>
        <xdr:cNvCxnSpPr/>
      </xdr:nvCxnSpPr>
      <xdr:spPr>
        <a:xfrm>
          <a:off x="10572750" y="181080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547</xdr:row>
      <xdr:rowOff>10584</xdr:rowOff>
    </xdr:from>
    <xdr:to>
      <xdr:col>15</xdr:col>
      <xdr:colOff>560916</xdr:colOff>
      <xdr:row>551</xdr:row>
      <xdr:rowOff>52917</xdr:rowOff>
    </xdr:to>
    <xdr:cxnSp macro="">
      <xdr:nvCxnSpPr>
        <xdr:cNvPr id="466" name="Straight Arrow Connector 465">
          <a:extLst>
            <a:ext uri="{FF2B5EF4-FFF2-40B4-BE49-F238E27FC236}">
              <a16:creationId xmlns:a16="http://schemas.microsoft.com/office/drawing/2014/main" id="{00000000-0008-0000-1300-0000D2010000}"/>
            </a:ext>
          </a:extLst>
        </xdr:cNvPr>
        <xdr:cNvCxnSpPr/>
      </xdr:nvCxnSpPr>
      <xdr:spPr>
        <a:xfrm>
          <a:off x="10551583" y="181080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547</xdr:row>
      <xdr:rowOff>31750</xdr:rowOff>
    </xdr:from>
    <xdr:to>
      <xdr:col>16</xdr:col>
      <xdr:colOff>21167</xdr:colOff>
      <xdr:row>554</xdr:row>
      <xdr:rowOff>95250</xdr:rowOff>
    </xdr:to>
    <xdr:cxnSp macro="">
      <xdr:nvCxnSpPr>
        <xdr:cNvPr id="467" name="Straight Arrow Connector 466">
          <a:extLst>
            <a:ext uri="{FF2B5EF4-FFF2-40B4-BE49-F238E27FC236}">
              <a16:creationId xmlns:a16="http://schemas.microsoft.com/office/drawing/2014/main" id="{00000000-0008-0000-1300-0000D3010000}"/>
            </a:ext>
          </a:extLst>
        </xdr:cNvPr>
        <xdr:cNvCxnSpPr/>
      </xdr:nvCxnSpPr>
      <xdr:spPr>
        <a:xfrm>
          <a:off x="10583333" y="181292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561</xdr:row>
      <xdr:rowOff>0</xdr:rowOff>
    </xdr:from>
    <xdr:to>
      <xdr:col>16</xdr:col>
      <xdr:colOff>0</xdr:colOff>
      <xdr:row>561</xdr:row>
      <xdr:rowOff>42334</xdr:rowOff>
    </xdr:to>
    <xdr:cxnSp macro="">
      <xdr:nvCxnSpPr>
        <xdr:cNvPr id="468" name="Straight Arrow Connector 467">
          <a:extLst>
            <a:ext uri="{FF2B5EF4-FFF2-40B4-BE49-F238E27FC236}">
              <a16:creationId xmlns:a16="http://schemas.microsoft.com/office/drawing/2014/main" id="{00000000-0008-0000-1300-0000D4010000}"/>
            </a:ext>
          </a:extLst>
        </xdr:cNvPr>
        <xdr:cNvCxnSpPr/>
      </xdr:nvCxnSpPr>
      <xdr:spPr>
        <a:xfrm>
          <a:off x="10562166" y="207645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561</xdr:row>
      <xdr:rowOff>21166</xdr:rowOff>
    </xdr:from>
    <xdr:to>
      <xdr:col>15</xdr:col>
      <xdr:colOff>560916</xdr:colOff>
      <xdr:row>564</xdr:row>
      <xdr:rowOff>84667</xdr:rowOff>
    </xdr:to>
    <xdr:cxnSp macro="">
      <xdr:nvCxnSpPr>
        <xdr:cNvPr id="469" name="Straight Arrow Connector 468">
          <a:extLst>
            <a:ext uri="{FF2B5EF4-FFF2-40B4-BE49-F238E27FC236}">
              <a16:creationId xmlns:a16="http://schemas.microsoft.com/office/drawing/2014/main" id="{00000000-0008-0000-1300-0000D5010000}"/>
            </a:ext>
          </a:extLst>
        </xdr:cNvPr>
        <xdr:cNvCxnSpPr/>
      </xdr:nvCxnSpPr>
      <xdr:spPr>
        <a:xfrm>
          <a:off x="10615083" y="207856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561</xdr:row>
      <xdr:rowOff>52916</xdr:rowOff>
    </xdr:from>
    <xdr:to>
      <xdr:col>15</xdr:col>
      <xdr:colOff>592666</xdr:colOff>
      <xdr:row>567</xdr:row>
      <xdr:rowOff>63501</xdr:rowOff>
    </xdr:to>
    <xdr:cxnSp macro="">
      <xdr:nvCxnSpPr>
        <xdr:cNvPr id="470" name="Straight Arrow Connector 469">
          <a:extLst>
            <a:ext uri="{FF2B5EF4-FFF2-40B4-BE49-F238E27FC236}">
              <a16:creationId xmlns:a16="http://schemas.microsoft.com/office/drawing/2014/main" id="{00000000-0008-0000-1300-0000D6010000}"/>
            </a:ext>
          </a:extLst>
        </xdr:cNvPr>
        <xdr:cNvCxnSpPr/>
      </xdr:nvCxnSpPr>
      <xdr:spPr>
        <a:xfrm>
          <a:off x="10572750" y="208174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558</xdr:row>
      <xdr:rowOff>52917</xdr:rowOff>
    </xdr:from>
    <xdr:to>
      <xdr:col>15</xdr:col>
      <xdr:colOff>603250</xdr:colOff>
      <xdr:row>560</xdr:row>
      <xdr:rowOff>148167</xdr:rowOff>
    </xdr:to>
    <xdr:cxnSp macro="">
      <xdr:nvCxnSpPr>
        <xdr:cNvPr id="471" name="Straight Arrow Connector 470">
          <a:extLst>
            <a:ext uri="{FF2B5EF4-FFF2-40B4-BE49-F238E27FC236}">
              <a16:creationId xmlns:a16="http://schemas.microsoft.com/office/drawing/2014/main" id="{00000000-0008-0000-1300-0000D7010000}"/>
            </a:ext>
          </a:extLst>
        </xdr:cNvPr>
        <xdr:cNvCxnSpPr/>
      </xdr:nvCxnSpPr>
      <xdr:spPr>
        <a:xfrm flipV="1">
          <a:off x="10583333" y="202459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698500</xdr:colOff>
      <xdr:row>602</xdr:row>
      <xdr:rowOff>95250</xdr:rowOff>
    </xdr:from>
    <xdr:to>
      <xdr:col>8</xdr:col>
      <xdr:colOff>21167</xdr:colOff>
      <xdr:row>634</xdr:row>
      <xdr:rowOff>148166</xdr:rowOff>
    </xdr:to>
    <xdr:cxnSp macro="">
      <xdr:nvCxnSpPr>
        <xdr:cNvPr id="472" name="Straight Arrow Connector 471">
          <a:extLst>
            <a:ext uri="{FF2B5EF4-FFF2-40B4-BE49-F238E27FC236}">
              <a16:creationId xmlns:a16="http://schemas.microsoft.com/office/drawing/2014/main" id="{00000000-0008-0000-1300-0000D8010000}"/>
            </a:ext>
          </a:extLst>
        </xdr:cNvPr>
        <xdr:cNvCxnSpPr/>
      </xdr:nvCxnSpPr>
      <xdr:spPr>
        <a:xfrm>
          <a:off x="5080000" y="28860750"/>
          <a:ext cx="719667" cy="6148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573</xdr:row>
      <xdr:rowOff>137583</xdr:rowOff>
    </xdr:from>
    <xdr:to>
      <xdr:col>9</xdr:col>
      <xdr:colOff>603250</xdr:colOff>
      <xdr:row>579</xdr:row>
      <xdr:rowOff>21166</xdr:rowOff>
    </xdr:to>
    <xdr:cxnSp macro="">
      <xdr:nvCxnSpPr>
        <xdr:cNvPr id="473" name="Straight Arrow Connector 472">
          <a:extLst>
            <a:ext uri="{FF2B5EF4-FFF2-40B4-BE49-F238E27FC236}">
              <a16:creationId xmlns:a16="http://schemas.microsoft.com/office/drawing/2014/main" id="{00000000-0008-0000-1300-0000D9010000}"/>
            </a:ext>
          </a:extLst>
        </xdr:cNvPr>
        <xdr:cNvCxnSpPr/>
      </xdr:nvCxnSpPr>
      <xdr:spPr>
        <a:xfrm flipV="1">
          <a:off x="6381750" y="23188083"/>
          <a:ext cx="603250" cy="1026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582</xdr:row>
      <xdr:rowOff>0</xdr:rowOff>
    </xdr:from>
    <xdr:to>
      <xdr:col>9</xdr:col>
      <xdr:colOff>582083</xdr:colOff>
      <xdr:row>590</xdr:row>
      <xdr:rowOff>10583</xdr:rowOff>
    </xdr:to>
    <xdr:cxnSp macro="">
      <xdr:nvCxnSpPr>
        <xdr:cNvPr id="474" name="Straight Arrow Connector 473">
          <a:extLst>
            <a:ext uri="{FF2B5EF4-FFF2-40B4-BE49-F238E27FC236}">
              <a16:creationId xmlns:a16="http://schemas.microsoft.com/office/drawing/2014/main" id="{00000000-0008-0000-1300-0000DA010000}"/>
            </a:ext>
          </a:extLst>
        </xdr:cNvPr>
        <xdr:cNvCxnSpPr/>
      </xdr:nvCxnSpPr>
      <xdr:spPr>
        <a:xfrm>
          <a:off x="6413500" y="24765000"/>
          <a:ext cx="550333" cy="1534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21167</xdr:colOff>
      <xdr:row>587</xdr:row>
      <xdr:rowOff>169333</xdr:rowOff>
    </xdr:from>
    <xdr:to>
      <xdr:col>11</xdr:col>
      <xdr:colOff>603250</xdr:colOff>
      <xdr:row>590</xdr:row>
      <xdr:rowOff>21167</xdr:rowOff>
    </xdr:to>
    <xdr:cxnSp macro="">
      <xdr:nvCxnSpPr>
        <xdr:cNvPr id="475" name="Straight Arrow Connector 474">
          <a:extLst>
            <a:ext uri="{FF2B5EF4-FFF2-40B4-BE49-F238E27FC236}">
              <a16:creationId xmlns:a16="http://schemas.microsoft.com/office/drawing/2014/main" id="{00000000-0008-0000-1300-0000DB010000}"/>
            </a:ext>
          </a:extLst>
        </xdr:cNvPr>
        <xdr:cNvCxnSpPr/>
      </xdr:nvCxnSpPr>
      <xdr:spPr>
        <a:xfrm flipV="1">
          <a:off x="7609417" y="25886833"/>
          <a:ext cx="582083" cy="423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593</xdr:row>
      <xdr:rowOff>42333</xdr:rowOff>
    </xdr:from>
    <xdr:to>
      <xdr:col>11</xdr:col>
      <xdr:colOff>603250</xdr:colOff>
      <xdr:row>605</xdr:row>
      <xdr:rowOff>10583</xdr:rowOff>
    </xdr:to>
    <xdr:cxnSp macro="">
      <xdr:nvCxnSpPr>
        <xdr:cNvPr id="476" name="Straight Arrow Connector 475">
          <a:extLst>
            <a:ext uri="{FF2B5EF4-FFF2-40B4-BE49-F238E27FC236}">
              <a16:creationId xmlns:a16="http://schemas.microsoft.com/office/drawing/2014/main" id="{00000000-0008-0000-1300-0000DC010000}"/>
            </a:ext>
          </a:extLst>
        </xdr:cNvPr>
        <xdr:cNvCxnSpPr/>
      </xdr:nvCxnSpPr>
      <xdr:spPr>
        <a:xfrm>
          <a:off x="7598834" y="269028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583</xdr:row>
      <xdr:rowOff>21167</xdr:rowOff>
    </xdr:from>
    <xdr:to>
      <xdr:col>13</xdr:col>
      <xdr:colOff>592667</xdr:colOff>
      <xdr:row>585</xdr:row>
      <xdr:rowOff>0</xdr:rowOff>
    </xdr:to>
    <xdr:cxnSp macro="">
      <xdr:nvCxnSpPr>
        <xdr:cNvPr id="477" name="Straight Arrow Connector 476">
          <a:extLst>
            <a:ext uri="{FF2B5EF4-FFF2-40B4-BE49-F238E27FC236}">
              <a16:creationId xmlns:a16="http://schemas.microsoft.com/office/drawing/2014/main" id="{00000000-0008-0000-1300-0000DD010000}"/>
            </a:ext>
          </a:extLst>
        </xdr:cNvPr>
        <xdr:cNvCxnSpPr/>
      </xdr:nvCxnSpPr>
      <xdr:spPr>
        <a:xfrm flipV="1">
          <a:off x="8794750" y="249766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588</xdr:row>
      <xdr:rowOff>21166</xdr:rowOff>
    </xdr:from>
    <xdr:to>
      <xdr:col>13</xdr:col>
      <xdr:colOff>592667</xdr:colOff>
      <xdr:row>589</xdr:row>
      <xdr:rowOff>169334</xdr:rowOff>
    </xdr:to>
    <xdr:cxnSp macro="">
      <xdr:nvCxnSpPr>
        <xdr:cNvPr id="478" name="Straight Arrow Connector 477">
          <a:extLst>
            <a:ext uri="{FF2B5EF4-FFF2-40B4-BE49-F238E27FC236}">
              <a16:creationId xmlns:a16="http://schemas.microsoft.com/office/drawing/2014/main" id="{00000000-0008-0000-1300-0000DE010000}"/>
            </a:ext>
          </a:extLst>
        </xdr:cNvPr>
        <xdr:cNvCxnSpPr/>
      </xdr:nvCxnSpPr>
      <xdr:spPr>
        <a:xfrm>
          <a:off x="8784166" y="259291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603</xdr:row>
      <xdr:rowOff>21167</xdr:rowOff>
    </xdr:from>
    <xdr:to>
      <xdr:col>13</xdr:col>
      <xdr:colOff>592667</xdr:colOff>
      <xdr:row>605</xdr:row>
      <xdr:rowOff>63500</xdr:rowOff>
    </xdr:to>
    <xdr:cxnSp macro="">
      <xdr:nvCxnSpPr>
        <xdr:cNvPr id="479" name="Straight Arrow Connector 478">
          <a:extLst>
            <a:ext uri="{FF2B5EF4-FFF2-40B4-BE49-F238E27FC236}">
              <a16:creationId xmlns:a16="http://schemas.microsoft.com/office/drawing/2014/main" id="{00000000-0008-0000-1300-0000DF010000}"/>
            </a:ext>
          </a:extLst>
        </xdr:cNvPr>
        <xdr:cNvCxnSpPr/>
      </xdr:nvCxnSpPr>
      <xdr:spPr>
        <a:xfrm flipV="1">
          <a:off x="8794750" y="289771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608</xdr:row>
      <xdr:rowOff>0</xdr:rowOff>
    </xdr:from>
    <xdr:to>
      <xdr:col>14</xdr:col>
      <xdr:colOff>10584</xdr:colOff>
      <xdr:row>616</xdr:row>
      <xdr:rowOff>148167</xdr:rowOff>
    </xdr:to>
    <xdr:cxnSp macro="">
      <xdr:nvCxnSpPr>
        <xdr:cNvPr id="480" name="Straight Arrow Connector 479">
          <a:extLst>
            <a:ext uri="{FF2B5EF4-FFF2-40B4-BE49-F238E27FC236}">
              <a16:creationId xmlns:a16="http://schemas.microsoft.com/office/drawing/2014/main" id="{00000000-0008-0000-1300-0000E0010000}"/>
            </a:ext>
          </a:extLst>
        </xdr:cNvPr>
        <xdr:cNvCxnSpPr/>
      </xdr:nvCxnSpPr>
      <xdr:spPr>
        <a:xfrm>
          <a:off x="8805333" y="299085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575</xdr:row>
      <xdr:rowOff>0</xdr:rowOff>
    </xdr:from>
    <xdr:to>
      <xdr:col>15</xdr:col>
      <xdr:colOff>603250</xdr:colOff>
      <xdr:row>580</xdr:row>
      <xdr:rowOff>31750</xdr:rowOff>
    </xdr:to>
    <xdr:cxnSp macro="">
      <xdr:nvCxnSpPr>
        <xdr:cNvPr id="481" name="Straight Arrow Connector 480">
          <a:extLst>
            <a:ext uri="{FF2B5EF4-FFF2-40B4-BE49-F238E27FC236}">
              <a16:creationId xmlns:a16="http://schemas.microsoft.com/office/drawing/2014/main" id="{00000000-0008-0000-1300-0000E1010000}"/>
            </a:ext>
          </a:extLst>
        </xdr:cNvPr>
        <xdr:cNvCxnSpPr/>
      </xdr:nvCxnSpPr>
      <xdr:spPr>
        <a:xfrm flipV="1">
          <a:off x="10541000" y="23431500"/>
          <a:ext cx="603250" cy="984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578</xdr:row>
      <xdr:rowOff>52917</xdr:rowOff>
    </xdr:from>
    <xdr:to>
      <xdr:col>15</xdr:col>
      <xdr:colOff>603250</xdr:colOff>
      <xdr:row>580</xdr:row>
      <xdr:rowOff>95250</xdr:rowOff>
    </xdr:to>
    <xdr:cxnSp macro="">
      <xdr:nvCxnSpPr>
        <xdr:cNvPr id="482" name="Straight Arrow Connector 481">
          <a:extLst>
            <a:ext uri="{FF2B5EF4-FFF2-40B4-BE49-F238E27FC236}">
              <a16:creationId xmlns:a16="http://schemas.microsoft.com/office/drawing/2014/main" id="{00000000-0008-0000-1300-0000E2010000}"/>
            </a:ext>
          </a:extLst>
        </xdr:cNvPr>
        <xdr:cNvCxnSpPr/>
      </xdr:nvCxnSpPr>
      <xdr:spPr>
        <a:xfrm flipV="1">
          <a:off x="10583333" y="24055917"/>
          <a:ext cx="56091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580</xdr:row>
      <xdr:rowOff>158750</xdr:rowOff>
    </xdr:from>
    <xdr:to>
      <xdr:col>15</xdr:col>
      <xdr:colOff>582083</xdr:colOff>
      <xdr:row>581</xdr:row>
      <xdr:rowOff>137583</xdr:rowOff>
    </xdr:to>
    <xdr:cxnSp macro="">
      <xdr:nvCxnSpPr>
        <xdr:cNvPr id="483" name="Straight Arrow Connector 482">
          <a:extLst>
            <a:ext uri="{FF2B5EF4-FFF2-40B4-BE49-F238E27FC236}">
              <a16:creationId xmlns:a16="http://schemas.microsoft.com/office/drawing/2014/main" id="{00000000-0008-0000-1300-0000E3010000}"/>
            </a:ext>
          </a:extLst>
        </xdr:cNvPr>
        <xdr:cNvCxnSpPr/>
      </xdr:nvCxnSpPr>
      <xdr:spPr>
        <a:xfrm>
          <a:off x="10604500" y="24542750"/>
          <a:ext cx="518583" cy="169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1121834</xdr:colOff>
      <xdr:row>580</xdr:row>
      <xdr:rowOff>105834</xdr:rowOff>
    </xdr:from>
    <xdr:to>
      <xdr:col>16</xdr:col>
      <xdr:colOff>0</xdr:colOff>
      <xdr:row>584</xdr:row>
      <xdr:rowOff>84667</xdr:rowOff>
    </xdr:to>
    <xdr:cxnSp macro="">
      <xdr:nvCxnSpPr>
        <xdr:cNvPr id="484" name="Straight Arrow Connector 483">
          <a:extLst>
            <a:ext uri="{FF2B5EF4-FFF2-40B4-BE49-F238E27FC236}">
              <a16:creationId xmlns:a16="http://schemas.microsoft.com/office/drawing/2014/main" id="{00000000-0008-0000-1300-0000E4010000}"/>
            </a:ext>
          </a:extLst>
        </xdr:cNvPr>
        <xdr:cNvCxnSpPr/>
      </xdr:nvCxnSpPr>
      <xdr:spPr>
        <a:xfrm>
          <a:off x="10519834" y="24489834"/>
          <a:ext cx="624416"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588</xdr:row>
      <xdr:rowOff>52916</xdr:rowOff>
    </xdr:from>
    <xdr:to>
      <xdr:col>16</xdr:col>
      <xdr:colOff>0</xdr:colOff>
      <xdr:row>590</xdr:row>
      <xdr:rowOff>0</xdr:rowOff>
    </xdr:to>
    <xdr:cxnSp macro="">
      <xdr:nvCxnSpPr>
        <xdr:cNvPr id="485" name="Straight Arrow Connector 484">
          <a:extLst>
            <a:ext uri="{FF2B5EF4-FFF2-40B4-BE49-F238E27FC236}">
              <a16:creationId xmlns:a16="http://schemas.microsoft.com/office/drawing/2014/main" id="{00000000-0008-0000-1300-0000E5010000}"/>
            </a:ext>
          </a:extLst>
        </xdr:cNvPr>
        <xdr:cNvCxnSpPr/>
      </xdr:nvCxnSpPr>
      <xdr:spPr>
        <a:xfrm flipV="1">
          <a:off x="10541000" y="259609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590</xdr:row>
      <xdr:rowOff>21167</xdr:rowOff>
    </xdr:from>
    <xdr:to>
      <xdr:col>15</xdr:col>
      <xdr:colOff>582083</xdr:colOff>
      <xdr:row>591</xdr:row>
      <xdr:rowOff>42333</xdr:rowOff>
    </xdr:to>
    <xdr:cxnSp macro="">
      <xdr:nvCxnSpPr>
        <xdr:cNvPr id="486" name="Straight Arrow Connector 485">
          <a:extLst>
            <a:ext uri="{FF2B5EF4-FFF2-40B4-BE49-F238E27FC236}">
              <a16:creationId xmlns:a16="http://schemas.microsoft.com/office/drawing/2014/main" id="{00000000-0008-0000-1300-0000E6010000}"/>
            </a:ext>
          </a:extLst>
        </xdr:cNvPr>
        <xdr:cNvCxnSpPr/>
      </xdr:nvCxnSpPr>
      <xdr:spPr>
        <a:xfrm>
          <a:off x="10551583" y="26310167"/>
          <a:ext cx="571500" cy="211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590</xdr:row>
      <xdr:rowOff>21167</xdr:rowOff>
    </xdr:from>
    <xdr:to>
      <xdr:col>16</xdr:col>
      <xdr:colOff>42333</xdr:colOff>
      <xdr:row>595</xdr:row>
      <xdr:rowOff>21168</xdr:rowOff>
    </xdr:to>
    <xdr:cxnSp macro="">
      <xdr:nvCxnSpPr>
        <xdr:cNvPr id="487" name="Straight Arrow Connector 486">
          <a:extLst>
            <a:ext uri="{FF2B5EF4-FFF2-40B4-BE49-F238E27FC236}">
              <a16:creationId xmlns:a16="http://schemas.microsoft.com/office/drawing/2014/main" id="{00000000-0008-0000-1300-0000E7010000}"/>
            </a:ext>
          </a:extLst>
        </xdr:cNvPr>
        <xdr:cNvCxnSpPr/>
      </xdr:nvCxnSpPr>
      <xdr:spPr>
        <a:xfrm>
          <a:off x="10530417" y="26310167"/>
          <a:ext cx="656166" cy="9525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590</xdr:row>
      <xdr:rowOff>31750</xdr:rowOff>
    </xdr:from>
    <xdr:to>
      <xdr:col>16</xdr:col>
      <xdr:colOff>42334</xdr:colOff>
      <xdr:row>597</xdr:row>
      <xdr:rowOff>63501</xdr:rowOff>
    </xdr:to>
    <xdr:cxnSp macro="">
      <xdr:nvCxnSpPr>
        <xdr:cNvPr id="488" name="Straight Arrow Connector 487">
          <a:extLst>
            <a:ext uri="{FF2B5EF4-FFF2-40B4-BE49-F238E27FC236}">
              <a16:creationId xmlns:a16="http://schemas.microsoft.com/office/drawing/2014/main" id="{00000000-0008-0000-1300-0000E8010000}"/>
            </a:ext>
          </a:extLst>
        </xdr:cNvPr>
        <xdr:cNvCxnSpPr/>
      </xdr:nvCxnSpPr>
      <xdr:spPr>
        <a:xfrm>
          <a:off x="10541000" y="26320750"/>
          <a:ext cx="645584"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10583</xdr:colOff>
      <xdr:row>627</xdr:row>
      <xdr:rowOff>42333</xdr:rowOff>
    </xdr:from>
    <xdr:to>
      <xdr:col>9</xdr:col>
      <xdr:colOff>592666</xdr:colOff>
      <xdr:row>635</xdr:row>
      <xdr:rowOff>42333</xdr:rowOff>
    </xdr:to>
    <xdr:cxnSp macro="">
      <xdr:nvCxnSpPr>
        <xdr:cNvPr id="489" name="Straight Arrow Connector 488">
          <a:extLst>
            <a:ext uri="{FF2B5EF4-FFF2-40B4-BE49-F238E27FC236}">
              <a16:creationId xmlns:a16="http://schemas.microsoft.com/office/drawing/2014/main" id="{00000000-0008-0000-1300-0000E9010000}"/>
            </a:ext>
          </a:extLst>
        </xdr:cNvPr>
        <xdr:cNvCxnSpPr/>
      </xdr:nvCxnSpPr>
      <xdr:spPr>
        <a:xfrm flipV="1">
          <a:off x="6392333" y="33570333"/>
          <a:ext cx="582083" cy="152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637</xdr:row>
      <xdr:rowOff>169334</xdr:rowOff>
    </xdr:from>
    <xdr:to>
      <xdr:col>9</xdr:col>
      <xdr:colOff>603250</xdr:colOff>
      <xdr:row>646</xdr:row>
      <xdr:rowOff>31750</xdr:rowOff>
    </xdr:to>
    <xdr:cxnSp macro="">
      <xdr:nvCxnSpPr>
        <xdr:cNvPr id="490" name="Straight Arrow Connector 489">
          <a:extLst>
            <a:ext uri="{FF2B5EF4-FFF2-40B4-BE49-F238E27FC236}">
              <a16:creationId xmlns:a16="http://schemas.microsoft.com/office/drawing/2014/main" id="{00000000-0008-0000-1300-0000EA010000}"/>
            </a:ext>
          </a:extLst>
        </xdr:cNvPr>
        <xdr:cNvCxnSpPr/>
      </xdr:nvCxnSpPr>
      <xdr:spPr>
        <a:xfrm>
          <a:off x="6413500" y="35602334"/>
          <a:ext cx="571500" cy="1576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571500</xdr:colOff>
      <xdr:row>643</xdr:row>
      <xdr:rowOff>158750</xdr:rowOff>
    </xdr:from>
    <xdr:to>
      <xdr:col>11</xdr:col>
      <xdr:colOff>571500</xdr:colOff>
      <xdr:row>646</xdr:row>
      <xdr:rowOff>0</xdr:rowOff>
    </xdr:to>
    <xdr:cxnSp macro="">
      <xdr:nvCxnSpPr>
        <xdr:cNvPr id="491" name="Straight Arrow Connector 490">
          <a:extLst>
            <a:ext uri="{FF2B5EF4-FFF2-40B4-BE49-F238E27FC236}">
              <a16:creationId xmlns:a16="http://schemas.microsoft.com/office/drawing/2014/main" id="{00000000-0008-0000-1300-0000EB010000}"/>
            </a:ext>
          </a:extLst>
        </xdr:cNvPr>
        <xdr:cNvCxnSpPr/>
      </xdr:nvCxnSpPr>
      <xdr:spPr>
        <a:xfrm flipV="1">
          <a:off x="7556500" y="36734750"/>
          <a:ext cx="603250" cy="412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601</xdr:row>
      <xdr:rowOff>0</xdr:rowOff>
    </xdr:from>
    <xdr:to>
      <xdr:col>15</xdr:col>
      <xdr:colOff>603250</xdr:colOff>
      <xdr:row>603</xdr:row>
      <xdr:rowOff>1</xdr:rowOff>
    </xdr:to>
    <xdr:cxnSp macro="">
      <xdr:nvCxnSpPr>
        <xdr:cNvPr id="492" name="Straight Arrow Connector 491">
          <a:extLst>
            <a:ext uri="{FF2B5EF4-FFF2-40B4-BE49-F238E27FC236}">
              <a16:creationId xmlns:a16="http://schemas.microsoft.com/office/drawing/2014/main" id="{00000000-0008-0000-1300-0000EC010000}"/>
            </a:ext>
          </a:extLst>
        </xdr:cNvPr>
        <xdr:cNvCxnSpPr/>
      </xdr:nvCxnSpPr>
      <xdr:spPr>
        <a:xfrm flipV="1">
          <a:off x="10530417" y="285750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603</xdr:row>
      <xdr:rowOff>10584</xdr:rowOff>
    </xdr:from>
    <xdr:to>
      <xdr:col>15</xdr:col>
      <xdr:colOff>592666</xdr:colOff>
      <xdr:row>604</xdr:row>
      <xdr:rowOff>95250</xdr:rowOff>
    </xdr:to>
    <xdr:cxnSp macro="">
      <xdr:nvCxnSpPr>
        <xdr:cNvPr id="493" name="Straight Arrow Connector 492">
          <a:extLst>
            <a:ext uri="{FF2B5EF4-FFF2-40B4-BE49-F238E27FC236}">
              <a16:creationId xmlns:a16="http://schemas.microsoft.com/office/drawing/2014/main" id="{00000000-0008-0000-1300-0000ED010000}"/>
            </a:ext>
          </a:extLst>
        </xdr:cNvPr>
        <xdr:cNvCxnSpPr/>
      </xdr:nvCxnSpPr>
      <xdr:spPr>
        <a:xfrm>
          <a:off x="10572750" y="289665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603</xdr:row>
      <xdr:rowOff>10584</xdr:rowOff>
    </xdr:from>
    <xdr:to>
      <xdr:col>15</xdr:col>
      <xdr:colOff>560916</xdr:colOff>
      <xdr:row>607</xdr:row>
      <xdr:rowOff>52917</xdr:rowOff>
    </xdr:to>
    <xdr:cxnSp macro="">
      <xdr:nvCxnSpPr>
        <xdr:cNvPr id="494" name="Straight Arrow Connector 493">
          <a:extLst>
            <a:ext uri="{FF2B5EF4-FFF2-40B4-BE49-F238E27FC236}">
              <a16:creationId xmlns:a16="http://schemas.microsoft.com/office/drawing/2014/main" id="{00000000-0008-0000-1300-0000EE010000}"/>
            </a:ext>
          </a:extLst>
        </xdr:cNvPr>
        <xdr:cNvCxnSpPr/>
      </xdr:nvCxnSpPr>
      <xdr:spPr>
        <a:xfrm>
          <a:off x="10551583" y="289665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603</xdr:row>
      <xdr:rowOff>31750</xdr:rowOff>
    </xdr:from>
    <xdr:to>
      <xdr:col>16</xdr:col>
      <xdr:colOff>21167</xdr:colOff>
      <xdr:row>610</xdr:row>
      <xdr:rowOff>95250</xdr:rowOff>
    </xdr:to>
    <xdr:cxnSp macro="">
      <xdr:nvCxnSpPr>
        <xdr:cNvPr id="495" name="Straight Arrow Connector 494">
          <a:extLst>
            <a:ext uri="{FF2B5EF4-FFF2-40B4-BE49-F238E27FC236}">
              <a16:creationId xmlns:a16="http://schemas.microsoft.com/office/drawing/2014/main" id="{00000000-0008-0000-1300-0000EF010000}"/>
            </a:ext>
          </a:extLst>
        </xdr:cNvPr>
        <xdr:cNvCxnSpPr/>
      </xdr:nvCxnSpPr>
      <xdr:spPr>
        <a:xfrm>
          <a:off x="10583333" y="289877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617</xdr:row>
      <xdr:rowOff>0</xdr:rowOff>
    </xdr:from>
    <xdr:to>
      <xdr:col>16</xdr:col>
      <xdr:colOff>0</xdr:colOff>
      <xdr:row>617</xdr:row>
      <xdr:rowOff>42334</xdr:rowOff>
    </xdr:to>
    <xdr:cxnSp macro="">
      <xdr:nvCxnSpPr>
        <xdr:cNvPr id="496" name="Straight Arrow Connector 495">
          <a:extLst>
            <a:ext uri="{FF2B5EF4-FFF2-40B4-BE49-F238E27FC236}">
              <a16:creationId xmlns:a16="http://schemas.microsoft.com/office/drawing/2014/main" id="{00000000-0008-0000-1300-0000F0010000}"/>
            </a:ext>
          </a:extLst>
        </xdr:cNvPr>
        <xdr:cNvCxnSpPr/>
      </xdr:nvCxnSpPr>
      <xdr:spPr>
        <a:xfrm>
          <a:off x="10562166" y="316230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617</xdr:row>
      <xdr:rowOff>21166</xdr:rowOff>
    </xdr:from>
    <xdr:to>
      <xdr:col>15</xdr:col>
      <xdr:colOff>560916</xdr:colOff>
      <xdr:row>620</xdr:row>
      <xdr:rowOff>84667</xdr:rowOff>
    </xdr:to>
    <xdr:cxnSp macro="">
      <xdr:nvCxnSpPr>
        <xdr:cNvPr id="497" name="Straight Arrow Connector 496">
          <a:extLst>
            <a:ext uri="{FF2B5EF4-FFF2-40B4-BE49-F238E27FC236}">
              <a16:creationId xmlns:a16="http://schemas.microsoft.com/office/drawing/2014/main" id="{00000000-0008-0000-1300-0000F1010000}"/>
            </a:ext>
          </a:extLst>
        </xdr:cNvPr>
        <xdr:cNvCxnSpPr/>
      </xdr:nvCxnSpPr>
      <xdr:spPr>
        <a:xfrm>
          <a:off x="10615083" y="316441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617</xdr:row>
      <xdr:rowOff>52916</xdr:rowOff>
    </xdr:from>
    <xdr:to>
      <xdr:col>15</xdr:col>
      <xdr:colOff>592666</xdr:colOff>
      <xdr:row>623</xdr:row>
      <xdr:rowOff>63501</xdr:rowOff>
    </xdr:to>
    <xdr:cxnSp macro="">
      <xdr:nvCxnSpPr>
        <xdr:cNvPr id="498" name="Straight Arrow Connector 497">
          <a:extLst>
            <a:ext uri="{FF2B5EF4-FFF2-40B4-BE49-F238E27FC236}">
              <a16:creationId xmlns:a16="http://schemas.microsoft.com/office/drawing/2014/main" id="{00000000-0008-0000-1300-0000F2010000}"/>
            </a:ext>
          </a:extLst>
        </xdr:cNvPr>
        <xdr:cNvCxnSpPr/>
      </xdr:nvCxnSpPr>
      <xdr:spPr>
        <a:xfrm>
          <a:off x="10572750" y="316759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631</xdr:row>
      <xdr:rowOff>116416</xdr:rowOff>
    </xdr:from>
    <xdr:to>
      <xdr:col>15</xdr:col>
      <xdr:colOff>592666</xdr:colOff>
      <xdr:row>634</xdr:row>
      <xdr:rowOff>158750</xdr:rowOff>
    </xdr:to>
    <xdr:cxnSp macro="">
      <xdr:nvCxnSpPr>
        <xdr:cNvPr id="499" name="Straight Arrow Connector 498">
          <a:extLst>
            <a:ext uri="{FF2B5EF4-FFF2-40B4-BE49-F238E27FC236}">
              <a16:creationId xmlns:a16="http://schemas.microsoft.com/office/drawing/2014/main" id="{00000000-0008-0000-1300-0000F3010000}"/>
            </a:ext>
          </a:extLst>
        </xdr:cNvPr>
        <xdr:cNvCxnSpPr/>
      </xdr:nvCxnSpPr>
      <xdr:spPr>
        <a:xfrm flipV="1">
          <a:off x="10562166" y="34406416"/>
          <a:ext cx="571500" cy="613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633</xdr:row>
      <xdr:rowOff>95250</xdr:rowOff>
    </xdr:from>
    <xdr:to>
      <xdr:col>15</xdr:col>
      <xdr:colOff>582083</xdr:colOff>
      <xdr:row>635</xdr:row>
      <xdr:rowOff>52917</xdr:rowOff>
    </xdr:to>
    <xdr:cxnSp macro="">
      <xdr:nvCxnSpPr>
        <xdr:cNvPr id="500" name="Straight Arrow Connector 499">
          <a:extLst>
            <a:ext uri="{FF2B5EF4-FFF2-40B4-BE49-F238E27FC236}">
              <a16:creationId xmlns:a16="http://schemas.microsoft.com/office/drawing/2014/main" id="{00000000-0008-0000-1300-0000F4010000}"/>
            </a:ext>
          </a:extLst>
        </xdr:cNvPr>
        <xdr:cNvCxnSpPr/>
      </xdr:nvCxnSpPr>
      <xdr:spPr>
        <a:xfrm flipV="1">
          <a:off x="10604500" y="34766250"/>
          <a:ext cx="518583" cy="338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635</xdr:row>
      <xdr:rowOff>116417</xdr:rowOff>
    </xdr:from>
    <xdr:to>
      <xdr:col>15</xdr:col>
      <xdr:colOff>592666</xdr:colOff>
      <xdr:row>639</xdr:row>
      <xdr:rowOff>95250</xdr:rowOff>
    </xdr:to>
    <xdr:cxnSp macro="">
      <xdr:nvCxnSpPr>
        <xdr:cNvPr id="501" name="Straight Arrow Connector 500">
          <a:extLst>
            <a:ext uri="{FF2B5EF4-FFF2-40B4-BE49-F238E27FC236}">
              <a16:creationId xmlns:a16="http://schemas.microsoft.com/office/drawing/2014/main" id="{00000000-0008-0000-1300-0000F5010000}"/>
            </a:ext>
          </a:extLst>
        </xdr:cNvPr>
        <xdr:cNvCxnSpPr/>
      </xdr:nvCxnSpPr>
      <xdr:spPr>
        <a:xfrm>
          <a:off x="10593916" y="35168417"/>
          <a:ext cx="53975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646</xdr:row>
      <xdr:rowOff>116416</xdr:rowOff>
    </xdr:from>
    <xdr:to>
      <xdr:col>16</xdr:col>
      <xdr:colOff>0</xdr:colOff>
      <xdr:row>653</xdr:row>
      <xdr:rowOff>74084</xdr:rowOff>
    </xdr:to>
    <xdr:cxnSp macro="">
      <xdr:nvCxnSpPr>
        <xdr:cNvPr id="502" name="Straight Arrow Connector 501">
          <a:extLst>
            <a:ext uri="{FF2B5EF4-FFF2-40B4-BE49-F238E27FC236}">
              <a16:creationId xmlns:a16="http://schemas.microsoft.com/office/drawing/2014/main" id="{00000000-0008-0000-1300-0000F6010000}"/>
            </a:ext>
          </a:extLst>
        </xdr:cNvPr>
        <xdr:cNvCxnSpPr/>
      </xdr:nvCxnSpPr>
      <xdr:spPr>
        <a:xfrm>
          <a:off x="10572750" y="37263916"/>
          <a:ext cx="571500" cy="12911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614</xdr:row>
      <xdr:rowOff>52917</xdr:rowOff>
    </xdr:from>
    <xdr:to>
      <xdr:col>15</xdr:col>
      <xdr:colOff>603250</xdr:colOff>
      <xdr:row>616</xdr:row>
      <xdr:rowOff>148167</xdr:rowOff>
    </xdr:to>
    <xdr:cxnSp macro="">
      <xdr:nvCxnSpPr>
        <xdr:cNvPr id="503" name="Straight Arrow Connector 502">
          <a:extLst>
            <a:ext uri="{FF2B5EF4-FFF2-40B4-BE49-F238E27FC236}">
              <a16:creationId xmlns:a16="http://schemas.microsoft.com/office/drawing/2014/main" id="{00000000-0008-0000-1300-0000F7010000}"/>
            </a:ext>
          </a:extLst>
        </xdr:cNvPr>
        <xdr:cNvCxnSpPr/>
      </xdr:nvCxnSpPr>
      <xdr:spPr>
        <a:xfrm flipV="1">
          <a:off x="10583333" y="311044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649</xdr:row>
      <xdr:rowOff>42333</xdr:rowOff>
    </xdr:from>
    <xdr:to>
      <xdr:col>11</xdr:col>
      <xdr:colOff>603250</xdr:colOff>
      <xdr:row>661</xdr:row>
      <xdr:rowOff>10583</xdr:rowOff>
    </xdr:to>
    <xdr:cxnSp macro="">
      <xdr:nvCxnSpPr>
        <xdr:cNvPr id="504" name="Straight Arrow Connector 503">
          <a:extLst>
            <a:ext uri="{FF2B5EF4-FFF2-40B4-BE49-F238E27FC236}">
              <a16:creationId xmlns:a16="http://schemas.microsoft.com/office/drawing/2014/main" id="{00000000-0008-0000-1300-0000F8010000}"/>
            </a:ext>
          </a:extLst>
        </xdr:cNvPr>
        <xdr:cNvCxnSpPr/>
      </xdr:nvCxnSpPr>
      <xdr:spPr>
        <a:xfrm>
          <a:off x="7598834" y="377613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639</xdr:row>
      <xdr:rowOff>21167</xdr:rowOff>
    </xdr:from>
    <xdr:to>
      <xdr:col>13</xdr:col>
      <xdr:colOff>592667</xdr:colOff>
      <xdr:row>641</xdr:row>
      <xdr:rowOff>0</xdr:rowOff>
    </xdr:to>
    <xdr:cxnSp macro="">
      <xdr:nvCxnSpPr>
        <xdr:cNvPr id="505" name="Straight Arrow Connector 504">
          <a:extLst>
            <a:ext uri="{FF2B5EF4-FFF2-40B4-BE49-F238E27FC236}">
              <a16:creationId xmlns:a16="http://schemas.microsoft.com/office/drawing/2014/main" id="{00000000-0008-0000-1300-0000F9010000}"/>
            </a:ext>
          </a:extLst>
        </xdr:cNvPr>
        <xdr:cNvCxnSpPr/>
      </xdr:nvCxnSpPr>
      <xdr:spPr>
        <a:xfrm flipV="1">
          <a:off x="8794750" y="358351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644</xdr:row>
      <xdr:rowOff>21166</xdr:rowOff>
    </xdr:from>
    <xdr:to>
      <xdr:col>13</xdr:col>
      <xdr:colOff>592667</xdr:colOff>
      <xdr:row>645</xdr:row>
      <xdr:rowOff>169334</xdr:rowOff>
    </xdr:to>
    <xdr:cxnSp macro="">
      <xdr:nvCxnSpPr>
        <xdr:cNvPr id="506" name="Straight Arrow Connector 505">
          <a:extLst>
            <a:ext uri="{FF2B5EF4-FFF2-40B4-BE49-F238E27FC236}">
              <a16:creationId xmlns:a16="http://schemas.microsoft.com/office/drawing/2014/main" id="{00000000-0008-0000-1300-0000FA010000}"/>
            </a:ext>
          </a:extLst>
        </xdr:cNvPr>
        <xdr:cNvCxnSpPr/>
      </xdr:nvCxnSpPr>
      <xdr:spPr>
        <a:xfrm>
          <a:off x="8784166" y="367876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659</xdr:row>
      <xdr:rowOff>21167</xdr:rowOff>
    </xdr:from>
    <xdr:to>
      <xdr:col>13</xdr:col>
      <xdr:colOff>592667</xdr:colOff>
      <xdr:row>661</xdr:row>
      <xdr:rowOff>63500</xdr:rowOff>
    </xdr:to>
    <xdr:cxnSp macro="">
      <xdr:nvCxnSpPr>
        <xdr:cNvPr id="507" name="Straight Arrow Connector 506">
          <a:extLst>
            <a:ext uri="{FF2B5EF4-FFF2-40B4-BE49-F238E27FC236}">
              <a16:creationId xmlns:a16="http://schemas.microsoft.com/office/drawing/2014/main" id="{00000000-0008-0000-1300-0000FB010000}"/>
            </a:ext>
          </a:extLst>
        </xdr:cNvPr>
        <xdr:cNvCxnSpPr/>
      </xdr:nvCxnSpPr>
      <xdr:spPr>
        <a:xfrm flipV="1">
          <a:off x="8794750" y="398356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664</xdr:row>
      <xdr:rowOff>0</xdr:rowOff>
    </xdr:from>
    <xdr:to>
      <xdr:col>14</xdr:col>
      <xdr:colOff>10584</xdr:colOff>
      <xdr:row>672</xdr:row>
      <xdr:rowOff>148167</xdr:rowOff>
    </xdr:to>
    <xdr:cxnSp macro="">
      <xdr:nvCxnSpPr>
        <xdr:cNvPr id="508" name="Straight Arrow Connector 507">
          <a:extLst>
            <a:ext uri="{FF2B5EF4-FFF2-40B4-BE49-F238E27FC236}">
              <a16:creationId xmlns:a16="http://schemas.microsoft.com/office/drawing/2014/main" id="{00000000-0008-0000-1300-0000FC010000}"/>
            </a:ext>
          </a:extLst>
        </xdr:cNvPr>
        <xdr:cNvCxnSpPr/>
      </xdr:nvCxnSpPr>
      <xdr:spPr>
        <a:xfrm>
          <a:off x="8805333" y="407670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635</xdr:row>
      <xdr:rowOff>95250</xdr:rowOff>
    </xdr:from>
    <xdr:to>
      <xdr:col>15</xdr:col>
      <xdr:colOff>582083</xdr:colOff>
      <xdr:row>637</xdr:row>
      <xdr:rowOff>137583</xdr:rowOff>
    </xdr:to>
    <xdr:cxnSp macro="">
      <xdr:nvCxnSpPr>
        <xdr:cNvPr id="509" name="Straight Arrow Connector 508">
          <a:extLst>
            <a:ext uri="{FF2B5EF4-FFF2-40B4-BE49-F238E27FC236}">
              <a16:creationId xmlns:a16="http://schemas.microsoft.com/office/drawing/2014/main" id="{00000000-0008-0000-1300-0000FD010000}"/>
            </a:ext>
          </a:extLst>
        </xdr:cNvPr>
        <xdr:cNvCxnSpPr/>
      </xdr:nvCxnSpPr>
      <xdr:spPr>
        <a:xfrm>
          <a:off x="10593916" y="35147250"/>
          <a:ext cx="5291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644</xdr:row>
      <xdr:rowOff>52916</xdr:rowOff>
    </xdr:from>
    <xdr:to>
      <xdr:col>16</xdr:col>
      <xdr:colOff>0</xdr:colOff>
      <xdr:row>646</xdr:row>
      <xdr:rowOff>0</xdr:rowOff>
    </xdr:to>
    <xdr:cxnSp macro="">
      <xdr:nvCxnSpPr>
        <xdr:cNvPr id="510" name="Straight Arrow Connector 509">
          <a:extLst>
            <a:ext uri="{FF2B5EF4-FFF2-40B4-BE49-F238E27FC236}">
              <a16:creationId xmlns:a16="http://schemas.microsoft.com/office/drawing/2014/main" id="{00000000-0008-0000-1300-0000FE010000}"/>
            </a:ext>
          </a:extLst>
        </xdr:cNvPr>
        <xdr:cNvCxnSpPr/>
      </xdr:nvCxnSpPr>
      <xdr:spPr>
        <a:xfrm flipV="1">
          <a:off x="10541000" y="368194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646</xdr:row>
      <xdr:rowOff>21167</xdr:rowOff>
    </xdr:from>
    <xdr:to>
      <xdr:col>15</xdr:col>
      <xdr:colOff>592666</xdr:colOff>
      <xdr:row>647</xdr:row>
      <xdr:rowOff>84667</xdr:rowOff>
    </xdr:to>
    <xdr:cxnSp macro="">
      <xdr:nvCxnSpPr>
        <xdr:cNvPr id="511" name="Straight Arrow Connector 510">
          <a:extLst>
            <a:ext uri="{FF2B5EF4-FFF2-40B4-BE49-F238E27FC236}">
              <a16:creationId xmlns:a16="http://schemas.microsoft.com/office/drawing/2014/main" id="{00000000-0008-0000-1300-0000FF010000}"/>
            </a:ext>
          </a:extLst>
        </xdr:cNvPr>
        <xdr:cNvCxnSpPr/>
      </xdr:nvCxnSpPr>
      <xdr:spPr>
        <a:xfrm>
          <a:off x="10530417" y="37168667"/>
          <a:ext cx="603249" cy="25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646</xdr:row>
      <xdr:rowOff>0</xdr:rowOff>
    </xdr:from>
    <xdr:to>
      <xdr:col>16</xdr:col>
      <xdr:colOff>0</xdr:colOff>
      <xdr:row>650</xdr:row>
      <xdr:rowOff>42334</xdr:rowOff>
    </xdr:to>
    <xdr:cxnSp macro="">
      <xdr:nvCxnSpPr>
        <xdr:cNvPr id="512" name="Straight Arrow Connector 511">
          <a:extLst>
            <a:ext uri="{FF2B5EF4-FFF2-40B4-BE49-F238E27FC236}">
              <a16:creationId xmlns:a16="http://schemas.microsoft.com/office/drawing/2014/main" id="{00000000-0008-0000-1300-000000020000}"/>
            </a:ext>
          </a:extLst>
        </xdr:cNvPr>
        <xdr:cNvCxnSpPr/>
      </xdr:nvCxnSpPr>
      <xdr:spPr>
        <a:xfrm>
          <a:off x="10530417" y="37147500"/>
          <a:ext cx="613833" cy="804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657</xdr:row>
      <xdr:rowOff>0</xdr:rowOff>
    </xdr:from>
    <xdr:to>
      <xdr:col>15</xdr:col>
      <xdr:colOff>603250</xdr:colOff>
      <xdr:row>659</xdr:row>
      <xdr:rowOff>1</xdr:rowOff>
    </xdr:to>
    <xdr:cxnSp macro="">
      <xdr:nvCxnSpPr>
        <xdr:cNvPr id="513" name="Straight Arrow Connector 512">
          <a:extLst>
            <a:ext uri="{FF2B5EF4-FFF2-40B4-BE49-F238E27FC236}">
              <a16:creationId xmlns:a16="http://schemas.microsoft.com/office/drawing/2014/main" id="{00000000-0008-0000-1300-000001020000}"/>
            </a:ext>
          </a:extLst>
        </xdr:cNvPr>
        <xdr:cNvCxnSpPr/>
      </xdr:nvCxnSpPr>
      <xdr:spPr>
        <a:xfrm flipV="1">
          <a:off x="10530417" y="394335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659</xdr:row>
      <xdr:rowOff>10584</xdr:rowOff>
    </xdr:from>
    <xdr:to>
      <xdr:col>15</xdr:col>
      <xdr:colOff>592666</xdr:colOff>
      <xdr:row>660</xdr:row>
      <xdr:rowOff>95250</xdr:rowOff>
    </xdr:to>
    <xdr:cxnSp macro="">
      <xdr:nvCxnSpPr>
        <xdr:cNvPr id="514" name="Straight Arrow Connector 513">
          <a:extLst>
            <a:ext uri="{FF2B5EF4-FFF2-40B4-BE49-F238E27FC236}">
              <a16:creationId xmlns:a16="http://schemas.microsoft.com/office/drawing/2014/main" id="{00000000-0008-0000-1300-000002020000}"/>
            </a:ext>
          </a:extLst>
        </xdr:cNvPr>
        <xdr:cNvCxnSpPr/>
      </xdr:nvCxnSpPr>
      <xdr:spPr>
        <a:xfrm>
          <a:off x="10572750" y="398250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659</xdr:row>
      <xdr:rowOff>10584</xdr:rowOff>
    </xdr:from>
    <xdr:to>
      <xdr:col>15</xdr:col>
      <xdr:colOff>560916</xdr:colOff>
      <xdr:row>663</xdr:row>
      <xdr:rowOff>52917</xdr:rowOff>
    </xdr:to>
    <xdr:cxnSp macro="">
      <xdr:nvCxnSpPr>
        <xdr:cNvPr id="515" name="Straight Arrow Connector 514">
          <a:extLst>
            <a:ext uri="{FF2B5EF4-FFF2-40B4-BE49-F238E27FC236}">
              <a16:creationId xmlns:a16="http://schemas.microsoft.com/office/drawing/2014/main" id="{00000000-0008-0000-1300-000003020000}"/>
            </a:ext>
          </a:extLst>
        </xdr:cNvPr>
        <xdr:cNvCxnSpPr/>
      </xdr:nvCxnSpPr>
      <xdr:spPr>
        <a:xfrm>
          <a:off x="10551583" y="398250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659</xdr:row>
      <xdr:rowOff>31750</xdr:rowOff>
    </xdr:from>
    <xdr:to>
      <xdr:col>16</xdr:col>
      <xdr:colOff>21167</xdr:colOff>
      <xdr:row>666</xdr:row>
      <xdr:rowOff>95250</xdr:rowOff>
    </xdr:to>
    <xdr:cxnSp macro="">
      <xdr:nvCxnSpPr>
        <xdr:cNvPr id="516" name="Straight Arrow Connector 515">
          <a:extLst>
            <a:ext uri="{FF2B5EF4-FFF2-40B4-BE49-F238E27FC236}">
              <a16:creationId xmlns:a16="http://schemas.microsoft.com/office/drawing/2014/main" id="{00000000-0008-0000-1300-000004020000}"/>
            </a:ext>
          </a:extLst>
        </xdr:cNvPr>
        <xdr:cNvCxnSpPr/>
      </xdr:nvCxnSpPr>
      <xdr:spPr>
        <a:xfrm>
          <a:off x="10583333" y="398462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673</xdr:row>
      <xdr:rowOff>0</xdr:rowOff>
    </xdr:from>
    <xdr:to>
      <xdr:col>16</xdr:col>
      <xdr:colOff>0</xdr:colOff>
      <xdr:row>673</xdr:row>
      <xdr:rowOff>42334</xdr:rowOff>
    </xdr:to>
    <xdr:cxnSp macro="">
      <xdr:nvCxnSpPr>
        <xdr:cNvPr id="517" name="Straight Arrow Connector 516">
          <a:extLst>
            <a:ext uri="{FF2B5EF4-FFF2-40B4-BE49-F238E27FC236}">
              <a16:creationId xmlns:a16="http://schemas.microsoft.com/office/drawing/2014/main" id="{00000000-0008-0000-1300-000005020000}"/>
            </a:ext>
          </a:extLst>
        </xdr:cNvPr>
        <xdr:cNvCxnSpPr/>
      </xdr:nvCxnSpPr>
      <xdr:spPr>
        <a:xfrm>
          <a:off x="10562166" y="424815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673</xdr:row>
      <xdr:rowOff>21166</xdr:rowOff>
    </xdr:from>
    <xdr:to>
      <xdr:col>15</xdr:col>
      <xdr:colOff>560916</xdr:colOff>
      <xdr:row>676</xdr:row>
      <xdr:rowOff>84667</xdr:rowOff>
    </xdr:to>
    <xdr:cxnSp macro="">
      <xdr:nvCxnSpPr>
        <xdr:cNvPr id="518" name="Straight Arrow Connector 517">
          <a:extLst>
            <a:ext uri="{FF2B5EF4-FFF2-40B4-BE49-F238E27FC236}">
              <a16:creationId xmlns:a16="http://schemas.microsoft.com/office/drawing/2014/main" id="{00000000-0008-0000-1300-000006020000}"/>
            </a:ext>
          </a:extLst>
        </xdr:cNvPr>
        <xdr:cNvCxnSpPr/>
      </xdr:nvCxnSpPr>
      <xdr:spPr>
        <a:xfrm>
          <a:off x="10615083" y="425026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673</xdr:row>
      <xdr:rowOff>52916</xdr:rowOff>
    </xdr:from>
    <xdr:to>
      <xdr:col>15</xdr:col>
      <xdr:colOff>592666</xdr:colOff>
      <xdr:row>679</xdr:row>
      <xdr:rowOff>63501</xdr:rowOff>
    </xdr:to>
    <xdr:cxnSp macro="">
      <xdr:nvCxnSpPr>
        <xdr:cNvPr id="519" name="Straight Arrow Connector 518">
          <a:extLst>
            <a:ext uri="{FF2B5EF4-FFF2-40B4-BE49-F238E27FC236}">
              <a16:creationId xmlns:a16="http://schemas.microsoft.com/office/drawing/2014/main" id="{00000000-0008-0000-1300-000007020000}"/>
            </a:ext>
          </a:extLst>
        </xdr:cNvPr>
        <xdr:cNvCxnSpPr/>
      </xdr:nvCxnSpPr>
      <xdr:spPr>
        <a:xfrm>
          <a:off x="10572750" y="425344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670</xdr:row>
      <xdr:rowOff>52917</xdr:rowOff>
    </xdr:from>
    <xdr:to>
      <xdr:col>15</xdr:col>
      <xdr:colOff>603250</xdr:colOff>
      <xdr:row>672</xdr:row>
      <xdr:rowOff>148167</xdr:rowOff>
    </xdr:to>
    <xdr:cxnSp macro="">
      <xdr:nvCxnSpPr>
        <xdr:cNvPr id="520" name="Straight Arrow Connector 519">
          <a:extLst>
            <a:ext uri="{FF2B5EF4-FFF2-40B4-BE49-F238E27FC236}">
              <a16:creationId xmlns:a16="http://schemas.microsoft.com/office/drawing/2014/main" id="{00000000-0008-0000-1300-000008020000}"/>
            </a:ext>
          </a:extLst>
        </xdr:cNvPr>
        <xdr:cNvCxnSpPr/>
      </xdr:nvCxnSpPr>
      <xdr:spPr>
        <a:xfrm flipV="1">
          <a:off x="10583333" y="419629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31750</xdr:colOff>
      <xdr:row>581</xdr:row>
      <xdr:rowOff>127000</xdr:rowOff>
    </xdr:from>
    <xdr:to>
      <xdr:col>8</xdr:col>
      <xdr:colOff>63500</xdr:colOff>
      <xdr:row>600</xdr:row>
      <xdr:rowOff>0</xdr:rowOff>
    </xdr:to>
    <xdr:cxnSp macro="">
      <xdr:nvCxnSpPr>
        <xdr:cNvPr id="521" name="Straight Arrow Connector 520">
          <a:extLst>
            <a:ext uri="{FF2B5EF4-FFF2-40B4-BE49-F238E27FC236}">
              <a16:creationId xmlns:a16="http://schemas.microsoft.com/office/drawing/2014/main" id="{00000000-0008-0000-1300-000009020000}"/>
            </a:ext>
          </a:extLst>
        </xdr:cNvPr>
        <xdr:cNvCxnSpPr/>
      </xdr:nvCxnSpPr>
      <xdr:spPr>
        <a:xfrm flipV="1">
          <a:off x="5207000" y="24701500"/>
          <a:ext cx="635000" cy="3587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825500</xdr:colOff>
      <xdr:row>718</xdr:row>
      <xdr:rowOff>1</xdr:rowOff>
    </xdr:from>
    <xdr:to>
      <xdr:col>6</xdr:col>
      <xdr:colOff>0</xdr:colOff>
      <xdr:row>752</xdr:row>
      <xdr:rowOff>116417</xdr:rowOff>
    </xdr:to>
    <xdr:cxnSp macro="">
      <xdr:nvCxnSpPr>
        <xdr:cNvPr id="522" name="Straight Arrow Connector 521">
          <a:extLst>
            <a:ext uri="{FF2B5EF4-FFF2-40B4-BE49-F238E27FC236}">
              <a16:creationId xmlns:a16="http://schemas.microsoft.com/office/drawing/2014/main" id="{00000000-0008-0000-1300-00000A020000}"/>
            </a:ext>
          </a:extLst>
        </xdr:cNvPr>
        <xdr:cNvCxnSpPr/>
      </xdr:nvCxnSpPr>
      <xdr:spPr>
        <a:xfrm flipV="1">
          <a:off x="3714750" y="51244501"/>
          <a:ext cx="666750" cy="65934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21167</xdr:colOff>
      <xdr:row>755</xdr:row>
      <xdr:rowOff>169334</xdr:rowOff>
    </xdr:from>
    <xdr:to>
      <xdr:col>5</xdr:col>
      <xdr:colOff>571500</xdr:colOff>
      <xdr:row>824</xdr:row>
      <xdr:rowOff>0</xdr:rowOff>
    </xdr:to>
    <xdr:cxnSp macro="">
      <xdr:nvCxnSpPr>
        <xdr:cNvPr id="523" name="Straight Arrow Connector 522">
          <a:extLst>
            <a:ext uri="{FF2B5EF4-FFF2-40B4-BE49-F238E27FC236}">
              <a16:creationId xmlns:a16="http://schemas.microsoft.com/office/drawing/2014/main" id="{00000000-0008-0000-1300-00000B020000}"/>
            </a:ext>
          </a:extLst>
        </xdr:cNvPr>
        <xdr:cNvCxnSpPr/>
      </xdr:nvCxnSpPr>
      <xdr:spPr>
        <a:xfrm>
          <a:off x="3799417" y="58462334"/>
          <a:ext cx="550333" cy="133244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693</xdr:row>
      <xdr:rowOff>148167</xdr:rowOff>
    </xdr:from>
    <xdr:to>
      <xdr:col>7</xdr:col>
      <xdr:colOff>603250</xdr:colOff>
      <xdr:row>715</xdr:row>
      <xdr:rowOff>31750</xdr:rowOff>
    </xdr:to>
    <xdr:cxnSp macro="">
      <xdr:nvCxnSpPr>
        <xdr:cNvPr id="524" name="Straight Arrow Connector 523">
          <a:extLst>
            <a:ext uri="{FF2B5EF4-FFF2-40B4-BE49-F238E27FC236}">
              <a16:creationId xmlns:a16="http://schemas.microsoft.com/office/drawing/2014/main" id="{00000000-0008-0000-1300-00000C020000}"/>
            </a:ext>
          </a:extLst>
        </xdr:cNvPr>
        <xdr:cNvCxnSpPr/>
      </xdr:nvCxnSpPr>
      <xdr:spPr>
        <a:xfrm flipV="1">
          <a:off x="5175250" y="46439667"/>
          <a:ext cx="603250" cy="42650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718</xdr:row>
      <xdr:rowOff>10584</xdr:rowOff>
    </xdr:from>
    <xdr:to>
      <xdr:col>8</xdr:col>
      <xdr:colOff>21167</xdr:colOff>
      <xdr:row>746</xdr:row>
      <xdr:rowOff>148166</xdr:rowOff>
    </xdr:to>
    <xdr:cxnSp macro="">
      <xdr:nvCxnSpPr>
        <xdr:cNvPr id="525" name="Straight Arrow Connector 524">
          <a:extLst>
            <a:ext uri="{FF2B5EF4-FFF2-40B4-BE49-F238E27FC236}">
              <a16:creationId xmlns:a16="http://schemas.microsoft.com/office/drawing/2014/main" id="{00000000-0008-0000-1300-00000D020000}"/>
            </a:ext>
          </a:extLst>
        </xdr:cNvPr>
        <xdr:cNvCxnSpPr/>
      </xdr:nvCxnSpPr>
      <xdr:spPr>
        <a:xfrm>
          <a:off x="5175250" y="51255084"/>
          <a:ext cx="624417" cy="547158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685</xdr:row>
      <xdr:rowOff>137583</xdr:rowOff>
    </xdr:from>
    <xdr:to>
      <xdr:col>9</xdr:col>
      <xdr:colOff>603250</xdr:colOff>
      <xdr:row>691</xdr:row>
      <xdr:rowOff>21166</xdr:rowOff>
    </xdr:to>
    <xdr:cxnSp macro="">
      <xdr:nvCxnSpPr>
        <xdr:cNvPr id="526" name="Straight Arrow Connector 525">
          <a:extLst>
            <a:ext uri="{FF2B5EF4-FFF2-40B4-BE49-F238E27FC236}">
              <a16:creationId xmlns:a16="http://schemas.microsoft.com/office/drawing/2014/main" id="{00000000-0008-0000-1300-00000E020000}"/>
            </a:ext>
          </a:extLst>
        </xdr:cNvPr>
        <xdr:cNvCxnSpPr/>
      </xdr:nvCxnSpPr>
      <xdr:spPr>
        <a:xfrm flipV="1">
          <a:off x="6381750" y="44905083"/>
          <a:ext cx="603250" cy="1026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694</xdr:row>
      <xdr:rowOff>0</xdr:rowOff>
    </xdr:from>
    <xdr:to>
      <xdr:col>9</xdr:col>
      <xdr:colOff>582083</xdr:colOff>
      <xdr:row>702</xdr:row>
      <xdr:rowOff>10583</xdr:rowOff>
    </xdr:to>
    <xdr:cxnSp macro="">
      <xdr:nvCxnSpPr>
        <xdr:cNvPr id="527" name="Straight Arrow Connector 526">
          <a:extLst>
            <a:ext uri="{FF2B5EF4-FFF2-40B4-BE49-F238E27FC236}">
              <a16:creationId xmlns:a16="http://schemas.microsoft.com/office/drawing/2014/main" id="{00000000-0008-0000-1300-00000F020000}"/>
            </a:ext>
          </a:extLst>
        </xdr:cNvPr>
        <xdr:cNvCxnSpPr/>
      </xdr:nvCxnSpPr>
      <xdr:spPr>
        <a:xfrm>
          <a:off x="6413500" y="46482000"/>
          <a:ext cx="550333" cy="1534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21167</xdr:colOff>
      <xdr:row>699</xdr:row>
      <xdr:rowOff>169333</xdr:rowOff>
    </xdr:from>
    <xdr:to>
      <xdr:col>11</xdr:col>
      <xdr:colOff>603250</xdr:colOff>
      <xdr:row>702</xdr:row>
      <xdr:rowOff>21167</xdr:rowOff>
    </xdr:to>
    <xdr:cxnSp macro="">
      <xdr:nvCxnSpPr>
        <xdr:cNvPr id="528" name="Straight Arrow Connector 527">
          <a:extLst>
            <a:ext uri="{FF2B5EF4-FFF2-40B4-BE49-F238E27FC236}">
              <a16:creationId xmlns:a16="http://schemas.microsoft.com/office/drawing/2014/main" id="{00000000-0008-0000-1300-000010020000}"/>
            </a:ext>
          </a:extLst>
        </xdr:cNvPr>
        <xdr:cNvCxnSpPr/>
      </xdr:nvCxnSpPr>
      <xdr:spPr>
        <a:xfrm flipV="1">
          <a:off x="7609417" y="47603833"/>
          <a:ext cx="582083" cy="423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705</xdr:row>
      <xdr:rowOff>42333</xdr:rowOff>
    </xdr:from>
    <xdr:to>
      <xdr:col>11</xdr:col>
      <xdr:colOff>603250</xdr:colOff>
      <xdr:row>717</xdr:row>
      <xdr:rowOff>10583</xdr:rowOff>
    </xdr:to>
    <xdr:cxnSp macro="">
      <xdr:nvCxnSpPr>
        <xdr:cNvPr id="529" name="Straight Arrow Connector 528">
          <a:extLst>
            <a:ext uri="{FF2B5EF4-FFF2-40B4-BE49-F238E27FC236}">
              <a16:creationId xmlns:a16="http://schemas.microsoft.com/office/drawing/2014/main" id="{00000000-0008-0000-1300-000011020000}"/>
            </a:ext>
          </a:extLst>
        </xdr:cNvPr>
        <xdr:cNvCxnSpPr/>
      </xdr:nvCxnSpPr>
      <xdr:spPr>
        <a:xfrm>
          <a:off x="7598834" y="486198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695</xdr:row>
      <xdr:rowOff>21167</xdr:rowOff>
    </xdr:from>
    <xdr:to>
      <xdr:col>13</xdr:col>
      <xdr:colOff>592667</xdr:colOff>
      <xdr:row>697</xdr:row>
      <xdr:rowOff>0</xdr:rowOff>
    </xdr:to>
    <xdr:cxnSp macro="">
      <xdr:nvCxnSpPr>
        <xdr:cNvPr id="530" name="Straight Arrow Connector 529">
          <a:extLst>
            <a:ext uri="{FF2B5EF4-FFF2-40B4-BE49-F238E27FC236}">
              <a16:creationId xmlns:a16="http://schemas.microsoft.com/office/drawing/2014/main" id="{00000000-0008-0000-1300-000012020000}"/>
            </a:ext>
          </a:extLst>
        </xdr:cNvPr>
        <xdr:cNvCxnSpPr/>
      </xdr:nvCxnSpPr>
      <xdr:spPr>
        <a:xfrm flipV="1">
          <a:off x="8794750" y="466936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700</xdr:row>
      <xdr:rowOff>21166</xdr:rowOff>
    </xdr:from>
    <xdr:to>
      <xdr:col>13</xdr:col>
      <xdr:colOff>592667</xdr:colOff>
      <xdr:row>701</xdr:row>
      <xdr:rowOff>169334</xdr:rowOff>
    </xdr:to>
    <xdr:cxnSp macro="">
      <xdr:nvCxnSpPr>
        <xdr:cNvPr id="531" name="Straight Arrow Connector 530">
          <a:extLst>
            <a:ext uri="{FF2B5EF4-FFF2-40B4-BE49-F238E27FC236}">
              <a16:creationId xmlns:a16="http://schemas.microsoft.com/office/drawing/2014/main" id="{00000000-0008-0000-1300-000013020000}"/>
            </a:ext>
          </a:extLst>
        </xdr:cNvPr>
        <xdr:cNvCxnSpPr/>
      </xdr:nvCxnSpPr>
      <xdr:spPr>
        <a:xfrm>
          <a:off x="8784166" y="476461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715</xdr:row>
      <xdr:rowOff>21167</xdr:rowOff>
    </xdr:from>
    <xdr:to>
      <xdr:col>13</xdr:col>
      <xdr:colOff>592667</xdr:colOff>
      <xdr:row>717</xdr:row>
      <xdr:rowOff>63500</xdr:rowOff>
    </xdr:to>
    <xdr:cxnSp macro="">
      <xdr:nvCxnSpPr>
        <xdr:cNvPr id="532" name="Straight Arrow Connector 531">
          <a:extLst>
            <a:ext uri="{FF2B5EF4-FFF2-40B4-BE49-F238E27FC236}">
              <a16:creationId xmlns:a16="http://schemas.microsoft.com/office/drawing/2014/main" id="{00000000-0008-0000-1300-000014020000}"/>
            </a:ext>
          </a:extLst>
        </xdr:cNvPr>
        <xdr:cNvCxnSpPr/>
      </xdr:nvCxnSpPr>
      <xdr:spPr>
        <a:xfrm flipV="1">
          <a:off x="8794750" y="506941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720</xdr:row>
      <xdr:rowOff>0</xdr:rowOff>
    </xdr:from>
    <xdr:to>
      <xdr:col>14</xdr:col>
      <xdr:colOff>10584</xdr:colOff>
      <xdr:row>728</xdr:row>
      <xdr:rowOff>148167</xdr:rowOff>
    </xdr:to>
    <xdr:cxnSp macro="">
      <xdr:nvCxnSpPr>
        <xdr:cNvPr id="533" name="Straight Arrow Connector 532">
          <a:extLst>
            <a:ext uri="{FF2B5EF4-FFF2-40B4-BE49-F238E27FC236}">
              <a16:creationId xmlns:a16="http://schemas.microsoft.com/office/drawing/2014/main" id="{00000000-0008-0000-1300-000015020000}"/>
            </a:ext>
          </a:extLst>
        </xdr:cNvPr>
        <xdr:cNvCxnSpPr/>
      </xdr:nvCxnSpPr>
      <xdr:spPr>
        <a:xfrm>
          <a:off x="8805333" y="516255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687</xdr:row>
      <xdr:rowOff>0</xdr:rowOff>
    </xdr:from>
    <xdr:to>
      <xdr:col>15</xdr:col>
      <xdr:colOff>603250</xdr:colOff>
      <xdr:row>692</xdr:row>
      <xdr:rowOff>31750</xdr:rowOff>
    </xdr:to>
    <xdr:cxnSp macro="">
      <xdr:nvCxnSpPr>
        <xdr:cNvPr id="534" name="Straight Arrow Connector 533">
          <a:extLst>
            <a:ext uri="{FF2B5EF4-FFF2-40B4-BE49-F238E27FC236}">
              <a16:creationId xmlns:a16="http://schemas.microsoft.com/office/drawing/2014/main" id="{00000000-0008-0000-1300-000016020000}"/>
            </a:ext>
          </a:extLst>
        </xdr:cNvPr>
        <xdr:cNvCxnSpPr/>
      </xdr:nvCxnSpPr>
      <xdr:spPr>
        <a:xfrm flipV="1">
          <a:off x="10541000" y="45148500"/>
          <a:ext cx="603250" cy="984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690</xdr:row>
      <xdr:rowOff>52917</xdr:rowOff>
    </xdr:from>
    <xdr:to>
      <xdr:col>15</xdr:col>
      <xdr:colOff>603250</xdr:colOff>
      <xdr:row>692</xdr:row>
      <xdr:rowOff>95250</xdr:rowOff>
    </xdr:to>
    <xdr:cxnSp macro="">
      <xdr:nvCxnSpPr>
        <xdr:cNvPr id="535" name="Straight Arrow Connector 534">
          <a:extLst>
            <a:ext uri="{FF2B5EF4-FFF2-40B4-BE49-F238E27FC236}">
              <a16:creationId xmlns:a16="http://schemas.microsoft.com/office/drawing/2014/main" id="{00000000-0008-0000-1300-000017020000}"/>
            </a:ext>
          </a:extLst>
        </xdr:cNvPr>
        <xdr:cNvCxnSpPr/>
      </xdr:nvCxnSpPr>
      <xdr:spPr>
        <a:xfrm flipV="1">
          <a:off x="10583333" y="45772917"/>
          <a:ext cx="56091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692</xdr:row>
      <xdr:rowOff>158750</xdr:rowOff>
    </xdr:from>
    <xdr:to>
      <xdr:col>15</xdr:col>
      <xdr:colOff>582083</xdr:colOff>
      <xdr:row>693</xdr:row>
      <xdr:rowOff>137583</xdr:rowOff>
    </xdr:to>
    <xdr:cxnSp macro="">
      <xdr:nvCxnSpPr>
        <xdr:cNvPr id="536" name="Straight Arrow Connector 535">
          <a:extLst>
            <a:ext uri="{FF2B5EF4-FFF2-40B4-BE49-F238E27FC236}">
              <a16:creationId xmlns:a16="http://schemas.microsoft.com/office/drawing/2014/main" id="{00000000-0008-0000-1300-000018020000}"/>
            </a:ext>
          </a:extLst>
        </xdr:cNvPr>
        <xdr:cNvCxnSpPr/>
      </xdr:nvCxnSpPr>
      <xdr:spPr>
        <a:xfrm>
          <a:off x="10604500" y="46259750"/>
          <a:ext cx="518583" cy="169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1121834</xdr:colOff>
      <xdr:row>692</xdr:row>
      <xdr:rowOff>105834</xdr:rowOff>
    </xdr:from>
    <xdr:to>
      <xdr:col>16</xdr:col>
      <xdr:colOff>0</xdr:colOff>
      <xdr:row>696</xdr:row>
      <xdr:rowOff>84667</xdr:rowOff>
    </xdr:to>
    <xdr:cxnSp macro="">
      <xdr:nvCxnSpPr>
        <xdr:cNvPr id="537" name="Straight Arrow Connector 536">
          <a:extLst>
            <a:ext uri="{FF2B5EF4-FFF2-40B4-BE49-F238E27FC236}">
              <a16:creationId xmlns:a16="http://schemas.microsoft.com/office/drawing/2014/main" id="{00000000-0008-0000-1300-000019020000}"/>
            </a:ext>
          </a:extLst>
        </xdr:cNvPr>
        <xdr:cNvCxnSpPr/>
      </xdr:nvCxnSpPr>
      <xdr:spPr>
        <a:xfrm>
          <a:off x="10519834" y="46206834"/>
          <a:ext cx="624416"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700</xdr:row>
      <xdr:rowOff>52916</xdr:rowOff>
    </xdr:from>
    <xdr:to>
      <xdr:col>16</xdr:col>
      <xdr:colOff>0</xdr:colOff>
      <xdr:row>702</xdr:row>
      <xdr:rowOff>0</xdr:rowOff>
    </xdr:to>
    <xdr:cxnSp macro="">
      <xdr:nvCxnSpPr>
        <xdr:cNvPr id="538" name="Straight Arrow Connector 537">
          <a:extLst>
            <a:ext uri="{FF2B5EF4-FFF2-40B4-BE49-F238E27FC236}">
              <a16:creationId xmlns:a16="http://schemas.microsoft.com/office/drawing/2014/main" id="{00000000-0008-0000-1300-00001A020000}"/>
            </a:ext>
          </a:extLst>
        </xdr:cNvPr>
        <xdr:cNvCxnSpPr/>
      </xdr:nvCxnSpPr>
      <xdr:spPr>
        <a:xfrm flipV="1">
          <a:off x="10541000" y="476779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702</xdr:row>
      <xdr:rowOff>21167</xdr:rowOff>
    </xdr:from>
    <xdr:to>
      <xdr:col>15</xdr:col>
      <xdr:colOff>582083</xdr:colOff>
      <xdr:row>703</xdr:row>
      <xdr:rowOff>42333</xdr:rowOff>
    </xdr:to>
    <xdr:cxnSp macro="">
      <xdr:nvCxnSpPr>
        <xdr:cNvPr id="539" name="Straight Arrow Connector 538">
          <a:extLst>
            <a:ext uri="{FF2B5EF4-FFF2-40B4-BE49-F238E27FC236}">
              <a16:creationId xmlns:a16="http://schemas.microsoft.com/office/drawing/2014/main" id="{00000000-0008-0000-1300-00001B020000}"/>
            </a:ext>
          </a:extLst>
        </xdr:cNvPr>
        <xdr:cNvCxnSpPr/>
      </xdr:nvCxnSpPr>
      <xdr:spPr>
        <a:xfrm>
          <a:off x="10551583" y="48027167"/>
          <a:ext cx="571500" cy="211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702</xdr:row>
      <xdr:rowOff>21167</xdr:rowOff>
    </xdr:from>
    <xdr:to>
      <xdr:col>16</xdr:col>
      <xdr:colOff>42333</xdr:colOff>
      <xdr:row>707</xdr:row>
      <xdr:rowOff>21168</xdr:rowOff>
    </xdr:to>
    <xdr:cxnSp macro="">
      <xdr:nvCxnSpPr>
        <xdr:cNvPr id="540" name="Straight Arrow Connector 539">
          <a:extLst>
            <a:ext uri="{FF2B5EF4-FFF2-40B4-BE49-F238E27FC236}">
              <a16:creationId xmlns:a16="http://schemas.microsoft.com/office/drawing/2014/main" id="{00000000-0008-0000-1300-00001C020000}"/>
            </a:ext>
          </a:extLst>
        </xdr:cNvPr>
        <xdr:cNvCxnSpPr/>
      </xdr:nvCxnSpPr>
      <xdr:spPr>
        <a:xfrm>
          <a:off x="10530417" y="48027167"/>
          <a:ext cx="656166" cy="9525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702</xdr:row>
      <xdr:rowOff>31750</xdr:rowOff>
    </xdr:from>
    <xdr:to>
      <xdr:col>16</xdr:col>
      <xdr:colOff>42334</xdr:colOff>
      <xdr:row>709</xdr:row>
      <xdr:rowOff>63501</xdr:rowOff>
    </xdr:to>
    <xdr:cxnSp macro="">
      <xdr:nvCxnSpPr>
        <xdr:cNvPr id="541" name="Straight Arrow Connector 540">
          <a:extLst>
            <a:ext uri="{FF2B5EF4-FFF2-40B4-BE49-F238E27FC236}">
              <a16:creationId xmlns:a16="http://schemas.microsoft.com/office/drawing/2014/main" id="{00000000-0008-0000-1300-00001D020000}"/>
            </a:ext>
          </a:extLst>
        </xdr:cNvPr>
        <xdr:cNvCxnSpPr/>
      </xdr:nvCxnSpPr>
      <xdr:spPr>
        <a:xfrm>
          <a:off x="10541000" y="48037750"/>
          <a:ext cx="645584"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10583</xdr:colOff>
      <xdr:row>739</xdr:row>
      <xdr:rowOff>42333</xdr:rowOff>
    </xdr:from>
    <xdr:to>
      <xdr:col>9</xdr:col>
      <xdr:colOff>592666</xdr:colOff>
      <xdr:row>747</xdr:row>
      <xdr:rowOff>42333</xdr:rowOff>
    </xdr:to>
    <xdr:cxnSp macro="">
      <xdr:nvCxnSpPr>
        <xdr:cNvPr id="542" name="Straight Arrow Connector 541">
          <a:extLst>
            <a:ext uri="{FF2B5EF4-FFF2-40B4-BE49-F238E27FC236}">
              <a16:creationId xmlns:a16="http://schemas.microsoft.com/office/drawing/2014/main" id="{00000000-0008-0000-1300-00001E020000}"/>
            </a:ext>
          </a:extLst>
        </xdr:cNvPr>
        <xdr:cNvCxnSpPr/>
      </xdr:nvCxnSpPr>
      <xdr:spPr>
        <a:xfrm flipV="1">
          <a:off x="6392333" y="55287333"/>
          <a:ext cx="582083" cy="152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749</xdr:row>
      <xdr:rowOff>169334</xdr:rowOff>
    </xdr:from>
    <xdr:to>
      <xdr:col>9</xdr:col>
      <xdr:colOff>603250</xdr:colOff>
      <xdr:row>758</xdr:row>
      <xdr:rowOff>31750</xdr:rowOff>
    </xdr:to>
    <xdr:cxnSp macro="">
      <xdr:nvCxnSpPr>
        <xdr:cNvPr id="543" name="Straight Arrow Connector 542">
          <a:extLst>
            <a:ext uri="{FF2B5EF4-FFF2-40B4-BE49-F238E27FC236}">
              <a16:creationId xmlns:a16="http://schemas.microsoft.com/office/drawing/2014/main" id="{00000000-0008-0000-1300-00001F020000}"/>
            </a:ext>
          </a:extLst>
        </xdr:cNvPr>
        <xdr:cNvCxnSpPr/>
      </xdr:nvCxnSpPr>
      <xdr:spPr>
        <a:xfrm>
          <a:off x="6413500" y="57319334"/>
          <a:ext cx="571500" cy="1576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571500</xdr:colOff>
      <xdr:row>755</xdr:row>
      <xdr:rowOff>158750</xdr:rowOff>
    </xdr:from>
    <xdr:to>
      <xdr:col>11</xdr:col>
      <xdr:colOff>571500</xdr:colOff>
      <xdr:row>758</xdr:row>
      <xdr:rowOff>0</xdr:rowOff>
    </xdr:to>
    <xdr:cxnSp macro="">
      <xdr:nvCxnSpPr>
        <xdr:cNvPr id="544" name="Straight Arrow Connector 543">
          <a:extLst>
            <a:ext uri="{FF2B5EF4-FFF2-40B4-BE49-F238E27FC236}">
              <a16:creationId xmlns:a16="http://schemas.microsoft.com/office/drawing/2014/main" id="{00000000-0008-0000-1300-000020020000}"/>
            </a:ext>
          </a:extLst>
        </xdr:cNvPr>
        <xdr:cNvCxnSpPr/>
      </xdr:nvCxnSpPr>
      <xdr:spPr>
        <a:xfrm flipV="1">
          <a:off x="7556500" y="58451750"/>
          <a:ext cx="603250" cy="412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713</xdr:row>
      <xdr:rowOff>0</xdr:rowOff>
    </xdr:from>
    <xdr:to>
      <xdr:col>15</xdr:col>
      <xdr:colOff>603250</xdr:colOff>
      <xdr:row>715</xdr:row>
      <xdr:rowOff>1</xdr:rowOff>
    </xdr:to>
    <xdr:cxnSp macro="">
      <xdr:nvCxnSpPr>
        <xdr:cNvPr id="545" name="Straight Arrow Connector 544">
          <a:extLst>
            <a:ext uri="{FF2B5EF4-FFF2-40B4-BE49-F238E27FC236}">
              <a16:creationId xmlns:a16="http://schemas.microsoft.com/office/drawing/2014/main" id="{00000000-0008-0000-1300-000021020000}"/>
            </a:ext>
          </a:extLst>
        </xdr:cNvPr>
        <xdr:cNvCxnSpPr/>
      </xdr:nvCxnSpPr>
      <xdr:spPr>
        <a:xfrm flipV="1">
          <a:off x="10530417" y="502920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715</xdr:row>
      <xdr:rowOff>10584</xdr:rowOff>
    </xdr:from>
    <xdr:to>
      <xdr:col>15</xdr:col>
      <xdr:colOff>592666</xdr:colOff>
      <xdr:row>716</xdr:row>
      <xdr:rowOff>95250</xdr:rowOff>
    </xdr:to>
    <xdr:cxnSp macro="">
      <xdr:nvCxnSpPr>
        <xdr:cNvPr id="546" name="Straight Arrow Connector 545">
          <a:extLst>
            <a:ext uri="{FF2B5EF4-FFF2-40B4-BE49-F238E27FC236}">
              <a16:creationId xmlns:a16="http://schemas.microsoft.com/office/drawing/2014/main" id="{00000000-0008-0000-1300-000022020000}"/>
            </a:ext>
          </a:extLst>
        </xdr:cNvPr>
        <xdr:cNvCxnSpPr/>
      </xdr:nvCxnSpPr>
      <xdr:spPr>
        <a:xfrm>
          <a:off x="10572750" y="506835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715</xdr:row>
      <xdr:rowOff>10584</xdr:rowOff>
    </xdr:from>
    <xdr:to>
      <xdr:col>15</xdr:col>
      <xdr:colOff>560916</xdr:colOff>
      <xdr:row>719</xdr:row>
      <xdr:rowOff>52917</xdr:rowOff>
    </xdr:to>
    <xdr:cxnSp macro="">
      <xdr:nvCxnSpPr>
        <xdr:cNvPr id="547" name="Straight Arrow Connector 546">
          <a:extLst>
            <a:ext uri="{FF2B5EF4-FFF2-40B4-BE49-F238E27FC236}">
              <a16:creationId xmlns:a16="http://schemas.microsoft.com/office/drawing/2014/main" id="{00000000-0008-0000-1300-000023020000}"/>
            </a:ext>
          </a:extLst>
        </xdr:cNvPr>
        <xdr:cNvCxnSpPr/>
      </xdr:nvCxnSpPr>
      <xdr:spPr>
        <a:xfrm>
          <a:off x="10551583" y="506835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715</xdr:row>
      <xdr:rowOff>31750</xdr:rowOff>
    </xdr:from>
    <xdr:to>
      <xdr:col>16</xdr:col>
      <xdr:colOff>21167</xdr:colOff>
      <xdr:row>722</xdr:row>
      <xdr:rowOff>95250</xdr:rowOff>
    </xdr:to>
    <xdr:cxnSp macro="">
      <xdr:nvCxnSpPr>
        <xdr:cNvPr id="548" name="Straight Arrow Connector 547">
          <a:extLst>
            <a:ext uri="{FF2B5EF4-FFF2-40B4-BE49-F238E27FC236}">
              <a16:creationId xmlns:a16="http://schemas.microsoft.com/office/drawing/2014/main" id="{00000000-0008-0000-1300-000024020000}"/>
            </a:ext>
          </a:extLst>
        </xdr:cNvPr>
        <xdr:cNvCxnSpPr/>
      </xdr:nvCxnSpPr>
      <xdr:spPr>
        <a:xfrm>
          <a:off x="10583333" y="507047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729</xdr:row>
      <xdr:rowOff>0</xdr:rowOff>
    </xdr:from>
    <xdr:to>
      <xdr:col>16</xdr:col>
      <xdr:colOff>0</xdr:colOff>
      <xdr:row>729</xdr:row>
      <xdr:rowOff>42334</xdr:rowOff>
    </xdr:to>
    <xdr:cxnSp macro="">
      <xdr:nvCxnSpPr>
        <xdr:cNvPr id="549" name="Straight Arrow Connector 548">
          <a:extLst>
            <a:ext uri="{FF2B5EF4-FFF2-40B4-BE49-F238E27FC236}">
              <a16:creationId xmlns:a16="http://schemas.microsoft.com/office/drawing/2014/main" id="{00000000-0008-0000-1300-000025020000}"/>
            </a:ext>
          </a:extLst>
        </xdr:cNvPr>
        <xdr:cNvCxnSpPr/>
      </xdr:nvCxnSpPr>
      <xdr:spPr>
        <a:xfrm>
          <a:off x="10562166" y="533400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729</xdr:row>
      <xdr:rowOff>21166</xdr:rowOff>
    </xdr:from>
    <xdr:to>
      <xdr:col>15</xdr:col>
      <xdr:colOff>560916</xdr:colOff>
      <xdr:row>732</xdr:row>
      <xdr:rowOff>84667</xdr:rowOff>
    </xdr:to>
    <xdr:cxnSp macro="">
      <xdr:nvCxnSpPr>
        <xdr:cNvPr id="550" name="Straight Arrow Connector 549">
          <a:extLst>
            <a:ext uri="{FF2B5EF4-FFF2-40B4-BE49-F238E27FC236}">
              <a16:creationId xmlns:a16="http://schemas.microsoft.com/office/drawing/2014/main" id="{00000000-0008-0000-1300-000026020000}"/>
            </a:ext>
          </a:extLst>
        </xdr:cNvPr>
        <xdr:cNvCxnSpPr/>
      </xdr:nvCxnSpPr>
      <xdr:spPr>
        <a:xfrm>
          <a:off x="10615083" y="533611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729</xdr:row>
      <xdr:rowOff>52916</xdr:rowOff>
    </xdr:from>
    <xdr:to>
      <xdr:col>15</xdr:col>
      <xdr:colOff>592666</xdr:colOff>
      <xdr:row>735</xdr:row>
      <xdr:rowOff>63501</xdr:rowOff>
    </xdr:to>
    <xdr:cxnSp macro="">
      <xdr:nvCxnSpPr>
        <xdr:cNvPr id="551" name="Straight Arrow Connector 550">
          <a:extLst>
            <a:ext uri="{FF2B5EF4-FFF2-40B4-BE49-F238E27FC236}">
              <a16:creationId xmlns:a16="http://schemas.microsoft.com/office/drawing/2014/main" id="{00000000-0008-0000-1300-000027020000}"/>
            </a:ext>
          </a:extLst>
        </xdr:cNvPr>
        <xdr:cNvCxnSpPr/>
      </xdr:nvCxnSpPr>
      <xdr:spPr>
        <a:xfrm>
          <a:off x="10572750" y="533929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743</xdr:row>
      <xdr:rowOff>116416</xdr:rowOff>
    </xdr:from>
    <xdr:to>
      <xdr:col>15</xdr:col>
      <xdr:colOff>592666</xdr:colOff>
      <xdr:row>746</xdr:row>
      <xdr:rowOff>158750</xdr:rowOff>
    </xdr:to>
    <xdr:cxnSp macro="">
      <xdr:nvCxnSpPr>
        <xdr:cNvPr id="552" name="Straight Arrow Connector 551">
          <a:extLst>
            <a:ext uri="{FF2B5EF4-FFF2-40B4-BE49-F238E27FC236}">
              <a16:creationId xmlns:a16="http://schemas.microsoft.com/office/drawing/2014/main" id="{00000000-0008-0000-1300-000028020000}"/>
            </a:ext>
          </a:extLst>
        </xdr:cNvPr>
        <xdr:cNvCxnSpPr/>
      </xdr:nvCxnSpPr>
      <xdr:spPr>
        <a:xfrm flipV="1">
          <a:off x="10562166" y="56123416"/>
          <a:ext cx="571500" cy="613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745</xdr:row>
      <xdr:rowOff>95250</xdr:rowOff>
    </xdr:from>
    <xdr:to>
      <xdr:col>15</xdr:col>
      <xdr:colOff>582083</xdr:colOff>
      <xdr:row>747</xdr:row>
      <xdr:rowOff>52917</xdr:rowOff>
    </xdr:to>
    <xdr:cxnSp macro="">
      <xdr:nvCxnSpPr>
        <xdr:cNvPr id="553" name="Straight Arrow Connector 552">
          <a:extLst>
            <a:ext uri="{FF2B5EF4-FFF2-40B4-BE49-F238E27FC236}">
              <a16:creationId xmlns:a16="http://schemas.microsoft.com/office/drawing/2014/main" id="{00000000-0008-0000-1300-000029020000}"/>
            </a:ext>
          </a:extLst>
        </xdr:cNvPr>
        <xdr:cNvCxnSpPr/>
      </xdr:nvCxnSpPr>
      <xdr:spPr>
        <a:xfrm flipV="1">
          <a:off x="10604500" y="56483250"/>
          <a:ext cx="518583" cy="338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747</xdr:row>
      <xdr:rowOff>116417</xdr:rowOff>
    </xdr:from>
    <xdr:to>
      <xdr:col>15</xdr:col>
      <xdr:colOff>592666</xdr:colOff>
      <xdr:row>751</xdr:row>
      <xdr:rowOff>95250</xdr:rowOff>
    </xdr:to>
    <xdr:cxnSp macro="">
      <xdr:nvCxnSpPr>
        <xdr:cNvPr id="554" name="Straight Arrow Connector 553">
          <a:extLst>
            <a:ext uri="{FF2B5EF4-FFF2-40B4-BE49-F238E27FC236}">
              <a16:creationId xmlns:a16="http://schemas.microsoft.com/office/drawing/2014/main" id="{00000000-0008-0000-1300-00002A020000}"/>
            </a:ext>
          </a:extLst>
        </xdr:cNvPr>
        <xdr:cNvCxnSpPr/>
      </xdr:nvCxnSpPr>
      <xdr:spPr>
        <a:xfrm>
          <a:off x="10593916" y="56885417"/>
          <a:ext cx="53975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758</xdr:row>
      <xdr:rowOff>116416</xdr:rowOff>
    </xdr:from>
    <xdr:to>
      <xdr:col>16</xdr:col>
      <xdr:colOff>0</xdr:colOff>
      <xdr:row>765</xdr:row>
      <xdr:rowOff>74084</xdr:rowOff>
    </xdr:to>
    <xdr:cxnSp macro="">
      <xdr:nvCxnSpPr>
        <xdr:cNvPr id="555" name="Straight Arrow Connector 554">
          <a:extLst>
            <a:ext uri="{FF2B5EF4-FFF2-40B4-BE49-F238E27FC236}">
              <a16:creationId xmlns:a16="http://schemas.microsoft.com/office/drawing/2014/main" id="{00000000-0008-0000-1300-00002B020000}"/>
            </a:ext>
          </a:extLst>
        </xdr:cNvPr>
        <xdr:cNvCxnSpPr/>
      </xdr:nvCxnSpPr>
      <xdr:spPr>
        <a:xfrm>
          <a:off x="10572750" y="58980916"/>
          <a:ext cx="571500" cy="12911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726</xdr:row>
      <xdr:rowOff>52917</xdr:rowOff>
    </xdr:from>
    <xdr:to>
      <xdr:col>15</xdr:col>
      <xdr:colOff>603250</xdr:colOff>
      <xdr:row>728</xdr:row>
      <xdr:rowOff>148167</xdr:rowOff>
    </xdr:to>
    <xdr:cxnSp macro="">
      <xdr:nvCxnSpPr>
        <xdr:cNvPr id="556" name="Straight Arrow Connector 555">
          <a:extLst>
            <a:ext uri="{FF2B5EF4-FFF2-40B4-BE49-F238E27FC236}">
              <a16:creationId xmlns:a16="http://schemas.microsoft.com/office/drawing/2014/main" id="{00000000-0008-0000-1300-00002C020000}"/>
            </a:ext>
          </a:extLst>
        </xdr:cNvPr>
        <xdr:cNvCxnSpPr/>
      </xdr:nvCxnSpPr>
      <xdr:spPr>
        <a:xfrm flipV="1">
          <a:off x="10583333" y="528214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761</xdr:row>
      <xdr:rowOff>42333</xdr:rowOff>
    </xdr:from>
    <xdr:to>
      <xdr:col>11</xdr:col>
      <xdr:colOff>603250</xdr:colOff>
      <xdr:row>773</xdr:row>
      <xdr:rowOff>10583</xdr:rowOff>
    </xdr:to>
    <xdr:cxnSp macro="">
      <xdr:nvCxnSpPr>
        <xdr:cNvPr id="557" name="Straight Arrow Connector 556">
          <a:extLst>
            <a:ext uri="{FF2B5EF4-FFF2-40B4-BE49-F238E27FC236}">
              <a16:creationId xmlns:a16="http://schemas.microsoft.com/office/drawing/2014/main" id="{00000000-0008-0000-1300-00002D020000}"/>
            </a:ext>
          </a:extLst>
        </xdr:cNvPr>
        <xdr:cNvCxnSpPr/>
      </xdr:nvCxnSpPr>
      <xdr:spPr>
        <a:xfrm>
          <a:off x="7598834" y="594783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751</xdr:row>
      <xdr:rowOff>21167</xdr:rowOff>
    </xdr:from>
    <xdr:to>
      <xdr:col>13</xdr:col>
      <xdr:colOff>592667</xdr:colOff>
      <xdr:row>753</xdr:row>
      <xdr:rowOff>0</xdr:rowOff>
    </xdr:to>
    <xdr:cxnSp macro="">
      <xdr:nvCxnSpPr>
        <xdr:cNvPr id="558" name="Straight Arrow Connector 557">
          <a:extLst>
            <a:ext uri="{FF2B5EF4-FFF2-40B4-BE49-F238E27FC236}">
              <a16:creationId xmlns:a16="http://schemas.microsoft.com/office/drawing/2014/main" id="{00000000-0008-0000-1300-00002E020000}"/>
            </a:ext>
          </a:extLst>
        </xdr:cNvPr>
        <xdr:cNvCxnSpPr/>
      </xdr:nvCxnSpPr>
      <xdr:spPr>
        <a:xfrm flipV="1">
          <a:off x="8794750" y="575521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756</xdr:row>
      <xdr:rowOff>21166</xdr:rowOff>
    </xdr:from>
    <xdr:to>
      <xdr:col>13</xdr:col>
      <xdr:colOff>592667</xdr:colOff>
      <xdr:row>757</xdr:row>
      <xdr:rowOff>169334</xdr:rowOff>
    </xdr:to>
    <xdr:cxnSp macro="">
      <xdr:nvCxnSpPr>
        <xdr:cNvPr id="559" name="Straight Arrow Connector 558">
          <a:extLst>
            <a:ext uri="{FF2B5EF4-FFF2-40B4-BE49-F238E27FC236}">
              <a16:creationId xmlns:a16="http://schemas.microsoft.com/office/drawing/2014/main" id="{00000000-0008-0000-1300-00002F020000}"/>
            </a:ext>
          </a:extLst>
        </xdr:cNvPr>
        <xdr:cNvCxnSpPr/>
      </xdr:nvCxnSpPr>
      <xdr:spPr>
        <a:xfrm>
          <a:off x="8784166" y="585046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771</xdr:row>
      <xdr:rowOff>21167</xdr:rowOff>
    </xdr:from>
    <xdr:to>
      <xdr:col>13</xdr:col>
      <xdr:colOff>592667</xdr:colOff>
      <xdr:row>773</xdr:row>
      <xdr:rowOff>63500</xdr:rowOff>
    </xdr:to>
    <xdr:cxnSp macro="">
      <xdr:nvCxnSpPr>
        <xdr:cNvPr id="560" name="Straight Arrow Connector 559">
          <a:extLst>
            <a:ext uri="{FF2B5EF4-FFF2-40B4-BE49-F238E27FC236}">
              <a16:creationId xmlns:a16="http://schemas.microsoft.com/office/drawing/2014/main" id="{00000000-0008-0000-1300-000030020000}"/>
            </a:ext>
          </a:extLst>
        </xdr:cNvPr>
        <xdr:cNvCxnSpPr/>
      </xdr:nvCxnSpPr>
      <xdr:spPr>
        <a:xfrm flipV="1">
          <a:off x="8794750" y="615526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776</xdr:row>
      <xdr:rowOff>0</xdr:rowOff>
    </xdr:from>
    <xdr:to>
      <xdr:col>14</xdr:col>
      <xdr:colOff>10584</xdr:colOff>
      <xdr:row>784</xdr:row>
      <xdr:rowOff>148167</xdr:rowOff>
    </xdr:to>
    <xdr:cxnSp macro="">
      <xdr:nvCxnSpPr>
        <xdr:cNvPr id="561" name="Straight Arrow Connector 560">
          <a:extLst>
            <a:ext uri="{FF2B5EF4-FFF2-40B4-BE49-F238E27FC236}">
              <a16:creationId xmlns:a16="http://schemas.microsoft.com/office/drawing/2014/main" id="{00000000-0008-0000-1300-000031020000}"/>
            </a:ext>
          </a:extLst>
        </xdr:cNvPr>
        <xdr:cNvCxnSpPr/>
      </xdr:nvCxnSpPr>
      <xdr:spPr>
        <a:xfrm>
          <a:off x="8805333" y="624840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747</xdr:row>
      <xdr:rowOff>95250</xdr:rowOff>
    </xdr:from>
    <xdr:to>
      <xdr:col>15</xdr:col>
      <xdr:colOff>582083</xdr:colOff>
      <xdr:row>749</xdr:row>
      <xdr:rowOff>137583</xdr:rowOff>
    </xdr:to>
    <xdr:cxnSp macro="">
      <xdr:nvCxnSpPr>
        <xdr:cNvPr id="562" name="Straight Arrow Connector 561">
          <a:extLst>
            <a:ext uri="{FF2B5EF4-FFF2-40B4-BE49-F238E27FC236}">
              <a16:creationId xmlns:a16="http://schemas.microsoft.com/office/drawing/2014/main" id="{00000000-0008-0000-1300-000032020000}"/>
            </a:ext>
          </a:extLst>
        </xdr:cNvPr>
        <xdr:cNvCxnSpPr/>
      </xdr:nvCxnSpPr>
      <xdr:spPr>
        <a:xfrm>
          <a:off x="10593916" y="56864250"/>
          <a:ext cx="5291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756</xdr:row>
      <xdr:rowOff>52916</xdr:rowOff>
    </xdr:from>
    <xdr:to>
      <xdr:col>16</xdr:col>
      <xdr:colOff>0</xdr:colOff>
      <xdr:row>758</xdr:row>
      <xdr:rowOff>0</xdr:rowOff>
    </xdr:to>
    <xdr:cxnSp macro="">
      <xdr:nvCxnSpPr>
        <xdr:cNvPr id="563" name="Straight Arrow Connector 562">
          <a:extLst>
            <a:ext uri="{FF2B5EF4-FFF2-40B4-BE49-F238E27FC236}">
              <a16:creationId xmlns:a16="http://schemas.microsoft.com/office/drawing/2014/main" id="{00000000-0008-0000-1300-000033020000}"/>
            </a:ext>
          </a:extLst>
        </xdr:cNvPr>
        <xdr:cNvCxnSpPr/>
      </xdr:nvCxnSpPr>
      <xdr:spPr>
        <a:xfrm flipV="1">
          <a:off x="10541000" y="585364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758</xdr:row>
      <xdr:rowOff>21167</xdr:rowOff>
    </xdr:from>
    <xdr:to>
      <xdr:col>15</xdr:col>
      <xdr:colOff>592666</xdr:colOff>
      <xdr:row>759</xdr:row>
      <xdr:rowOff>84667</xdr:rowOff>
    </xdr:to>
    <xdr:cxnSp macro="">
      <xdr:nvCxnSpPr>
        <xdr:cNvPr id="564" name="Straight Arrow Connector 563">
          <a:extLst>
            <a:ext uri="{FF2B5EF4-FFF2-40B4-BE49-F238E27FC236}">
              <a16:creationId xmlns:a16="http://schemas.microsoft.com/office/drawing/2014/main" id="{00000000-0008-0000-1300-000034020000}"/>
            </a:ext>
          </a:extLst>
        </xdr:cNvPr>
        <xdr:cNvCxnSpPr/>
      </xdr:nvCxnSpPr>
      <xdr:spPr>
        <a:xfrm>
          <a:off x="10530417" y="58885667"/>
          <a:ext cx="603249" cy="25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758</xdr:row>
      <xdr:rowOff>0</xdr:rowOff>
    </xdr:from>
    <xdr:to>
      <xdr:col>16</xdr:col>
      <xdr:colOff>0</xdr:colOff>
      <xdr:row>762</xdr:row>
      <xdr:rowOff>42334</xdr:rowOff>
    </xdr:to>
    <xdr:cxnSp macro="">
      <xdr:nvCxnSpPr>
        <xdr:cNvPr id="565" name="Straight Arrow Connector 564">
          <a:extLst>
            <a:ext uri="{FF2B5EF4-FFF2-40B4-BE49-F238E27FC236}">
              <a16:creationId xmlns:a16="http://schemas.microsoft.com/office/drawing/2014/main" id="{00000000-0008-0000-1300-000035020000}"/>
            </a:ext>
          </a:extLst>
        </xdr:cNvPr>
        <xdr:cNvCxnSpPr/>
      </xdr:nvCxnSpPr>
      <xdr:spPr>
        <a:xfrm>
          <a:off x="10530417" y="58864500"/>
          <a:ext cx="613833" cy="804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769</xdr:row>
      <xdr:rowOff>0</xdr:rowOff>
    </xdr:from>
    <xdr:to>
      <xdr:col>15</xdr:col>
      <xdr:colOff>603250</xdr:colOff>
      <xdr:row>771</xdr:row>
      <xdr:rowOff>1</xdr:rowOff>
    </xdr:to>
    <xdr:cxnSp macro="">
      <xdr:nvCxnSpPr>
        <xdr:cNvPr id="566" name="Straight Arrow Connector 565">
          <a:extLst>
            <a:ext uri="{FF2B5EF4-FFF2-40B4-BE49-F238E27FC236}">
              <a16:creationId xmlns:a16="http://schemas.microsoft.com/office/drawing/2014/main" id="{00000000-0008-0000-1300-000036020000}"/>
            </a:ext>
          </a:extLst>
        </xdr:cNvPr>
        <xdr:cNvCxnSpPr/>
      </xdr:nvCxnSpPr>
      <xdr:spPr>
        <a:xfrm flipV="1">
          <a:off x="10530417" y="611505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771</xdr:row>
      <xdr:rowOff>10584</xdr:rowOff>
    </xdr:from>
    <xdr:to>
      <xdr:col>15</xdr:col>
      <xdr:colOff>592666</xdr:colOff>
      <xdr:row>772</xdr:row>
      <xdr:rowOff>95250</xdr:rowOff>
    </xdr:to>
    <xdr:cxnSp macro="">
      <xdr:nvCxnSpPr>
        <xdr:cNvPr id="567" name="Straight Arrow Connector 566">
          <a:extLst>
            <a:ext uri="{FF2B5EF4-FFF2-40B4-BE49-F238E27FC236}">
              <a16:creationId xmlns:a16="http://schemas.microsoft.com/office/drawing/2014/main" id="{00000000-0008-0000-1300-000037020000}"/>
            </a:ext>
          </a:extLst>
        </xdr:cNvPr>
        <xdr:cNvCxnSpPr/>
      </xdr:nvCxnSpPr>
      <xdr:spPr>
        <a:xfrm>
          <a:off x="10572750" y="615420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771</xdr:row>
      <xdr:rowOff>10584</xdr:rowOff>
    </xdr:from>
    <xdr:to>
      <xdr:col>15</xdr:col>
      <xdr:colOff>560916</xdr:colOff>
      <xdr:row>775</xdr:row>
      <xdr:rowOff>52917</xdr:rowOff>
    </xdr:to>
    <xdr:cxnSp macro="">
      <xdr:nvCxnSpPr>
        <xdr:cNvPr id="568" name="Straight Arrow Connector 567">
          <a:extLst>
            <a:ext uri="{FF2B5EF4-FFF2-40B4-BE49-F238E27FC236}">
              <a16:creationId xmlns:a16="http://schemas.microsoft.com/office/drawing/2014/main" id="{00000000-0008-0000-1300-000038020000}"/>
            </a:ext>
          </a:extLst>
        </xdr:cNvPr>
        <xdr:cNvCxnSpPr/>
      </xdr:nvCxnSpPr>
      <xdr:spPr>
        <a:xfrm>
          <a:off x="10551583" y="615420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771</xdr:row>
      <xdr:rowOff>31750</xdr:rowOff>
    </xdr:from>
    <xdr:to>
      <xdr:col>16</xdr:col>
      <xdr:colOff>21167</xdr:colOff>
      <xdr:row>778</xdr:row>
      <xdr:rowOff>95250</xdr:rowOff>
    </xdr:to>
    <xdr:cxnSp macro="">
      <xdr:nvCxnSpPr>
        <xdr:cNvPr id="569" name="Straight Arrow Connector 568">
          <a:extLst>
            <a:ext uri="{FF2B5EF4-FFF2-40B4-BE49-F238E27FC236}">
              <a16:creationId xmlns:a16="http://schemas.microsoft.com/office/drawing/2014/main" id="{00000000-0008-0000-1300-000039020000}"/>
            </a:ext>
          </a:extLst>
        </xdr:cNvPr>
        <xdr:cNvCxnSpPr/>
      </xdr:nvCxnSpPr>
      <xdr:spPr>
        <a:xfrm>
          <a:off x="10583333" y="615632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785</xdr:row>
      <xdr:rowOff>0</xdr:rowOff>
    </xdr:from>
    <xdr:to>
      <xdr:col>16</xdr:col>
      <xdr:colOff>0</xdr:colOff>
      <xdr:row>785</xdr:row>
      <xdr:rowOff>42334</xdr:rowOff>
    </xdr:to>
    <xdr:cxnSp macro="">
      <xdr:nvCxnSpPr>
        <xdr:cNvPr id="570" name="Straight Arrow Connector 569">
          <a:extLst>
            <a:ext uri="{FF2B5EF4-FFF2-40B4-BE49-F238E27FC236}">
              <a16:creationId xmlns:a16="http://schemas.microsoft.com/office/drawing/2014/main" id="{00000000-0008-0000-1300-00003A020000}"/>
            </a:ext>
          </a:extLst>
        </xdr:cNvPr>
        <xdr:cNvCxnSpPr/>
      </xdr:nvCxnSpPr>
      <xdr:spPr>
        <a:xfrm>
          <a:off x="10562166" y="641985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785</xdr:row>
      <xdr:rowOff>21166</xdr:rowOff>
    </xdr:from>
    <xdr:to>
      <xdr:col>15</xdr:col>
      <xdr:colOff>560916</xdr:colOff>
      <xdr:row>788</xdr:row>
      <xdr:rowOff>84667</xdr:rowOff>
    </xdr:to>
    <xdr:cxnSp macro="">
      <xdr:nvCxnSpPr>
        <xdr:cNvPr id="571" name="Straight Arrow Connector 570">
          <a:extLst>
            <a:ext uri="{FF2B5EF4-FFF2-40B4-BE49-F238E27FC236}">
              <a16:creationId xmlns:a16="http://schemas.microsoft.com/office/drawing/2014/main" id="{00000000-0008-0000-1300-00003B020000}"/>
            </a:ext>
          </a:extLst>
        </xdr:cNvPr>
        <xdr:cNvCxnSpPr/>
      </xdr:nvCxnSpPr>
      <xdr:spPr>
        <a:xfrm>
          <a:off x="10615083" y="642196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785</xdr:row>
      <xdr:rowOff>52916</xdr:rowOff>
    </xdr:from>
    <xdr:to>
      <xdr:col>15</xdr:col>
      <xdr:colOff>592666</xdr:colOff>
      <xdr:row>791</xdr:row>
      <xdr:rowOff>63501</xdr:rowOff>
    </xdr:to>
    <xdr:cxnSp macro="">
      <xdr:nvCxnSpPr>
        <xdr:cNvPr id="572" name="Straight Arrow Connector 571">
          <a:extLst>
            <a:ext uri="{FF2B5EF4-FFF2-40B4-BE49-F238E27FC236}">
              <a16:creationId xmlns:a16="http://schemas.microsoft.com/office/drawing/2014/main" id="{00000000-0008-0000-1300-00003C020000}"/>
            </a:ext>
          </a:extLst>
        </xdr:cNvPr>
        <xdr:cNvCxnSpPr/>
      </xdr:nvCxnSpPr>
      <xdr:spPr>
        <a:xfrm>
          <a:off x="10572750" y="642514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782</xdr:row>
      <xdr:rowOff>52917</xdr:rowOff>
    </xdr:from>
    <xdr:to>
      <xdr:col>15</xdr:col>
      <xdr:colOff>603250</xdr:colOff>
      <xdr:row>784</xdr:row>
      <xdr:rowOff>148167</xdr:rowOff>
    </xdr:to>
    <xdr:cxnSp macro="">
      <xdr:nvCxnSpPr>
        <xdr:cNvPr id="573" name="Straight Arrow Connector 572">
          <a:extLst>
            <a:ext uri="{FF2B5EF4-FFF2-40B4-BE49-F238E27FC236}">
              <a16:creationId xmlns:a16="http://schemas.microsoft.com/office/drawing/2014/main" id="{00000000-0008-0000-1300-00003D020000}"/>
            </a:ext>
          </a:extLst>
        </xdr:cNvPr>
        <xdr:cNvCxnSpPr/>
      </xdr:nvCxnSpPr>
      <xdr:spPr>
        <a:xfrm flipV="1">
          <a:off x="10583333" y="636799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698500</xdr:colOff>
      <xdr:row>826</xdr:row>
      <xdr:rowOff>95250</xdr:rowOff>
    </xdr:from>
    <xdr:to>
      <xdr:col>8</xdr:col>
      <xdr:colOff>21167</xdr:colOff>
      <xdr:row>858</xdr:row>
      <xdr:rowOff>148166</xdr:rowOff>
    </xdr:to>
    <xdr:cxnSp macro="">
      <xdr:nvCxnSpPr>
        <xdr:cNvPr id="574" name="Straight Arrow Connector 573">
          <a:extLst>
            <a:ext uri="{FF2B5EF4-FFF2-40B4-BE49-F238E27FC236}">
              <a16:creationId xmlns:a16="http://schemas.microsoft.com/office/drawing/2014/main" id="{00000000-0008-0000-1300-00003E020000}"/>
            </a:ext>
          </a:extLst>
        </xdr:cNvPr>
        <xdr:cNvCxnSpPr/>
      </xdr:nvCxnSpPr>
      <xdr:spPr>
        <a:xfrm>
          <a:off x="5080000" y="72294750"/>
          <a:ext cx="719667" cy="6148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797</xdr:row>
      <xdr:rowOff>137583</xdr:rowOff>
    </xdr:from>
    <xdr:to>
      <xdr:col>9</xdr:col>
      <xdr:colOff>603250</xdr:colOff>
      <xdr:row>803</xdr:row>
      <xdr:rowOff>21166</xdr:rowOff>
    </xdr:to>
    <xdr:cxnSp macro="">
      <xdr:nvCxnSpPr>
        <xdr:cNvPr id="575" name="Straight Arrow Connector 574">
          <a:extLst>
            <a:ext uri="{FF2B5EF4-FFF2-40B4-BE49-F238E27FC236}">
              <a16:creationId xmlns:a16="http://schemas.microsoft.com/office/drawing/2014/main" id="{00000000-0008-0000-1300-00003F020000}"/>
            </a:ext>
          </a:extLst>
        </xdr:cNvPr>
        <xdr:cNvCxnSpPr/>
      </xdr:nvCxnSpPr>
      <xdr:spPr>
        <a:xfrm flipV="1">
          <a:off x="6381750" y="66622083"/>
          <a:ext cx="603250" cy="1026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806</xdr:row>
      <xdr:rowOff>0</xdr:rowOff>
    </xdr:from>
    <xdr:to>
      <xdr:col>9</xdr:col>
      <xdr:colOff>582083</xdr:colOff>
      <xdr:row>814</xdr:row>
      <xdr:rowOff>10583</xdr:rowOff>
    </xdr:to>
    <xdr:cxnSp macro="">
      <xdr:nvCxnSpPr>
        <xdr:cNvPr id="576" name="Straight Arrow Connector 575">
          <a:extLst>
            <a:ext uri="{FF2B5EF4-FFF2-40B4-BE49-F238E27FC236}">
              <a16:creationId xmlns:a16="http://schemas.microsoft.com/office/drawing/2014/main" id="{00000000-0008-0000-1300-000040020000}"/>
            </a:ext>
          </a:extLst>
        </xdr:cNvPr>
        <xdr:cNvCxnSpPr/>
      </xdr:nvCxnSpPr>
      <xdr:spPr>
        <a:xfrm>
          <a:off x="6413500" y="68199000"/>
          <a:ext cx="550333" cy="1534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21167</xdr:colOff>
      <xdr:row>811</xdr:row>
      <xdr:rowOff>169333</xdr:rowOff>
    </xdr:from>
    <xdr:to>
      <xdr:col>11</xdr:col>
      <xdr:colOff>603250</xdr:colOff>
      <xdr:row>814</xdr:row>
      <xdr:rowOff>21167</xdr:rowOff>
    </xdr:to>
    <xdr:cxnSp macro="">
      <xdr:nvCxnSpPr>
        <xdr:cNvPr id="577" name="Straight Arrow Connector 576">
          <a:extLst>
            <a:ext uri="{FF2B5EF4-FFF2-40B4-BE49-F238E27FC236}">
              <a16:creationId xmlns:a16="http://schemas.microsoft.com/office/drawing/2014/main" id="{00000000-0008-0000-1300-000041020000}"/>
            </a:ext>
          </a:extLst>
        </xdr:cNvPr>
        <xdr:cNvCxnSpPr/>
      </xdr:nvCxnSpPr>
      <xdr:spPr>
        <a:xfrm flipV="1">
          <a:off x="7609417" y="69320833"/>
          <a:ext cx="582083" cy="423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817</xdr:row>
      <xdr:rowOff>42333</xdr:rowOff>
    </xdr:from>
    <xdr:to>
      <xdr:col>11</xdr:col>
      <xdr:colOff>603250</xdr:colOff>
      <xdr:row>829</xdr:row>
      <xdr:rowOff>10583</xdr:rowOff>
    </xdr:to>
    <xdr:cxnSp macro="">
      <xdr:nvCxnSpPr>
        <xdr:cNvPr id="578" name="Straight Arrow Connector 577">
          <a:extLst>
            <a:ext uri="{FF2B5EF4-FFF2-40B4-BE49-F238E27FC236}">
              <a16:creationId xmlns:a16="http://schemas.microsoft.com/office/drawing/2014/main" id="{00000000-0008-0000-1300-000042020000}"/>
            </a:ext>
          </a:extLst>
        </xdr:cNvPr>
        <xdr:cNvCxnSpPr/>
      </xdr:nvCxnSpPr>
      <xdr:spPr>
        <a:xfrm>
          <a:off x="7598834" y="703368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807</xdr:row>
      <xdr:rowOff>21167</xdr:rowOff>
    </xdr:from>
    <xdr:to>
      <xdr:col>13</xdr:col>
      <xdr:colOff>592667</xdr:colOff>
      <xdr:row>809</xdr:row>
      <xdr:rowOff>0</xdr:rowOff>
    </xdr:to>
    <xdr:cxnSp macro="">
      <xdr:nvCxnSpPr>
        <xdr:cNvPr id="579" name="Straight Arrow Connector 578">
          <a:extLst>
            <a:ext uri="{FF2B5EF4-FFF2-40B4-BE49-F238E27FC236}">
              <a16:creationId xmlns:a16="http://schemas.microsoft.com/office/drawing/2014/main" id="{00000000-0008-0000-1300-000043020000}"/>
            </a:ext>
          </a:extLst>
        </xdr:cNvPr>
        <xdr:cNvCxnSpPr/>
      </xdr:nvCxnSpPr>
      <xdr:spPr>
        <a:xfrm flipV="1">
          <a:off x="8794750" y="684106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812</xdr:row>
      <xdr:rowOff>21166</xdr:rowOff>
    </xdr:from>
    <xdr:to>
      <xdr:col>13</xdr:col>
      <xdr:colOff>592667</xdr:colOff>
      <xdr:row>813</xdr:row>
      <xdr:rowOff>169334</xdr:rowOff>
    </xdr:to>
    <xdr:cxnSp macro="">
      <xdr:nvCxnSpPr>
        <xdr:cNvPr id="580" name="Straight Arrow Connector 579">
          <a:extLst>
            <a:ext uri="{FF2B5EF4-FFF2-40B4-BE49-F238E27FC236}">
              <a16:creationId xmlns:a16="http://schemas.microsoft.com/office/drawing/2014/main" id="{00000000-0008-0000-1300-000044020000}"/>
            </a:ext>
          </a:extLst>
        </xdr:cNvPr>
        <xdr:cNvCxnSpPr/>
      </xdr:nvCxnSpPr>
      <xdr:spPr>
        <a:xfrm>
          <a:off x="8784166" y="693631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827</xdr:row>
      <xdr:rowOff>21167</xdr:rowOff>
    </xdr:from>
    <xdr:to>
      <xdr:col>13</xdr:col>
      <xdr:colOff>592667</xdr:colOff>
      <xdr:row>829</xdr:row>
      <xdr:rowOff>63500</xdr:rowOff>
    </xdr:to>
    <xdr:cxnSp macro="">
      <xdr:nvCxnSpPr>
        <xdr:cNvPr id="581" name="Straight Arrow Connector 580">
          <a:extLst>
            <a:ext uri="{FF2B5EF4-FFF2-40B4-BE49-F238E27FC236}">
              <a16:creationId xmlns:a16="http://schemas.microsoft.com/office/drawing/2014/main" id="{00000000-0008-0000-1300-000045020000}"/>
            </a:ext>
          </a:extLst>
        </xdr:cNvPr>
        <xdr:cNvCxnSpPr/>
      </xdr:nvCxnSpPr>
      <xdr:spPr>
        <a:xfrm flipV="1">
          <a:off x="8794750" y="724111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832</xdr:row>
      <xdr:rowOff>0</xdr:rowOff>
    </xdr:from>
    <xdr:to>
      <xdr:col>14</xdr:col>
      <xdr:colOff>10584</xdr:colOff>
      <xdr:row>840</xdr:row>
      <xdr:rowOff>148167</xdr:rowOff>
    </xdr:to>
    <xdr:cxnSp macro="">
      <xdr:nvCxnSpPr>
        <xdr:cNvPr id="582" name="Straight Arrow Connector 581">
          <a:extLst>
            <a:ext uri="{FF2B5EF4-FFF2-40B4-BE49-F238E27FC236}">
              <a16:creationId xmlns:a16="http://schemas.microsoft.com/office/drawing/2014/main" id="{00000000-0008-0000-1300-000046020000}"/>
            </a:ext>
          </a:extLst>
        </xdr:cNvPr>
        <xdr:cNvCxnSpPr/>
      </xdr:nvCxnSpPr>
      <xdr:spPr>
        <a:xfrm>
          <a:off x="8805333" y="733425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799</xdr:row>
      <xdr:rowOff>0</xdr:rowOff>
    </xdr:from>
    <xdr:to>
      <xdr:col>15</xdr:col>
      <xdr:colOff>603250</xdr:colOff>
      <xdr:row>804</xdr:row>
      <xdr:rowOff>31750</xdr:rowOff>
    </xdr:to>
    <xdr:cxnSp macro="">
      <xdr:nvCxnSpPr>
        <xdr:cNvPr id="583" name="Straight Arrow Connector 582">
          <a:extLst>
            <a:ext uri="{FF2B5EF4-FFF2-40B4-BE49-F238E27FC236}">
              <a16:creationId xmlns:a16="http://schemas.microsoft.com/office/drawing/2014/main" id="{00000000-0008-0000-1300-000047020000}"/>
            </a:ext>
          </a:extLst>
        </xdr:cNvPr>
        <xdr:cNvCxnSpPr/>
      </xdr:nvCxnSpPr>
      <xdr:spPr>
        <a:xfrm flipV="1">
          <a:off x="10541000" y="66865500"/>
          <a:ext cx="603250" cy="984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802</xdr:row>
      <xdr:rowOff>52917</xdr:rowOff>
    </xdr:from>
    <xdr:to>
      <xdr:col>15</xdr:col>
      <xdr:colOff>603250</xdr:colOff>
      <xdr:row>804</xdr:row>
      <xdr:rowOff>95250</xdr:rowOff>
    </xdr:to>
    <xdr:cxnSp macro="">
      <xdr:nvCxnSpPr>
        <xdr:cNvPr id="584" name="Straight Arrow Connector 583">
          <a:extLst>
            <a:ext uri="{FF2B5EF4-FFF2-40B4-BE49-F238E27FC236}">
              <a16:creationId xmlns:a16="http://schemas.microsoft.com/office/drawing/2014/main" id="{00000000-0008-0000-1300-000048020000}"/>
            </a:ext>
          </a:extLst>
        </xdr:cNvPr>
        <xdr:cNvCxnSpPr/>
      </xdr:nvCxnSpPr>
      <xdr:spPr>
        <a:xfrm flipV="1">
          <a:off x="10583333" y="67489917"/>
          <a:ext cx="56091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804</xdr:row>
      <xdr:rowOff>158750</xdr:rowOff>
    </xdr:from>
    <xdr:to>
      <xdr:col>15</xdr:col>
      <xdr:colOff>582083</xdr:colOff>
      <xdr:row>805</xdr:row>
      <xdr:rowOff>137583</xdr:rowOff>
    </xdr:to>
    <xdr:cxnSp macro="">
      <xdr:nvCxnSpPr>
        <xdr:cNvPr id="585" name="Straight Arrow Connector 584">
          <a:extLst>
            <a:ext uri="{FF2B5EF4-FFF2-40B4-BE49-F238E27FC236}">
              <a16:creationId xmlns:a16="http://schemas.microsoft.com/office/drawing/2014/main" id="{00000000-0008-0000-1300-000049020000}"/>
            </a:ext>
          </a:extLst>
        </xdr:cNvPr>
        <xdr:cNvCxnSpPr/>
      </xdr:nvCxnSpPr>
      <xdr:spPr>
        <a:xfrm>
          <a:off x="10604500" y="67976750"/>
          <a:ext cx="518583" cy="169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1121834</xdr:colOff>
      <xdr:row>804</xdr:row>
      <xdr:rowOff>105834</xdr:rowOff>
    </xdr:from>
    <xdr:to>
      <xdr:col>16</xdr:col>
      <xdr:colOff>0</xdr:colOff>
      <xdr:row>808</xdr:row>
      <xdr:rowOff>84667</xdr:rowOff>
    </xdr:to>
    <xdr:cxnSp macro="">
      <xdr:nvCxnSpPr>
        <xdr:cNvPr id="586" name="Straight Arrow Connector 585">
          <a:extLst>
            <a:ext uri="{FF2B5EF4-FFF2-40B4-BE49-F238E27FC236}">
              <a16:creationId xmlns:a16="http://schemas.microsoft.com/office/drawing/2014/main" id="{00000000-0008-0000-1300-00004A020000}"/>
            </a:ext>
          </a:extLst>
        </xdr:cNvPr>
        <xdr:cNvCxnSpPr/>
      </xdr:nvCxnSpPr>
      <xdr:spPr>
        <a:xfrm>
          <a:off x="10519834" y="67923834"/>
          <a:ext cx="624416"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812</xdr:row>
      <xdr:rowOff>52916</xdr:rowOff>
    </xdr:from>
    <xdr:to>
      <xdr:col>16</xdr:col>
      <xdr:colOff>0</xdr:colOff>
      <xdr:row>814</xdr:row>
      <xdr:rowOff>0</xdr:rowOff>
    </xdr:to>
    <xdr:cxnSp macro="">
      <xdr:nvCxnSpPr>
        <xdr:cNvPr id="587" name="Straight Arrow Connector 586">
          <a:extLst>
            <a:ext uri="{FF2B5EF4-FFF2-40B4-BE49-F238E27FC236}">
              <a16:creationId xmlns:a16="http://schemas.microsoft.com/office/drawing/2014/main" id="{00000000-0008-0000-1300-00004B020000}"/>
            </a:ext>
          </a:extLst>
        </xdr:cNvPr>
        <xdr:cNvCxnSpPr/>
      </xdr:nvCxnSpPr>
      <xdr:spPr>
        <a:xfrm flipV="1">
          <a:off x="10541000" y="693949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814</xdr:row>
      <xdr:rowOff>21167</xdr:rowOff>
    </xdr:from>
    <xdr:to>
      <xdr:col>15</xdr:col>
      <xdr:colOff>582083</xdr:colOff>
      <xdr:row>815</xdr:row>
      <xdr:rowOff>42333</xdr:rowOff>
    </xdr:to>
    <xdr:cxnSp macro="">
      <xdr:nvCxnSpPr>
        <xdr:cNvPr id="588" name="Straight Arrow Connector 587">
          <a:extLst>
            <a:ext uri="{FF2B5EF4-FFF2-40B4-BE49-F238E27FC236}">
              <a16:creationId xmlns:a16="http://schemas.microsoft.com/office/drawing/2014/main" id="{00000000-0008-0000-1300-00004C020000}"/>
            </a:ext>
          </a:extLst>
        </xdr:cNvPr>
        <xdr:cNvCxnSpPr/>
      </xdr:nvCxnSpPr>
      <xdr:spPr>
        <a:xfrm>
          <a:off x="10551583" y="69744167"/>
          <a:ext cx="571500" cy="211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814</xdr:row>
      <xdr:rowOff>21167</xdr:rowOff>
    </xdr:from>
    <xdr:to>
      <xdr:col>16</xdr:col>
      <xdr:colOff>42333</xdr:colOff>
      <xdr:row>819</xdr:row>
      <xdr:rowOff>21168</xdr:rowOff>
    </xdr:to>
    <xdr:cxnSp macro="">
      <xdr:nvCxnSpPr>
        <xdr:cNvPr id="589" name="Straight Arrow Connector 588">
          <a:extLst>
            <a:ext uri="{FF2B5EF4-FFF2-40B4-BE49-F238E27FC236}">
              <a16:creationId xmlns:a16="http://schemas.microsoft.com/office/drawing/2014/main" id="{00000000-0008-0000-1300-00004D020000}"/>
            </a:ext>
          </a:extLst>
        </xdr:cNvPr>
        <xdr:cNvCxnSpPr/>
      </xdr:nvCxnSpPr>
      <xdr:spPr>
        <a:xfrm>
          <a:off x="10530417" y="69744167"/>
          <a:ext cx="656166" cy="9525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814</xdr:row>
      <xdr:rowOff>31750</xdr:rowOff>
    </xdr:from>
    <xdr:to>
      <xdr:col>16</xdr:col>
      <xdr:colOff>42334</xdr:colOff>
      <xdr:row>821</xdr:row>
      <xdr:rowOff>63501</xdr:rowOff>
    </xdr:to>
    <xdr:cxnSp macro="">
      <xdr:nvCxnSpPr>
        <xdr:cNvPr id="590" name="Straight Arrow Connector 589">
          <a:extLst>
            <a:ext uri="{FF2B5EF4-FFF2-40B4-BE49-F238E27FC236}">
              <a16:creationId xmlns:a16="http://schemas.microsoft.com/office/drawing/2014/main" id="{00000000-0008-0000-1300-00004E020000}"/>
            </a:ext>
          </a:extLst>
        </xdr:cNvPr>
        <xdr:cNvCxnSpPr/>
      </xdr:nvCxnSpPr>
      <xdr:spPr>
        <a:xfrm>
          <a:off x="10541000" y="69754750"/>
          <a:ext cx="645584"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10583</xdr:colOff>
      <xdr:row>851</xdr:row>
      <xdr:rowOff>42333</xdr:rowOff>
    </xdr:from>
    <xdr:to>
      <xdr:col>9</xdr:col>
      <xdr:colOff>592666</xdr:colOff>
      <xdr:row>859</xdr:row>
      <xdr:rowOff>42333</xdr:rowOff>
    </xdr:to>
    <xdr:cxnSp macro="">
      <xdr:nvCxnSpPr>
        <xdr:cNvPr id="591" name="Straight Arrow Connector 590">
          <a:extLst>
            <a:ext uri="{FF2B5EF4-FFF2-40B4-BE49-F238E27FC236}">
              <a16:creationId xmlns:a16="http://schemas.microsoft.com/office/drawing/2014/main" id="{00000000-0008-0000-1300-00004F020000}"/>
            </a:ext>
          </a:extLst>
        </xdr:cNvPr>
        <xdr:cNvCxnSpPr/>
      </xdr:nvCxnSpPr>
      <xdr:spPr>
        <a:xfrm flipV="1">
          <a:off x="6392333" y="77004333"/>
          <a:ext cx="582083" cy="152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861</xdr:row>
      <xdr:rowOff>169334</xdr:rowOff>
    </xdr:from>
    <xdr:to>
      <xdr:col>9</xdr:col>
      <xdr:colOff>603250</xdr:colOff>
      <xdr:row>870</xdr:row>
      <xdr:rowOff>31750</xdr:rowOff>
    </xdr:to>
    <xdr:cxnSp macro="">
      <xdr:nvCxnSpPr>
        <xdr:cNvPr id="592" name="Straight Arrow Connector 591">
          <a:extLst>
            <a:ext uri="{FF2B5EF4-FFF2-40B4-BE49-F238E27FC236}">
              <a16:creationId xmlns:a16="http://schemas.microsoft.com/office/drawing/2014/main" id="{00000000-0008-0000-1300-000050020000}"/>
            </a:ext>
          </a:extLst>
        </xdr:cNvPr>
        <xdr:cNvCxnSpPr/>
      </xdr:nvCxnSpPr>
      <xdr:spPr>
        <a:xfrm>
          <a:off x="6413500" y="79036334"/>
          <a:ext cx="571500" cy="1576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571500</xdr:colOff>
      <xdr:row>867</xdr:row>
      <xdr:rowOff>158750</xdr:rowOff>
    </xdr:from>
    <xdr:to>
      <xdr:col>11</xdr:col>
      <xdr:colOff>571500</xdr:colOff>
      <xdr:row>870</xdr:row>
      <xdr:rowOff>0</xdr:rowOff>
    </xdr:to>
    <xdr:cxnSp macro="">
      <xdr:nvCxnSpPr>
        <xdr:cNvPr id="593" name="Straight Arrow Connector 592">
          <a:extLst>
            <a:ext uri="{FF2B5EF4-FFF2-40B4-BE49-F238E27FC236}">
              <a16:creationId xmlns:a16="http://schemas.microsoft.com/office/drawing/2014/main" id="{00000000-0008-0000-1300-000051020000}"/>
            </a:ext>
          </a:extLst>
        </xdr:cNvPr>
        <xdr:cNvCxnSpPr/>
      </xdr:nvCxnSpPr>
      <xdr:spPr>
        <a:xfrm flipV="1">
          <a:off x="7556500" y="80168750"/>
          <a:ext cx="603250" cy="412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825</xdr:row>
      <xdr:rowOff>0</xdr:rowOff>
    </xdr:from>
    <xdr:to>
      <xdr:col>15</xdr:col>
      <xdr:colOff>603250</xdr:colOff>
      <xdr:row>827</xdr:row>
      <xdr:rowOff>1</xdr:rowOff>
    </xdr:to>
    <xdr:cxnSp macro="">
      <xdr:nvCxnSpPr>
        <xdr:cNvPr id="594" name="Straight Arrow Connector 593">
          <a:extLst>
            <a:ext uri="{FF2B5EF4-FFF2-40B4-BE49-F238E27FC236}">
              <a16:creationId xmlns:a16="http://schemas.microsoft.com/office/drawing/2014/main" id="{00000000-0008-0000-1300-000052020000}"/>
            </a:ext>
          </a:extLst>
        </xdr:cNvPr>
        <xdr:cNvCxnSpPr/>
      </xdr:nvCxnSpPr>
      <xdr:spPr>
        <a:xfrm flipV="1">
          <a:off x="10530417" y="720090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827</xdr:row>
      <xdr:rowOff>10584</xdr:rowOff>
    </xdr:from>
    <xdr:to>
      <xdr:col>15</xdr:col>
      <xdr:colOff>592666</xdr:colOff>
      <xdr:row>828</xdr:row>
      <xdr:rowOff>95250</xdr:rowOff>
    </xdr:to>
    <xdr:cxnSp macro="">
      <xdr:nvCxnSpPr>
        <xdr:cNvPr id="595" name="Straight Arrow Connector 594">
          <a:extLst>
            <a:ext uri="{FF2B5EF4-FFF2-40B4-BE49-F238E27FC236}">
              <a16:creationId xmlns:a16="http://schemas.microsoft.com/office/drawing/2014/main" id="{00000000-0008-0000-1300-000053020000}"/>
            </a:ext>
          </a:extLst>
        </xdr:cNvPr>
        <xdr:cNvCxnSpPr/>
      </xdr:nvCxnSpPr>
      <xdr:spPr>
        <a:xfrm>
          <a:off x="10572750" y="724005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827</xdr:row>
      <xdr:rowOff>10584</xdr:rowOff>
    </xdr:from>
    <xdr:to>
      <xdr:col>15</xdr:col>
      <xdr:colOff>560916</xdr:colOff>
      <xdr:row>831</xdr:row>
      <xdr:rowOff>52917</xdr:rowOff>
    </xdr:to>
    <xdr:cxnSp macro="">
      <xdr:nvCxnSpPr>
        <xdr:cNvPr id="596" name="Straight Arrow Connector 595">
          <a:extLst>
            <a:ext uri="{FF2B5EF4-FFF2-40B4-BE49-F238E27FC236}">
              <a16:creationId xmlns:a16="http://schemas.microsoft.com/office/drawing/2014/main" id="{00000000-0008-0000-1300-000054020000}"/>
            </a:ext>
          </a:extLst>
        </xdr:cNvPr>
        <xdr:cNvCxnSpPr/>
      </xdr:nvCxnSpPr>
      <xdr:spPr>
        <a:xfrm>
          <a:off x="10551583" y="724005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827</xdr:row>
      <xdr:rowOff>31750</xdr:rowOff>
    </xdr:from>
    <xdr:to>
      <xdr:col>16</xdr:col>
      <xdr:colOff>21167</xdr:colOff>
      <xdr:row>834</xdr:row>
      <xdr:rowOff>95250</xdr:rowOff>
    </xdr:to>
    <xdr:cxnSp macro="">
      <xdr:nvCxnSpPr>
        <xdr:cNvPr id="597" name="Straight Arrow Connector 596">
          <a:extLst>
            <a:ext uri="{FF2B5EF4-FFF2-40B4-BE49-F238E27FC236}">
              <a16:creationId xmlns:a16="http://schemas.microsoft.com/office/drawing/2014/main" id="{00000000-0008-0000-1300-000055020000}"/>
            </a:ext>
          </a:extLst>
        </xdr:cNvPr>
        <xdr:cNvCxnSpPr/>
      </xdr:nvCxnSpPr>
      <xdr:spPr>
        <a:xfrm>
          <a:off x="10583333" y="724217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841</xdr:row>
      <xdr:rowOff>0</xdr:rowOff>
    </xdr:from>
    <xdr:to>
      <xdr:col>16</xdr:col>
      <xdr:colOff>0</xdr:colOff>
      <xdr:row>841</xdr:row>
      <xdr:rowOff>42334</xdr:rowOff>
    </xdr:to>
    <xdr:cxnSp macro="">
      <xdr:nvCxnSpPr>
        <xdr:cNvPr id="598" name="Straight Arrow Connector 597">
          <a:extLst>
            <a:ext uri="{FF2B5EF4-FFF2-40B4-BE49-F238E27FC236}">
              <a16:creationId xmlns:a16="http://schemas.microsoft.com/office/drawing/2014/main" id="{00000000-0008-0000-1300-000056020000}"/>
            </a:ext>
          </a:extLst>
        </xdr:cNvPr>
        <xdr:cNvCxnSpPr/>
      </xdr:nvCxnSpPr>
      <xdr:spPr>
        <a:xfrm>
          <a:off x="10562166" y="750570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841</xdr:row>
      <xdr:rowOff>21166</xdr:rowOff>
    </xdr:from>
    <xdr:to>
      <xdr:col>15</xdr:col>
      <xdr:colOff>560916</xdr:colOff>
      <xdr:row>844</xdr:row>
      <xdr:rowOff>84667</xdr:rowOff>
    </xdr:to>
    <xdr:cxnSp macro="">
      <xdr:nvCxnSpPr>
        <xdr:cNvPr id="599" name="Straight Arrow Connector 598">
          <a:extLst>
            <a:ext uri="{FF2B5EF4-FFF2-40B4-BE49-F238E27FC236}">
              <a16:creationId xmlns:a16="http://schemas.microsoft.com/office/drawing/2014/main" id="{00000000-0008-0000-1300-000057020000}"/>
            </a:ext>
          </a:extLst>
        </xdr:cNvPr>
        <xdr:cNvCxnSpPr/>
      </xdr:nvCxnSpPr>
      <xdr:spPr>
        <a:xfrm>
          <a:off x="10615083" y="750781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841</xdr:row>
      <xdr:rowOff>52916</xdr:rowOff>
    </xdr:from>
    <xdr:to>
      <xdr:col>15</xdr:col>
      <xdr:colOff>592666</xdr:colOff>
      <xdr:row>847</xdr:row>
      <xdr:rowOff>63501</xdr:rowOff>
    </xdr:to>
    <xdr:cxnSp macro="">
      <xdr:nvCxnSpPr>
        <xdr:cNvPr id="600" name="Straight Arrow Connector 599">
          <a:extLst>
            <a:ext uri="{FF2B5EF4-FFF2-40B4-BE49-F238E27FC236}">
              <a16:creationId xmlns:a16="http://schemas.microsoft.com/office/drawing/2014/main" id="{00000000-0008-0000-1300-000058020000}"/>
            </a:ext>
          </a:extLst>
        </xdr:cNvPr>
        <xdr:cNvCxnSpPr/>
      </xdr:nvCxnSpPr>
      <xdr:spPr>
        <a:xfrm>
          <a:off x="10572750" y="751099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855</xdr:row>
      <xdr:rowOff>116416</xdr:rowOff>
    </xdr:from>
    <xdr:to>
      <xdr:col>15</xdr:col>
      <xdr:colOff>592666</xdr:colOff>
      <xdr:row>858</xdr:row>
      <xdr:rowOff>158750</xdr:rowOff>
    </xdr:to>
    <xdr:cxnSp macro="">
      <xdr:nvCxnSpPr>
        <xdr:cNvPr id="601" name="Straight Arrow Connector 600">
          <a:extLst>
            <a:ext uri="{FF2B5EF4-FFF2-40B4-BE49-F238E27FC236}">
              <a16:creationId xmlns:a16="http://schemas.microsoft.com/office/drawing/2014/main" id="{00000000-0008-0000-1300-000059020000}"/>
            </a:ext>
          </a:extLst>
        </xdr:cNvPr>
        <xdr:cNvCxnSpPr/>
      </xdr:nvCxnSpPr>
      <xdr:spPr>
        <a:xfrm flipV="1">
          <a:off x="10562166" y="77840416"/>
          <a:ext cx="571500" cy="613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857</xdr:row>
      <xdr:rowOff>95250</xdr:rowOff>
    </xdr:from>
    <xdr:to>
      <xdr:col>15</xdr:col>
      <xdr:colOff>582083</xdr:colOff>
      <xdr:row>859</xdr:row>
      <xdr:rowOff>52917</xdr:rowOff>
    </xdr:to>
    <xdr:cxnSp macro="">
      <xdr:nvCxnSpPr>
        <xdr:cNvPr id="602" name="Straight Arrow Connector 601">
          <a:extLst>
            <a:ext uri="{FF2B5EF4-FFF2-40B4-BE49-F238E27FC236}">
              <a16:creationId xmlns:a16="http://schemas.microsoft.com/office/drawing/2014/main" id="{00000000-0008-0000-1300-00005A020000}"/>
            </a:ext>
          </a:extLst>
        </xdr:cNvPr>
        <xdr:cNvCxnSpPr/>
      </xdr:nvCxnSpPr>
      <xdr:spPr>
        <a:xfrm flipV="1">
          <a:off x="10604500" y="78200250"/>
          <a:ext cx="518583" cy="338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859</xdr:row>
      <xdr:rowOff>116417</xdr:rowOff>
    </xdr:from>
    <xdr:to>
      <xdr:col>15</xdr:col>
      <xdr:colOff>592666</xdr:colOff>
      <xdr:row>863</xdr:row>
      <xdr:rowOff>95250</xdr:rowOff>
    </xdr:to>
    <xdr:cxnSp macro="">
      <xdr:nvCxnSpPr>
        <xdr:cNvPr id="603" name="Straight Arrow Connector 602">
          <a:extLst>
            <a:ext uri="{FF2B5EF4-FFF2-40B4-BE49-F238E27FC236}">
              <a16:creationId xmlns:a16="http://schemas.microsoft.com/office/drawing/2014/main" id="{00000000-0008-0000-1300-00005B020000}"/>
            </a:ext>
          </a:extLst>
        </xdr:cNvPr>
        <xdr:cNvCxnSpPr/>
      </xdr:nvCxnSpPr>
      <xdr:spPr>
        <a:xfrm>
          <a:off x="10593916" y="78602417"/>
          <a:ext cx="53975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870</xdr:row>
      <xdr:rowOff>116416</xdr:rowOff>
    </xdr:from>
    <xdr:to>
      <xdr:col>16</xdr:col>
      <xdr:colOff>0</xdr:colOff>
      <xdr:row>877</xdr:row>
      <xdr:rowOff>74084</xdr:rowOff>
    </xdr:to>
    <xdr:cxnSp macro="">
      <xdr:nvCxnSpPr>
        <xdr:cNvPr id="604" name="Straight Arrow Connector 603">
          <a:extLst>
            <a:ext uri="{FF2B5EF4-FFF2-40B4-BE49-F238E27FC236}">
              <a16:creationId xmlns:a16="http://schemas.microsoft.com/office/drawing/2014/main" id="{00000000-0008-0000-1300-00005C020000}"/>
            </a:ext>
          </a:extLst>
        </xdr:cNvPr>
        <xdr:cNvCxnSpPr/>
      </xdr:nvCxnSpPr>
      <xdr:spPr>
        <a:xfrm>
          <a:off x="10572750" y="80697916"/>
          <a:ext cx="571500" cy="12911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838</xdr:row>
      <xdr:rowOff>52917</xdr:rowOff>
    </xdr:from>
    <xdr:to>
      <xdr:col>15</xdr:col>
      <xdr:colOff>603250</xdr:colOff>
      <xdr:row>840</xdr:row>
      <xdr:rowOff>148167</xdr:rowOff>
    </xdr:to>
    <xdr:cxnSp macro="">
      <xdr:nvCxnSpPr>
        <xdr:cNvPr id="605" name="Straight Arrow Connector 604">
          <a:extLst>
            <a:ext uri="{FF2B5EF4-FFF2-40B4-BE49-F238E27FC236}">
              <a16:creationId xmlns:a16="http://schemas.microsoft.com/office/drawing/2014/main" id="{00000000-0008-0000-1300-00005D020000}"/>
            </a:ext>
          </a:extLst>
        </xdr:cNvPr>
        <xdr:cNvCxnSpPr/>
      </xdr:nvCxnSpPr>
      <xdr:spPr>
        <a:xfrm flipV="1">
          <a:off x="10583333" y="745384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873</xdr:row>
      <xdr:rowOff>42333</xdr:rowOff>
    </xdr:from>
    <xdr:to>
      <xdr:col>11</xdr:col>
      <xdr:colOff>603250</xdr:colOff>
      <xdr:row>885</xdr:row>
      <xdr:rowOff>10583</xdr:rowOff>
    </xdr:to>
    <xdr:cxnSp macro="">
      <xdr:nvCxnSpPr>
        <xdr:cNvPr id="606" name="Straight Arrow Connector 605">
          <a:extLst>
            <a:ext uri="{FF2B5EF4-FFF2-40B4-BE49-F238E27FC236}">
              <a16:creationId xmlns:a16="http://schemas.microsoft.com/office/drawing/2014/main" id="{00000000-0008-0000-1300-00005E020000}"/>
            </a:ext>
          </a:extLst>
        </xdr:cNvPr>
        <xdr:cNvCxnSpPr/>
      </xdr:nvCxnSpPr>
      <xdr:spPr>
        <a:xfrm>
          <a:off x="7598834" y="811953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863</xdr:row>
      <xdr:rowOff>21167</xdr:rowOff>
    </xdr:from>
    <xdr:to>
      <xdr:col>13</xdr:col>
      <xdr:colOff>592667</xdr:colOff>
      <xdr:row>865</xdr:row>
      <xdr:rowOff>0</xdr:rowOff>
    </xdr:to>
    <xdr:cxnSp macro="">
      <xdr:nvCxnSpPr>
        <xdr:cNvPr id="607" name="Straight Arrow Connector 606">
          <a:extLst>
            <a:ext uri="{FF2B5EF4-FFF2-40B4-BE49-F238E27FC236}">
              <a16:creationId xmlns:a16="http://schemas.microsoft.com/office/drawing/2014/main" id="{00000000-0008-0000-1300-00005F020000}"/>
            </a:ext>
          </a:extLst>
        </xdr:cNvPr>
        <xdr:cNvCxnSpPr/>
      </xdr:nvCxnSpPr>
      <xdr:spPr>
        <a:xfrm flipV="1">
          <a:off x="8794750" y="792691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868</xdr:row>
      <xdr:rowOff>21166</xdr:rowOff>
    </xdr:from>
    <xdr:to>
      <xdr:col>13</xdr:col>
      <xdr:colOff>592667</xdr:colOff>
      <xdr:row>869</xdr:row>
      <xdr:rowOff>169334</xdr:rowOff>
    </xdr:to>
    <xdr:cxnSp macro="">
      <xdr:nvCxnSpPr>
        <xdr:cNvPr id="608" name="Straight Arrow Connector 607">
          <a:extLst>
            <a:ext uri="{FF2B5EF4-FFF2-40B4-BE49-F238E27FC236}">
              <a16:creationId xmlns:a16="http://schemas.microsoft.com/office/drawing/2014/main" id="{00000000-0008-0000-1300-000060020000}"/>
            </a:ext>
          </a:extLst>
        </xdr:cNvPr>
        <xdr:cNvCxnSpPr/>
      </xdr:nvCxnSpPr>
      <xdr:spPr>
        <a:xfrm>
          <a:off x="8784166" y="802216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883</xdr:row>
      <xdr:rowOff>21167</xdr:rowOff>
    </xdr:from>
    <xdr:to>
      <xdr:col>13</xdr:col>
      <xdr:colOff>592667</xdr:colOff>
      <xdr:row>885</xdr:row>
      <xdr:rowOff>63500</xdr:rowOff>
    </xdr:to>
    <xdr:cxnSp macro="">
      <xdr:nvCxnSpPr>
        <xdr:cNvPr id="609" name="Straight Arrow Connector 608">
          <a:extLst>
            <a:ext uri="{FF2B5EF4-FFF2-40B4-BE49-F238E27FC236}">
              <a16:creationId xmlns:a16="http://schemas.microsoft.com/office/drawing/2014/main" id="{00000000-0008-0000-1300-000061020000}"/>
            </a:ext>
          </a:extLst>
        </xdr:cNvPr>
        <xdr:cNvCxnSpPr/>
      </xdr:nvCxnSpPr>
      <xdr:spPr>
        <a:xfrm flipV="1">
          <a:off x="8794750" y="832696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888</xdr:row>
      <xdr:rowOff>0</xdr:rowOff>
    </xdr:from>
    <xdr:to>
      <xdr:col>14</xdr:col>
      <xdr:colOff>10584</xdr:colOff>
      <xdr:row>896</xdr:row>
      <xdr:rowOff>148167</xdr:rowOff>
    </xdr:to>
    <xdr:cxnSp macro="">
      <xdr:nvCxnSpPr>
        <xdr:cNvPr id="610" name="Straight Arrow Connector 609">
          <a:extLst>
            <a:ext uri="{FF2B5EF4-FFF2-40B4-BE49-F238E27FC236}">
              <a16:creationId xmlns:a16="http://schemas.microsoft.com/office/drawing/2014/main" id="{00000000-0008-0000-1300-000062020000}"/>
            </a:ext>
          </a:extLst>
        </xdr:cNvPr>
        <xdr:cNvCxnSpPr/>
      </xdr:nvCxnSpPr>
      <xdr:spPr>
        <a:xfrm>
          <a:off x="8805333" y="842010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859</xdr:row>
      <xdr:rowOff>95250</xdr:rowOff>
    </xdr:from>
    <xdr:to>
      <xdr:col>15</xdr:col>
      <xdr:colOff>582083</xdr:colOff>
      <xdr:row>861</xdr:row>
      <xdr:rowOff>137583</xdr:rowOff>
    </xdr:to>
    <xdr:cxnSp macro="">
      <xdr:nvCxnSpPr>
        <xdr:cNvPr id="611" name="Straight Arrow Connector 610">
          <a:extLst>
            <a:ext uri="{FF2B5EF4-FFF2-40B4-BE49-F238E27FC236}">
              <a16:creationId xmlns:a16="http://schemas.microsoft.com/office/drawing/2014/main" id="{00000000-0008-0000-1300-000063020000}"/>
            </a:ext>
          </a:extLst>
        </xdr:cNvPr>
        <xdr:cNvCxnSpPr/>
      </xdr:nvCxnSpPr>
      <xdr:spPr>
        <a:xfrm>
          <a:off x="10593916" y="78581250"/>
          <a:ext cx="5291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868</xdr:row>
      <xdr:rowOff>52916</xdr:rowOff>
    </xdr:from>
    <xdr:to>
      <xdr:col>16</xdr:col>
      <xdr:colOff>0</xdr:colOff>
      <xdr:row>870</xdr:row>
      <xdr:rowOff>0</xdr:rowOff>
    </xdr:to>
    <xdr:cxnSp macro="">
      <xdr:nvCxnSpPr>
        <xdr:cNvPr id="612" name="Straight Arrow Connector 611">
          <a:extLst>
            <a:ext uri="{FF2B5EF4-FFF2-40B4-BE49-F238E27FC236}">
              <a16:creationId xmlns:a16="http://schemas.microsoft.com/office/drawing/2014/main" id="{00000000-0008-0000-1300-000064020000}"/>
            </a:ext>
          </a:extLst>
        </xdr:cNvPr>
        <xdr:cNvCxnSpPr/>
      </xdr:nvCxnSpPr>
      <xdr:spPr>
        <a:xfrm flipV="1">
          <a:off x="10541000" y="802534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870</xdr:row>
      <xdr:rowOff>21167</xdr:rowOff>
    </xdr:from>
    <xdr:to>
      <xdr:col>15</xdr:col>
      <xdr:colOff>592666</xdr:colOff>
      <xdr:row>871</xdr:row>
      <xdr:rowOff>84667</xdr:rowOff>
    </xdr:to>
    <xdr:cxnSp macro="">
      <xdr:nvCxnSpPr>
        <xdr:cNvPr id="613" name="Straight Arrow Connector 612">
          <a:extLst>
            <a:ext uri="{FF2B5EF4-FFF2-40B4-BE49-F238E27FC236}">
              <a16:creationId xmlns:a16="http://schemas.microsoft.com/office/drawing/2014/main" id="{00000000-0008-0000-1300-000065020000}"/>
            </a:ext>
          </a:extLst>
        </xdr:cNvPr>
        <xdr:cNvCxnSpPr/>
      </xdr:nvCxnSpPr>
      <xdr:spPr>
        <a:xfrm>
          <a:off x="10530417" y="80602667"/>
          <a:ext cx="603249" cy="25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870</xdr:row>
      <xdr:rowOff>0</xdr:rowOff>
    </xdr:from>
    <xdr:to>
      <xdr:col>16</xdr:col>
      <xdr:colOff>0</xdr:colOff>
      <xdr:row>874</xdr:row>
      <xdr:rowOff>42334</xdr:rowOff>
    </xdr:to>
    <xdr:cxnSp macro="">
      <xdr:nvCxnSpPr>
        <xdr:cNvPr id="614" name="Straight Arrow Connector 613">
          <a:extLst>
            <a:ext uri="{FF2B5EF4-FFF2-40B4-BE49-F238E27FC236}">
              <a16:creationId xmlns:a16="http://schemas.microsoft.com/office/drawing/2014/main" id="{00000000-0008-0000-1300-000066020000}"/>
            </a:ext>
          </a:extLst>
        </xdr:cNvPr>
        <xdr:cNvCxnSpPr/>
      </xdr:nvCxnSpPr>
      <xdr:spPr>
        <a:xfrm>
          <a:off x="10530417" y="80581500"/>
          <a:ext cx="613833" cy="804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881</xdr:row>
      <xdr:rowOff>0</xdr:rowOff>
    </xdr:from>
    <xdr:to>
      <xdr:col>15</xdr:col>
      <xdr:colOff>603250</xdr:colOff>
      <xdr:row>883</xdr:row>
      <xdr:rowOff>1</xdr:rowOff>
    </xdr:to>
    <xdr:cxnSp macro="">
      <xdr:nvCxnSpPr>
        <xdr:cNvPr id="615" name="Straight Arrow Connector 614">
          <a:extLst>
            <a:ext uri="{FF2B5EF4-FFF2-40B4-BE49-F238E27FC236}">
              <a16:creationId xmlns:a16="http://schemas.microsoft.com/office/drawing/2014/main" id="{00000000-0008-0000-1300-000067020000}"/>
            </a:ext>
          </a:extLst>
        </xdr:cNvPr>
        <xdr:cNvCxnSpPr/>
      </xdr:nvCxnSpPr>
      <xdr:spPr>
        <a:xfrm flipV="1">
          <a:off x="10530417" y="828675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883</xdr:row>
      <xdr:rowOff>10584</xdr:rowOff>
    </xdr:from>
    <xdr:to>
      <xdr:col>15</xdr:col>
      <xdr:colOff>592666</xdr:colOff>
      <xdr:row>884</xdr:row>
      <xdr:rowOff>95250</xdr:rowOff>
    </xdr:to>
    <xdr:cxnSp macro="">
      <xdr:nvCxnSpPr>
        <xdr:cNvPr id="616" name="Straight Arrow Connector 615">
          <a:extLst>
            <a:ext uri="{FF2B5EF4-FFF2-40B4-BE49-F238E27FC236}">
              <a16:creationId xmlns:a16="http://schemas.microsoft.com/office/drawing/2014/main" id="{00000000-0008-0000-1300-000068020000}"/>
            </a:ext>
          </a:extLst>
        </xdr:cNvPr>
        <xdr:cNvCxnSpPr/>
      </xdr:nvCxnSpPr>
      <xdr:spPr>
        <a:xfrm>
          <a:off x="10572750" y="832590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883</xdr:row>
      <xdr:rowOff>10584</xdr:rowOff>
    </xdr:from>
    <xdr:to>
      <xdr:col>15</xdr:col>
      <xdr:colOff>560916</xdr:colOff>
      <xdr:row>887</xdr:row>
      <xdr:rowOff>52917</xdr:rowOff>
    </xdr:to>
    <xdr:cxnSp macro="">
      <xdr:nvCxnSpPr>
        <xdr:cNvPr id="617" name="Straight Arrow Connector 616">
          <a:extLst>
            <a:ext uri="{FF2B5EF4-FFF2-40B4-BE49-F238E27FC236}">
              <a16:creationId xmlns:a16="http://schemas.microsoft.com/office/drawing/2014/main" id="{00000000-0008-0000-1300-000069020000}"/>
            </a:ext>
          </a:extLst>
        </xdr:cNvPr>
        <xdr:cNvCxnSpPr/>
      </xdr:nvCxnSpPr>
      <xdr:spPr>
        <a:xfrm>
          <a:off x="10551583" y="832590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883</xdr:row>
      <xdr:rowOff>31750</xdr:rowOff>
    </xdr:from>
    <xdr:to>
      <xdr:col>16</xdr:col>
      <xdr:colOff>21167</xdr:colOff>
      <xdr:row>890</xdr:row>
      <xdr:rowOff>95250</xdr:rowOff>
    </xdr:to>
    <xdr:cxnSp macro="">
      <xdr:nvCxnSpPr>
        <xdr:cNvPr id="618" name="Straight Arrow Connector 617">
          <a:extLst>
            <a:ext uri="{FF2B5EF4-FFF2-40B4-BE49-F238E27FC236}">
              <a16:creationId xmlns:a16="http://schemas.microsoft.com/office/drawing/2014/main" id="{00000000-0008-0000-1300-00006A020000}"/>
            </a:ext>
          </a:extLst>
        </xdr:cNvPr>
        <xdr:cNvCxnSpPr/>
      </xdr:nvCxnSpPr>
      <xdr:spPr>
        <a:xfrm>
          <a:off x="10583333" y="832802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897</xdr:row>
      <xdr:rowOff>0</xdr:rowOff>
    </xdr:from>
    <xdr:to>
      <xdr:col>16</xdr:col>
      <xdr:colOff>0</xdr:colOff>
      <xdr:row>897</xdr:row>
      <xdr:rowOff>42334</xdr:rowOff>
    </xdr:to>
    <xdr:cxnSp macro="">
      <xdr:nvCxnSpPr>
        <xdr:cNvPr id="619" name="Straight Arrow Connector 618">
          <a:extLst>
            <a:ext uri="{FF2B5EF4-FFF2-40B4-BE49-F238E27FC236}">
              <a16:creationId xmlns:a16="http://schemas.microsoft.com/office/drawing/2014/main" id="{00000000-0008-0000-1300-00006B020000}"/>
            </a:ext>
          </a:extLst>
        </xdr:cNvPr>
        <xdr:cNvCxnSpPr/>
      </xdr:nvCxnSpPr>
      <xdr:spPr>
        <a:xfrm>
          <a:off x="10562166" y="859155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897</xdr:row>
      <xdr:rowOff>21166</xdr:rowOff>
    </xdr:from>
    <xdr:to>
      <xdr:col>15</xdr:col>
      <xdr:colOff>560916</xdr:colOff>
      <xdr:row>900</xdr:row>
      <xdr:rowOff>84667</xdr:rowOff>
    </xdr:to>
    <xdr:cxnSp macro="">
      <xdr:nvCxnSpPr>
        <xdr:cNvPr id="620" name="Straight Arrow Connector 619">
          <a:extLst>
            <a:ext uri="{FF2B5EF4-FFF2-40B4-BE49-F238E27FC236}">
              <a16:creationId xmlns:a16="http://schemas.microsoft.com/office/drawing/2014/main" id="{00000000-0008-0000-1300-00006C020000}"/>
            </a:ext>
          </a:extLst>
        </xdr:cNvPr>
        <xdr:cNvCxnSpPr/>
      </xdr:nvCxnSpPr>
      <xdr:spPr>
        <a:xfrm>
          <a:off x="10615083" y="859366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897</xdr:row>
      <xdr:rowOff>52916</xdr:rowOff>
    </xdr:from>
    <xdr:to>
      <xdr:col>15</xdr:col>
      <xdr:colOff>592666</xdr:colOff>
      <xdr:row>903</xdr:row>
      <xdr:rowOff>63501</xdr:rowOff>
    </xdr:to>
    <xdr:cxnSp macro="">
      <xdr:nvCxnSpPr>
        <xdr:cNvPr id="621" name="Straight Arrow Connector 620">
          <a:extLst>
            <a:ext uri="{FF2B5EF4-FFF2-40B4-BE49-F238E27FC236}">
              <a16:creationId xmlns:a16="http://schemas.microsoft.com/office/drawing/2014/main" id="{00000000-0008-0000-1300-00006D020000}"/>
            </a:ext>
          </a:extLst>
        </xdr:cNvPr>
        <xdr:cNvCxnSpPr/>
      </xdr:nvCxnSpPr>
      <xdr:spPr>
        <a:xfrm>
          <a:off x="10572750" y="859684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894</xdr:row>
      <xdr:rowOff>52917</xdr:rowOff>
    </xdr:from>
    <xdr:to>
      <xdr:col>15</xdr:col>
      <xdr:colOff>603250</xdr:colOff>
      <xdr:row>896</xdr:row>
      <xdr:rowOff>148167</xdr:rowOff>
    </xdr:to>
    <xdr:cxnSp macro="">
      <xdr:nvCxnSpPr>
        <xdr:cNvPr id="622" name="Straight Arrow Connector 621">
          <a:extLst>
            <a:ext uri="{FF2B5EF4-FFF2-40B4-BE49-F238E27FC236}">
              <a16:creationId xmlns:a16="http://schemas.microsoft.com/office/drawing/2014/main" id="{00000000-0008-0000-1300-00006E020000}"/>
            </a:ext>
          </a:extLst>
        </xdr:cNvPr>
        <xdr:cNvCxnSpPr/>
      </xdr:nvCxnSpPr>
      <xdr:spPr>
        <a:xfrm flipV="1">
          <a:off x="10583333" y="853969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31750</xdr:colOff>
      <xdr:row>805</xdr:row>
      <xdr:rowOff>127000</xdr:rowOff>
    </xdr:from>
    <xdr:to>
      <xdr:col>8</xdr:col>
      <xdr:colOff>63500</xdr:colOff>
      <xdr:row>824</xdr:row>
      <xdr:rowOff>0</xdr:rowOff>
    </xdr:to>
    <xdr:cxnSp macro="">
      <xdr:nvCxnSpPr>
        <xdr:cNvPr id="623" name="Straight Arrow Connector 622">
          <a:extLst>
            <a:ext uri="{FF2B5EF4-FFF2-40B4-BE49-F238E27FC236}">
              <a16:creationId xmlns:a16="http://schemas.microsoft.com/office/drawing/2014/main" id="{00000000-0008-0000-1300-00006F020000}"/>
            </a:ext>
          </a:extLst>
        </xdr:cNvPr>
        <xdr:cNvCxnSpPr/>
      </xdr:nvCxnSpPr>
      <xdr:spPr>
        <a:xfrm flipV="1">
          <a:off x="5207000" y="68135500"/>
          <a:ext cx="635000" cy="3587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603250</xdr:colOff>
      <xdr:row>912</xdr:row>
      <xdr:rowOff>10584</xdr:rowOff>
    </xdr:from>
    <xdr:to>
      <xdr:col>1</xdr:col>
      <xdr:colOff>603250</xdr:colOff>
      <xdr:row>1005</xdr:row>
      <xdr:rowOff>158750</xdr:rowOff>
    </xdr:to>
    <xdr:cxnSp macro="">
      <xdr:nvCxnSpPr>
        <xdr:cNvPr id="624" name="Straight Arrow Connector 623">
          <a:extLst>
            <a:ext uri="{FF2B5EF4-FFF2-40B4-BE49-F238E27FC236}">
              <a16:creationId xmlns:a16="http://schemas.microsoft.com/office/drawing/2014/main" id="{00000000-0008-0000-1300-000070020000}"/>
            </a:ext>
          </a:extLst>
        </xdr:cNvPr>
        <xdr:cNvCxnSpPr/>
      </xdr:nvCxnSpPr>
      <xdr:spPr>
        <a:xfrm flipV="1">
          <a:off x="603250" y="963084"/>
          <a:ext cx="603250" cy="18245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603250</xdr:colOff>
      <xdr:row>1008</xdr:row>
      <xdr:rowOff>169333</xdr:rowOff>
    </xdr:from>
    <xdr:to>
      <xdr:col>1</xdr:col>
      <xdr:colOff>603250</xdr:colOff>
      <xdr:row>1050</xdr:row>
      <xdr:rowOff>148167</xdr:rowOff>
    </xdr:to>
    <xdr:cxnSp macro="">
      <xdr:nvCxnSpPr>
        <xdr:cNvPr id="625" name="Straight Arrow Connector 624">
          <a:extLst>
            <a:ext uri="{FF2B5EF4-FFF2-40B4-BE49-F238E27FC236}">
              <a16:creationId xmlns:a16="http://schemas.microsoft.com/office/drawing/2014/main" id="{00000000-0008-0000-1300-000071020000}"/>
            </a:ext>
          </a:extLst>
        </xdr:cNvPr>
        <xdr:cNvCxnSpPr/>
      </xdr:nvCxnSpPr>
      <xdr:spPr>
        <a:xfrm>
          <a:off x="603250" y="19790833"/>
          <a:ext cx="603250" cy="7979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10584</xdr:colOff>
      <xdr:row>984</xdr:row>
      <xdr:rowOff>158750</xdr:rowOff>
    </xdr:from>
    <xdr:to>
      <xdr:col>3</xdr:col>
      <xdr:colOff>603250</xdr:colOff>
      <xdr:row>1051</xdr:row>
      <xdr:rowOff>10583</xdr:rowOff>
    </xdr:to>
    <xdr:cxnSp macro="">
      <xdr:nvCxnSpPr>
        <xdr:cNvPr id="626" name="Straight Arrow Connector 625">
          <a:extLst>
            <a:ext uri="{FF2B5EF4-FFF2-40B4-BE49-F238E27FC236}">
              <a16:creationId xmlns:a16="http://schemas.microsoft.com/office/drawing/2014/main" id="{00000000-0008-0000-1300-000072020000}"/>
            </a:ext>
          </a:extLst>
        </xdr:cNvPr>
        <xdr:cNvCxnSpPr/>
      </xdr:nvCxnSpPr>
      <xdr:spPr>
        <a:xfrm flipV="1">
          <a:off x="2296584" y="15017750"/>
          <a:ext cx="592666" cy="12805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21167</xdr:colOff>
      <xdr:row>1053</xdr:row>
      <xdr:rowOff>10583</xdr:rowOff>
    </xdr:from>
    <xdr:to>
      <xdr:col>4</xdr:col>
      <xdr:colOff>63500</xdr:colOff>
      <xdr:row>1204</xdr:row>
      <xdr:rowOff>158750</xdr:rowOff>
    </xdr:to>
    <xdr:cxnSp macro="">
      <xdr:nvCxnSpPr>
        <xdr:cNvPr id="627" name="Straight Arrow Connector 626">
          <a:extLst>
            <a:ext uri="{FF2B5EF4-FFF2-40B4-BE49-F238E27FC236}">
              <a16:creationId xmlns:a16="http://schemas.microsoft.com/office/drawing/2014/main" id="{00000000-0008-0000-1300-000073020000}"/>
            </a:ext>
          </a:extLst>
        </xdr:cNvPr>
        <xdr:cNvCxnSpPr/>
      </xdr:nvCxnSpPr>
      <xdr:spPr>
        <a:xfrm>
          <a:off x="2307167" y="28395083"/>
          <a:ext cx="645583" cy="29294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825500</xdr:colOff>
      <xdr:row>947</xdr:row>
      <xdr:rowOff>1</xdr:rowOff>
    </xdr:from>
    <xdr:to>
      <xdr:col>6</xdr:col>
      <xdr:colOff>0</xdr:colOff>
      <xdr:row>981</xdr:row>
      <xdr:rowOff>116417</xdr:rowOff>
    </xdr:to>
    <xdr:cxnSp macro="">
      <xdr:nvCxnSpPr>
        <xdr:cNvPr id="628" name="Straight Arrow Connector 627">
          <a:extLst>
            <a:ext uri="{FF2B5EF4-FFF2-40B4-BE49-F238E27FC236}">
              <a16:creationId xmlns:a16="http://schemas.microsoft.com/office/drawing/2014/main" id="{00000000-0008-0000-1300-000074020000}"/>
            </a:ext>
          </a:extLst>
        </xdr:cNvPr>
        <xdr:cNvCxnSpPr/>
      </xdr:nvCxnSpPr>
      <xdr:spPr>
        <a:xfrm flipV="1">
          <a:off x="3714750" y="7810501"/>
          <a:ext cx="666750" cy="65934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21167</xdr:colOff>
      <xdr:row>984</xdr:row>
      <xdr:rowOff>169334</xdr:rowOff>
    </xdr:from>
    <xdr:to>
      <xdr:col>5</xdr:col>
      <xdr:colOff>571500</xdr:colOff>
      <xdr:row>1053</xdr:row>
      <xdr:rowOff>0</xdr:rowOff>
    </xdr:to>
    <xdr:cxnSp macro="">
      <xdr:nvCxnSpPr>
        <xdr:cNvPr id="629" name="Straight Arrow Connector 628">
          <a:extLst>
            <a:ext uri="{FF2B5EF4-FFF2-40B4-BE49-F238E27FC236}">
              <a16:creationId xmlns:a16="http://schemas.microsoft.com/office/drawing/2014/main" id="{00000000-0008-0000-1300-000075020000}"/>
            </a:ext>
          </a:extLst>
        </xdr:cNvPr>
        <xdr:cNvCxnSpPr/>
      </xdr:nvCxnSpPr>
      <xdr:spPr>
        <a:xfrm>
          <a:off x="3799417" y="15028334"/>
          <a:ext cx="550333" cy="133244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922</xdr:row>
      <xdr:rowOff>148167</xdr:rowOff>
    </xdr:from>
    <xdr:to>
      <xdr:col>7</xdr:col>
      <xdr:colOff>603250</xdr:colOff>
      <xdr:row>944</xdr:row>
      <xdr:rowOff>31750</xdr:rowOff>
    </xdr:to>
    <xdr:cxnSp macro="">
      <xdr:nvCxnSpPr>
        <xdr:cNvPr id="630" name="Straight Arrow Connector 629">
          <a:extLst>
            <a:ext uri="{FF2B5EF4-FFF2-40B4-BE49-F238E27FC236}">
              <a16:creationId xmlns:a16="http://schemas.microsoft.com/office/drawing/2014/main" id="{00000000-0008-0000-1300-000076020000}"/>
            </a:ext>
          </a:extLst>
        </xdr:cNvPr>
        <xdr:cNvCxnSpPr/>
      </xdr:nvCxnSpPr>
      <xdr:spPr>
        <a:xfrm flipV="1">
          <a:off x="5175250" y="3005667"/>
          <a:ext cx="603250" cy="42650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947</xdr:row>
      <xdr:rowOff>10584</xdr:rowOff>
    </xdr:from>
    <xdr:to>
      <xdr:col>8</xdr:col>
      <xdr:colOff>21167</xdr:colOff>
      <xdr:row>975</xdr:row>
      <xdr:rowOff>148166</xdr:rowOff>
    </xdr:to>
    <xdr:cxnSp macro="">
      <xdr:nvCxnSpPr>
        <xdr:cNvPr id="631" name="Straight Arrow Connector 630">
          <a:extLst>
            <a:ext uri="{FF2B5EF4-FFF2-40B4-BE49-F238E27FC236}">
              <a16:creationId xmlns:a16="http://schemas.microsoft.com/office/drawing/2014/main" id="{00000000-0008-0000-1300-000077020000}"/>
            </a:ext>
          </a:extLst>
        </xdr:cNvPr>
        <xdr:cNvCxnSpPr/>
      </xdr:nvCxnSpPr>
      <xdr:spPr>
        <a:xfrm>
          <a:off x="5175250" y="7821084"/>
          <a:ext cx="624417" cy="547158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914</xdr:row>
      <xdr:rowOff>137583</xdr:rowOff>
    </xdr:from>
    <xdr:to>
      <xdr:col>9</xdr:col>
      <xdr:colOff>603250</xdr:colOff>
      <xdr:row>920</xdr:row>
      <xdr:rowOff>21166</xdr:rowOff>
    </xdr:to>
    <xdr:cxnSp macro="">
      <xdr:nvCxnSpPr>
        <xdr:cNvPr id="632" name="Straight Arrow Connector 631">
          <a:extLst>
            <a:ext uri="{FF2B5EF4-FFF2-40B4-BE49-F238E27FC236}">
              <a16:creationId xmlns:a16="http://schemas.microsoft.com/office/drawing/2014/main" id="{00000000-0008-0000-1300-000078020000}"/>
            </a:ext>
          </a:extLst>
        </xdr:cNvPr>
        <xdr:cNvCxnSpPr/>
      </xdr:nvCxnSpPr>
      <xdr:spPr>
        <a:xfrm flipV="1">
          <a:off x="6381750" y="1471083"/>
          <a:ext cx="603250" cy="1026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923</xdr:row>
      <xdr:rowOff>0</xdr:rowOff>
    </xdr:from>
    <xdr:to>
      <xdr:col>9</xdr:col>
      <xdr:colOff>582083</xdr:colOff>
      <xdr:row>931</xdr:row>
      <xdr:rowOff>10583</xdr:rowOff>
    </xdr:to>
    <xdr:cxnSp macro="">
      <xdr:nvCxnSpPr>
        <xdr:cNvPr id="633" name="Straight Arrow Connector 632">
          <a:extLst>
            <a:ext uri="{FF2B5EF4-FFF2-40B4-BE49-F238E27FC236}">
              <a16:creationId xmlns:a16="http://schemas.microsoft.com/office/drawing/2014/main" id="{00000000-0008-0000-1300-000079020000}"/>
            </a:ext>
          </a:extLst>
        </xdr:cNvPr>
        <xdr:cNvCxnSpPr/>
      </xdr:nvCxnSpPr>
      <xdr:spPr>
        <a:xfrm>
          <a:off x="6413500" y="3048000"/>
          <a:ext cx="550333" cy="1534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21167</xdr:colOff>
      <xdr:row>928</xdr:row>
      <xdr:rowOff>169333</xdr:rowOff>
    </xdr:from>
    <xdr:to>
      <xdr:col>11</xdr:col>
      <xdr:colOff>603250</xdr:colOff>
      <xdr:row>931</xdr:row>
      <xdr:rowOff>21167</xdr:rowOff>
    </xdr:to>
    <xdr:cxnSp macro="">
      <xdr:nvCxnSpPr>
        <xdr:cNvPr id="634" name="Straight Arrow Connector 633">
          <a:extLst>
            <a:ext uri="{FF2B5EF4-FFF2-40B4-BE49-F238E27FC236}">
              <a16:creationId xmlns:a16="http://schemas.microsoft.com/office/drawing/2014/main" id="{00000000-0008-0000-1300-00007A020000}"/>
            </a:ext>
          </a:extLst>
        </xdr:cNvPr>
        <xdr:cNvCxnSpPr/>
      </xdr:nvCxnSpPr>
      <xdr:spPr>
        <a:xfrm flipV="1">
          <a:off x="7609417" y="4169833"/>
          <a:ext cx="582083" cy="423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934</xdr:row>
      <xdr:rowOff>42333</xdr:rowOff>
    </xdr:from>
    <xdr:to>
      <xdr:col>11</xdr:col>
      <xdr:colOff>603250</xdr:colOff>
      <xdr:row>946</xdr:row>
      <xdr:rowOff>10583</xdr:rowOff>
    </xdr:to>
    <xdr:cxnSp macro="">
      <xdr:nvCxnSpPr>
        <xdr:cNvPr id="635" name="Straight Arrow Connector 634">
          <a:extLst>
            <a:ext uri="{FF2B5EF4-FFF2-40B4-BE49-F238E27FC236}">
              <a16:creationId xmlns:a16="http://schemas.microsoft.com/office/drawing/2014/main" id="{00000000-0008-0000-1300-00007B020000}"/>
            </a:ext>
          </a:extLst>
        </xdr:cNvPr>
        <xdr:cNvCxnSpPr/>
      </xdr:nvCxnSpPr>
      <xdr:spPr>
        <a:xfrm>
          <a:off x="7598834" y="51858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924</xdr:row>
      <xdr:rowOff>21167</xdr:rowOff>
    </xdr:from>
    <xdr:to>
      <xdr:col>13</xdr:col>
      <xdr:colOff>592667</xdr:colOff>
      <xdr:row>926</xdr:row>
      <xdr:rowOff>0</xdr:rowOff>
    </xdr:to>
    <xdr:cxnSp macro="">
      <xdr:nvCxnSpPr>
        <xdr:cNvPr id="636" name="Straight Arrow Connector 635">
          <a:extLst>
            <a:ext uri="{FF2B5EF4-FFF2-40B4-BE49-F238E27FC236}">
              <a16:creationId xmlns:a16="http://schemas.microsoft.com/office/drawing/2014/main" id="{00000000-0008-0000-1300-00007C020000}"/>
            </a:ext>
          </a:extLst>
        </xdr:cNvPr>
        <xdr:cNvCxnSpPr/>
      </xdr:nvCxnSpPr>
      <xdr:spPr>
        <a:xfrm flipV="1">
          <a:off x="8794750" y="32596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929</xdr:row>
      <xdr:rowOff>21166</xdr:rowOff>
    </xdr:from>
    <xdr:to>
      <xdr:col>13</xdr:col>
      <xdr:colOff>592667</xdr:colOff>
      <xdr:row>930</xdr:row>
      <xdr:rowOff>169334</xdr:rowOff>
    </xdr:to>
    <xdr:cxnSp macro="">
      <xdr:nvCxnSpPr>
        <xdr:cNvPr id="637" name="Straight Arrow Connector 636">
          <a:extLst>
            <a:ext uri="{FF2B5EF4-FFF2-40B4-BE49-F238E27FC236}">
              <a16:creationId xmlns:a16="http://schemas.microsoft.com/office/drawing/2014/main" id="{00000000-0008-0000-1300-00007D020000}"/>
            </a:ext>
          </a:extLst>
        </xdr:cNvPr>
        <xdr:cNvCxnSpPr/>
      </xdr:nvCxnSpPr>
      <xdr:spPr>
        <a:xfrm>
          <a:off x="8784166" y="42121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944</xdr:row>
      <xdr:rowOff>21167</xdr:rowOff>
    </xdr:from>
    <xdr:to>
      <xdr:col>13</xdr:col>
      <xdr:colOff>592667</xdr:colOff>
      <xdr:row>946</xdr:row>
      <xdr:rowOff>63500</xdr:rowOff>
    </xdr:to>
    <xdr:cxnSp macro="">
      <xdr:nvCxnSpPr>
        <xdr:cNvPr id="638" name="Straight Arrow Connector 637">
          <a:extLst>
            <a:ext uri="{FF2B5EF4-FFF2-40B4-BE49-F238E27FC236}">
              <a16:creationId xmlns:a16="http://schemas.microsoft.com/office/drawing/2014/main" id="{00000000-0008-0000-1300-00007E020000}"/>
            </a:ext>
          </a:extLst>
        </xdr:cNvPr>
        <xdr:cNvCxnSpPr/>
      </xdr:nvCxnSpPr>
      <xdr:spPr>
        <a:xfrm flipV="1">
          <a:off x="8794750" y="72601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949</xdr:row>
      <xdr:rowOff>0</xdr:rowOff>
    </xdr:from>
    <xdr:to>
      <xdr:col>14</xdr:col>
      <xdr:colOff>10584</xdr:colOff>
      <xdr:row>957</xdr:row>
      <xdr:rowOff>148167</xdr:rowOff>
    </xdr:to>
    <xdr:cxnSp macro="">
      <xdr:nvCxnSpPr>
        <xdr:cNvPr id="639" name="Straight Arrow Connector 638">
          <a:extLst>
            <a:ext uri="{FF2B5EF4-FFF2-40B4-BE49-F238E27FC236}">
              <a16:creationId xmlns:a16="http://schemas.microsoft.com/office/drawing/2014/main" id="{00000000-0008-0000-1300-00007F020000}"/>
            </a:ext>
          </a:extLst>
        </xdr:cNvPr>
        <xdr:cNvCxnSpPr/>
      </xdr:nvCxnSpPr>
      <xdr:spPr>
        <a:xfrm>
          <a:off x="8805333" y="81915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916</xdr:row>
      <xdr:rowOff>0</xdr:rowOff>
    </xdr:from>
    <xdr:to>
      <xdr:col>15</xdr:col>
      <xdr:colOff>603250</xdr:colOff>
      <xdr:row>921</xdr:row>
      <xdr:rowOff>31750</xdr:rowOff>
    </xdr:to>
    <xdr:cxnSp macro="">
      <xdr:nvCxnSpPr>
        <xdr:cNvPr id="640" name="Straight Arrow Connector 639">
          <a:extLst>
            <a:ext uri="{FF2B5EF4-FFF2-40B4-BE49-F238E27FC236}">
              <a16:creationId xmlns:a16="http://schemas.microsoft.com/office/drawing/2014/main" id="{00000000-0008-0000-1300-000080020000}"/>
            </a:ext>
          </a:extLst>
        </xdr:cNvPr>
        <xdr:cNvCxnSpPr/>
      </xdr:nvCxnSpPr>
      <xdr:spPr>
        <a:xfrm flipV="1">
          <a:off x="10541000" y="1714500"/>
          <a:ext cx="603250" cy="984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919</xdr:row>
      <xdr:rowOff>52917</xdr:rowOff>
    </xdr:from>
    <xdr:to>
      <xdr:col>15</xdr:col>
      <xdr:colOff>603250</xdr:colOff>
      <xdr:row>921</xdr:row>
      <xdr:rowOff>95250</xdr:rowOff>
    </xdr:to>
    <xdr:cxnSp macro="">
      <xdr:nvCxnSpPr>
        <xdr:cNvPr id="641" name="Straight Arrow Connector 640">
          <a:extLst>
            <a:ext uri="{FF2B5EF4-FFF2-40B4-BE49-F238E27FC236}">
              <a16:creationId xmlns:a16="http://schemas.microsoft.com/office/drawing/2014/main" id="{00000000-0008-0000-1300-000081020000}"/>
            </a:ext>
          </a:extLst>
        </xdr:cNvPr>
        <xdr:cNvCxnSpPr/>
      </xdr:nvCxnSpPr>
      <xdr:spPr>
        <a:xfrm flipV="1">
          <a:off x="10583333" y="2338917"/>
          <a:ext cx="56091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921</xdr:row>
      <xdr:rowOff>158750</xdr:rowOff>
    </xdr:from>
    <xdr:to>
      <xdr:col>15</xdr:col>
      <xdr:colOff>582083</xdr:colOff>
      <xdr:row>922</xdr:row>
      <xdr:rowOff>137583</xdr:rowOff>
    </xdr:to>
    <xdr:cxnSp macro="">
      <xdr:nvCxnSpPr>
        <xdr:cNvPr id="642" name="Straight Arrow Connector 641">
          <a:extLst>
            <a:ext uri="{FF2B5EF4-FFF2-40B4-BE49-F238E27FC236}">
              <a16:creationId xmlns:a16="http://schemas.microsoft.com/office/drawing/2014/main" id="{00000000-0008-0000-1300-000082020000}"/>
            </a:ext>
          </a:extLst>
        </xdr:cNvPr>
        <xdr:cNvCxnSpPr/>
      </xdr:nvCxnSpPr>
      <xdr:spPr>
        <a:xfrm>
          <a:off x="10604500" y="2825750"/>
          <a:ext cx="518583" cy="169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1121834</xdr:colOff>
      <xdr:row>921</xdr:row>
      <xdr:rowOff>105834</xdr:rowOff>
    </xdr:from>
    <xdr:to>
      <xdr:col>16</xdr:col>
      <xdr:colOff>0</xdr:colOff>
      <xdr:row>925</xdr:row>
      <xdr:rowOff>84667</xdr:rowOff>
    </xdr:to>
    <xdr:cxnSp macro="">
      <xdr:nvCxnSpPr>
        <xdr:cNvPr id="643" name="Straight Arrow Connector 642">
          <a:extLst>
            <a:ext uri="{FF2B5EF4-FFF2-40B4-BE49-F238E27FC236}">
              <a16:creationId xmlns:a16="http://schemas.microsoft.com/office/drawing/2014/main" id="{00000000-0008-0000-1300-000083020000}"/>
            </a:ext>
          </a:extLst>
        </xdr:cNvPr>
        <xdr:cNvCxnSpPr/>
      </xdr:nvCxnSpPr>
      <xdr:spPr>
        <a:xfrm>
          <a:off x="10519834" y="2772834"/>
          <a:ext cx="624416"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929</xdr:row>
      <xdr:rowOff>52916</xdr:rowOff>
    </xdr:from>
    <xdr:to>
      <xdr:col>16</xdr:col>
      <xdr:colOff>0</xdr:colOff>
      <xdr:row>931</xdr:row>
      <xdr:rowOff>0</xdr:rowOff>
    </xdr:to>
    <xdr:cxnSp macro="">
      <xdr:nvCxnSpPr>
        <xdr:cNvPr id="644" name="Straight Arrow Connector 643">
          <a:extLst>
            <a:ext uri="{FF2B5EF4-FFF2-40B4-BE49-F238E27FC236}">
              <a16:creationId xmlns:a16="http://schemas.microsoft.com/office/drawing/2014/main" id="{00000000-0008-0000-1300-000084020000}"/>
            </a:ext>
          </a:extLst>
        </xdr:cNvPr>
        <xdr:cNvCxnSpPr/>
      </xdr:nvCxnSpPr>
      <xdr:spPr>
        <a:xfrm flipV="1">
          <a:off x="10541000" y="42439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931</xdr:row>
      <xdr:rowOff>21167</xdr:rowOff>
    </xdr:from>
    <xdr:to>
      <xdr:col>15</xdr:col>
      <xdr:colOff>582083</xdr:colOff>
      <xdr:row>932</xdr:row>
      <xdr:rowOff>42333</xdr:rowOff>
    </xdr:to>
    <xdr:cxnSp macro="">
      <xdr:nvCxnSpPr>
        <xdr:cNvPr id="645" name="Straight Arrow Connector 644">
          <a:extLst>
            <a:ext uri="{FF2B5EF4-FFF2-40B4-BE49-F238E27FC236}">
              <a16:creationId xmlns:a16="http://schemas.microsoft.com/office/drawing/2014/main" id="{00000000-0008-0000-1300-000085020000}"/>
            </a:ext>
          </a:extLst>
        </xdr:cNvPr>
        <xdr:cNvCxnSpPr/>
      </xdr:nvCxnSpPr>
      <xdr:spPr>
        <a:xfrm>
          <a:off x="10551583" y="4593167"/>
          <a:ext cx="571500" cy="211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931</xdr:row>
      <xdr:rowOff>21167</xdr:rowOff>
    </xdr:from>
    <xdr:to>
      <xdr:col>16</xdr:col>
      <xdr:colOff>42333</xdr:colOff>
      <xdr:row>936</xdr:row>
      <xdr:rowOff>21168</xdr:rowOff>
    </xdr:to>
    <xdr:cxnSp macro="">
      <xdr:nvCxnSpPr>
        <xdr:cNvPr id="646" name="Straight Arrow Connector 645">
          <a:extLst>
            <a:ext uri="{FF2B5EF4-FFF2-40B4-BE49-F238E27FC236}">
              <a16:creationId xmlns:a16="http://schemas.microsoft.com/office/drawing/2014/main" id="{00000000-0008-0000-1300-000086020000}"/>
            </a:ext>
          </a:extLst>
        </xdr:cNvPr>
        <xdr:cNvCxnSpPr/>
      </xdr:nvCxnSpPr>
      <xdr:spPr>
        <a:xfrm>
          <a:off x="10530417" y="4593167"/>
          <a:ext cx="656166" cy="9525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931</xdr:row>
      <xdr:rowOff>31750</xdr:rowOff>
    </xdr:from>
    <xdr:to>
      <xdr:col>16</xdr:col>
      <xdr:colOff>42334</xdr:colOff>
      <xdr:row>938</xdr:row>
      <xdr:rowOff>63501</xdr:rowOff>
    </xdr:to>
    <xdr:cxnSp macro="">
      <xdr:nvCxnSpPr>
        <xdr:cNvPr id="647" name="Straight Arrow Connector 646">
          <a:extLst>
            <a:ext uri="{FF2B5EF4-FFF2-40B4-BE49-F238E27FC236}">
              <a16:creationId xmlns:a16="http://schemas.microsoft.com/office/drawing/2014/main" id="{00000000-0008-0000-1300-000087020000}"/>
            </a:ext>
          </a:extLst>
        </xdr:cNvPr>
        <xdr:cNvCxnSpPr/>
      </xdr:nvCxnSpPr>
      <xdr:spPr>
        <a:xfrm>
          <a:off x="10541000" y="4603750"/>
          <a:ext cx="645584"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10583</xdr:colOff>
      <xdr:row>968</xdr:row>
      <xdr:rowOff>42333</xdr:rowOff>
    </xdr:from>
    <xdr:to>
      <xdr:col>9</xdr:col>
      <xdr:colOff>592666</xdr:colOff>
      <xdr:row>976</xdr:row>
      <xdr:rowOff>42333</xdr:rowOff>
    </xdr:to>
    <xdr:cxnSp macro="">
      <xdr:nvCxnSpPr>
        <xdr:cNvPr id="648" name="Straight Arrow Connector 647">
          <a:extLst>
            <a:ext uri="{FF2B5EF4-FFF2-40B4-BE49-F238E27FC236}">
              <a16:creationId xmlns:a16="http://schemas.microsoft.com/office/drawing/2014/main" id="{00000000-0008-0000-1300-000088020000}"/>
            </a:ext>
          </a:extLst>
        </xdr:cNvPr>
        <xdr:cNvCxnSpPr/>
      </xdr:nvCxnSpPr>
      <xdr:spPr>
        <a:xfrm flipV="1">
          <a:off x="6392333" y="11853333"/>
          <a:ext cx="582083" cy="152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978</xdr:row>
      <xdr:rowOff>169334</xdr:rowOff>
    </xdr:from>
    <xdr:to>
      <xdr:col>9</xdr:col>
      <xdr:colOff>603250</xdr:colOff>
      <xdr:row>987</xdr:row>
      <xdr:rowOff>31750</xdr:rowOff>
    </xdr:to>
    <xdr:cxnSp macro="">
      <xdr:nvCxnSpPr>
        <xdr:cNvPr id="649" name="Straight Arrow Connector 648">
          <a:extLst>
            <a:ext uri="{FF2B5EF4-FFF2-40B4-BE49-F238E27FC236}">
              <a16:creationId xmlns:a16="http://schemas.microsoft.com/office/drawing/2014/main" id="{00000000-0008-0000-1300-000089020000}"/>
            </a:ext>
          </a:extLst>
        </xdr:cNvPr>
        <xdr:cNvCxnSpPr/>
      </xdr:nvCxnSpPr>
      <xdr:spPr>
        <a:xfrm>
          <a:off x="6413500" y="13885334"/>
          <a:ext cx="571500" cy="1576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571500</xdr:colOff>
      <xdr:row>984</xdr:row>
      <xdr:rowOff>158750</xdr:rowOff>
    </xdr:from>
    <xdr:to>
      <xdr:col>11</xdr:col>
      <xdr:colOff>571500</xdr:colOff>
      <xdr:row>987</xdr:row>
      <xdr:rowOff>0</xdr:rowOff>
    </xdr:to>
    <xdr:cxnSp macro="">
      <xdr:nvCxnSpPr>
        <xdr:cNvPr id="650" name="Straight Arrow Connector 649">
          <a:extLst>
            <a:ext uri="{FF2B5EF4-FFF2-40B4-BE49-F238E27FC236}">
              <a16:creationId xmlns:a16="http://schemas.microsoft.com/office/drawing/2014/main" id="{00000000-0008-0000-1300-00008A020000}"/>
            </a:ext>
          </a:extLst>
        </xdr:cNvPr>
        <xdr:cNvCxnSpPr/>
      </xdr:nvCxnSpPr>
      <xdr:spPr>
        <a:xfrm flipV="1">
          <a:off x="7556500" y="15017750"/>
          <a:ext cx="603250" cy="412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942</xdr:row>
      <xdr:rowOff>0</xdr:rowOff>
    </xdr:from>
    <xdr:to>
      <xdr:col>15</xdr:col>
      <xdr:colOff>603250</xdr:colOff>
      <xdr:row>944</xdr:row>
      <xdr:rowOff>1</xdr:rowOff>
    </xdr:to>
    <xdr:cxnSp macro="">
      <xdr:nvCxnSpPr>
        <xdr:cNvPr id="651" name="Straight Arrow Connector 650">
          <a:extLst>
            <a:ext uri="{FF2B5EF4-FFF2-40B4-BE49-F238E27FC236}">
              <a16:creationId xmlns:a16="http://schemas.microsoft.com/office/drawing/2014/main" id="{00000000-0008-0000-1300-00008B020000}"/>
            </a:ext>
          </a:extLst>
        </xdr:cNvPr>
        <xdr:cNvCxnSpPr/>
      </xdr:nvCxnSpPr>
      <xdr:spPr>
        <a:xfrm flipV="1">
          <a:off x="10530417" y="68580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944</xdr:row>
      <xdr:rowOff>10584</xdr:rowOff>
    </xdr:from>
    <xdr:to>
      <xdr:col>15</xdr:col>
      <xdr:colOff>592666</xdr:colOff>
      <xdr:row>945</xdr:row>
      <xdr:rowOff>95250</xdr:rowOff>
    </xdr:to>
    <xdr:cxnSp macro="">
      <xdr:nvCxnSpPr>
        <xdr:cNvPr id="652" name="Straight Arrow Connector 651">
          <a:extLst>
            <a:ext uri="{FF2B5EF4-FFF2-40B4-BE49-F238E27FC236}">
              <a16:creationId xmlns:a16="http://schemas.microsoft.com/office/drawing/2014/main" id="{00000000-0008-0000-1300-00008C020000}"/>
            </a:ext>
          </a:extLst>
        </xdr:cNvPr>
        <xdr:cNvCxnSpPr/>
      </xdr:nvCxnSpPr>
      <xdr:spPr>
        <a:xfrm>
          <a:off x="10572750" y="72495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944</xdr:row>
      <xdr:rowOff>10584</xdr:rowOff>
    </xdr:from>
    <xdr:to>
      <xdr:col>15</xdr:col>
      <xdr:colOff>560916</xdr:colOff>
      <xdr:row>948</xdr:row>
      <xdr:rowOff>52917</xdr:rowOff>
    </xdr:to>
    <xdr:cxnSp macro="">
      <xdr:nvCxnSpPr>
        <xdr:cNvPr id="653" name="Straight Arrow Connector 652">
          <a:extLst>
            <a:ext uri="{FF2B5EF4-FFF2-40B4-BE49-F238E27FC236}">
              <a16:creationId xmlns:a16="http://schemas.microsoft.com/office/drawing/2014/main" id="{00000000-0008-0000-1300-00008D020000}"/>
            </a:ext>
          </a:extLst>
        </xdr:cNvPr>
        <xdr:cNvCxnSpPr/>
      </xdr:nvCxnSpPr>
      <xdr:spPr>
        <a:xfrm>
          <a:off x="10551583" y="72495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944</xdr:row>
      <xdr:rowOff>31750</xdr:rowOff>
    </xdr:from>
    <xdr:to>
      <xdr:col>16</xdr:col>
      <xdr:colOff>21167</xdr:colOff>
      <xdr:row>951</xdr:row>
      <xdr:rowOff>95250</xdr:rowOff>
    </xdr:to>
    <xdr:cxnSp macro="">
      <xdr:nvCxnSpPr>
        <xdr:cNvPr id="654" name="Straight Arrow Connector 653">
          <a:extLst>
            <a:ext uri="{FF2B5EF4-FFF2-40B4-BE49-F238E27FC236}">
              <a16:creationId xmlns:a16="http://schemas.microsoft.com/office/drawing/2014/main" id="{00000000-0008-0000-1300-00008E020000}"/>
            </a:ext>
          </a:extLst>
        </xdr:cNvPr>
        <xdr:cNvCxnSpPr/>
      </xdr:nvCxnSpPr>
      <xdr:spPr>
        <a:xfrm>
          <a:off x="10583333" y="72707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958</xdr:row>
      <xdr:rowOff>0</xdr:rowOff>
    </xdr:from>
    <xdr:to>
      <xdr:col>16</xdr:col>
      <xdr:colOff>0</xdr:colOff>
      <xdr:row>958</xdr:row>
      <xdr:rowOff>42334</xdr:rowOff>
    </xdr:to>
    <xdr:cxnSp macro="">
      <xdr:nvCxnSpPr>
        <xdr:cNvPr id="655" name="Straight Arrow Connector 654">
          <a:extLst>
            <a:ext uri="{FF2B5EF4-FFF2-40B4-BE49-F238E27FC236}">
              <a16:creationId xmlns:a16="http://schemas.microsoft.com/office/drawing/2014/main" id="{00000000-0008-0000-1300-00008F020000}"/>
            </a:ext>
          </a:extLst>
        </xdr:cNvPr>
        <xdr:cNvCxnSpPr/>
      </xdr:nvCxnSpPr>
      <xdr:spPr>
        <a:xfrm>
          <a:off x="10562166" y="99060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958</xdr:row>
      <xdr:rowOff>21166</xdr:rowOff>
    </xdr:from>
    <xdr:to>
      <xdr:col>15</xdr:col>
      <xdr:colOff>560916</xdr:colOff>
      <xdr:row>961</xdr:row>
      <xdr:rowOff>84667</xdr:rowOff>
    </xdr:to>
    <xdr:cxnSp macro="">
      <xdr:nvCxnSpPr>
        <xdr:cNvPr id="656" name="Straight Arrow Connector 655">
          <a:extLst>
            <a:ext uri="{FF2B5EF4-FFF2-40B4-BE49-F238E27FC236}">
              <a16:creationId xmlns:a16="http://schemas.microsoft.com/office/drawing/2014/main" id="{00000000-0008-0000-1300-000090020000}"/>
            </a:ext>
          </a:extLst>
        </xdr:cNvPr>
        <xdr:cNvCxnSpPr/>
      </xdr:nvCxnSpPr>
      <xdr:spPr>
        <a:xfrm>
          <a:off x="10615083" y="99271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958</xdr:row>
      <xdr:rowOff>52916</xdr:rowOff>
    </xdr:from>
    <xdr:to>
      <xdr:col>15</xdr:col>
      <xdr:colOff>592666</xdr:colOff>
      <xdr:row>964</xdr:row>
      <xdr:rowOff>63501</xdr:rowOff>
    </xdr:to>
    <xdr:cxnSp macro="">
      <xdr:nvCxnSpPr>
        <xdr:cNvPr id="657" name="Straight Arrow Connector 656">
          <a:extLst>
            <a:ext uri="{FF2B5EF4-FFF2-40B4-BE49-F238E27FC236}">
              <a16:creationId xmlns:a16="http://schemas.microsoft.com/office/drawing/2014/main" id="{00000000-0008-0000-1300-000091020000}"/>
            </a:ext>
          </a:extLst>
        </xdr:cNvPr>
        <xdr:cNvCxnSpPr/>
      </xdr:nvCxnSpPr>
      <xdr:spPr>
        <a:xfrm>
          <a:off x="10572750" y="99589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972</xdr:row>
      <xdr:rowOff>116416</xdr:rowOff>
    </xdr:from>
    <xdr:to>
      <xdr:col>15</xdr:col>
      <xdr:colOff>592666</xdr:colOff>
      <xdr:row>975</xdr:row>
      <xdr:rowOff>158750</xdr:rowOff>
    </xdr:to>
    <xdr:cxnSp macro="">
      <xdr:nvCxnSpPr>
        <xdr:cNvPr id="658" name="Straight Arrow Connector 657">
          <a:extLst>
            <a:ext uri="{FF2B5EF4-FFF2-40B4-BE49-F238E27FC236}">
              <a16:creationId xmlns:a16="http://schemas.microsoft.com/office/drawing/2014/main" id="{00000000-0008-0000-1300-000092020000}"/>
            </a:ext>
          </a:extLst>
        </xdr:cNvPr>
        <xdr:cNvCxnSpPr/>
      </xdr:nvCxnSpPr>
      <xdr:spPr>
        <a:xfrm flipV="1">
          <a:off x="10562166" y="12689416"/>
          <a:ext cx="571500" cy="613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974</xdr:row>
      <xdr:rowOff>95250</xdr:rowOff>
    </xdr:from>
    <xdr:to>
      <xdr:col>15</xdr:col>
      <xdr:colOff>582083</xdr:colOff>
      <xdr:row>976</xdr:row>
      <xdr:rowOff>52917</xdr:rowOff>
    </xdr:to>
    <xdr:cxnSp macro="">
      <xdr:nvCxnSpPr>
        <xdr:cNvPr id="659" name="Straight Arrow Connector 658">
          <a:extLst>
            <a:ext uri="{FF2B5EF4-FFF2-40B4-BE49-F238E27FC236}">
              <a16:creationId xmlns:a16="http://schemas.microsoft.com/office/drawing/2014/main" id="{00000000-0008-0000-1300-000093020000}"/>
            </a:ext>
          </a:extLst>
        </xdr:cNvPr>
        <xdr:cNvCxnSpPr/>
      </xdr:nvCxnSpPr>
      <xdr:spPr>
        <a:xfrm flipV="1">
          <a:off x="10604500" y="13049250"/>
          <a:ext cx="518583" cy="338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976</xdr:row>
      <xdr:rowOff>116417</xdr:rowOff>
    </xdr:from>
    <xdr:to>
      <xdr:col>15</xdr:col>
      <xdr:colOff>592666</xdr:colOff>
      <xdr:row>980</xdr:row>
      <xdr:rowOff>95250</xdr:rowOff>
    </xdr:to>
    <xdr:cxnSp macro="">
      <xdr:nvCxnSpPr>
        <xdr:cNvPr id="660" name="Straight Arrow Connector 659">
          <a:extLst>
            <a:ext uri="{FF2B5EF4-FFF2-40B4-BE49-F238E27FC236}">
              <a16:creationId xmlns:a16="http://schemas.microsoft.com/office/drawing/2014/main" id="{00000000-0008-0000-1300-000094020000}"/>
            </a:ext>
          </a:extLst>
        </xdr:cNvPr>
        <xdr:cNvCxnSpPr/>
      </xdr:nvCxnSpPr>
      <xdr:spPr>
        <a:xfrm>
          <a:off x="10593916" y="13451417"/>
          <a:ext cx="53975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987</xdr:row>
      <xdr:rowOff>116416</xdr:rowOff>
    </xdr:from>
    <xdr:to>
      <xdr:col>16</xdr:col>
      <xdr:colOff>0</xdr:colOff>
      <xdr:row>994</xdr:row>
      <xdr:rowOff>74084</xdr:rowOff>
    </xdr:to>
    <xdr:cxnSp macro="">
      <xdr:nvCxnSpPr>
        <xdr:cNvPr id="661" name="Straight Arrow Connector 660">
          <a:extLst>
            <a:ext uri="{FF2B5EF4-FFF2-40B4-BE49-F238E27FC236}">
              <a16:creationId xmlns:a16="http://schemas.microsoft.com/office/drawing/2014/main" id="{00000000-0008-0000-1300-000095020000}"/>
            </a:ext>
          </a:extLst>
        </xdr:cNvPr>
        <xdr:cNvCxnSpPr/>
      </xdr:nvCxnSpPr>
      <xdr:spPr>
        <a:xfrm>
          <a:off x="10572750" y="15546916"/>
          <a:ext cx="571500" cy="12911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955</xdr:row>
      <xdr:rowOff>52917</xdr:rowOff>
    </xdr:from>
    <xdr:to>
      <xdr:col>15</xdr:col>
      <xdr:colOff>603250</xdr:colOff>
      <xdr:row>957</xdr:row>
      <xdr:rowOff>148167</xdr:rowOff>
    </xdr:to>
    <xdr:cxnSp macro="">
      <xdr:nvCxnSpPr>
        <xdr:cNvPr id="662" name="Straight Arrow Connector 661">
          <a:extLst>
            <a:ext uri="{FF2B5EF4-FFF2-40B4-BE49-F238E27FC236}">
              <a16:creationId xmlns:a16="http://schemas.microsoft.com/office/drawing/2014/main" id="{00000000-0008-0000-1300-000096020000}"/>
            </a:ext>
          </a:extLst>
        </xdr:cNvPr>
        <xdr:cNvCxnSpPr/>
      </xdr:nvCxnSpPr>
      <xdr:spPr>
        <a:xfrm flipV="1">
          <a:off x="10583333" y="93874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990</xdr:row>
      <xdr:rowOff>42333</xdr:rowOff>
    </xdr:from>
    <xdr:to>
      <xdr:col>11</xdr:col>
      <xdr:colOff>603250</xdr:colOff>
      <xdr:row>1002</xdr:row>
      <xdr:rowOff>10583</xdr:rowOff>
    </xdr:to>
    <xdr:cxnSp macro="">
      <xdr:nvCxnSpPr>
        <xdr:cNvPr id="663" name="Straight Arrow Connector 662">
          <a:extLst>
            <a:ext uri="{FF2B5EF4-FFF2-40B4-BE49-F238E27FC236}">
              <a16:creationId xmlns:a16="http://schemas.microsoft.com/office/drawing/2014/main" id="{00000000-0008-0000-1300-000097020000}"/>
            </a:ext>
          </a:extLst>
        </xdr:cNvPr>
        <xdr:cNvCxnSpPr/>
      </xdr:nvCxnSpPr>
      <xdr:spPr>
        <a:xfrm>
          <a:off x="7598834" y="160443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980</xdr:row>
      <xdr:rowOff>21167</xdr:rowOff>
    </xdr:from>
    <xdr:to>
      <xdr:col>13</xdr:col>
      <xdr:colOff>592667</xdr:colOff>
      <xdr:row>982</xdr:row>
      <xdr:rowOff>0</xdr:rowOff>
    </xdr:to>
    <xdr:cxnSp macro="">
      <xdr:nvCxnSpPr>
        <xdr:cNvPr id="664" name="Straight Arrow Connector 663">
          <a:extLst>
            <a:ext uri="{FF2B5EF4-FFF2-40B4-BE49-F238E27FC236}">
              <a16:creationId xmlns:a16="http://schemas.microsoft.com/office/drawing/2014/main" id="{00000000-0008-0000-1300-000098020000}"/>
            </a:ext>
          </a:extLst>
        </xdr:cNvPr>
        <xdr:cNvCxnSpPr/>
      </xdr:nvCxnSpPr>
      <xdr:spPr>
        <a:xfrm flipV="1">
          <a:off x="8794750" y="141181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985</xdr:row>
      <xdr:rowOff>21166</xdr:rowOff>
    </xdr:from>
    <xdr:to>
      <xdr:col>13</xdr:col>
      <xdr:colOff>592667</xdr:colOff>
      <xdr:row>986</xdr:row>
      <xdr:rowOff>169334</xdr:rowOff>
    </xdr:to>
    <xdr:cxnSp macro="">
      <xdr:nvCxnSpPr>
        <xdr:cNvPr id="665" name="Straight Arrow Connector 664">
          <a:extLst>
            <a:ext uri="{FF2B5EF4-FFF2-40B4-BE49-F238E27FC236}">
              <a16:creationId xmlns:a16="http://schemas.microsoft.com/office/drawing/2014/main" id="{00000000-0008-0000-1300-000099020000}"/>
            </a:ext>
          </a:extLst>
        </xdr:cNvPr>
        <xdr:cNvCxnSpPr/>
      </xdr:nvCxnSpPr>
      <xdr:spPr>
        <a:xfrm>
          <a:off x="8784166" y="150706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1000</xdr:row>
      <xdr:rowOff>21167</xdr:rowOff>
    </xdr:from>
    <xdr:to>
      <xdr:col>13</xdr:col>
      <xdr:colOff>592667</xdr:colOff>
      <xdr:row>1002</xdr:row>
      <xdr:rowOff>63500</xdr:rowOff>
    </xdr:to>
    <xdr:cxnSp macro="">
      <xdr:nvCxnSpPr>
        <xdr:cNvPr id="666" name="Straight Arrow Connector 665">
          <a:extLst>
            <a:ext uri="{FF2B5EF4-FFF2-40B4-BE49-F238E27FC236}">
              <a16:creationId xmlns:a16="http://schemas.microsoft.com/office/drawing/2014/main" id="{00000000-0008-0000-1300-00009A020000}"/>
            </a:ext>
          </a:extLst>
        </xdr:cNvPr>
        <xdr:cNvCxnSpPr/>
      </xdr:nvCxnSpPr>
      <xdr:spPr>
        <a:xfrm flipV="1">
          <a:off x="8794750" y="181186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1005</xdr:row>
      <xdr:rowOff>0</xdr:rowOff>
    </xdr:from>
    <xdr:to>
      <xdr:col>14</xdr:col>
      <xdr:colOff>10584</xdr:colOff>
      <xdr:row>1013</xdr:row>
      <xdr:rowOff>148167</xdr:rowOff>
    </xdr:to>
    <xdr:cxnSp macro="">
      <xdr:nvCxnSpPr>
        <xdr:cNvPr id="667" name="Straight Arrow Connector 666">
          <a:extLst>
            <a:ext uri="{FF2B5EF4-FFF2-40B4-BE49-F238E27FC236}">
              <a16:creationId xmlns:a16="http://schemas.microsoft.com/office/drawing/2014/main" id="{00000000-0008-0000-1300-00009B020000}"/>
            </a:ext>
          </a:extLst>
        </xdr:cNvPr>
        <xdr:cNvCxnSpPr/>
      </xdr:nvCxnSpPr>
      <xdr:spPr>
        <a:xfrm>
          <a:off x="8805333" y="190500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976</xdr:row>
      <xdr:rowOff>95250</xdr:rowOff>
    </xdr:from>
    <xdr:to>
      <xdr:col>15</xdr:col>
      <xdr:colOff>582083</xdr:colOff>
      <xdr:row>978</xdr:row>
      <xdr:rowOff>137583</xdr:rowOff>
    </xdr:to>
    <xdr:cxnSp macro="">
      <xdr:nvCxnSpPr>
        <xdr:cNvPr id="668" name="Straight Arrow Connector 667">
          <a:extLst>
            <a:ext uri="{FF2B5EF4-FFF2-40B4-BE49-F238E27FC236}">
              <a16:creationId xmlns:a16="http://schemas.microsoft.com/office/drawing/2014/main" id="{00000000-0008-0000-1300-00009C020000}"/>
            </a:ext>
          </a:extLst>
        </xdr:cNvPr>
        <xdr:cNvCxnSpPr/>
      </xdr:nvCxnSpPr>
      <xdr:spPr>
        <a:xfrm>
          <a:off x="10593916" y="13430250"/>
          <a:ext cx="5291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985</xdr:row>
      <xdr:rowOff>52916</xdr:rowOff>
    </xdr:from>
    <xdr:to>
      <xdr:col>16</xdr:col>
      <xdr:colOff>0</xdr:colOff>
      <xdr:row>987</xdr:row>
      <xdr:rowOff>0</xdr:rowOff>
    </xdr:to>
    <xdr:cxnSp macro="">
      <xdr:nvCxnSpPr>
        <xdr:cNvPr id="669" name="Straight Arrow Connector 668">
          <a:extLst>
            <a:ext uri="{FF2B5EF4-FFF2-40B4-BE49-F238E27FC236}">
              <a16:creationId xmlns:a16="http://schemas.microsoft.com/office/drawing/2014/main" id="{00000000-0008-0000-1300-00009D020000}"/>
            </a:ext>
          </a:extLst>
        </xdr:cNvPr>
        <xdr:cNvCxnSpPr/>
      </xdr:nvCxnSpPr>
      <xdr:spPr>
        <a:xfrm flipV="1">
          <a:off x="10541000" y="151024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987</xdr:row>
      <xdr:rowOff>21167</xdr:rowOff>
    </xdr:from>
    <xdr:to>
      <xdr:col>15</xdr:col>
      <xdr:colOff>592666</xdr:colOff>
      <xdr:row>988</xdr:row>
      <xdr:rowOff>84667</xdr:rowOff>
    </xdr:to>
    <xdr:cxnSp macro="">
      <xdr:nvCxnSpPr>
        <xdr:cNvPr id="670" name="Straight Arrow Connector 669">
          <a:extLst>
            <a:ext uri="{FF2B5EF4-FFF2-40B4-BE49-F238E27FC236}">
              <a16:creationId xmlns:a16="http://schemas.microsoft.com/office/drawing/2014/main" id="{00000000-0008-0000-1300-00009E020000}"/>
            </a:ext>
          </a:extLst>
        </xdr:cNvPr>
        <xdr:cNvCxnSpPr/>
      </xdr:nvCxnSpPr>
      <xdr:spPr>
        <a:xfrm>
          <a:off x="10530417" y="15451667"/>
          <a:ext cx="603249" cy="25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987</xdr:row>
      <xdr:rowOff>0</xdr:rowOff>
    </xdr:from>
    <xdr:to>
      <xdr:col>16</xdr:col>
      <xdr:colOff>0</xdr:colOff>
      <xdr:row>991</xdr:row>
      <xdr:rowOff>42334</xdr:rowOff>
    </xdr:to>
    <xdr:cxnSp macro="">
      <xdr:nvCxnSpPr>
        <xdr:cNvPr id="671" name="Straight Arrow Connector 670">
          <a:extLst>
            <a:ext uri="{FF2B5EF4-FFF2-40B4-BE49-F238E27FC236}">
              <a16:creationId xmlns:a16="http://schemas.microsoft.com/office/drawing/2014/main" id="{00000000-0008-0000-1300-00009F020000}"/>
            </a:ext>
          </a:extLst>
        </xdr:cNvPr>
        <xdr:cNvCxnSpPr/>
      </xdr:nvCxnSpPr>
      <xdr:spPr>
        <a:xfrm>
          <a:off x="10530417" y="15430500"/>
          <a:ext cx="613833" cy="804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998</xdr:row>
      <xdr:rowOff>0</xdr:rowOff>
    </xdr:from>
    <xdr:to>
      <xdr:col>15</xdr:col>
      <xdr:colOff>603250</xdr:colOff>
      <xdr:row>1000</xdr:row>
      <xdr:rowOff>1</xdr:rowOff>
    </xdr:to>
    <xdr:cxnSp macro="">
      <xdr:nvCxnSpPr>
        <xdr:cNvPr id="672" name="Straight Arrow Connector 671">
          <a:extLst>
            <a:ext uri="{FF2B5EF4-FFF2-40B4-BE49-F238E27FC236}">
              <a16:creationId xmlns:a16="http://schemas.microsoft.com/office/drawing/2014/main" id="{00000000-0008-0000-1300-0000A0020000}"/>
            </a:ext>
          </a:extLst>
        </xdr:cNvPr>
        <xdr:cNvCxnSpPr/>
      </xdr:nvCxnSpPr>
      <xdr:spPr>
        <a:xfrm flipV="1">
          <a:off x="10530417" y="177165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1000</xdr:row>
      <xdr:rowOff>10584</xdr:rowOff>
    </xdr:from>
    <xdr:to>
      <xdr:col>15</xdr:col>
      <xdr:colOff>592666</xdr:colOff>
      <xdr:row>1001</xdr:row>
      <xdr:rowOff>95250</xdr:rowOff>
    </xdr:to>
    <xdr:cxnSp macro="">
      <xdr:nvCxnSpPr>
        <xdr:cNvPr id="673" name="Straight Arrow Connector 672">
          <a:extLst>
            <a:ext uri="{FF2B5EF4-FFF2-40B4-BE49-F238E27FC236}">
              <a16:creationId xmlns:a16="http://schemas.microsoft.com/office/drawing/2014/main" id="{00000000-0008-0000-1300-0000A1020000}"/>
            </a:ext>
          </a:extLst>
        </xdr:cNvPr>
        <xdr:cNvCxnSpPr/>
      </xdr:nvCxnSpPr>
      <xdr:spPr>
        <a:xfrm>
          <a:off x="10572750" y="181080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1000</xdr:row>
      <xdr:rowOff>10584</xdr:rowOff>
    </xdr:from>
    <xdr:to>
      <xdr:col>15</xdr:col>
      <xdr:colOff>560916</xdr:colOff>
      <xdr:row>1004</xdr:row>
      <xdr:rowOff>52917</xdr:rowOff>
    </xdr:to>
    <xdr:cxnSp macro="">
      <xdr:nvCxnSpPr>
        <xdr:cNvPr id="674" name="Straight Arrow Connector 673">
          <a:extLst>
            <a:ext uri="{FF2B5EF4-FFF2-40B4-BE49-F238E27FC236}">
              <a16:creationId xmlns:a16="http://schemas.microsoft.com/office/drawing/2014/main" id="{00000000-0008-0000-1300-0000A2020000}"/>
            </a:ext>
          </a:extLst>
        </xdr:cNvPr>
        <xdr:cNvCxnSpPr/>
      </xdr:nvCxnSpPr>
      <xdr:spPr>
        <a:xfrm>
          <a:off x="10551583" y="181080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1000</xdr:row>
      <xdr:rowOff>31750</xdr:rowOff>
    </xdr:from>
    <xdr:to>
      <xdr:col>16</xdr:col>
      <xdr:colOff>21167</xdr:colOff>
      <xdr:row>1007</xdr:row>
      <xdr:rowOff>95250</xdr:rowOff>
    </xdr:to>
    <xdr:cxnSp macro="">
      <xdr:nvCxnSpPr>
        <xdr:cNvPr id="675" name="Straight Arrow Connector 674">
          <a:extLst>
            <a:ext uri="{FF2B5EF4-FFF2-40B4-BE49-F238E27FC236}">
              <a16:creationId xmlns:a16="http://schemas.microsoft.com/office/drawing/2014/main" id="{00000000-0008-0000-1300-0000A3020000}"/>
            </a:ext>
          </a:extLst>
        </xdr:cNvPr>
        <xdr:cNvCxnSpPr/>
      </xdr:nvCxnSpPr>
      <xdr:spPr>
        <a:xfrm>
          <a:off x="10583333" y="181292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1014</xdr:row>
      <xdr:rowOff>0</xdr:rowOff>
    </xdr:from>
    <xdr:to>
      <xdr:col>16</xdr:col>
      <xdr:colOff>0</xdr:colOff>
      <xdr:row>1014</xdr:row>
      <xdr:rowOff>42334</xdr:rowOff>
    </xdr:to>
    <xdr:cxnSp macro="">
      <xdr:nvCxnSpPr>
        <xdr:cNvPr id="676" name="Straight Arrow Connector 675">
          <a:extLst>
            <a:ext uri="{FF2B5EF4-FFF2-40B4-BE49-F238E27FC236}">
              <a16:creationId xmlns:a16="http://schemas.microsoft.com/office/drawing/2014/main" id="{00000000-0008-0000-1300-0000A4020000}"/>
            </a:ext>
          </a:extLst>
        </xdr:cNvPr>
        <xdr:cNvCxnSpPr/>
      </xdr:nvCxnSpPr>
      <xdr:spPr>
        <a:xfrm>
          <a:off x="10562166" y="207645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1014</xdr:row>
      <xdr:rowOff>21166</xdr:rowOff>
    </xdr:from>
    <xdr:to>
      <xdr:col>15</xdr:col>
      <xdr:colOff>560916</xdr:colOff>
      <xdr:row>1017</xdr:row>
      <xdr:rowOff>84667</xdr:rowOff>
    </xdr:to>
    <xdr:cxnSp macro="">
      <xdr:nvCxnSpPr>
        <xdr:cNvPr id="677" name="Straight Arrow Connector 676">
          <a:extLst>
            <a:ext uri="{FF2B5EF4-FFF2-40B4-BE49-F238E27FC236}">
              <a16:creationId xmlns:a16="http://schemas.microsoft.com/office/drawing/2014/main" id="{00000000-0008-0000-1300-0000A5020000}"/>
            </a:ext>
          </a:extLst>
        </xdr:cNvPr>
        <xdr:cNvCxnSpPr/>
      </xdr:nvCxnSpPr>
      <xdr:spPr>
        <a:xfrm>
          <a:off x="10615083" y="207856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1014</xdr:row>
      <xdr:rowOff>52916</xdr:rowOff>
    </xdr:from>
    <xdr:to>
      <xdr:col>15</xdr:col>
      <xdr:colOff>592666</xdr:colOff>
      <xdr:row>1020</xdr:row>
      <xdr:rowOff>63501</xdr:rowOff>
    </xdr:to>
    <xdr:cxnSp macro="">
      <xdr:nvCxnSpPr>
        <xdr:cNvPr id="678" name="Straight Arrow Connector 677">
          <a:extLst>
            <a:ext uri="{FF2B5EF4-FFF2-40B4-BE49-F238E27FC236}">
              <a16:creationId xmlns:a16="http://schemas.microsoft.com/office/drawing/2014/main" id="{00000000-0008-0000-1300-0000A6020000}"/>
            </a:ext>
          </a:extLst>
        </xdr:cNvPr>
        <xdr:cNvCxnSpPr/>
      </xdr:nvCxnSpPr>
      <xdr:spPr>
        <a:xfrm>
          <a:off x="10572750" y="208174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1011</xdr:row>
      <xdr:rowOff>52917</xdr:rowOff>
    </xdr:from>
    <xdr:to>
      <xdr:col>15</xdr:col>
      <xdr:colOff>603250</xdr:colOff>
      <xdr:row>1013</xdr:row>
      <xdr:rowOff>148167</xdr:rowOff>
    </xdr:to>
    <xdr:cxnSp macro="">
      <xdr:nvCxnSpPr>
        <xdr:cNvPr id="679" name="Straight Arrow Connector 678">
          <a:extLst>
            <a:ext uri="{FF2B5EF4-FFF2-40B4-BE49-F238E27FC236}">
              <a16:creationId xmlns:a16="http://schemas.microsoft.com/office/drawing/2014/main" id="{00000000-0008-0000-1300-0000A7020000}"/>
            </a:ext>
          </a:extLst>
        </xdr:cNvPr>
        <xdr:cNvCxnSpPr/>
      </xdr:nvCxnSpPr>
      <xdr:spPr>
        <a:xfrm flipV="1">
          <a:off x="10583333" y="202459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698500</xdr:colOff>
      <xdr:row>1055</xdr:row>
      <xdr:rowOff>95250</xdr:rowOff>
    </xdr:from>
    <xdr:to>
      <xdr:col>8</xdr:col>
      <xdr:colOff>21167</xdr:colOff>
      <xdr:row>1087</xdr:row>
      <xdr:rowOff>148166</xdr:rowOff>
    </xdr:to>
    <xdr:cxnSp macro="">
      <xdr:nvCxnSpPr>
        <xdr:cNvPr id="680" name="Straight Arrow Connector 679">
          <a:extLst>
            <a:ext uri="{FF2B5EF4-FFF2-40B4-BE49-F238E27FC236}">
              <a16:creationId xmlns:a16="http://schemas.microsoft.com/office/drawing/2014/main" id="{00000000-0008-0000-1300-0000A8020000}"/>
            </a:ext>
          </a:extLst>
        </xdr:cNvPr>
        <xdr:cNvCxnSpPr/>
      </xdr:nvCxnSpPr>
      <xdr:spPr>
        <a:xfrm>
          <a:off x="5080000" y="28860750"/>
          <a:ext cx="719667" cy="6148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1026</xdr:row>
      <xdr:rowOff>137583</xdr:rowOff>
    </xdr:from>
    <xdr:to>
      <xdr:col>9</xdr:col>
      <xdr:colOff>603250</xdr:colOff>
      <xdr:row>1032</xdr:row>
      <xdr:rowOff>21166</xdr:rowOff>
    </xdr:to>
    <xdr:cxnSp macro="">
      <xdr:nvCxnSpPr>
        <xdr:cNvPr id="681" name="Straight Arrow Connector 680">
          <a:extLst>
            <a:ext uri="{FF2B5EF4-FFF2-40B4-BE49-F238E27FC236}">
              <a16:creationId xmlns:a16="http://schemas.microsoft.com/office/drawing/2014/main" id="{00000000-0008-0000-1300-0000A9020000}"/>
            </a:ext>
          </a:extLst>
        </xdr:cNvPr>
        <xdr:cNvCxnSpPr/>
      </xdr:nvCxnSpPr>
      <xdr:spPr>
        <a:xfrm flipV="1">
          <a:off x="6381750" y="23188083"/>
          <a:ext cx="603250" cy="1026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1035</xdr:row>
      <xdr:rowOff>0</xdr:rowOff>
    </xdr:from>
    <xdr:to>
      <xdr:col>9</xdr:col>
      <xdr:colOff>582083</xdr:colOff>
      <xdr:row>1043</xdr:row>
      <xdr:rowOff>10583</xdr:rowOff>
    </xdr:to>
    <xdr:cxnSp macro="">
      <xdr:nvCxnSpPr>
        <xdr:cNvPr id="682" name="Straight Arrow Connector 681">
          <a:extLst>
            <a:ext uri="{FF2B5EF4-FFF2-40B4-BE49-F238E27FC236}">
              <a16:creationId xmlns:a16="http://schemas.microsoft.com/office/drawing/2014/main" id="{00000000-0008-0000-1300-0000AA020000}"/>
            </a:ext>
          </a:extLst>
        </xdr:cNvPr>
        <xdr:cNvCxnSpPr/>
      </xdr:nvCxnSpPr>
      <xdr:spPr>
        <a:xfrm>
          <a:off x="6413500" y="24765000"/>
          <a:ext cx="550333" cy="1534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21167</xdr:colOff>
      <xdr:row>1040</xdr:row>
      <xdr:rowOff>169333</xdr:rowOff>
    </xdr:from>
    <xdr:to>
      <xdr:col>11</xdr:col>
      <xdr:colOff>603250</xdr:colOff>
      <xdr:row>1043</xdr:row>
      <xdr:rowOff>21167</xdr:rowOff>
    </xdr:to>
    <xdr:cxnSp macro="">
      <xdr:nvCxnSpPr>
        <xdr:cNvPr id="683" name="Straight Arrow Connector 682">
          <a:extLst>
            <a:ext uri="{FF2B5EF4-FFF2-40B4-BE49-F238E27FC236}">
              <a16:creationId xmlns:a16="http://schemas.microsoft.com/office/drawing/2014/main" id="{00000000-0008-0000-1300-0000AB020000}"/>
            </a:ext>
          </a:extLst>
        </xdr:cNvPr>
        <xdr:cNvCxnSpPr/>
      </xdr:nvCxnSpPr>
      <xdr:spPr>
        <a:xfrm flipV="1">
          <a:off x="7609417" y="25886833"/>
          <a:ext cx="582083" cy="423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1046</xdr:row>
      <xdr:rowOff>42333</xdr:rowOff>
    </xdr:from>
    <xdr:to>
      <xdr:col>11</xdr:col>
      <xdr:colOff>603250</xdr:colOff>
      <xdr:row>1058</xdr:row>
      <xdr:rowOff>10583</xdr:rowOff>
    </xdr:to>
    <xdr:cxnSp macro="">
      <xdr:nvCxnSpPr>
        <xdr:cNvPr id="684" name="Straight Arrow Connector 683">
          <a:extLst>
            <a:ext uri="{FF2B5EF4-FFF2-40B4-BE49-F238E27FC236}">
              <a16:creationId xmlns:a16="http://schemas.microsoft.com/office/drawing/2014/main" id="{00000000-0008-0000-1300-0000AC020000}"/>
            </a:ext>
          </a:extLst>
        </xdr:cNvPr>
        <xdr:cNvCxnSpPr/>
      </xdr:nvCxnSpPr>
      <xdr:spPr>
        <a:xfrm>
          <a:off x="7598834" y="269028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1036</xdr:row>
      <xdr:rowOff>21167</xdr:rowOff>
    </xdr:from>
    <xdr:to>
      <xdr:col>13</xdr:col>
      <xdr:colOff>592667</xdr:colOff>
      <xdr:row>1038</xdr:row>
      <xdr:rowOff>0</xdr:rowOff>
    </xdr:to>
    <xdr:cxnSp macro="">
      <xdr:nvCxnSpPr>
        <xdr:cNvPr id="685" name="Straight Arrow Connector 684">
          <a:extLst>
            <a:ext uri="{FF2B5EF4-FFF2-40B4-BE49-F238E27FC236}">
              <a16:creationId xmlns:a16="http://schemas.microsoft.com/office/drawing/2014/main" id="{00000000-0008-0000-1300-0000AD020000}"/>
            </a:ext>
          </a:extLst>
        </xdr:cNvPr>
        <xdr:cNvCxnSpPr/>
      </xdr:nvCxnSpPr>
      <xdr:spPr>
        <a:xfrm flipV="1">
          <a:off x="8794750" y="249766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1041</xdr:row>
      <xdr:rowOff>21166</xdr:rowOff>
    </xdr:from>
    <xdr:to>
      <xdr:col>13</xdr:col>
      <xdr:colOff>592667</xdr:colOff>
      <xdr:row>1042</xdr:row>
      <xdr:rowOff>169334</xdr:rowOff>
    </xdr:to>
    <xdr:cxnSp macro="">
      <xdr:nvCxnSpPr>
        <xdr:cNvPr id="686" name="Straight Arrow Connector 685">
          <a:extLst>
            <a:ext uri="{FF2B5EF4-FFF2-40B4-BE49-F238E27FC236}">
              <a16:creationId xmlns:a16="http://schemas.microsoft.com/office/drawing/2014/main" id="{00000000-0008-0000-1300-0000AE020000}"/>
            </a:ext>
          </a:extLst>
        </xdr:cNvPr>
        <xdr:cNvCxnSpPr/>
      </xdr:nvCxnSpPr>
      <xdr:spPr>
        <a:xfrm>
          <a:off x="8784166" y="259291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1056</xdr:row>
      <xdr:rowOff>21167</xdr:rowOff>
    </xdr:from>
    <xdr:to>
      <xdr:col>13</xdr:col>
      <xdr:colOff>592667</xdr:colOff>
      <xdr:row>1058</xdr:row>
      <xdr:rowOff>63500</xdr:rowOff>
    </xdr:to>
    <xdr:cxnSp macro="">
      <xdr:nvCxnSpPr>
        <xdr:cNvPr id="687" name="Straight Arrow Connector 686">
          <a:extLst>
            <a:ext uri="{FF2B5EF4-FFF2-40B4-BE49-F238E27FC236}">
              <a16:creationId xmlns:a16="http://schemas.microsoft.com/office/drawing/2014/main" id="{00000000-0008-0000-1300-0000AF020000}"/>
            </a:ext>
          </a:extLst>
        </xdr:cNvPr>
        <xdr:cNvCxnSpPr/>
      </xdr:nvCxnSpPr>
      <xdr:spPr>
        <a:xfrm flipV="1">
          <a:off x="8794750" y="289771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1061</xdr:row>
      <xdr:rowOff>0</xdr:rowOff>
    </xdr:from>
    <xdr:to>
      <xdr:col>14</xdr:col>
      <xdr:colOff>10584</xdr:colOff>
      <xdr:row>1069</xdr:row>
      <xdr:rowOff>148167</xdr:rowOff>
    </xdr:to>
    <xdr:cxnSp macro="">
      <xdr:nvCxnSpPr>
        <xdr:cNvPr id="688" name="Straight Arrow Connector 687">
          <a:extLst>
            <a:ext uri="{FF2B5EF4-FFF2-40B4-BE49-F238E27FC236}">
              <a16:creationId xmlns:a16="http://schemas.microsoft.com/office/drawing/2014/main" id="{00000000-0008-0000-1300-0000B0020000}"/>
            </a:ext>
          </a:extLst>
        </xdr:cNvPr>
        <xdr:cNvCxnSpPr/>
      </xdr:nvCxnSpPr>
      <xdr:spPr>
        <a:xfrm>
          <a:off x="8805333" y="299085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1028</xdr:row>
      <xdr:rowOff>0</xdr:rowOff>
    </xdr:from>
    <xdr:to>
      <xdr:col>15</xdr:col>
      <xdr:colOff>603250</xdr:colOff>
      <xdr:row>1033</xdr:row>
      <xdr:rowOff>31750</xdr:rowOff>
    </xdr:to>
    <xdr:cxnSp macro="">
      <xdr:nvCxnSpPr>
        <xdr:cNvPr id="689" name="Straight Arrow Connector 688">
          <a:extLst>
            <a:ext uri="{FF2B5EF4-FFF2-40B4-BE49-F238E27FC236}">
              <a16:creationId xmlns:a16="http://schemas.microsoft.com/office/drawing/2014/main" id="{00000000-0008-0000-1300-0000B1020000}"/>
            </a:ext>
          </a:extLst>
        </xdr:cNvPr>
        <xdr:cNvCxnSpPr/>
      </xdr:nvCxnSpPr>
      <xdr:spPr>
        <a:xfrm flipV="1">
          <a:off x="10541000" y="23431500"/>
          <a:ext cx="603250" cy="984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1031</xdr:row>
      <xdr:rowOff>52917</xdr:rowOff>
    </xdr:from>
    <xdr:to>
      <xdr:col>15</xdr:col>
      <xdr:colOff>603250</xdr:colOff>
      <xdr:row>1033</xdr:row>
      <xdr:rowOff>95250</xdr:rowOff>
    </xdr:to>
    <xdr:cxnSp macro="">
      <xdr:nvCxnSpPr>
        <xdr:cNvPr id="690" name="Straight Arrow Connector 689">
          <a:extLst>
            <a:ext uri="{FF2B5EF4-FFF2-40B4-BE49-F238E27FC236}">
              <a16:creationId xmlns:a16="http://schemas.microsoft.com/office/drawing/2014/main" id="{00000000-0008-0000-1300-0000B2020000}"/>
            </a:ext>
          </a:extLst>
        </xdr:cNvPr>
        <xdr:cNvCxnSpPr/>
      </xdr:nvCxnSpPr>
      <xdr:spPr>
        <a:xfrm flipV="1">
          <a:off x="10583333" y="24055917"/>
          <a:ext cx="56091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1033</xdr:row>
      <xdr:rowOff>158750</xdr:rowOff>
    </xdr:from>
    <xdr:to>
      <xdr:col>15</xdr:col>
      <xdr:colOff>582083</xdr:colOff>
      <xdr:row>1034</xdr:row>
      <xdr:rowOff>137583</xdr:rowOff>
    </xdr:to>
    <xdr:cxnSp macro="">
      <xdr:nvCxnSpPr>
        <xdr:cNvPr id="691" name="Straight Arrow Connector 690">
          <a:extLst>
            <a:ext uri="{FF2B5EF4-FFF2-40B4-BE49-F238E27FC236}">
              <a16:creationId xmlns:a16="http://schemas.microsoft.com/office/drawing/2014/main" id="{00000000-0008-0000-1300-0000B3020000}"/>
            </a:ext>
          </a:extLst>
        </xdr:cNvPr>
        <xdr:cNvCxnSpPr/>
      </xdr:nvCxnSpPr>
      <xdr:spPr>
        <a:xfrm>
          <a:off x="10604500" y="24542750"/>
          <a:ext cx="518583" cy="169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1121834</xdr:colOff>
      <xdr:row>1033</xdr:row>
      <xdr:rowOff>105834</xdr:rowOff>
    </xdr:from>
    <xdr:to>
      <xdr:col>16</xdr:col>
      <xdr:colOff>0</xdr:colOff>
      <xdr:row>1037</xdr:row>
      <xdr:rowOff>84667</xdr:rowOff>
    </xdr:to>
    <xdr:cxnSp macro="">
      <xdr:nvCxnSpPr>
        <xdr:cNvPr id="692" name="Straight Arrow Connector 691">
          <a:extLst>
            <a:ext uri="{FF2B5EF4-FFF2-40B4-BE49-F238E27FC236}">
              <a16:creationId xmlns:a16="http://schemas.microsoft.com/office/drawing/2014/main" id="{00000000-0008-0000-1300-0000B4020000}"/>
            </a:ext>
          </a:extLst>
        </xdr:cNvPr>
        <xdr:cNvCxnSpPr/>
      </xdr:nvCxnSpPr>
      <xdr:spPr>
        <a:xfrm>
          <a:off x="10519834" y="24489834"/>
          <a:ext cx="624416"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1041</xdr:row>
      <xdr:rowOff>52916</xdr:rowOff>
    </xdr:from>
    <xdr:to>
      <xdr:col>16</xdr:col>
      <xdr:colOff>0</xdr:colOff>
      <xdr:row>1043</xdr:row>
      <xdr:rowOff>0</xdr:rowOff>
    </xdr:to>
    <xdr:cxnSp macro="">
      <xdr:nvCxnSpPr>
        <xdr:cNvPr id="693" name="Straight Arrow Connector 692">
          <a:extLst>
            <a:ext uri="{FF2B5EF4-FFF2-40B4-BE49-F238E27FC236}">
              <a16:creationId xmlns:a16="http://schemas.microsoft.com/office/drawing/2014/main" id="{00000000-0008-0000-1300-0000B5020000}"/>
            </a:ext>
          </a:extLst>
        </xdr:cNvPr>
        <xdr:cNvCxnSpPr/>
      </xdr:nvCxnSpPr>
      <xdr:spPr>
        <a:xfrm flipV="1">
          <a:off x="10541000" y="259609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1043</xdr:row>
      <xdr:rowOff>21167</xdr:rowOff>
    </xdr:from>
    <xdr:to>
      <xdr:col>15</xdr:col>
      <xdr:colOff>582083</xdr:colOff>
      <xdr:row>1044</xdr:row>
      <xdr:rowOff>42333</xdr:rowOff>
    </xdr:to>
    <xdr:cxnSp macro="">
      <xdr:nvCxnSpPr>
        <xdr:cNvPr id="694" name="Straight Arrow Connector 693">
          <a:extLst>
            <a:ext uri="{FF2B5EF4-FFF2-40B4-BE49-F238E27FC236}">
              <a16:creationId xmlns:a16="http://schemas.microsoft.com/office/drawing/2014/main" id="{00000000-0008-0000-1300-0000B6020000}"/>
            </a:ext>
          </a:extLst>
        </xdr:cNvPr>
        <xdr:cNvCxnSpPr/>
      </xdr:nvCxnSpPr>
      <xdr:spPr>
        <a:xfrm>
          <a:off x="10551583" y="26310167"/>
          <a:ext cx="571500" cy="211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1043</xdr:row>
      <xdr:rowOff>21167</xdr:rowOff>
    </xdr:from>
    <xdr:to>
      <xdr:col>16</xdr:col>
      <xdr:colOff>42333</xdr:colOff>
      <xdr:row>1048</xdr:row>
      <xdr:rowOff>21168</xdr:rowOff>
    </xdr:to>
    <xdr:cxnSp macro="">
      <xdr:nvCxnSpPr>
        <xdr:cNvPr id="695" name="Straight Arrow Connector 694">
          <a:extLst>
            <a:ext uri="{FF2B5EF4-FFF2-40B4-BE49-F238E27FC236}">
              <a16:creationId xmlns:a16="http://schemas.microsoft.com/office/drawing/2014/main" id="{00000000-0008-0000-1300-0000B7020000}"/>
            </a:ext>
          </a:extLst>
        </xdr:cNvPr>
        <xdr:cNvCxnSpPr/>
      </xdr:nvCxnSpPr>
      <xdr:spPr>
        <a:xfrm>
          <a:off x="10530417" y="26310167"/>
          <a:ext cx="656166" cy="9525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1043</xdr:row>
      <xdr:rowOff>31750</xdr:rowOff>
    </xdr:from>
    <xdr:to>
      <xdr:col>16</xdr:col>
      <xdr:colOff>42334</xdr:colOff>
      <xdr:row>1050</xdr:row>
      <xdr:rowOff>63501</xdr:rowOff>
    </xdr:to>
    <xdr:cxnSp macro="">
      <xdr:nvCxnSpPr>
        <xdr:cNvPr id="696" name="Straight Arrow Connector 695">
          <a:extLst>
            <a:ext uri="{FF2B5EF4-FFF2-40B4-BE49-F238E27FC236}">
              <a16:creationId xmlns:a16="http://schemas.microsoft.com/office/drawing/2014/main" id="{00000000-0008-0000-1300-0000B8020000}"/>
            </a:ext>
          </a:extLst>
        </xdr:cNvPr>
        <xdr:cNvCxnSpPr/>
      </xdr:nvCxnSpPr>
      <xdr:spPr>
        <a:xfrm>
          <a:off x="10541000" y="26320750"/>
          <a:ext cx="645584"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10583</xdr:colOff>
      <xdr:row>1080</xdr:row>
      <xdr:rowOff>42333</xdr:rowOff>
    </xdr:from>
    <xdr:to>
      <xdr:col>9</xdr:col>
      <xdr:colOff>592666</xdr:colOff>
      <xdr:row>1088</xdr:row>
      <xdr:rowOff>42333</xdr:rowOff>
    </xdr:to>
    <xdr:cxnSp macro="">
      <xdr:nvCxnSpPr>
        <xdr:cNvPr id="697" name="Straight Arrow Connector 696">
          <a:extLst>
            <a:ext uri="{FF2B5EF4-FFF2-40B4-BE49-F238E27FC236}">
              <a16:creationId xmlns:a16="http://schemas.microsoft.com/office/drawing/2014/main" id="{00000000-0008-0000-1300-0000B9020000}"/>
            </a:ext>
          </a:extLst>
        </xdr:cNvPr>
        <xdr:cNvCxnSpPr/>
      </xdr:nvCxnSpPr>
      <xdr:spPr>
        <a:xfrm flipV="1">
          <a:off x="6392333" y="33570333"/>
          <a:ext cx="582083" cy="152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1090</xdr:row>
      <xdr:rowOff>169334</xdr:rowOff>
    </xdr:from>
    <xdr:to>
      <xdr:col>9</xdr:col>
      <xdr:colOff>603250</xdr:colOff>
      <xdr:row>1099</xdr:row>
      <xdr:rowOff>31750</xdr:rowOff>
    </xdr:to>
    <xdr:cxnSp macro="">
      <xdr:nvCxnSpPr>
        <xdr:cNvPr id="698" name="Straight Arrow Connector 697">
          <a:extLst>
            <a:ext uri="{FF2B5EF4-FFF2-40B4-BE49-F238E27FC236}">
              <a16:creationId xmlns:a16="http://schemas.microsoft.com/office/drawing/2014/main" id="{00000000-0008-0000-1300-0000BA020000}"/>
            </a:ext>
          </a:extLst>
        </xdr:cNvPr>
        <xdr:cNvCxnSpPr/>
      </xdr:nvCxnSpPr>
      <xdr:spPr>
        <a:xfrm>
          <a:off x="6413500" y="35602334"/>
          <a:ext cx="571500" cy="1576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571500</xdr:colOff>
      <xdr:row>1096</xdr:row>
      <xdr:rowOff>158750</xdr:rowOff>
    </xdr:from>
    <xdr:to>
      <xdr:col>11</xdr:col>
      <xdr:colOff>571500</xdr:colOff>
      <xdr:row>1099</xdr:row>
      <xdr:rowOff>0</xdr:rowOff>
    </xdr:to>
    <xdr:cxnSp macro="">
      <xdr:nvCxnSpPr>
        <xdr:cNvPr id="699" name="Straight Arrow Connector 698">
          <a:extLst>
            <a:ext uri="{FF2B5EF4-FFF2-40B4-BE49-F238E27FC236}">
              <a16:creationId xmlns:a16="http://schemas.microsoft.com/office/drawing/2014/main" id="{00000000-0008-0000-1300-0000BB020000}"/>
            </a:ext>
          </a:extLst>
        </xdr:cNvPr>
        <xdr:cNvCxnSpPr/>
      </xdr:nvCxnSpPr>
      <xdr:spPr>
        <a:xfrm flipV="1">
          <a:off x="7556500" y="36734750"/>
          <a:ext cx="603250" cy="412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1054</xdr:row>
      <xdr:rowOff>0</xdr:rowOff>
    </xdr:from>
    <xdr:to>
      <xdr:col>15</xdr:col>
      <xdr:colOff>603250</xdr:colOff>
      <xdr:row>1056</xdr:row>
      <xdr:rowOff>1</xdr:rowOff>
    </xdr:to>
    <xdr:cxnSp macro="">
      <xdr:nvCxnSpPr>
        <xdr:cNvPr id="700" name="Straight Arrow Connector 699">
          <a:extLst>
            <a:ext uri="{FF2B5EF4-FFF2-40B4-BE49-F238E27FC236}">
              <a16:creationId xmlns:a16="http://schemas.microsoft.com/office/drawing/2014/main" id="{00000000-0008-0000-1300-0000BC020000}"/>
            </a:ext>
          </a:extLst>
        </xdr:cNvPr>
        <xdr:cNvCxnSpPr/>
      </xdr:nvCxnSpPr>
      <xdr:spPr>
        <a:xfrm flipV="1">
          <a:off x="10530417" y="285750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1056</xdr:row>
      <xdr:rowOff>10584</xdr:rowOff>
    </xdr:from>
    <xdr:to>
      <xdr:col>15</xdr:col>
      <xdr:colOff>592666</xdr:colOff>
      <xdr:row>1057</xdr:row>
      <xdr:rowOff>95250</xdr:rowOff>
    </xdr:to>
    <xdr:cxnSp macro="">
      <xdr:nvCxnSpPr>
        <xdr:cNvPr id="701" name="Straight Arrow Connector 700">
          <a:extLst>
            <a:ext uri="{FF2B5EF4-FFF2-40B4-BE49-F238E27FC236}">
              <a16:creationId xmlns:a16="http://schemas.microsoft.com/office/drawing/2014/main" id="{00000000-0008-0000-1300-0000BD020000}"/>
            </a:ext>
          </a:extLst>
        </xdr:cNvPr>
        <xdr:cNvCxnSpPr/>
      </xdr:nvCxnSpPr>
      <xdr:spPr>
        <a:xfrm>
          <a:off x="10572750" y="289665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1056</xdr:row>
      <xdr:rowOff>10584</xdr:rowOff>
    </xdr:from>
    <xdr:to>
      <xdr:col>15</xdr:col>
      <xdr:colOff>560916</xdr:colOff>
      <xdr:row>1060</xdr:row>
      <xdr:rowOff>52917</xdr:rowOff>
    </xdr:to>
    <xdr:cxnSp macro="">
      <xdr:nvCxnSpPr>
        <xdr:cNvPr id="702" name="Straight Arrow Connector 701">
          <a:extLst>
            <a:ext uri="{FF2B5EF4-FFF2-40B4-BE49-F238E27FC236}">
              <a16:creationId xmlns:a16="http://schemas.microsoft.com/office/drawing/2014/main" id="{00000000-0008-0000-1300-0000BE020000}"/>
            </a:ext>
          </a:extLst>
        </xdr:cNvPr>
        <xdr:cNvCxnSpPr/>
      </xdr:nvCxnSpPr>
      <xdr:spPr>
        <a:xfrm>
          <a:off x="10551583" y="289665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1056</xdr:row>
      <xdr:rowOff>31750</xdr:rowOff>
    </xdr:from>
    <xdr:to>
      <xdr:col>16</xdr:col>
      <xdr:colOff>21167</xdr:colOff>
      <xdr:row>1063</xdr:row>
      <xdr:rowOff>95250</xdr:rowOff>
    </xdr:to>
    <xdr:cxnSp macro="">
      <xdr:nvCxnSpPr>
        <xdr:cNvPr id="703" name="Straight Arrow Connector 702">
          <a:extLst>
            <a:ext uri="{FF2B5EF4-FFF2-40B4-BE49-F238E27FC236}">
              <a16:creationId xmlns:a16="http://schemas.microsoft.com/office/drawing/2014/main" id="{00000000-0008-0000-1300-0000BF020000}"/>
            </a:ext>
          </a:extLst>
        </xdr:cNvPr>
        <xdr:cNvCxnSpPr/>
      </xdr:nvCxnSpPr>
      <xdr:spPr>
        <a:xfrm>
          <a:off x="10583333" y="289877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1070</xdr:row>
      <xdr:rowOff>0</xdr:rowOff>
    </xdr:from>
    <xdr:to>
      <xdr:col>16</xdr:col>
      <xdr:colOff>0</xdr:colOff>
      <xdr:row>1070</xdr:row>
      <xdr:rowOff>42334</xdr:rowOff>
    </xdr:to>
    <xdr:cxnSp macro="">
      <xdr:nvCxnSpPr>
        <xdr:cNvPr id="704" name="Straight Arrow Connector 703">
          <a:extLst>
            <a:ext uri="{FF2B5EF4-FFF2-40B4-BE49-F238E27FC236}">
              <a16:creationId xmlns:a16="http://schemas.microsoft.com/office/drawing/2014/main" id="{00000000-0008-0000-1300-0000C0020000}"/>
            </a:ext>
          </a:extLst>
        </xdr:cNvPr>
        <xdr:cNvCxnSpPr/>
      </xdr:nvCxnSpPr>
      <xdr:spPr>
        <a:xfrm>
          <a:off x="10562166" y="316230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1070</xdr:row>
      <xdr:rowOff>21166</xdr:rowOff>
    </xdr:from>
    <xdr:to>
      <xdr:col>15</xdr:col>
      <xdr:colOff>560916</xdr:colOff>
      <xdr:row>1073</xdr:row>
      <xdr:rowOff>84667</xdr:rowOff>
    </xdr:to>
    <xdr:cxnSp macro="">
      <xdr:nvCxnSpPr>
        <xdr:cNvPr id="705" name="Straight Arrow Connector 704">
          <a:extLst>
            <a:ext uri="{FF2B5EF4-FFF2-40B4-BE49-F238E27FC236}">
              <a16:creationId xmlns:a16="http://schemas.microsoft.com/office/drawing/2014/main" id="{00000000-0008-0000-1300-0000C1020000}"/>
            </a:ext>
          </a:extLst>
        </xdr:cNvPr>
        <xdr:cNvCxnSpPr/>
      </xdr:nvCxnSpPr>
      <xdr:spPr>
        <a:xfrm>
          <a:off x="10615083" y="316441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1070</xdr:row>
      <xdr:rowOff>52916</xdr:rowOff>
    </xdr:from>
    <xdr:to>
      <xdr:col>15</xdr:col>
      <xdr:colOff>592666</xdr:colOff>
      <xdr:row>1076</xdr:row>
      <xdr:rowOff>63501</xdr:rowOff>
    </xdr:to>
    <xdr:cxnSp macro="">
      <xdr:nvCxnSpPr>
        <xdr:cNvPr id="706" name="Straight Arrow Connector 705">
          <a:extLst>
            <a:ext uri="{FF2B5EF4-FFF2-40B4-BE49-F238E27FC236}">
              <a16:creationId xmlns:a16="http://schemas.microsoft.com/office/drawing/2014/main" id="{00000000-0008-0000-1300-0000C2020000}"/>
            </a:ext>
          </a:extLst>
        </xdr:cNvPr>
        <xdr:cNvCxnSpPr/>
      </xdr:nvCxnSpPr>
      <xdr:spPr>
        <a:xfrm>
          <a:off x="10572750" y="316759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1084</xdr:row>
      <xdr:rowOff>116416</xdr:rowOff>
    </xdr:from>
    <xdr:to>
      <xdr:col>15</xdr:col>
      <xdr:colOff>592666</xdr:colOff>
      <xdr:row>1087</xdr:row>
      <xdr:rowOff>158750</xdr:rowOff>
    </xdr:to>
    <xdr:cxnSp macro="">
      <xdr:nvCxnSpPr>
        <xdr:cNvPr id="707" name="Straight Arrow Connector 706">
          <a:extLst>
            <a:ext uri="{FF2B5EF4-FFF2-40B4-BE49-F238E27FC236}">
              <a16:creationId xmlns:a16="http://schemas.microsoft.com/office/drawing/2014/main" id="{00000000-0008-0000-1300-0000C3020000}"/>
            </a:ext>
          </a:extLst>
        </xdr:cNvPr>
        <xdr:cNvCxnSpPr/>
      </xdr:nvCxnSpPr>
      <xdr:spPr>
        <a:xfrm flipV="1">
          <a:off x="10562166" y="34406416"/>
          <a:ext cx="571500" cy="613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1086</xdr:row>
      <xdr:rowOff>95250</xdr:rowOff>
    </xdr:from>
    <xdr:to>
      <xdr:col>15</xdr:col>
      <xdr:colOff>582083</xdr:colOff>
      <xdr:row>1088</xdr:row>
      <xdr:rowOff>52917</xdr:rowOff>
    </xdr:to>
    <xdr:cxnSp macro="">
      <xdr:nvCxnSpPr>
        <xdr:cNvPr id="708" name="Straight Arrow Connector 707">
          <a:extLst>
            <a:ext uri="{FF2B5EF4-FFF2-40B4-BE49-F238E27FC236}">
              <a16:creationId xmlns:a16="http://schemas.microsoft.com/office/drawing/2014/main" id="{00000000-0008-0000-1300-0000C4020000}"/>
            </a:ext>
          </a:extLst>
        </xdr:cNvPr>
        <xdr:cNvCxnSpPr/>
      </xdr:nvCxnSpPr>
      <xdr:spPr>
        <a:xfrm flipV="1">
          <a:off x="10604500" y="34766250"/>
          <a:ext cx="518583" cy="338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1088</xdr:row>
      <xdr:rowOff>116417</xdr:rowOff>
    </xdr:from>
    <xdr:to>
      <xdr:col>15</xdr:col>
      <xdr:colOff>592666</xdr:colOff>
      <xdr:row>1092</xdr:row>
      <xdr:rowOff>95250</xdr:rowOff>
    </xdr:to>
    <xdr:cxnSp macro="">
      <xdr:nvCxnSpPr>
        <xdr:cNvPr id="709" name="Straight Arrow Connector 708">
          <a:extLst>
            <a:ext uri="{FF2B5EF4-FFF2-40B4-BE49-F238E27FC236}">
              <a16:creationId xmlns:a16="http://schemas.microsoft.com/office/drawing/2014/main" id="{00000000-0008-0000-1300-0000C5020000}"/>
            </a:ext>
          </a:extLst>
        </xdr:cNvPr>
        <xdr:cNvCxnSpPr/>
      </xdr:nvCxnSpPr>
      <xdr:spPr>
        <a:xfrm>
          <a:off x="10593916" y="35168417"/>
          <a:ext cx="53975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1099</xdr:row>
      <xdr:rowOff>116416</xdr:rowOff>
    </xdr:from>
    <xdr:to>
      <xdr:col>16</xdr:col>
      <xdr:colOff>0</xdr:colOff>
      <xdr:row>1106</xdr:row>
      <xdr:rowOff>74084</xdr:rowOff>
    </xdr:to>
    <xdr:cxnSp macro="">
      <xdr:nvCxnSpPr>
        <xdr:cNvPr id="710" name="Straight Arrow Connector 709">
          <a:extLst>
            <a:ext uri="{FF2B5EF4-FFF2-40B4-BE49-F238E27FC236}">
              <a16:creationId xmlns:a16="http://schemas.microsoft.com/office/drawing/2014/main" id="{00000000-0008-0000-1300-0000C6020000}"/>
            </a:ext>
          </a:extLst>
        </xdr:cNvPr>
        <xdr:cNvCxnSpPr/>
      </xdr:nvCxnSpPr>
      <xdr:spPr>
        <a:xfrm>
          <a:off x="10572750" y="37263916"/>
          <a:ext cx="571500" cy="12911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1067</xdr:row>
      <xdr:rowOff>52917</xdr:rowOff>
    </xdr:from>
    <xdr:to>
      <xdr:col>15</xdr:col>
      <xdr:colOff>603250</xdr:colOff>
      <xdr:row>1069</xdr:row>
      <xdr:rowOff>148167</xdr:rowOff>
    </xdr:to>
    <xdr:cxnSp macro="">
      <xdr:nvCxnSpPr>
        <xdr:cNvPr id="711" name="Straight Arrow Connector 710">
          <a:extLst>
            <a:ext uri="{FF2B5EF4-FFF2-40B4-BE49-F238E27FC236}">
              <a16:creationId xmlns:a16="http://schemas.microsoft.com/office/drawing/2014/main" id="{00000000-0008-0000-1300-0000C7020000}"/>
            </a:ext>
          </a:extLst>
        </xdr:cNvPr>
        <xdr:cNvCxnSpPr/>
      </xdr:nvCxnSpPr>
      <xdr:spPr>
        <a:xfrm flipV="1">
          <a:off x="10583333" y="311044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1102</xdr:row>
      <xdr:rowOff>42333</xdr:rowOff>
    </xdr:from>
    <xdr:to>
      <xdr:col>11</xdr:col>
      <xdr:colOff>603250</xdr:colOff>
      <xdr:row>1114</xdr:row>
      <xdr:rowOff>10583</xdr:rowOff>
    </xdr:to>
    <xdr:cxnSp macro="">
      <xdr:nvCxnSpPr>
        <xdr:cNvPr id="712" name="Straight Arrow Connector 711">
          <a:extLst>
            <a:ext uri="{FF2B5EF4-FFF2-40B4-BE49-F238E27FC236}">
              <a16:creationId xmlns:a16="http://schemas.microsoft.com/office/drawing/2014/main" id="{00000000-0008-0000-1300-0000C8020000}"/>
            </a:ext>
          </a:extLst>
        </xdr:cNvPr>
        <xdr:cNvCxnSpPr/>
      </xdr:nvCxnSpPr>
      <xdr:spPr>
        <a:xfrm>
          <a:off x="7598834" y="377613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1092</xdr:row>
      <xdr:rowOff>21167</xdr:rowOff>
    </xdr:from>
    <xdr:to>
      <xdr:col>13</xdr:col>
      <xdr:colOff>592667</xdr:colOff>
      <xdr:row>1094</xdr:row>
      <xdr:rowOff>0</xdr:rowOff>
    </xdr:to>
    <xdr:cxnSp macro="">
      <xdr:nvCxnSpPr>
        <xdr:cNvPr id="713" name="Straight Arrow Connector 712">
          <a:extLst>
            <a:ext uri="{FF2B5EF4-FFF2-40B4-BE49-F238E27FC236}">
              <a16:creationId xmlns:a16="http://schemas.microsoft.com/office/drawing/2014/main" id="{00000000-0008-0000-1300-0000C9020000}"/>
            </a:ext>
          </a:extLst>
        </xdr:cNvPr>
        <xdr:cNvCxnSpPr/>
      </xdr:nvCxnSpPr>
      <xdr:spPr>
        <a:xfrm flipV="1">
          <a:off x="8794750" y="358351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1097</xdr:row>
      <xdr:rowOff>21166</xdr:rowOff>
    </xdr:from>
    <xdr:to>
      <xdr:col>13</xdr:col>
      <xdr:colOff>592667</xdr:colOff>
      <xdr:row>1098</xdr:row>
      <xdr:rowOff>169334</xdr:rowOff>
    </xdr:to>
    <xdr:cxnSp macro="">
      <xdr:nvCxnSpPr>
        <xdr:cNvPr id="714" name="Straight Arrow Connector 713">
          <a:extLst>
            <a:ext uri="{FF2B5EF4-FFF2-40B4-BE49-F238E27FC236}">
              <a16:creationId xmlns:a16="http://schemas.microsoft.com/office/drawing/2014/main" id="{00000000-0008-0000-1300-0000CA020000}"/>
            </a:ext>
          </a:extLst>
        </xdr:cNvPr>
        <xdr:cNvCxnSpPr/>
      </xdr:nvCxnSpPr>
      <xdr:spPr>
        <a:xfrm>
          <a:off x="8784166" y="367876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1112</xdr:row>
      <xdr:rowOff>21167</xdr:rowOff>
    </xdr:from>
    <xdr:to>
      <xdr:col>13</xdr:col>
      <xdr:colOff>592667</xdr:colOff>
      <xdr:row>1114</xdr:row>
      <xdr:rowOff>63500</xdr:rowOff>
    </xdr:to>
    <xdr:cxnSp macro="">
      <xdr:nvCxnSpPr>
        <xdr:cNvPr id="715" name="Straight Arrow Connector 714">
          <a:extLst>
            <a:ext uri="{FF2B5EF4-FFF2-40B4-BE49-F238E27FC236}">
              <a16:creationId xmlns:a16="http://schemas.microsoft.com/office/drawing/2014/main" id="{00000000-0008-0000-1300-0000CB020000}"/>
            </a:ext>
          </a:extLst>
        </xdr:cNvPr>
        <xdr:cNvCxnSpPr/>
      </xdr:nvCxnSpPr>
      <xdr:spPr>
        <a:xfrm flipV="1">
          <a:off x="8794750" y="398356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1117</xdr:row>
      <xdr:rowOff>0</xdr:rowOff>
    </xdr:from>
    <xdr:to>
      <xdr:col>14</xdr:col>
      <xdr:colOff>10584</xdr:colOff>
      <xdr:row>1125</xdr:row>
      <xdr:rowOff>148167</xdr:rowOff>
    </xdr:to>
    <xdr:cxnSp macro="">
      <xdr:nvCxnSpPr>
        <xdr:cNvPr id="716" name="Straight Arrow Connector 715">
          <a:extLst>
            <a:ext uri="{FF2B5EF4-FFF2-40B4-BE49-F238E27FC236}">
              <a16:creationId xmlns:a16="http://schemas.microsoft.com/office/drawing/2014/main" id="{00000000-0008-0000-1300-0000CC020000}"/>
            </a:ext>
          </a:extLst>
        </xdr:cNvPr>
        <xdr:cNvCxnSpPr/>
      </xdr:nvCxnSpPr>
      <xdr:spPr>
        <a:xfrm>
          <a:off x="8805333" y="407670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1088</xdr:row>
      <xdr:rowOff>95250</xdr:rowOff>
    </xdr:from>
    <xdr:to>
      <xdr:col>15</xdr:col>
      <xdr:colOff>582083</xdr:colOff>
      <xdr:row>1090</xdr:row>
      <xdr:rowOff>137583</xdr:rowOff>
    </xdr:to>
    <xdr:cxnSp macro="">
      <xdr:nvCxnSpPr>
        <xdr:cNvPr id="717" name="Straight Arrow Connector 716">
          <a:extLst>
            <a:ext uri="{FF2B5EF4-FFF2-40B4-BE49-F238E27FC236}">
              <a16:creationId xmlns:a16="http://schemas.microsoft.com/office/drawing/2014/main" id="{00000000-0008-0000-1300-0000CD020000}"/>
            </a:ext>
          </a:extLst>
        </xdr:cNvPr>
        <xdr:cNvCxnSpPr/>
      </xdr:nvCxnSpPr>
      <xdr:spPr>
        <a:xfrm>
          <a:off x="10593916" y="35147250"/>
          <a:ext cx="5291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1097</xdr:row>
      <xdr:rowOff>52916</xdr:rowOff>
    </xdr:from>
    <xdr:to>
      <xdr:col>16</xdr:col>
      <xdr:colOff>0</xdr:colOff>
      <xdr:row>1099</xdr:row>
      <xdr:rowOff>0</xdr:rowOff>
    </xdr:to>
    <xdr:cxnSp macro="">
      <xdr:nvCxnSpPr>
        <xdr:cNvPr id="718" name="Straight Arrow Connector 717">
          <a:extLst>
            <a:ext uri="{FF2B5EF4-FFF2-40B4-BE49-F238E27FC236}">
              <a16:creationId xmlns:a16="http://schemas.microsoft.com/office/drawing/2014/main" id="{00000000-0008-0000-1300-0000CE020000}"/>
            </a:ext>
          </a:extLst>
        </xdr:cNvPr>
        <xdr:cNvCxnSpPr/>
      </xdr:nvCxnSpPr>
      <xdr:spPr>
        <a:xfrm flipV="1">
          <a:off x="10541000" y="368194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1099</xdr:row>
      <xdr:rowOff>21167</xdr:rowOff>
    </xdr:from>
    <xdr:to>
      <xdr:col>15</xdr:col>
      <xdr:colOff>592666</xdr:colOff>
      <xdr:row>1100</xdr:row>
      <xdr:rowOff>84667</xdr:rowOff>
    </xdr:to>
    <xdr:cxnSp macro="">
      <xdr:nvCxnSpPr>
        <xdr:cNvPr id="719" name="Straight Arrow Connector 718">
          <a:extLst>
            <a:ext uri="{FF2B5EF4-FFF2-40B4-BE49-F238E27FC236}">
              <a16:creationId xmlns:a16="http://schemas.microsoft.com/office/drawing/2014/main" id="{00000000-0008-0000-1300-0000CF020000}"/>
            </a:ext>
          </a:extLst>
        </xdr:cNvPr>
        <xdr:cNvCxnSpPr/>
      </xdr:nvCxnSpPr>
      <xdr:spPr>
        <a:xfrm>
          <a:off x="10530417" y="37168667"/>
          <a:ext cx="603249" cy="25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1099</xdr:row>
      <xdr:rowOff>0</xdr:rowOff>
    </xdr:from>
    <xdr:to>
      <xdr:col>16</xdr:col>
      <xdr:colOff>0</xdr:colOff>
      <xdr:row>1103</xdr:row>
      <xdr:rowOff>42334</xdr:rowOff>
    </xdr:to>
    <xdr:cxnSp macro="">
      <xdr:nvCxnSpPr>
        <xdr:cNvPr id="720" name="Straight Arrow Connector 719">
          <a:extLst>
            <a:ext uri="{FF2B5EF4-FFF2-40B4-BE49-F238E27FC236}">
              <a16:creationId xmlns:a16="http://schemas.microsoft.com/office/drawing/2014/main" id="{00000000-0008-0000-1300-0000D0020000}"/>
            </a:ext>
          </a:extLst>
        </xdr:cNvPr>
        <xdr:cNvCxnSpPr/>
      </xdr:nvCxnSpPr>
      <xdr:spPr>
        <a:xfrm>
          <a:off x="10530417" y="37147500"/>
          <a:ext cx="613833" cy="804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1110</xdr:row>
      <xdr:rowOff>0</xdr:rowOff>
    </xdr:from>
    <xdr:to>
      <xdr:col>15</xdr:col>
      <xdr:colOff>603250</xdr:colOff>
      <xdr:row>1112</xdr:row>
      <xdr:rowOff>1</xdr:rowOff>
    </xdr:to>
    <xdr:cxnSp macro="">
      <xdr:nvCxnSpPr>
        <xdr:cNvPr id="721" name="Straight Arrow Connector 720">
          <a:extLst>
            <a:ext uri="{FF2B5EF4-FFF2-40B4-BE49-F238E27FC236}">
              <a16:creationId xmlns:a16="http://schemas.microsoft.com/office/drawing/2014/main" id="{00000000-0008-0000-1300-0000D1020000}"/>
            </a:ext>
          </a:extLst>
        </xdr:cNvPr>
        <xdr:cNvCxnSpPr/>
      </xdr:nvCxnSpPr>
      <xdr:spPr>
        <a:xfrm flipV="1">
          <a:off x="10530417" y="394335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1112</xdr:row>
      <xdr:rowOff>10584</xdr:rowOff>
    </xdr:from>
    <xdr:to>
      <xdr:col>15</xdr:col>
      <xdr:colOff>592666</xdr:colOff>
      <xdr:row>1113</xdr:row>
      <xdr:rowOff>95250</xdr:rowOff>
    </xdr:to>
    <xdr:cxnSp macro="">
      <xdr:nvCxnSpPr>
        <xdr:cNvPr id="722" name="Straight Arrow Connector 721">
          <a:extLst>
            <a:ext uri="{FF2B5EF4-FFF2-40B4-BE49-F238E27FC236}">
              <a16:creationId xmlns:a16="http://schemas.microsoft.com/office/drawing/2014/main" id="{00000000-0008-0000-1300-0000D2020000}"/>
            </a:ext>
          </a:extLst>
        </xdr:cNvPr>
        <xdr:cNvCxnSpPr/>
      </xdr:nvCxnSpPr>
      <xdr:spPr>
        <a:xfrm>
          <a:off x="10572750" y="398250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1112</xdr:row>
      <xdr:rowOff>10584</xdr:rowOff>
    </xdr:from>
    <xdr:to>
      <xdr:col>15</xdr:col>
      <xdr:colOff>560916</xdr:colOff>
      <xdr:row>1116</xdr:row>
      <xdr:rowOff>52917</xdr:rowOff>
    </xdr:to>
    <xdr:cxnSp macro="">
      <xdr:nvCxnSpPr>
        <xdr:cNvPr id="723" name="Straight Arrow Connector 722">
          <a:extLst>
            <a:ext uri="{FF2B5EF4-FFF2-40B4-BE49-F238E27FC236}">
              <a16:creationId xmlns:a16="http://schemas.microsoft.com/office/drawing/2014/main" id="{00000000-0008-0000-1300-0000D3020000}"/>
            </a:ext>
          </a:extLst>
        </xdr:cNvPr>
        <xdr:cNvCxnSpPr/>
      </xdr:nvCxnSpPr>
      <xdr:spPr>
        <a:xfrm>
          <a:off x="10551583" y="398250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1112</xdr:row>
      <xdr:rowOff>31750</xdr:rowOff>
    </xdr:from>
    <xdr:to>
      <xdr:col>16</xdr:col>
      <xdr:colOff>21167</xdr:colOff>
      <xdr:row>1119</xdr:row>
      <xdr:rowOff>95250</xdr:rowOff>
    </xdr:to>
    <xdr:cxnSp macro="">
      <xdr:nvCxnSpPr>
        <xdr:cNvPr id="724" name="Straight Arrow Connector 723">
          <a:extLst>
            <a:ext uri="{FF2B5EF4-FFF2-40B4-BE49-F238E27FC236}">
              <a16:creationId xmlns:a16="http://schemas.microsoft.com/office/drawing/2014/main" id="{00000000-0008-0000-1300-0000D4020000}"/>
            </a:ext>
          </a:extLst>
        </xdr:cNvPr>
        <xdr:cNvCxnSpPr/>
      </xdr:nvCxnSpPr>
      <xdr:spPr>
        <a:xfrm>
          <a:off x="10583333" y="398462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1126</xdr:row>
      <xdr:rowOff>0</xdr:rowOff>
    </xdr:from>
    <xdr:to>
      <xdr:col>16</xdr:col>
      <xdr:colOff>0</xdr:colOff>
      <xdr:row>1126</xdr:row>
      <xdr:rowOff>42334</xdr:rowOff>
    </xdr:to>
    <xdr:cxnSp macro="">
      <xdr:nvCxnSpPr>
        <xdr:cNvPr id="725" name="Straight Arrow Connector 724">
          <a:extLst>
            <a:ext uri="{FF2B5EF4-FFF2-40B4-BE49-F238E27FC236}">
              <a16:creationId xmlns:a16="http://schemas.microsoft.com/office/drawing/2014/main" id="{00000000-0008-0000-1300-0000D5020000}"/>
            </a:ext>
          </a:extLst>
        </xdr:cNvPr>
        <xdr:cNvCxnSpPr/>
      </xdr:nvCxnSpPr>
      <xdr:spPr>
        <a:xfrm>
          <a:off x="10562166" y="424815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1126</xdr:row>
      <xdr:rowOff>21166</xdr:rowOff>
    </xdr:from>
    <xdr:to>
      <xdr:col>15</xdr:col>
      <xdr:colOff>560916</xdr:colOff>
      <xdr:row>1129</xdr:row>
      <xdr:rowOff>84667</xdr:rowOff>
    </xdr:to>
    <xdr:cxnSp macro="">
      <xdr:nvCxnSpPr>
        <xdr:cNvPr id="726" name="Straight Arrow Connector 725">
          <a:extLst>
            <a:ext uri="{FF2B5EF4-FFF2-40B4-BE49-F238E27FC236}">
              <a16:creationId xmlns:a16="http://schemas.microsoft.com/office/drawing/2014/main" id="{00000000-0008-0000-1300-0000D6020000}"/>
            </a:ext>
          </a:extLst>
        </xdr:cNvPr>
        <xdr:cNvCxnSpPr/>
      </xdr:nvCxnSpPr>
      <xdr:spPr>
        <a:xfrm>
          <a:off x="10615083" y="425026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1126</xdr:row>
      <xdr:rowOff>52916</xdr:rowOff>
    </xdr:from>
    <xdr:to>
      <xdr:col>15</xdr:col>
      <xdr:colOff>592666</xdr:colOff>
      <xdr:row>1132</xdr:row>
      <xdr:rowOff>63501</xdr:rowOff>
    </xdr:to>
    <xdr:cxnSp macro="">
      <xdr:nvCxnSpPr>
        <xdr:cNvPr id="727" name="Straight Arrow Connector 726">
          <a:extLst>
            <a:ext uri="{FF2B5EF4-FFF2-40B4-BE49-F238E27FC236}">
              <a16:creationId xmlns:a16="http://schemas.microsoft.com/office/drawing/2014/main" id="{00000000-0008-0000-1300-0000D7020000}"/>
            </a:ext>
          </a:extLst>
        </xdr:cNvPr>
        <xdr:cNvCxnSpPr/>
      </xdr:nvCxnSpPr>
      <xdr:spPr>
        <a:xfrm>
          <a:off x="10572750" y="425344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1123</xdr:row>
      <xdr:rowOff>52917</xdr:rowOff>
    </xdr:from>
    <xdr:to>
      <xdr:col>15</xdr:col>
      <xdr:colOff>603250</xdr:colOff>
      <xdr:row>1125</xdr:row>
      <xdr:rowOff>148167</xdr:rowOff>
    </xdr:to>
    <xdr:cxnSp macro="">
      <xdr:nvCxnSpPr>
        <xdr:cNvPr id="728" name="Straight Arrow Connector 727">
          <a:extLst>
            <a:ext uri="{FF2B5EF4-FFF2-40B4-BE49-F238E27FC236}">
              <a16:creationId xmlns:a16="http://schemas.microsoft.com/office/drawing/2014/main" id="{00000000-0008-0000-1300-0000D8020000}"/>
            </a:ext>
          </a:extLst>
        </xdr:cNvPr>
        <xdr:cNvCxnSpPr/>
      </xdr:nvCxnSpPr>
      <xdr:spPr>
        <a:xfrm flipV="1">
          <a:off x="10583333" y="419629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31750</xdr:colOff>
      <xdr:row>1034</xdr:row>
      <xdr:rowOff>127000</xdr:rowOff>
    </xdr:from>
    <xdr:to>
      <xdr:col>8</xdr:col>
      <xdr:colOff>63500</xdr:colOff>
      <xdr:row>1053</xdr:row>
      <xdr:rowOff>0</xdr:rowOff>
    </xdr:to>
    <xdr:cxnSp macro="">
      <xdr:nvCxnSpPr>
        <xdr:cNvPr id="729" name="Straight Arrow Connector 728">
          <a:extLst>
            <a:ext uri="{FF2B5EF4-FFF2-40B4-BE49-F238E27FC236}">
              <a16:creationId xmlns:a16="http://schemas.microsoft.com/office/drawing/2014/main" id="{00000000-0008-0000-1300-0000D9020000}"/>
            </a:ext>
          </a:extLst>
        </xdr:cNvPr>
        <xdr:cNvCxnSpPr/>
      </xdr:nvCxnSpPr>
      <xdr:spPr>
        <a:xfrm flipV="1">
          <a:off x="5207000" y="24701500"/>
          <a:ext cx="635000" cy="3587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825500</xdr:colOff>
      <xdr:row>1171</xdr:row>
      <xdr:rowOff>1</xdr:rowOff>
    </xdr:from>
    <xdr:to>
      <xdr:col>6</xdr:col>
      <xdr:colOff>0</xdr:colOff>
      <xdr:row>1205</xdr:row>
      <xdr:rowOff>116417</xdr:rowOff>
    </xdr:to>
    <xdr:cxnSp macro="">
      <xdr:nvCxnSpPr>
        <xdr:cNvPr id="730" name="Straight Arrow Connector 729">
          <a:extLst>
            <a:ext uri="{FF2B5EF4-FFF2-40B4-BE49-F238E27FC236}">
              <a16:creationId xmlns:a16="http://schemas.microsoft.com/office/drawing/2014/main" id="{00000000-0008-0000-1300-0000DA020000}"/>
            </a:ext>
          </a:extLst>
        </xdr:cNvPr>
        <xdr:cNvCxnSpPr/>
      </xdr:nvCxnSpPr>
      <xdr:spPr>
        <a:xfrm flipV="1">
          <a:off x="3714750" y="51244501"/>
          <a:ext cx="666750" cy="65934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21167</xdr:colOff>
      <xdr:row>1208</xdr:row>
      <xdr:rowOff>169334</xdr:rowOff>
    </xdr:from>
    <xdr:to>
      <xdr:col>5</xdr:col>
      <xdr:colOff>571500</xdr:colOff>
      <xdr:row>1277</xdr:row>
      <xdr:rowOff>0</xdr:rowOff>
    </xdr:to>
    <xdr:cxnSp macro="">
      <xdr:nvCxnSpPr>
        <xdr:cNvPr id="731" name="Straight Arrow Connector 730">
          <a:extLst>
            <a:ext uri="{FF2B5EF4-FFF2-40B4-BE49-F238E27FC236}">
              <a16:creationId xmlns:a16="http://schemas.microsoft.com/office/drawing/2014/main" id="{00000000-0008-0000-1300-0000DB020000}"/>
            </a:ext>
          </a:extLst>
        </xdr:cNvPr>
        <xdr:cNvCxnSpPr/>
      </xdr:nvCxnSpPr>
      <xdr:spPr>
        <a:xfrm>
          <a:off x="3799417" y="58462334"/>
          <a:ext cx="550333" cy="133244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1146</xdr:row>
      <xdr:rowOff>148167</xdr:rowOff>
    </xdr:from>
    <xdr:to>
      <xdr:col>7</xdr:col>
      <xdr:colOff>603250</xdr:colOff>
      <xdr:row>1168</xdr:row>
      <xdr:rowOff>31750</xdr:rowOff>
    </xdr:to>
    <xdr:cxnSp macro="">
      <xdr:nvCxnSpPr>
        <xdr:cNvPr id="732" name="Straight Arrow Connector 731">
          <a:extLst>
            <a:ext uri="{FF2B5EF4-FFF2-40B4-BE49-F238E27FC236}">
              <a16:creationId xmlns:a16="http://schemas.microsoft.com/office/drawing/2014/main" id="{00000000-0008-0000-1300-0000DC020000}"/>
            </a:ext>
          </a:extLst>
        </xdr:cNvPr>
        <xdr:cNvCxnSpPr/>
      </xdr:nvCxnSpPr>
      <xdr:spPr>
        <a:xfrm flipV="1">
          <a:off x="5175250" y="46439667"/>
          <a:ext cx="603250" cy="42650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1171</xdr:row>
      <xdr:rowOff>10584</xdr:rowOff>
    </xdr:from>
    <xdr:to>
      <xdr:col>8</xdr:col>
      <xdr:colOff>21167</xdr:colOff>
      <xdr:row>1199</xdr:row>
      <xdr:rowOff>148166</xdr:rowOff>
    </xdr:to>
    <xdr:cxnSp macro="">
      <xdr:nvCxnSpPr>
        <xdr:cNvPr id="733" name="Straight Arrow Connector 732">
          <a:extLst>
            <a:ext uri="{FF2B5EF4-FFF2-40B4-BE49-F238E27FC236}">
              <a16:creationId xmlns:a16="http://schemas.microsoft.com/office/drawing/2014/main" id="{00000000-0008-0000-1300-0000DD020000}"/>
            </a:ext>
          </a:extLst>
        </xdr:cNvPr>
        <xdr:cNvCxnSpPr/>
      </xdr:nvCxnSpPr>
      <xdr:spPr>
        <a:xfrm>
          <a:off x="5175250" y="51255084"/>
          <a:ext cx="624417" cy="547158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1138</xdr:row>
      <xdr:rowOff>137583</xdr:rowOff>
    </xdr:from>
    <xdr:to>
      <xdr:col>9</xdr:col>
      <xdr:colOff>603250</xdr:colOff>
      <xdr:row>1144</xdr:row>
      <xdr:rowOff>21166</xdr:rowOff>
    </xdr:to>
    <xdr:cxnSp macro="">
      <xdr:nvCxnSpPr>
        <xdr:cNvPr id="734" name="Straight Arrow Connector 733">
          <a:extLst>
            <a:ext uri="{FF2B5EF4-FFF2-40B4-BE49-F238E27FC236}">
              <a16:creationId xmlns:a16="http://schemas.microsoft.com/office/drawing/2014/main" id="{00000000-0008-0000-1300-0000DE020000}"/>
            </a:ext>
          </a:extLst>
        </xdr:cNvPr>
        <xdr:cNvCxnSpPr/>
      </xdr:nvCxnSpPr>
      <xdr:spPr>
        <a:xfrm flipV="1">
          <a:off x="6381750" y="44905083"/>
          <a:ext cx="603250" cy="1026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1147</xdr:row>
      <xdr:rowOff>0</xdr:rowOff>
    </xdr:from>
    <xdr:to>
      <xdr:col>9</xdr:col>
      <xdr:colOff>582083</xdr:colOff>
      <xdr:row>1155</xdr:row>
      <xdr:rowOff>10583</xdr:rowOff>
    </xdr:to>
    <xdr:cxnSp macro="">
      <xdr:nvCxnSpPr>
        <xdr:cNvPr id="735" name="Straight Arrow Connector 734">
          <a:extLst>
            <a:ext uri="{FF2B5EF4-FFF2-40B4-BE49-F238E27FC236}">
              <a16:creationId xmlns:a16="http://schemas.microsoft.com/office/drawing/2014/main" id="{00000000-0008-0000-1300-0000DF020000}"/>
            </a:ext>
          </a:extLst>
        </xdr:cNvPr>
        <xdr:cNvCxnSpPr/>
      </xdr:nvCxnSpPr>
      <xdr:spPr>
        <a:xfrm>
          <a:off x="6413500" y="46482000"/>
          <a:ext cx="550333" cy="1534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21167</xdr:colOff>
      <xdr:row>1152</xdr:row>
      <xdr:rowOff>169333</xdr:rowOff>
    </xdr:from>
    <xdr:to>
      <xdr:col>11</xdr:col>
      <xdr:colOff>603250</xdr:colOff>
      <xdr:row>1155</xdr:row>
      <xdr:rowOff>21167</xdr:rowOff>
    </xdr:to>
    <xdr:cxnSp macro="">
      <xdr:nvCxnSpPr>
        <xdr:cNvPr id="736" name="Straight Arrow Connector 735">
          <a:extLst>
            <a:ext uri="{FF2B5EF4-FFF2-40B4-BE49-F238E27FC236}">
              <a16:creationId xmlns:a16="http://schemas.microsoft.com/office/drawing/2014/main" id="{00000000-0008-0000-1300-0000E0020000}"/>
            </a:ext>
          </a:extLst>
        </xdr:cNvPr>
        <xdr:cNvCxnSpPr/>
      </xdr:nvCxnSpPr>
      <xdr:spPr>
        <a:xfrm flipV="1">
          <a:off x="7609417" y="47603833"/>
          <a:ext cx="582083" cy="423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1158</xdr:row>
      <xdr:rowOff>42333</xdr:rowOff>
    </xdr:from>
    <xdr:to>
      <xdr:col>11</xdr:col>
      <xdr:colOff>603250</xdr:colOff>
      <xdr:row>1170</xdr:row>
      <xdr:rowOff>10583</xdr:rowOff>
    </xdr:to>
    <xdr:cxnSp macro="">
      <xdr:nvCxnSpPr>
        <xdr:cNvPr id="737" name="Straight Arrow Connector 736">
          <a:extLst>
            <a:ext uri="{FF2B5EF4-FFF2-40B4-BE49-F238E27FC236}">
              <a16:creationId xmlns:a16="http://schemas.microsoft.com/office/drawing/2014/main" id="{00000000-0008-0000-1300-0000E1020000}"/>
            </a:ext>
          </a:extLst>
        </xdr:cNvPr>
        <xdr:cNvCxnSpPr/>
      </xdr:nvCxnSpPr>
      <xdr:spPr>
        <a:xfrm>
          <a:off x="7598834" y="486198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1148</xdr:row>
      <xdr:rowOff>21167</xdr:rowOff>
    </xdr:from>
    <xdr:to>
      <xdr:col>13</xdr:col>
      <xdr:colOff>592667</xdr:colOff>
      <xdr:row>1150</xdr:row>
      <xdr:rowOff>0</xdr:rowOff>
    </xdr:to>
    <xdr:cxnSp macro="">
      <xdr:nvCxnSpPr>
        <xdr:cNvPr id="738" name="Straight Arrow Connector 737">
          <a:extLst>
            <a:ext uri="{FF2B5EF4-FFF2-40B4-BE49-F238E27FC236}">
              <a16:creationId xmlns:a16="http://schemas.microsoft.com/office/drawing/2014/main" id="{00000000-0008-0000-1300-0000E2020000}"/>
            </a:ext>
          </a:extLst>
        </xdr:cNvPr>
        <xdr:cNvCxnSpPr/>
      </xdr:nvCxnSpPr>
      <xdr:spPr>
        <a:xfrm flipV="1">
          <a:off x="8794750" y="466936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1153</xdr:row>
      <xdr:rowOff>21166</xdr:rowOff>
    </xdr:from>
    <xdr:to>
      <xdr:col>13</xdr:col>
      <xdr:colOff>592667</xdr:colOff>
      <xdr:row>1154</xdr:row>
      <xdr:rowOff>169334</xdr:rowOff>
    </xdr:to>
    <xdr:cxnSp macro="">
      <xdr:nvCxnSpPr>
        <xdr:cNvPr id="739" name="Straight Arrow Connector 738">
          <a:extLst>
            <a:ext uri="{FF2B5EF4-FFF2-40B4-BE49-F238E27FC236}">
              <a16:creationId xmlns:a16="http://schemas.microsoft.com/office/drawing/2014/main" id="{00000000-0008-0000-1300-0000E3020000}"/>
            </a:ext>
          </a:extLst>
        </xdr:cNvPr>
        <xdr:cNvCxnSpPr/>
      </xdr:nvCxnSpPr>
      <xdr:spPr>
        <a:xfrm>
          <a:off x="8784166" y="476461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1168</xdr:row>
      <xdr:rowOff>21167</xdr:rowOff>
    </xdr:from>
    <xdr:to>
      <xdr:col>13</xdr:col>
      <xdr:colOff>592667</xdr:colOff>
      <xdr:row>1170</xdr:row>
      <xdr:rowOff>63500</xdr:rowOff>
    </xdr:to>
    <xdr:cxnSp macro="">
      <xdr:nvCxnSpPr>
        <xdr:cNvPr id="740" name="Straight Arrow Connector 739">
          <a:extLst>
            <a:ext uri="{FF2B5EF4-FFF2-40B4-BE49-F238E27FC236}">
              <a16:creationId xmlns:a16="http://schemas.microsoft.com/office/drawing/2014/main" id="{00000000-0008-0000-1300-0000E4020000}"/>
            </a:ext>
          </a:extLst>
        </xdr:cNvPr>
        <xdr:cNvCxnSpPr/>
      </xdr:nvCxnSpPr>
      <xdr:spPr>
        <a:xfrm flipV="1">
          <a:off x="8794750" y="506941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1173</xdr:row>
      <xdr:rowOff>0</xdr:rowOff>
    </xdr:from>
    <xdr:to>
      <xdr:col>14</xdr:col>
      <xdr:colOff>10584</xdr:colOff>
      <xdr:row>1181</xdr:row>
      <xdr:rowOff>148167</xdr:rowOff>
    </xdr:to>
    <xdr:cxnSp macro="">
      <xdr:nvCxnSpPr>
        <xdr:cNvPr id="741" name="Straight Arrow Connector 740">
          <a:extLst>
            <a:ext uri="{FF2B5EF4-FFF2-40B4-BE49-F238E27FC236}">
              <a16:creationId xmlns:a16="http://schemas.microsoft.com/office/drawing/2014/main" id="{00000000-0008-0000-1300-0000E5020000}"/>
            </a:ext>
          </a:extLst>
        </xdr:cNvPr>
        <xdr:cNvCxnSpPr/>
      </xdr:nvCxnSpPr>
      <xdr:spPr>
        <a:xfrm>
          <a:off x="8805333" y="516255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1140</xdr:row>
      <xdr:rowOff>0</xdr:rowOff>
    </xdr:from>
    <xdr:to>
      <xdr:col>15</xdr:col>
      <xdr:colOff>603250</xdr:colOff>
      <xdr:row>1145</xdr:row>
      <xdr:rowOff>31750</xdr:rowOff>
    </xdr:to>
    <xdr:cxnSp macro="">
      <xdr:nvCxnSpPr>
        <xdr:cNvPr id="742" name="Straight Arrow Connector 741">
          <a:extLst>
            <a:ext uri="{FF2B5EF4-FFF2-40B4-BE49-F238E27FC236}">
              <a16:creationId xmlns:a16="http://schemas.microsoft.com/office/drawing/2014/main" id="{00000000-0008-0000-1300-0000E6020000}"/>
            </a:ext>
          </a:extLst>
        </xdr:cNvPr>
        <xdr:cNvCxnSpPr/>
      </xdr:nvCxnSpPr>
      <xdr:spPr>
        <a:xfrm flipV="1">
          <a:off x="10541000" y="45148500"/>
          <a:ext cx="603250" cy="984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1143</xdr:row>
      <xdr:rowOff>52917</xdr:rowOff>
    </xdr:from>
    <xdr:to>
      <xdr:col>15</xdr:col>
      <xdr:colOff>603250</xdr:colOff>
      <xdr:row>1145</xdr:row>
      <xdr:rowOff>95250</xdr:rowOff>
    </xdr:to>
    <xdr:cxnSp macro="">
      <xdr:nvCxnSpPr>
        <xdr:cNvPr id="743" name="Straight Arrow Connector 742">
          <a:extLst>
            <a:ext uri="{FF2B5EF4-FFF2-40B4-BE49-F238E27FC236}">
              <a16:creationId xmlns:a16="http://schemas.microsoft.com/office/drawing/2014/main" id="{00000000-0008-0000-1300-0000E7020000}"/>
            </a:ext>
          </a:extLst>
        </xdr:cNvPr>
        <xdr:cNvCxnSpPr/>
      </xdr:nvCxnSpPr>
      <xdr:spPr>
        <a:xfrm flipV="1">
          <a:off x="10583333" y="45772917"/>
          <a:ext cx="56091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1145</xdr:row>
      <xdr:rowOff>158750</xdr:rowOff>
    </xdr:from>
    <xdr:to>
      <xdr:col>15</xdr:col>
      <xdr:colOff>582083</xdr:colOff>
      <xdr:row>1146</xdr:row>
      <xdr:rowOff>137583</xdr:rowOff>
    </xdr:to>
    <xdr:cxnSp macro="">
      <xdr:nvCxnSpPr>
        <xdr:cNvPr id="744" name="Straight Arrow Connector 743">
          <a:extLst>
            <a:ext uri="{FF2B5EF4-FFF2-40B4-BE49-F238E27FC236}">
              <a16:creationId xmlns:a16="http://schemas.microsoft.com/office/drawing/2014/main" id="{00000000-0008-0000-1300-0000E8020000}"/>
            </a:ext>
          </a:extLst>
        </xdr:cNvPr>
        <xdr:cNvCxnSpPr/>
      </xdr:nvCxnSpPr>
      <xdr:spPr>
        <a:xfrm>
          <a:off x="10604500" y="46259750"/>
          <a:ext cx="518583" cy="169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1121834</xdr:colOff>
      <xdr:row>1145</xdr:row>
      <xdr:rowOff>105834</xdr:rowOff>
    </xdr:from>
    <xdr:to>
      <xdr:col>16</xdr:col>
      <xdr:colOff>0</xdr:colOff>
      <xdr:row>1149</xdr:row>
      <xdr:rowOff>84667</xdr:rowOff>
    </xdr:to>
    <xdr:cxnSp macro="">
      <xdr:nvCxnSpPr>
        <xdr:cNvPr id="745" name="Straight Arrow Connector 744">
          <a:extLst>
            <a:ext uri="{FF2B5EF4-FFF2-40B4-BE49-F238E27FC236}">
              <a16:creationId xmlns:a16="http://schemas.microsoft.com/office/drawing/2014/main" id="{00000000-0008-0000-1300-0000E9020000}"/>
            </a:ext>
          </a:extLst>
        </xdr:cNvPr>
        <xdr:cNvCxnSpPr/>
      </xdr:nvCxnSpPr>
      <xdr:spPr>
        <a:xfrm>
          <a:off x="10519834" y="46206834"/>
          <a:ext cx="624416"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1153</xdr:row>
      <xdr:rowOff>52916</xdr:rowOff>
    </xdr:from>
    <xdr:to>
      <xdr:col>16</xdr:col>
      <xdr:colOff>0</xdr:colOff>
      <xdr:row>1155</xdr:row>
      <xdr:rowOff>0</xdr:rowOff>
    </xdr:to>
    <xdr:cxnSp macro="">
      <xdr:nvCxnSpPr>
        <xdr:cNvPr id="746" name="Straight Arrow Connector 745">
          <a:extLst>
            <a:ext uri="{FF2B5EF4-FFF2-40B4-BE49-F238E27FC236}">
              <a16:creationId xmlns:a16="http://schemas.microsoft.com/office/drawing/2014/main" id="{00000000-0008-0000-1300-0000EA020000}"/>
            </a:ext>
          </a:extLst>
        </xdr:cNvPr>
        <xdr:cNvCxnSpPr/>
      </xdr:nvCxnSpPr>
      <xdr:spPr>
        <a:xfrm flipV="1">
          <a:off x="10541000" y="476779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1155</xdr:row>
      <xdr:rowOff>21167</xdr:rowOff>
    </xdr:from>
    <xdr:to>
      <xdr:col>15</xdr:col>
      <xdr:colOff>582083</xdr:colOff>
      <xdr:row>1156</xdr:row>
      <xdr:rowOff>42333</xdr:rowOff>
    </xdr:to>
    <xdr:cxnSp macro="">
      <xdr:nvCxnSpPr>
        <xdr:cNvPr id="747" name="Straight Arrow Connector 746">
          <a:extLst>
            <a:ext uri="{FF2B5EF4-FFF2-40B4-BE49-F238E27FC236}">
              <a16:creationId xmlns:a16="http://schemas.microsoft.com/office/drawing/2014/main" id="{00000000-0008-0000-1300-0000EB020000}"/>
            </a:ext>
          </a:extLst>
        </xdr:cNvPr>
        <xdr:cNvCxnSpPr/>
      </xdr:nvCxnSpPr>
      <xdr:spPr>
        <a:xfrm>
          <a:off x="10551583" y="48027167"/>
          <a:ext cx="571500" cy="211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1155</xdr:row>
      <xdr:rowOff>21167</xdr:rowOff>
    </xdr:from>
    <xdr:to>
      <xdr:col>16</xdr:col>
      <xdr:colOff>42333</xdr:colOff>
      <xdr:row>1160</xdr:row>
      <xdr:rowOff>21168</xdr:rowOff>
    </xdr:to>
    <xdr:cxnSp macro="">
      <xdr:nvCxnSpPr>
        <xdr:cNvPr id="748" name="Straight Arrow Connector 747">
          <a:extLst>
            <a:ext uri="{FF2B5EF4-FFF2-40B4-BE49-F238E27FC236}">
              <a16:creationId xmlns:a16="http://schemas.microsoft.com/office/drawing/2014/main" id="{00000000-0008-0000-1300-0000EC020000}"/>
            </a:ext>
          </a:extLst>
        </xdr:cNvPr>
        <xdr:cNvCxnSpPr/>
      </xdr:nvCxnSpPr>
      <xdr:spPr>
        <a:xfrm>
          <a:off x="10530417" y="48027167"/>
          <a:ext cx="656166" cy="9525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1155</xdr:row>
      <xdr:rowOff>31750</xdr:rowOff>
    </xdr:from>
    <xdr:to>
      <xdr:col>16</xdr:col>
      <xdr:colOff>42334</xdr:colOff>
      <xdr:row>1162</xdr:row>
      <xdr:rowOff>63501</xdr:rowOff>
    </xdr:to>
    <xdr:cxnSp macro="">
      <xdr:nvCxnSpPr>
        <xdr:cNvPr id="749" name="Straight Arrow Connector 748">
          <a:extLst>
            <a:ext uri="{FF2B5EF4-FFF2-40B4-BE49-F238E27FC236}">
              <a16:creationId xmlns:a16="http://schemas.microsoft.com/office/drawing/2014/main" id="{00000000-0008-0000-1300-0000ED020000}"/>
            </a:ext>
          </a:extLst>
        </xdr:cNvPr>
        <xdr:cNvCxnSpPr/>
      </xdr:nvCxnSpPr>
      <xdr:spPr>
        <a:xfrm>
          <a:off x="10541000" y="48037750"/>
          <a:ext cx="645584"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10583</xdr:colOff>
      <xdr:row>1192</xdr:row>
      <xdr:rowOff>42333</xdr:rowOff>
    </xdr:from>
    <xdr:to>
      <xdr:col>9</xdr:col>
      <xdr:colOff>592666</xdr:colOff>
      <xdr:row>1200</xdr:row>
      <xdr:rowOff>42333</xdr:rowOff>
    </xdr:to>
    <xdr:cxnSp macro="">
      <xdr:nvCxnSpPr>
        <xdr:cNvPr id="750" name="Straight Arrow Connector 749">
          <a:extLst>
            <a:ext uri="{FF2B5EF4-FFF2-40B4-BE49-F238E27FC236}">
              <a16:creationId xmlns:a16="http://schemas.microsoft.com/office/drawing/2014/main" id="{00000000-0008-0000-1300-0000EE020000}"/>
            </a:ext>
          </a:extLst>
        </xdr:cNvPr>
        <xdr:cNvCxnSpPr/>
      </xdr:nvCxnSpPr>
      <xdr:spPr>
        <a:xfrm flipV="1">
          <a:off x="6392333" y="55287333"/>
          <a:ext cx="582083" cy="152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1202</xdr:row>
      <xdr:rowOff>169334</xdr:rowOff>
    </xdr:from>
    <xdr:to>
      <xdr:col>9</xdr:col>
      <xdr:colOff>603250</xdr:colOff>
      <xdr:row>1211</xdr:row>
      <xdr:rowOff>31750</xdr:rowOff>
    </xdr:to>
    <xdr:cxnSp macro="">
      <xdr:nvCxnSpPr>
        <xdr:cNvPr id="751" name="Straight Arrow Connector 750">
          <a:extLst>
            <a:ext uri="{FF2B5EF4-FFF2-40B4-BE49-F238E27FC236}">
              <a16:creationId xmlns:a16="http://schemas.microsoft.com/office/drawing/2014/main" id="{00000000-0008-0000-1300-0000EF020000}"/>
            </a:ext>
          </a:extLst>
        </xdr:cNvPr>
        <xdr:cNvCxnSpPr/>
      </xdr:nvCxnSpPr>
      <xdr:spPr>
        <a:xfrm>
          <a:off x="6413500" y="57319334"/>
          <a:ext cx="571500" cy="1576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571500</xdr:colOff>
      <xdr:row>1208</xdr:row>
      <xdr:rowOff>158750</xdr:rowOff>
    </xdr:from>
    <xdr:to>
      <xdr:col>11</xdr:col>
      <xdr:colOff>571500</xdr:colOff>
      <xdr:row>1211</xdr:row>
      <xdr:rowOff>0</xdr:rowOff>
    </xdr:to>
    <xdr:cxnSp macro="">
      <xdr:nvCxnSpPr>
        <xdr:cNvPr id="752" name="Straight Arrow Connector 751">
          <a:extLst>
            <a:ext uri="{FF2B5EF4-FFF2-40B4-BE49-F238E27FC236}">
              <a16:creationId xmlns:a16="http://schemas.microsoft.com/office/drawing/2014/main" id="{00000000-0008-0000-1300-0000F0020000}"/>
            </a:ext>
          </a:extLst>
        </xdr:cNvPr>
        <xdr:cNvCxnSpPr/>
      </xdr:nvCxnSpPr>
      <xdr:spPr>
        <a:xfrm flipV="1">
          <a:off x="7556500" y="58451750"/>
          <a:ext cx="603250" cy="412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1166</xdr:row>
      <xdr:rowOff>0</xdr:rowOff>
    </xdr:from>
    <xdr:to>
      <xdr:col>15</xdr:col>
      <xdr:colOff>603250</xdr:colOff>
      <xdr:row>1168</xdr:row>
      <xdr:rowOff>1</xdr:rowOff>
    </xdr:to>
    <xdr:cxnSp macro="">
      <xdr:nvCxnSpPr>
        <xdr:cNvPr id="753" name="Straight Arrow Connector 752">
          <a:extLst>
            <a:ext uri="{FF2B5EF4-FFF2-40B4-BE49-F238E27FC236}">
              <a16:creationId xmlns:a16="http://schemas.microsoft.com/office/drawing/2014/main" id="{00000000-0008-0000-1300-0000F1020000}"/>
            </a:ext>
          </a:extLst>
        </xdr:cNvPr>
        <xdr:cNvCxnSpPr/>
      </xdr:nvCxnSpPr>
      <xdr:spPr>
        <a:xfrm flipV="1">
          <a:off x="10530417" y="502920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1168</xdr:row>
      <xdr:rowOff>10584</xdr:rowOff>
    </xdr:from>
    <xdr:to>
      <xdr:col>15</xdr:col>
      <xdr:colOff>592666</xdr:colOff>
      <xdr:row>1169</xdr:row>
      <xdr:rowOff>95250</xdr:rowOff>
    </xdr:to>
    <xdr:cxnSp macro="">
      <xdr:nvCxnSpPr>
        <xdr:cNvPr id="754" name="Straight Arrow Connector 753">
          <a:extLst>
            <a:ext uri="{FF2B5EF4-FFF2-40B4-BE49-F238E27FC236}">
              <a16:creationId xmlns:a16="http://schemas.microsoft.com/office/drawing/2014/main" id="{00000000-0008-0000-1300-0000F2020000}"/>
            </a:ext>
          </a:extLst>
        </xdr:cNvPr>
        <xdr:cNvCxnSpPr/>
      </xdr:nvCxnSpPr>
      <xdr:spPr>
        <a:xfrm>
          <a:off x="10572750" y="506835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1168</xdr:row>
      <xdr:rowOff>10584</xdr:rowOff>
    </xdr:from>
    <xdr:to>
      <xdr:col>15</xdr:col>
      <xdr:colOff>560916</xdr:colOff>
      <xdr:row>1172</xdr:row>
      <xdr:rowOff>52917</xdr:rowOff>
    </xdr:to>
    <xdr:cxnSp macro="">
      <xdr:nvCxnSpPr>
        <xdr:cNvPr id="755" name="Straight Arrow Connector 754">
          <a:extLst>
            <a:ext uri="{FF2B5EF4-FFF2-40B4-BE49-F238E27FC236}">
              <a16:creationId xmlns:a16="http://schemas.microsoft.com/office/drawing/2014/main" id="{00000000-0008-0000-1300-0000F3020000}"/>
            </a:ext>
          </a:extLst>
        </xdr:cNvPr>
        <xdr:cNvCxnSpPr/>
      </xdr:nvCxnSpPr>
      <xdr:spPr>
        <a:xfrm>
          <a:off x="10551583" y="506835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1168</xdr:row>
      <xdr:rowOff>31750</xdr:rowOff>
    </xdr:from>
    <xdr:to>
      <xdr:col>16</xdr:col>
      <xdr:colOff>21167</xdr:colOff>
      <xdr:row>1175</xdr:row>
      <xdr:rowOff>95250</xdr:rowOff>
    </xdr:to>
    <xdr:cxnSp macro="">
      <xdr:nvCxnSpPr>
        <xdr:cNvPr id="756" name="Straight Arrow Connector 755">
          <a:extLst>
            <a:ext uri="{FF2B5EF4-FFF2-40B4-BE49-F238E27FC236}">
              <a16:creationId xmlns:a16="http://schemas.microsoft.com/office/drawing/2014/main" id="{00000000-0008-0000-1300-0000F4020000}"/>
            </a:ext>
          </a:extLst>
        </xdr:cNvPr>
        <xdr:cNvCxnSpPr/>
      </xdr:nvCxnSpPr>
      <xdr:spPr>
        <a:xfrm>
          <a:off x="10583333" y="507047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1182</xdr:row>
      <xdr:rowOff>0</xdr:rowOff>
    </xdr:from>
    <xdr:to>
      <xdr:col>16</xdr:col>
      <xdr:colOff>0</xdr:colOff>
      <xdr:row>1182</xdr:row>
      <xdr:rowOff>42334</xdr:rowOff>
    </xdr:to>
    <xdr:cxnSp macro="">
      <xdr:nvCxnSpPr>
        <xdr:cNvPr id="757" name="Straight Arrow Connector 756">
          <a:extLst>
            <a:ext uri="{FF2B5EF4-FFF2-40B4-BE49-F238E27FC236}">
              <a16:creationId xmlns:a16="http://schemas.microsoft.com/office/drawing/2014/main" id="{00000000-0008-0000-1300-0000F5020000}"/>
            </a:ext>
          </a:extLst>
        </xdr:cNvPr>
        <xdr:cNvCxnSpPr/>
      </xdr:nvCxnSpPr>
      <xdr:spPr>
        <a:xfrm>
          <a:off x="10562166" y="533400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1182</xdr:row>
      <xdr:rowOff>21166</xdr:rowOff>
    </xdr:from>
    <xdr:to>
      <xdr:col>15</xdr:col>
      <xdr:colOff>560916</xdr:colOff>
      <xdr:row>1185</xdr:row>
      <xdr:rowOff>84667</xdr:rowOff>
    </xdr:to>
    <xdr:cxnSp macro="">
      <xdr:nvCxnSpPr>
        <xdr:cNvPr id="758" name="Straight Arrow Connector 757">
          <a:extLst>
            <a:ext uri="{FF2B5EF4-FFF2-40B4-BE49-F238E27FC236}">
              <a16:creationId xmlns:a16="http://schemas.microsoft.com/office/drawing/2014/main" id="{00000000-0008-0000-1300-0000F6020000}"/>
            </a:ext>
          </a:extLst>
        </xdr:cNvPr>
        <xdr:cNvCxnSpPr/>
      </xdr:nvCxnSpPr>
      <xdr:spPr>
        <a:xfrm>
          <a:off x="10615083" y="533611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1182</xdr:row>
      <xdr:rowOff>52916</xdr:rowOff>
    </xdr:from>
    <xdr:to>
      <xdr:col>15</xdr:col>
      <xdr:colOff>592666</xdr:colOff>
      <xdr:row>1188</xdr:row>
      <xdr:rowOff>63501</xdr:rowOff>
    </xdr:to>
    <xdr:cxnSp macro="">
      <xdr:nvCxnSpPr>
        <xdr:cNvPr id="759" name="Straight Arrow Connector 758">
          <a:extLst>
            <a:ext uri="{FF2B5EF4-FFF2-40B4-BE49-F238E27FC236}">
              <a16:creationId xmlns:a16="http://schemas.microsoft.com/office/drawing/2014/main" id="{00000000-0008-0000-1300-0000F7020000}"/>
            </a:ext>
          </a:extLst>
        </xdr:cNvPr>
        <xdr:cNvCxnSpPr/>
      </xdr:nvCxnSpPr>
      <xdr:spPr>
        <a:xfrm>
          <a:off x="10572750" y="533929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1196</xdr:row>
      <xdr:rowOff>116416</xdr:rowOff>
    </xdr:from>
    <xdr:to>
      <xdr:col>15</xdr:col>
      <xdr:colOff>592666</xdr:colOff>
      <xdr:row>1199</xdr:row>
      <xdr:rowOff>158750</xdr:rowOff>
    </xdr:to>
    <xdr:cxnSp macro="">
      <xdr:nvCxnSpPr>
        <xdr:cNvPr id="760" name="Straight Arrow Connector 759">
          <a:extLst>
            <a:ext uri="{FF2B5EF4-FFF2-40B4-BE49-F238E27FC236}">
              <a16:creationId xmlns:a16="http://schemas.microsoft.com/office/drawing/2014/main" id="{00000000-0008-0000-1300-0000F8020000}"/>
            </a:ext>
          </a:extLst>
        </xdr:cNvPr>
        <xdr:cNvCxnSpPr/>
      </xdr:nvCxnSpPr>
      <xdr:spPr>
        <a:xfrm flipV="1">
          <a:off x="10562166" y="56123416"/>
          <a:ext cx="571500" cy="613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1198</xdr:row>
      <xdr:rowOff>95250</xdr:rowOff>
    </xdr:from>
    <xdr:to>
      <xdr:col>15</xdr:col>
      <xdr:colOff>582083</xdr:colOff>
      <xdr:row>1200</xdr:row>
      <xdr:rowOff>52917</xdr:rowOff>
    </xdr:to>
    <xdr:cxnSp macro="">
      <xdr:nvCxnSpPr>
        <xdr:cNvPr id="761" name="Straight Arrow Connector 760">
          <a:extLst>
            <a:ext uri="{FF2B5EF4-FFF2-40B4-BE49-F238E27FC236}">
              <a16:creationId xmlns:a16="http://schemas.microsoft.com/office/drawing/2014/main" id="{00000000-0008-0000-1300-0000F9020000}"/>
            </a:ext>
          </a:extLst>
        </xdr:cNvPr>
        <xdr:cNvCxnSpPr/>
      </xdr:nvCxnSpPr>
      <xdr:spPr>
        <a:xfrm flipV="1">
          <a:off x="10604500" y="56483250"/>
          <a:ext cx="518583" cy="338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1200</xdr:row>
      <xdr:rowOff>116417</xdr:rowOff>
    </xdr:from>
    <xdr:to>
      <xdr:col>15</xdr:col>
      <xdr:colOff>592666</xdr:colOff>
      <xdr:row>1204</xdr:row>
      <xdr:rowOff>95250</xdr:rowOff>
    </xdr:to>
    <xdr:cxnSp macro="">
      <xdr:nvCxnSpPr>
        <xdr:cNvPr id="762" name="Straight Arrow Connector 761">
          <a:extLst>
            <a:ext uri="{FF2B5EF4-FFF2-40B4-BE49-F238E27FC236}">
              <a16:creationId xmlns:a16="http://schemas.microsoft.com/office/drawing/2014/main" id="{00000000-0008-0000-1300-0000FA020000}"/>
            </a:ext>
          </a:extLst>
        </xdr:cNvPr>
        <xdr:cNvCxnSpPr/>
      </xdr:nvCxnSpPr>
      <xdr:spPr>
        <a:xfrm>
          <a:off x="10593916" y="56885417"/>
          <a:ext cx="53975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1211</xdr:row>
      <xdr:rowOff>116416</xdr:rowOff>
    </xdr:from>
    <xdr:to>
      <xdr:col>16</xdr:col>
      <xdr:colOff>0</xdr:colOff>
      <xdr:row>1218</xdr:row>
      <xdr:rowOff>74084</xdr:rowOff>
    </xdr:to>
    <xdr:cxnSp macro="">
      <xdr:nvCxnSpPr>
        <xdr:cNvPr id="763" name="Straight Arrow Connector 762">
          <a:extLst>
            <a:ext uri="{FF2B5EF4-FFF2-40B4-BE49-F238E27FC236}">
              <a16:creationId xmlns:a16="http://schemas.microsoft.com/office/drawing/2014/main" id="{00000000-0008-0000-1300-0000FB020000}"/>
            </a:ext>
          </a:extLst>
        </xdr:cNvPr>
        <xdr:cNvCxnSpPr/>
      </xdr:nvCxnSpPr>
      <xdr:spPr>
        <a:xfrm>
          <a:off x="10572750" y="58980916"/>
          <a:ext cx="571500" cy="12911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1179</xdr:row>
      <xdr:rowOff>52917</xdr:rowOff>
    </xdr:from>
    <xdr:to>
      <xdr:col>15</xdr:col>
      <xdr:colOff>603250</xdr:colOff>
      <xdr:row>1181</xdr:row>
      <xdr:rowOff>148167</xdr:rowOff>
    </xdr:to>
    <xdr:cxnSp macro="">
      <xdr:nvCxnSpPr>
        <xdr:cNvPr id="764" name="Straight Arrow Connector 763">
          <a:extLst>
            <a:ext uri="{FF2B5EF4-FFF2-40B4-BE49-F238E27FC236}">
              <a16:creationId xmlns:a16="http://schemas.microsoft.com/office/drawing/2014/main" id="{00000000-0008-0000-1300-0000FC020000}"/>
            </a:ext>
          </a:extLst>
        </xdr:cNvPr>
        <xdr:cNvCxnSpPr/>
      </xdr:nvCxnSpPr>
      <xdr:spPr>
        <a:xfrm flipV="1">
          <a:off x="10583333" y="528214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1214</xdr:row>
      <xdr:rowOff>42333</xdr:rowOff>
    </xdr:from>
    <xdr:to>
      <xdr:col>11</xdr:col>
      <xdr:colOff>603250</xdr:colOff>
      <xdr:row>1226</xdr:row>
      <xdr:rowOff>10583</xdr:rowOff>
    </xdr:to>
    <xdr:cxnSp macro="">
      <xdr:nvCxnSpPr>
        <xdr:cNvPr id="765" name="Straight Arrow Connector 764">
          <a:extLst>
            <a:ext uri="{FF2B5EF4-FFF2-40B4-BE49-F238E27FC236}">
              <a16:creationId xmlns:a16="http://schemas.microsoft.com/office/drawing/2014/main" id="{00000000-0008-0000-1300-0000FD020000}"/>
            </a:ext>
          </a:extLst>
        </xdr:cNvPr>
        <xdr:cNvCxnSpPr/>
      </xdr:nvCxnSpPr>
      <xdr:spPr>
        <a:xfrm>
          <a:off x="7598834" y="594783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1204</xdr:row>
      <xdr:rowOff>21167</xdr:rowOff>
    </xdr:from>
    <xdr:to>
      <xdr:col>13</xdr:col>
      <xdr:colOff>592667</xdr:colOff>
      <xdr:row>1206</xdr:row>
      <xdr:rowOff>0</xdr:rowOff>
    </xdr:to>
    <xdr:cxnSp macro="">
      <xdr:nvCxnSpPr>
        <xdr:cNvPr id="766" name="Straight Arrow Connector 765">
          <a:extLst>
            <a:ext uri="{FF2B5EF4-FFF2-40B4-BE49-F238E27FC236}">
              <a16:creationId xmlns:a16="http://schemas.microsoft.com/office/drawing/2014/main" id="{00000000-0008-0000-1300-0000FE020000}"/>
            </a:ext>
          </a:extLst>
        </xdr:cNvPr>
        <xdr:cNvCxnSpPr/>
      </xdr:nvCxnSpPr>
      <xdr:spPr>
        <a:xfrm flipV="1">
          <a:off x="8794750" y="575521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1209</xdr:row>
      <xdr:rowOff>21166</xdr:rowOff>
    </xdr:from>
    <xdr:to>
      <xdr:col>13</xdr:col>
      <xdr:colOff>592667</xdr:colOff>
      <xdr:row>1210</xdr:row>
      <xdr:rowOff>169334</xdr:rowOff>
    </xdr:to>
    <xdr:cxnSp macro="">
      <xdr:nvCxnSpPr>
        <xdr:cNvPr id="767" name="Straight Arrow Connector 766">
          <a:extLst>
            <a:ext uri="{FF2B5EF4-FFF2-40B4-BE49-F238E27FC236}">
              <a16:creationId xmlns:a16="http://schemas.microsoft.com/office/drawing/2014/main" id="{00000000-0008-0000-1300-0000FF020000}"/>
            </a:ext>
          </a:extLst>
        </xdr:cNvPr>
        <xdr:cNvCxnSpPr/>
      </xdr:nvCxnSpPr>
      <xdr:spPr>
        <a:xfrm>
          <a:off x="8784166" y="585046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1224</xdr:row>
      <xdr:rowOff>21167</xdr:rowOff>
    </xdr:from>
    <xdr:to>
      <xdr:col>13</xdr:col>
      <xdr:colOff>592667</xdr:colOff>
      <xdr:row>1226</xdr:row>
      <xdr:rowOff>63500</xdr:rowOff>
    </xdr:to>
    <xdr:cxnSp macro="">
      <xdr:nvCxnSpPr>
        <xdr:cNvPr id="768" name="Straight Arrow Connector 767">
          <a:extLst>
            <a:ext uri="{FF2B5EF4-FFF2-40B4-BE49-F238E27FC236}">
              <a16:creationId xmlns:a16="http://schemas.microsoft.com/office/drawing/2014/main" id="{00000000-0008-0000-1300-000000030000}"/>
            </a:ext>
          </a:extLst>
        </xdr:cNvPr>
        <xdr:cNvCxnSpPr/>
      </xdr:nvCxnSpPr>
      <xdr:spPr>
        <a:xfrm flipV="1">
          <a:off x="8794750" y="615526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1229</xdr:row>
      <xdr:rowOff>0</xdr:rowOff>
    </xdr:from>
    <xdr:to>
      <xdr:col>14</xdr:col>
      <xdr:colOff>10584</xdr:colOff>
      <xdr:row>1237</xdr:row>
      <xdr:rowOff>148167</xdr:rowOff>
    </xdr:to>
    <xdr:cxnSp macro="">
      <xdr:nvCxnSpPr>
        <xdr:cNvPr id="769" name="Straight Arrow Connector 768">
          <a:extLst>
            <a:ext uri="{FF2B5EF4-FFF2-40B4-BE49-F238E27FC236}">
              <a16:creationId xmlns:a16="http://schemas.microsoft.com/office/drawing/2014/main" id="{00000000-0008-0000-1300-000001030000}"/>
            </a:ext>
          </a:extLst>
        </xdr:cNvPr>
        <xdr:cNvCxnSpPr/>
      </xdr:nvCxnSpPr>
      <xdr:spPr>
        <a:xfrm>
          <a:off x="8805333" y="624840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1200</xdr:row>
      <xdr:rowOff>95250</xdr:rowOff>
    </xdr:from>
    <xdr:to>
      <xdr:col>15</xdr:col>
      <xdr:colOff>582083</xdr:colOff>
      <xdr:row>1202</xdr:row>
      <xdr:rowOff>137583</xdr:rowOff>
    </xdr:to>
    <xdr:cxnSp macro="">
      <xdr:nvCxnSpPr>
        <xdr:cNvPr id="770" name="Straight Arrow Connector 769">
          <a:extLst>
            <a:ext uri="{FF2B5EF4-FFF2-40B4-BE49-F238E27FC236}">
              <a16:creationId xmlns:a16="http://schemas.microsoft.com/office/drawing/2014/main" id="{00000000-0008-0000-1300-000002030000}"/>
            </a:ext>
          </a:extLst>
        </xdr:cNvPr>
        <xdr:cNvCxnSpPr/>
      </xdr:nvCxnSpPr>
      <xdr:spPr>
        <a:xfrm>
          <a:off x="10593916" y="56864250"/>
          <a:ext cx="5291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1209</xdr:row>
      <xdr:rowOff>52916</xdr:rowOff>
    </xdr:from>
    <xdr:to>
      <xdr:col>16</xdr:col>
      <xdr:colOff>0</xdr:colOff>
      <xdr:row>1211</xdr:row>
      <xdr:rowOff>0</xdr:rowOff>
    </xdr:to>
    <xdr:cxnSp macro="">
      <xdr:nvCxnSpPr>
        <xdr:cNvPr id="771" name="Straight Arrow Connector 770">
          <a:extLst>
            <a:ext uri="{FF2B5EF4-FFF2-40B4-BE49-F238E27FC236}">
              <a16:creationId xmlns:a16="http://schemas.microsoft.com/office/drawing/2014/main" id="{00000000-0008-0000-1300-000003030000}"/>
            </a:ext>
          </a:extLst>
        </xdr:cNvPr>
        <xdr:cNvCxnSpPr/>
      </xdr:nvCxnSpPr>
      <xdr:spPr>
        <a:xfrm flipV="1">
          <a:off x="10541000" y="585364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1211</xdr:row>
      <xdr:rowOff>21167</xdr:rowOff>
    </xdr:from>
    <xdr:to>
      <xdr:col>15</xdr:col>
      <xdr:colOff>592666</xdr:colOff>
      <xdr:row>1212</xdr:row>
      <xdr:rowOff>84667</xdr:rowOff>
    </xdr:to>
    <xdr:cxnSp macro="">
      <xdr:nvCxnSpPr>
        <xdr:cNvPr id="772" name="Straight Arrow Connector 771">
          <a:extLst>
            <a:ext uri="{FF2B5EF4-FFF2-40B4-BE49-F238E27FC236}">
              <a16:creationId xmlns:a16="http://schemas.microsoft.com/office/drawing/2014/main" id="{00000000-0008-0000-1300-000004030000}"/>
            </a:ext>
          </a:extLst>
        </xdr:cNvPr>
        <xdr:cNvCxnSpPr/>
      </xdr:nvCxnSpPr>
      <xdr:spPr>
        <a:xfrm>
          <a:off x="10530417" y="58885667"/>
          <a:ext cx="603249" cy="25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1211</xdr:row>
      <xdr:rowOff>0</xdr:rowOff>
    </xdr:from>
    <xdr:to>
      <xdr:col>16</xdr:col>
      <xdr:colOff>0</xdr:colOff>
      <xdr:row>1215</xdr:row>
      <xdr:rowOff>42334</xdr:rowOff>
    </xdr:to>
    <xdr:cxnSp macro="">
      <xdr:nvCxnSpPr>
        <xdr:cNvPr id="773" name="Straight Arrow Connector 772">
          <a:extLst>
            <a:ext uri="{FF2B5EF4-FFF2-40B4-BE49-F238E27FC236}">
              <a16:creationId xmlns:a16="http://schemas.microsoft.com/office/drawing/2014/main" id="{00000000-0008-0000-1300-000005030000}"/>
            </a:ext>
          </a:extLst>
        </xdr:cNvPr>
        <xdr:cNvCxnSpPr/>
      </xdr:nvCxnSpPr>
      <xdr:spPr>
        <a:xfrm>
          <a:off x="10530417" y="58864500"/>
          <a:ext cx="613833" cy="804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1222</xdr:row>
      <xdr:rowOff>0</xdr:rowOff>
    </xdr:from>
    <xdr:to>
      <xdr:col>15</xdr:col>
      <xdr:colOff>603250</xdr:colOff>
      <xdr:row>1224</xdr:row>
      <xdr:rowOff>1</xdr:rowOff>
    </xdr:to>
    <xdr:cxnSp macro="">
      <xdr:nvCxnSpPr>
        <xdr:cNvPr id="774" name="Straight Arrow Connector 773">
          <a:extLst>
            <a:ext uri="{FF2B5EF4-FFF2-40B4-BE49-F238E27FC236}">
              <a16:creationId xmlns:a16="http://schemas.microsoft.com/office/drawing/2014/main" id="{00000000-0008-0000-1300-000006030000}"/>
            </a:ext>
          </a:extLst>
        </xdr:cNvPr>
        <xdr:cNvCxnSpPr/>
      </xdr:nvCxnSpPr>
      <xdr:spPr>
        <a:xfrm flipV="1">
          <a:off x="10530417" y="611505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1224</xdr:row>
      <xdr:rowOff>10584</xdr:rowOff>
    </xdr:from>
    <xdr:to>
      <xdr:col>15</xdr:col>
      <xdr:colOff>592666</xdr:colOff>
      <xdr:row>1225</xdr:row>
      <xdr:rowOff>95250</xdr:rowOff>
    </xdr:to>
    <xdr:cxnSp macro="">
      <xdr:nvCxnSpPr>
        <xdr:cNvPr id="775" name="Straight Arrow Connector 774">
          <a:extLst>
            <a:ext uri="{FF2B5EF4-FFF2-40B4-BE49-F238E27FC236}">
              <a16:creationId xmlns:a16="http://schemas.microsoft.com/office/drawing/2014/main" id="{00000000-0008-0000-1300-000007030000}"/>
            </a:ext>
          </a:extLst>
        </xdr:cNvPr>
        <xdr:cNvCxnSpPr/>
      </xdr:nvCxnSpPr>
      <xdr:spPr>
        <a:xfrm>
          <a:off x="10572750" y="615420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1224</xdr:row>
      <xdr:rowOff>10584</xdr:rowOff>
    </xdr:from>
    <xdr:to>
      <xdr:col>15</xdr:col>
      <xdr:colOff>560916</xdr:colOff>
      <xdr:row>1228</xdr:row>
      <xdr:rowOff>52917</xdr:rowOff>
    </xdr:to>
    <xdr:cxnSp macro="">
      <xdr:nvCxnSpPr>
        <xdr:cNvPr id="776" name="Straight Arrow Connector 775">
          <a:extLst>
            <a:ext uri="{FF2B5EF4-FFF2-40B4-BE49-F238E27FC236}">
              <a16:creationId xmlns:a16="http://schemas.microsoft.com/office/drawing/2014/main" id="{00000000-0008-0000-1300-000008030000}"/>
            </a:ext>
          </a:extLst>
        </xdr:cNvPr>
        <xdr:cNvCxnSpPr/>
      </xdr:nvCxnSpPr>
      <xdr:spPr>
        <a:xfrm>
          <a:off x="10551583" y="615420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1224</xdr:row>
      <xdr:rowOff>31750</xdr:rowOff>
    </xdr:from>
    <xdr:to>
      <xdr:col>16</xdr:col>
      <xdr:colOff>21167</xdr:colOff>
      <xdr:row>1231</xdr:row>
      <xdr:rowOff>95250</xdr:rowOff>
    </xdr:to>
    <xdr:cxnSp macro="">
      <xdr:nvCxnSpPr>
        <xdr:cNvPr id="777" name="Straight Arrow Connector 776">
          <a:extLst>
            <a:ext uri="{FF2B5EF4-FFF2-40B4-BE49-F238E27FC236}">
              <a16:creationId xmlns:a16="http://schemas.microsoft.com/office/drawing/2014/main" id="{00000000-0008-0000-1300-000009030000}"/>
            </a:ext>
          </a:extLst>
        </xdr:cNvPr>
        <xdr:cNvCxnSpPr/>
      </xdr:nvCxnSpPr>
      <xdr:spPr>
        <a:xfrm>
          <a:off x="10583333" y="615632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1238</xdr:row>
      <xdr:rowOff>0</xdr:rowOff>
    </xdr:from>
    <xdr:to>
      <xdr:col>16</xdr:col>
      <xdr:colOff>0</xdr:colOff>
      <xdr:row>1238</xdr:row>
      <xdr:rowOff>42334</xdr:rowOff>
    </xdr:to>
    <xdr:cxnSp macro="">
      <xdr:nvCxnSpPr>
        <xdr:cNvPr id="778" name="Straight Arrow Connector 777">
          <a:extLst>
            <a:ext uri="{FF2B5EF4-FFF2-40B4-BE49-F238E27FC236}">
              <a16:creationId xmlns:a16="http://schemas.microsoft.com/office/drawing/2014/main" id="{00000000-0008-0000-1300-00000A030000}"/>
            </a:ext>
          </a:extLst>
        </xdr:cNvPr>
        <xdr:cNvCxnSpPr/>
      </xdr:nvCxnSpPr>
      <xdr:spPr>
        <a:xfrm>
          <a:off x="10562166" y="641985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1238</xdr:row>
      <xdr:rowOff>21166</xdr:rowOff>
    </xdr:from>
    <xdr:to>
      <xdr:col>15</xdr:col>
      <xdr:colOff>560916</xdr:colOff>
      <xdr:row>1241</xdr:row>
      <xdr:rowOff>84667</xdr:rowOff>
    </xdr:to>
    <xdr:cxnSp macro="">
      <xdr:nvCxnSpPr>
        <xdr:cNvPr id="779" name="Straight Arrow Connector 778">
          <a:extLst>
            <a:ext uri="{FF2B5EF4-FFF2-40B4-BE49-F238E27FC236}">
              <a16:creationId xmlns:a16="http://schemas.microsoft.com/office/drawing/2014/main" id="{00000000-0008-0000-1300-00000B030000}"/>
            </a:ext>
          </a:extLst>
        </xdr:cNvPr>
        <xdr:cNvCxnSpPr/>
      </xdr:nvCxnSpPr>
      <xdr:spPr>
        <a:xfrm>
          <a:off x="10615083" y="642196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1238</xdr:row>
      <xdr:rowOff>52916</xdr:rowOff>
    </xdr:from>
    <xdr:to>
      <xdr:col>15</xdr:col>
      <xdr:colOff>592666</xdr:colOff>
      <xdr:row>1244</xdr:row>
      <xdr:rowOff>63501</xdr:rowOff>
    </xdr:to>
    <xdr:cxnSp macro="">
      <xdr:nvCxnSpPr>
        <xdr:cNvPr id="780" name="Straight Arrow Connector 779">
          <a:extLst>
            <a:ext uri="{FF2B5EF4-FFF2-40B4-BE49-F238E27FC236}">
              <a16:creationId xmlns:a16="http://schemas.microsoft.com/office/drawing/2014/main" id="{00000000-0008-0000-1300-00000C030000}"/>
            </a:ext>
          </a:extLst>
        </xdr:cNvPr>
        <xdr:cNvCxnSpPr/>
      </xdr:nvCxnSpPr>
      <xdr:spPr>
        <a:xfrm>
          <a:off x="10572750" y="642514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1235</xdr:row>
      <xdr:rowOff>52917</xdr:rowOff>
    </xdr:from>
    <xdr:to>
      <xdr:col>15</xdr:col>
      <xdr:colOff>603250</xdr:colOff>
      <xdr:row>1237</xdr:row>
      <xdr:rowOff>148167</xdr:rowOff>
    </xdr:to>
    <xdr:cxnSp macro="">
      <xdr:nvCxnSpPr>
        <xdr:cNvPr id="781" name="Straight Arrow Connector 780">
          <a:extLst>
            <a:ext uri="{FF2B5EF4-FFF2-40B4-BE49-F238E27FC236}">
              <a16:creationId xmlns:a16="http://schemas.microsoft.com/office/drawing/2014/main" id="{00000000-0008-0000-1300-00000D030000}"/>
            </a:ext>
          </a:extLst>
        </xdr:cNvPr>
        <xdr:cNvCxnSpPr/>
      </xdr:nvCxnSpPr>
      <xdr:spPr>
        <a:xfrm flipV="1">
          <a:off x="10583333" y="636799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698500</xdr:colOff>
      <xdr:row>1279</xdr:row>
      <xdr:rowOff>95250</xdr:rowOff>
    </xdr:from>
    <xdr:to>
      <xdr:col>8</xdr:col>
      <xdr:colOff>21167</xdr:colOff>
      <xdr:row>1311</xdr:row>
      <xdr:rowOff>148166</xdr:rowOff>
    </xdr:to>
    <xdr:cxnSp macro="">
      <xdr:nvCxnSpPr>
        <xdr:cNvPr id="782" name="Straight Arrow Connector 781">
          <a:extLst>
            <a:ext uri="{FF2B5EF4-FFF2-40B4-BE49-F238E27FC236}">
              <a16:creationId xmlns:a16="http://schemas.microsoft.com/office/drawing/2014/main" id="{00000000-0008-0000-1300-00000E030000}"/>
            </a:ext>
          </a:extLst>
        </xdr:cNvPr>
        <xdr:cNvCxnSpPr/>
      </xdr:nvCxnSpPr>
      <xdr:spPr>
        <a:xfrm>
          <a:off x="5080000" y="72294750"/>
          <a:ext cx="719667" cy="6148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1250</xdr:row>
      <xdr:rowOff>137583</xdr:rowOff>
    </xdr:from>
    <xdr:to>
      <xdr:col>9</xdr:col>
      <xdr:colOff>603250</xdr:colOff>
      <xdr:row>1256</xdr:row>
      <xdr:rowOff>21166</xdr:rowOff>
    </xdr:to>
    <xdr:cxnSp macro="">
      <xdr:nvCxnSpPr>
        <xdr:cNvPr id="783" name="Straight Arrow Connector 782">
          <a:extLst>
            <a:ext uri="{FF2B5EF4-FFF2-40B4-BE49-F238E27FC236}">
              <a16:creationId xmlns:a16="http://schemas.microsoft.com/office/drawing/2014/main" id="{00000000-0008-0000-1300-00000F030000}"/>
            </a:ext>
          </a:extLst>
        </xdr:cNvPr>
        <xdr:cNvCxnSpPr/>
      </xdr:nvCxnSpPr>
      <xdr:spPr>
        <a:xfrm flipV="1">
          <a:off x="6381750" y="66622083"/>
          <a:ext cx="603250" cy="1026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1259</xdr:row>
      <xdr:rowOff>0</xdr:rowOff>
    </xdr:from>
    <xdr:to>
      <xdr:col>9</xdr:col>
      <xdr:colOff>582083</xdr:colOff>
      <xdr:row>1267</xdr:row>
      <xdr:rowOff>10583</xdr:rowOff>
    </xdr:to>
    <xdr:cxnSp macro="">
      <xdr:nvCxnSpPr>
        <xdr:cNvPr id="784" name="Straight Arrow Connector 783">
          <a:extLst>
            <a:ext uri="{FF2B5EF4-FFF2-40B4-BE49-F238E27FC236}">
              <a16:creationId xmlns:a16="http://schemas.microsoft.com/office/drawing/2014/main" id="{00000000-0008-0000-1300-000010030000}"/>
            </a:ext>
          </a:extLst>
        </xdr:cNvPr>
        <xdr:cNvCxnSpPr/>
      </xdr:nvCxnSpPr>
      <xdr:spPr>
        <a:xfrm>
          <a:off x="6413500" y="68199000"/>
          <a:ext cx="550333" cy="1534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21167</xdr:colOff>
      <xdr:row>1264</xdr:row>
      <xdr:rowOff>169333</xdr:rowOff>
    </xdr:from>
    <xdr:to>
      <xdr:col>11</xdr:col>
      <xdr:colOff>603250</xdr:colOff>
      <xdr:row>1267</xdr:row>
      <xdr:rowOff>21167</xdr:rowOff>
    </xdr:to>
    <xdr:cxnSp macro="">
      <xdr:nvCxnSpPr>
        <xdr:cNvPr id="785" name="Straight Arrow Connector 784">
          <a:extLst>
            <a:ext uri="{FF2B5EF4-FFF2-40B4-BE49-F238E27FC236}">
              <a16:creationId xmlns:a16="http://schemas.microsoft.com/office/drawing/2014/main" id="{00000000-0008-0000-1300-000011030000}"/>
            </a:ext>
          </a:extLst>
        </xdr:cNvPr>
        <xdr:cNvCxnSpPr/>
      </xdr:nvCxnSpPr>
      <xdr:spPr>
        <a:xfrm flipV="1">
          <a:off x="7609417" y="69320833"/>
          <a:ext cx="582083" cy="423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1270</xdr:row>
      <xdr:rowOff>42333</xdr:rowOff>
    </xdr:from>
    <xdr:to>
      <xdr:col>11</xdr:col>
      <xdr:colOff>603250</xdr:colOff>
      <xdr:row>1282</xdr:row>
      <xdr:rowOff>10583</xdr:rowOff>
    </xdr:to>
    <xdr:cxnSp macro="">
      <xdr:nvCxnSpPr>
        <xdr:cNvPr id="786" name="Straight Arrow Connector 785">
          <a:extLst>
            <a:ext uri="{FF2B5EF4-FFF2-40B4-BE49-F238E27FC236}">
              <a16:creationId xmlns:a16="http://schemas.microsoft.com/office/drawing/2014/main" id="{00000000-0008-0000-1300-000012030000}"/>
            </a:ext>
          </a:extLst>
        </xdr:cNvPr>
        <xdr:cNvCxnSpPr/>
      </xdr:nvCxnSpPr>
      <xdr:spPr>
        <a:xfrm>
          <a:off x="7598834" y="703368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1260</xdr:row>
      <xdr:rowOff>21167</xdr:rowOff>
    </xdr:from>
    <xdr:to>
      <xdr:col>13</xdr:col>
      <xdr:colOff>592667</xdr:colOff>
      <xdr:row>1262</xdr:row>
      <xdr:rowOff>0</xdr:rowOff>
    </xdr:to>
    <xdr:cxnSp macro="">
      <xdr:nvCxnSpPr>
        <xdr:cNvPr id="787" name="Straight Arrow Connector 786">
          <a:extLst>
            <a:ext uri="{FF2B5EF4-FFF2-40B4-BE49-F238E27FC236}">
              <a16:creationId xmlns:a16="http://schemas.microsoft.com/office/drawing/2014/main" id="{00000000-0008-0000-1300-000013030000}"/>
            </a:ext>
          </a:extLst>
        </xdr:cNvPr>
        <xdr:cNvCxnSpPr/>
      </xdr:nvCxnSpPr>
      <xdr:spPr>
        <a:xfrm flipV="1">
          <a:off x="8794750" y="684106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1265</xdr:row>
      <xdr:rowOff>21166</xdr:rowOff>
    </xdr:from>
    <xdr:to>
      <xdr:col>13</xdr:col>
      <xdr:colOff>592667</xdr:colOff>
      <xdr:row>1266</xdr:row>
      <xdr:rowOff>169334</xdr:rowOff>
    </xdr:to>
    <xdr:cxnSp macro="">
      <xdr:nvCxnSpPr>
        <xdr:cNvPr id="788" name="Straight Arrow Connector 787">
          <a:extLst>
            <a:ext uri="{FF2B5EF4-FFF2-40B4-BE49-F238E27FC236}">
              <a16:creationId xmlns:a16="http://schemas.microsoft.com/office/drawing/2014/main" id="{00000000-0008-0000-1300-000014030000}"/>
            </a:ext>
          </a:extLst>
        </xdr:cNvPr>
        <xdr:cNvCxnSpPr/>
      </xdr:nvCxnSpPr>
      <xdr:spPr>
        <a:xfrm>
          <a:off x="8784166" y="693631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1280</xdr:row>
      <xdr:rowOff>21167</xdr:rowOff>
    </xdr:from>
    <xdr:to>
      <xdr:col>13</xdr:col>
      <xdr:colOff>592667</xdr:colOff>
      <xdr:row>1282</xdr:row>
      <xdr:rowOff>63500</xdr:rowOff>
    </xdr:to>
    <xdr:cxnSp macro="">
      <xdr:nvCxnSpPr>
        <xdr:cNvPr id="789" name="Straight Arrow Connector 788">
          <a:extLst>
            <a:ext uri="{FF2B5EF4-FFF2-40B4-BE49-F238E27FC236}">
              <a16:creationId xmlns:a16="http://schemas.microsoft.com/office/drawing/2014/main" id="{00000000-0008-0000-1300-000015030000}"/>
            </a:ext>
          </a:extLst>
        </xdr:cNvPr>
        <xdr:cNvCxnSpPr/>
      </xdr:nvCxnSpPr>
      <xdr:spPr>
        <a:xfrm flipV="1">
          <a:off x="8794750" y="724111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1285</xdr:row>
      <xdr:rowOff>0</xdr:rowOff>
    </xdr:from>
    <xdr:to>
      <xdr:col>14</xdr:col>
      <xdr:colOff>10584</xdr:colOff>
      <xdr:row>1293</xdr:row>
      <xdr:rowOff>148167</xdr:rowOff>
    </xdr:to>
    <xdr:cxnSp macro="">
      <xdr:nvCxnSpPr>
        <xdr:cNvPr id="790" name="Straight Arrow Connector 789">
          <a:extLst>
            <a:ext uri="{FF2B5EF4-FFF2-40B4-BE49-F238E27FC236}">
              <a16:creationId xmlns:a16="http://schemas.microsoft.com/office/drawing/2014/main" id="{00000000-0008-0000-1300-000016030000}"/>
            </a:ext>
          </a:extLst>
        </xdr:cNvPr>
        <xdr:cNvCxnSpPr/>
      </xdr:nvCxnSpPr>
      <xdr:spPr>
        <a:xfrm>
          <a:off x="8805333" y="733425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1252</xdr:row>
      <xdr:rowOff>0</xdr:rowOff>
    </xdr:from>
    <xdr:to>
      <xdr:col>15</xdr:col>
      <xdr:colOff>603250</xdr:colOff>
      <xdr:row>1257</xdr:row>
      <xdr:rowOff>31750</xdr:rowOff>
    </xdr:to>
    <xdr:cxnSp macro="">
      <xdr:nvCxnSpPr>
        <xdr:cNvPr id="791" name="Straight Arrow Connector 790">
          <a:extLst>
            <a:ext uri="{FF2B5EF4-FFF2-40B4-BE49-F238E27FC236}">
              <a16:creationId xmlns:a16="http://schemas.microsoft.com/office/drawing/2014/main" id="{00000000-0008-0000-1300-000017030000}"/>
            </a:ext>
          </a:extLst>
        </xdr:cNvPr>
        <xdr:cNvCxnSpPr/>
      </xdr:nvCxnSpPr>
      <xdr:spPr>
        <a:xfrm flipV="1">
          <a:off x="10541000" y="66865500"/>
          <a:ext cx="603250" cy="984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1255</xdr:row>
      <xdr:rowOff>52917</xdr:rowOff>
    </xdr:from>
    <xdr:to>
      <xdr:col>15</xdr:col>
      <xdr:colOff>603250</xdr:colOff>
      <xdr:row>1257</xdr:row>
      <xdr:rowOff>95250</xdr:rowOff>
    </xdr:to>
    <xdr:cxnSp macro="">
      <xdr:nvCxnSpPr>
        <xdr:cNvPr id="792" name="Straight Arrow Connector 791">
          <a:extLst>
            <a:ext uri="{FF2B5EF4-FFF2-40B4-BE49-F238E27FC236}">
              <a16:creationId xmlns:a16="http://schemas.microsoft.com/office/drawing/2014/main" id="{00000000-0008-0000-1300-000018030000}"/>
            </a:ext>
          </a:extLst>
        </xdr:cNvPr>
        <xdr:cNvCxnSpPr/>
      </xdr:nvCxnSpPr>
      <xdr:spPr>
        <a:xfrm flipV="1">
          <a:off x="10583333" y="67489917"/>
          <a:ext cx="56091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1257</xdr:row>
      <xdr:rowOff>158750</xdr:rowOff>
    </xdr:from>
    <xdr:to>
      <xdr:col>15</xdr:col>
      <xdr:colOff>582083</xdr:colOff>
      <xdr:row>1258</xdr:row>
      <xdr:rowOff>137583</xdr:rowOff>
    </xdr:to>
    <xdr:cxnSp macro="">
      <xdr:nvCxnSpPr>
        <xdr:cNvPr id="793" name="Straight Arrow Connector 792">
          <a:extLst>
            <a:ext uri="{FF2B5EF4-FFF2-40B4-BE49-F238E27FC236}">
              <a16:creationId xmlns:a16="http://schemas.microsoft.com/office/drawing/2014/main" id="{00000000-0008-0000-1300-000019030000}"/>
            </a:ext>
          </a:extLst>
        </xdr:cNvPr>
        <xdr:cNvCxnSpPr/>
      </xdr:nvCxnSpPr>
      <xdr:spPr>
        <a:xfrm>
          <a:off x="10604500" y="67976750"/>
          <a:ext cx="518583" cy="169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1121834</xdr:colOff>
      <xdr:row>1257</xdr:row>
      <xdr:rowOff>105834</xdr:rowOff>
    </xdr:from>
    <xdr:to>
      <xdr:col>16</xdr:col>
      <xdr:colOff>0</xdr:colOff>
      <xdr:row>1261</xdr:row>
      <xdr:rowOff>84667</xdr:rowOff>
    </xdr:to>
    <xdr:cxnSp macro="">
      <xdr:nvCxnSpPr>
        <xdr:cNvPr id="794" name="Straight Arrow Connector 793">
          <a:extLst>
            <a:ext uri="{FF2B5EF4-FFF2-40B4-BE49-F238E27FC236}">
              <a16:creationId xmlns:a16="http://schemas.microsoft.com/office/drawing/2014/main" id="{00000000-0008-0000-1300-00001A030000}"/>
            </a:ext>
          </a:extLst>
        </xdr:cNvPr>
        <xdr:cNvCxnSpPr/>
      </xdr:nvCxnSpPr>
      <xdr:spPr>
        <a:xfrm>
          <a:off x="10519834" y="67923834"/>
          <a:ext cx="624416"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1265</xdr:row>
      <xdr:rowOff>52916</xdr:rowOff>
    </xdr:from>
    <xdr:to>
      <xdr:col>16</xdr:col>
      <xdr:colOff>0</xdr:colOff>
      <xdr:row>1267</xdr:row>
      <xdr:rowOff>0</xdr:rowOff>
    </xdr:to>
    <xdr:cxnSp macro="">
      <xdr:nvCxnSpPr>
        <xdr:cNvPr id="795" name="Straight Arrow Connector 794">
          <a:extLst>
            <a:ext uri="{FF2B5EF4-FFF2-40B4-BE49-F238E27FC236}">
              <a16:creationId xmlns:a16="http://schemas.microsoft.com/office/drawing/2014/main" id="{00000000-0008-0000-1300-00001B030000}"/>
            </a:ext>
          </a:extLst>
        </xdr:cNvPr>
        <xdr:cNvCxnSpPr/>
      </xdr:nvCxnSpPr>
      <xdr:spPr>
        <a:xfrm flipV="1">
          <a:off x="10541000" y="693949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1267</xdr:row>
      <xdr:rowOff>21167</xdr:rowOff>
    </xdr:from>
    <xdr:to>
      <xdr:col>15</xdr:col>
      <xdr:colOff>582083</xdr:colOff>
      <xdr:row>1268</xdr:row>
      <xdr:rowOff>42333</xdr:rowOff>
    </xdr:to>
    <xdr:cxnSp macro="">
      <xdr:nvCxnSpPr>
        <xdr:cNvPr id="796" name="Straight Arrow Connector 795">
          <a:extLst>
            <a:ext uri="{FF2B5EF4-FFF2-40B4-BE49-F238E27FC236}">
              <a16:creationId xmlns:a16="http://schemas.microsoft.com/office/drawing/2014/main" id="{00000000-0008-0000-1300-00001C030000}"/>
            </a:ext>
          </a:extLst>
        </xdr:cNvPr>
        <xdr:cNvCxnSpPr/>
      </xdr:nvCxnSpPr>
      <xdr:spPr>
        <a:xfrm>
          <a:off x="10551583" y="69744167"/>
          <a:ext cx="571500" cy="211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1267</xdr:row>
      <xdr:rowOff>21167</xdr:rowOff>
    </xdr:from>
    <xdr:to>
      <xdr:col>16</xdr:col>
      <xdr:colOff>42333</xdr:colOff>
      <xdr:row>1272</xdr:row>
      <xdr:rowOff>21168</xdr:rowOff>
    </xdr:to>
    <xdr:cxnSp macro="">
      <xdr:nvCxnSpPr>
        <xdr:cNvPr id="797" name="Straight Arrow Connector 796">
          <a:extLst>
            <a:ext uri="{FF2B5EF4-FFF2-40B4-BE49-F238E27FC236}">
              <a16:creationId xmlns:a16="http://schemas.microsoft.com/office/drawing/2014/main" id="{00000000-0008-0000-1300-00001D030000}"/>
            </a:ext>
          </a:extLst>
        </xdr:cNvPr>
        <xdr:cNvCxnSpPr/>
      </xdr:nvCxnSpPr>
      <xdr:spPr>
        <a:xfrm>
          <a:off x="10530417" y="69744167"/>
          <a:ext cx="656166" cy="9525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1267</xdr:row>
      <xdr:rowOff>31750</xdr:rowOff>
    </xdr:from>
    <xdr:to>
      <xdr:col>16</xdr:col>
      <xdr:colOff>42334</xdr:colOff>
      <xdr:row>1274</xdr:row>
      <xdr:rowOff>63501</xdr:rowOff>
    </xdr:to>
    <xdr:cxnSp macro="">
      <xdr:nvCxnSpPr>
        <xdr:cNvPr id="798" name="Straight Arrow Connector 797">
          <a:extLst>
            <a:ext uri="{FF2B5EF4-FFF2-40B4-BE49-F238E27FC236}">
              <a16:creationId xmlns:a16="http://schemas.microsoft.com/office/drawing/2014/main" id="{00000000-0008-0000-1300-00001E030000}"/>
            </a:ext>
          </a:extLst>
        </xdr:cNvPr>
        <xdr:cNvCxnSpPr/>
      </xdr:nvCxnSpPr>
      <xdr:spPr>
        <a:xfrm>
          <a:off x="10541000" y="69754750"/>
          <a:ext cx="645584"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10583</xdr:colOff>
      <xdr:row>1304</xdr:row>
      <xdr:rowOff>42333</xdr:rowOff>
    </xdr:from>
    <xdr:to>
      <xdr:col>9</xdr:col>
      <xdr:colOff>592666</xdr:colOff>
      <xdr:row>1312</xdr:row>
      <xdr:rowOff>42333</xdr:rowOff>
    </xdr:to>
    <xdr:cxnSp macro="">
      <xdr:nvCxnSpPr>
        <xdr:cNvPr id="799" name="Straight Arrow Connector 798">
          <a:extLst>
            <a:ext uri="{FF2B5EF4-FFF2-40B4-BE49-F238E27FC236}">
              <a16:creationId xmlns:a16="http://schemas.microsoft.com/office/drawing/2014/main" id="{00000000-0008-0000-1300-00001F030000}"/>
            </a:ext>
          </a:extLst>
        </xdr:cNvPr>
        <xdr:cNvCxnSpPr/>
      </xdr:nvCxnSpPr>
      <xdr:spPr>
        <a:xfrm flipV="1">
          <a:off x="6392333" y="77004333"/>
          <a:ext cx="582083" cy="152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1314</xdr:row>
      <xdr:rowOff>169334</xdr:rowOff>
    </xdr:from>
    <xdr:to>
      <xdr:col>9</xdr:col>
      <xdr:colOff>603250</xdr:colOff>
      <xdr:row>1323</xdr:row>
      <xdr:rowOff>31750</xdr:rowOff>
    </xdr:to>
    <xdr:cxnSp macro="">
      <xdr:nvCxnSpPr>
        <xdr:cNvPr id="800" name="Straight Arrow Connector 799">
          <a:extLst>
            <a:ext uri="{FF2B5EF4-FFF2-40B4-BE49-F238E27FC236}">
              <a16:creationId xmlns:a16="http://schemas.microsoft.com/office/drawing/2014/main" id="{00000000-0008-0000-1300-000020030000}"/>
            </a:ext>
          </a:extLst>
        </xdr:cNvPr>
        <xdr:cNvCxnSpPr/>
      </xdr:nvCxnSpPr>
      <xdr:spPr>
        <a:xfrm>
          <a:off x="6413500" y="79036334"/>
          <a:ext cx="571500" cy="1576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571500</xdr:colOff>
      <xdr:row>1320</xdr:row>
      <xdr:rowOff>158750</xdr:rowOff>
    </xdr:from>
    <xdr:to>
      <xdr:col>11</xdr:col>
      <xdr:colOff>571500</xdr:colOff>
      <xdr:row>1323</xdr:row>
      <xdr:rowOff>0</xdr:rowOff>
    </xdr:to>
    <xdr:cxnSp macro="">
      <xdr:nvCxnSpPr>
        <xdr:cNvPr id="801" name="Straight Arrow Connector 800">
          <a:extLst>
            <a:ext uri="{FF2B5EF4-FFF2-40B4-BE49-F238E27FC236}">
              <a16:creationId xmlns:a16="http://schemas.microsoft.com/office/drawing/2014/main" id="{00000000-0008-0000-1300-000021030000}"/>
            </a:ext>
          </a:extLst>
        </xdr:cNvPr>
        <xdr:cNvCxnSpPr/>
      </xdr:nvCxnSpPr>
      <xdr:spPr>
        <a:xfrm flipV="1">
          <a:off x="7556500" y="80168750"/>
          <a:ext cx="603250" cy="412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1278</xdr:row>
      <xdr:rowOff>0</xdr:rowOff>
    </xdr:from>
    <xdr:to>
      <xdr:col>15</xdr:col>
      <xdr:colOff>603250</xdr:colOff>
      <xdr:row>1280</xdr:row>
      <xdr:rowOff>1</xdr:rowOff>
    </xdr:to>
    <xdr:cxnSp macro="">
      <xdr:nvCxnSpPr>
        <xdr:cNvPr id="802" name="Straight Arrow Connector 801">
          <a:extLst>
            <a:ext uri="{FF2B5EF4-FFF2-40B4-BE49-F238E27FC236}">
              <a16:creationId xmlns:a16="http://schemas.microsoft.com/office/drawing/2014/main" id="{00000000-0008-0000-1300-000022030000}"/>
            </a:ext>
          </a:extLst>
        </xdr:cNvPr>
        <xdr:cNvCxnSpPr/>
      </xdr:nvCxnSpPr>
      <xdr:spPr>
        <a:xfrm flipV="1">
          <a:off x="10530417" y="720090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1280</xdr:row>
      <xdr:rowOff>10584</xdr:rowOff>
    </xdr:from>
    <xdr:to>
      <xdr:col>15</xdr:col>
      <xdr:colOff>592666</xdr:colOff>
      <xdr:row>1281</xdr:row>
      <xdr:rowOff>95250</xdr:rowOff>
    </xdr:to>
    <xdr:cxnSp macro="">
      <xdr:nvCxnSpPr>
        <xdr:cNvPr id="803" name="Straight Arrow Connector 802">
          <a:extLst>
            <a:ext uri="{FF2B5EF4-FFF2-40B4-BE49-F238E27FC236}">
              <a16:creationId xmlns:a16="http://schemas.microsoft.com/office/drawing/2014/main" id="{00000000-0008-0000-1300-000023030000}"/>
            </a:ext>
          </a:extLst>
        </xdr:cNvPr>
        <xdr:cNvCxnSpPr/>
      </xdr:nvCxnSpPr>
      <xdr:spPr>
        <a:xfrm>
          <a:off x="10572750" y="724005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1280</xdr:row>
      <xdr:rowOff>10584</xdr:rowOff>
    </xdr:from>
    <xdr:to>
      <xdr:col>15</xdr:col>
      <xdr:colOff>560916</xdr:colOff>
      <xdr:row>1284</xdr:row>
      <xdr:rowOff>52917</xdr:rowOff>
    </xdr:to>
    <xdr:cxnSp macro="">
      <xdr:nvCxnSpPr>
        <xdr:cNvPr id="804" name="Straight Arrow Connector 803">
          <a:extLst>
            <a:ext uri="{FF2B5EF4-FFF2-40B4-BE49-F238E27FC236}">
              <a16:creationId xmlns:a16="http://schemas.microsoft.com/office/drawing/2014/main" id="{00000000-0008-0000-1300-000024030000}"/>
            </a:ext>
          </a:extLst>
        </xdr:cNvPr>
        <xdr:cNvCxnSpPr/>
      </xdr:nvCxnSpPr>
      <xdr:spPr>
        <a:xfrm>
          <a:off x="10551583" y="724005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1280</xdr:row>
      <xdr:rowOff>31750</xdr:rowOff>
    </xdr:from>
    <xdr:to>
      <xdr:col>16</xdr:col>
      <xdr:colOff>21167</xdr:colOff>
      <xdr:row>1287</xdr:row>
      <xdr:rowOff>95250</xdr:rowOff>
    </xdr:to>
    <xdr:cxnSp macro="">
      <xdr:nvCxnSpPr>
        <xdr:cNvPr id="805" name="Straight Arrow Connector 804">
          <a:extLst>
            <a:ext uri="{FF2B5EF4-FFF2-40B4-BE49-F238E27FC236}">
              <a16:creationId xmlns:a16="http://schemas.microsoft.com/office/drawing/2014/main" id="{00000000-0008-0000-1300-000025030000}"/>
            </a:ext>
          </a:extLst>
        </xdr:cNvPr>
        <xdr:cNvCxnSpPr/>
      </xdr:nvCxnSpPr>
      <xdr:spPr>
        <a:xfrm>
          <a:off x="10583333" y="724217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1294</xdr:row>
      <xdr:rowOff>0</xdr:rowOff>
    </xdr:from>
    <xdr:to>
      <xdr:col>16</xdr:col>
      <xdr:colOff>0</xdr:colOff>
      <xdr:row>1294</xdr:row>
      <xdr:rowOff>42334</xdr:rowOff>
    </xdr:to>
    <xdr:cxnSp macro="">
      <xdr:nvCxnSpPr>
        <xdr:cNvPr id="806" name="Straight Arrow Connector 805">
          <a:extLst>
            <a:ext uri="{FF2B5EF4-FFF2-40B4-BE49-F238E27FC236}">
              <a16:creationId xmlns:a16="http://schemas.microsoft.com/office/drawing/2014/main" id="{00000000-0008-0000-1300-000026030000}"/>
            </a:ext>
          </a:extLst>
        </xdr:cNvPr>
        <xdr:cNvCxnSpPr/>
      </xdr:nvCxnSpPr>
      <xdr:spPr>
        <a:xfrm>
          <a:off x="10562166" y="750570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1294</xdr:row>
      <xdr:rowOff>21166</xdr:rowOff>
    </xdr:from>
    <xdr:to>
      <xdr:col>15</xdr:col>
      <xdr:colOff>560916</xdr:colOff>
      <xdr:row>1297</xdr:row>
      <xdr:rowOff>84667</xdr:rowOff>
    </xdr:to>
    <xdr:cxnSp macro="">
      <xdr:nvCxnSpPr>
        <xdr:cNvPr id="807" name="Straight Arrow Connector 806">
          <a:extLst>
            <a:ext uri="{FF2B5EF4-FFF2-40B4-BE49-F238E27FC236}">
              <a16:creationId xmlns:a16="http://schemas.microsoft.com/office/drawing/2014/main" id="{00000000-0008-0000-1300-000027030000}"/>
            </a:ext>
          </a:extLst>
        </xdr:cNvPr>
        <xdr:cNvCxnSpPr/>
      </xdr:nvCxnSpPr>
      <xdr:spPr>
        <a:xfrm>
          <a:off x="10615083" y="750781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1294</xdr:row>
      <xdr:rowOff>52916</xdr:rowOff>
    </xdr:from>
    <xdr:to>
      <xdr:col>15</xdr:col>
      <xdr:colOff>592666</xdr:colOff>
      <xdr:row>1300</xdr:row>
      <xdr:rowOff>63501</xdr:rowOff>
    </xdr:to>
    <xdr:cxnSp macro="">
      <xdr:nvCxnSpPr>
        <xdr:cNvPr id="808" name="Straight Arrow Connector 807">
          <a:extLst>
            <a:ext uri="{FF2B5EF4-FFF2-40B4-BE49-F238E27FC236}">
              <a16:creationId xmlns:a16="http://schemas.microsoft.com/office/drawing/2014/main" id="{00000000-0008-0000-1300-000028030000}"/>
            </a:ext>
          </a:extLst>
        </xdr:cNvPr>
        <xdr:cNvCxnSpPr/>
      </xdr:nvCxnSpPr>
      <xdr:spPr>
        <a:xfrm>
          <a:off x="10572750" y="751099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1308</xdr:row>
      <xdr:rowOff>116416</xdr:rowOff>
    </xdr:from>
    <xdr:to>
      <xdr:col>15</xdr:col>
      <xdr:colOff>592666</xdr:colOff>
      <xdr:row>1311</xdr:row>
      <xdr:rowOff>158750</xdr:rowOff>
    </xdr:to>
    <xdr:cxnSp macro="">
      <xdr:nvCxnSpPr>
        <xdr:cNvPr id="809" name="Straight Arrow Connector 808">
          <a:extLst>
            <a:ext uri="{FF2B5EF4-FFF2-40B4-BE49-F238E27FC236}">
              <a16:creationId xmlns:a16="http://schemas.microsoft.com/office/drawing/2014/main" id="{00000000-0008-0000-1300-000029030000}"/>
            </a:ext>
          </a:extLst>
        </xdr:cNvPr>
        <xdr:cNvCxnSpPr/>
      </xdr:nvCxnSpPr>
      <xdr:spPr>
        <a:xfrm flipV="1">
          <a:off x="10562166" y="77840416"/>
          <a:ext cx="571500" cy="613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1310</xdr:row>
      <xdr:rowOff>95250</xdr:rowOff>
    </xdr:from>
    <xdr:to>
      <xdr:col>15</xdr:col>
      <xdr:colOff>582083</xdr:colOff>
      <xdr:row>1312</xdr:row>
      <xdr:rowOff>52917</xdr:rowOff>
    </xdr:to>
    <xdr:cxnSp macro="">
      <xdr:nvCxnSpPr>
        <xdr:cNvPr id="810" name="Straight Arrow Connector 809">
          <a:extLst>
            <a:ext uri="{FF2B5EF4-FFF2-40B4-BE49-F238E27FC236}">
              <a16:creationId xmlns:a16="http://schemas.microsoft.com/office/drawing/2014/main" id="{00000000-0008-0000-1300-00002A030000}"/>
            </a:ext>
          </a:extLst>
        </xdr:cNvPr>
        <xdr:cNvCxnSpPr/>
      </xdr:nvCxnSpPr>
      <xdr:spPr>
        <a:xfrm flipV="1">
          <a:off x="10604500" y="78200250"/>
          <a:ext cx="518583" cy="338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1312</xdr:row>
      <xdr:rowOff>116417</xdr:rowOff>
    </xdr:from>
    <xdr:to>
      <xdr:col>15</xdr:col>
      <xdr:colOff>592666</xdr:colOff>
      <xdr:row>1316</xdr:row>
      <xdr:rowOff>95250</xdr:rowOff>
    </xdr:to>
    <xdr:cxnSp macro="">
      <xdr:nvCxnSpPr>
        <xdr:cNvPr id="811" name="Straight Arrow Connector 810">
          <a:extLst>
            <a:ext uri="{FF2B5EF4-FFF2-40B4-BE49-F238E27FC236}">
              <a16:creationId xmlns:a16="http://schemas.microsoft.com/office/drawing/2014/main" id="{00000000-0008-0000-1300-00002B030000}"/>
            </a:ext>
          </a:extLst>
        </xdr:cNvPr>
        <xdr:cNvCxnSpPr/>
      </xdr:nvCxnSpPr>
      <xdr:spPr>
        <a:xfrm>
          <a:off x="10593916" y="78602417"/>
          <a:ext cx="53975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1323</xdr:row>
      <xdr:rowOff>116416</xdr:rowOff>
    </xdr:from>
    <xdr:to>
      <xdr:col>16</xdr:col>
      <xdr:colOff>0</xdr:colOff>
      <xdr:row>1330</xdr:row>
      <xdr:rowOff>74084</xdr:rowOff>
    </xdr:to>
    <xdr:cxnSp macro="">
      <xdr:nvCxnSpPr>
        <xdr:cNvPr id="812" name="Straight Arrow Connector 811">
          <a:extLst>
            <a:ext uri="{FF2B5EF4-FFF2-40B4-BE49-F238E27FC236}">
              <a16:creationId xmlns:a16="http://schemas.microsoft.com/office/drawing/2014/main" id="{00000000-0008-0000-1300-00002C030000}"/>
            </a:ext>
          </a:extLst>
        </xdr:cNvPr>
        <xdr:cNvCxnSpPr/>
      </xdr:nvCxnSpPr>
      <xdr:spPr>
        <a:xfrm>
          <a:off x="10572750" y="80697916"/>
          <a:ext cx="571500" cy="12911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1291</xdr:row>
      <xdr:rowOff>52917</xdr:rowOff>
    </xdr:from>
    <xdr:to>
      <xdr:col>15</xdr:col>
      <xdr:colOff>603250</xdr:colOff>
      <xdr:row>1293</xdr:row>
      <xdr:rowOff>148167</xdr:rowOff>
    </xdr:to>
    <xdr:cxnSp macro="">
      <xdr:nvCxnSpPr>
        <xdr:cNvPr id="813" name="Straight Arrow Connector 812">
          <a:extLst>
            <a:ext uri="{FF2B5EF4-FFF2-40B4-BE49-F238E27FC236}">
              <a16:creationId xmlns:a16="http://schemas.microsoft.com/office/drawing/2014/main" id="{00000000-0008-0000-1300-00002D030000}"/>
            </a:ext>
          </a:extLst>
        </xdr:cNvPr>
        <xdr:cNvCxnSpPr/>
      </xdr:nvCxnSpPr>
      <xdr:spPr>
        <a:xfrm flipV="1">
          <a:off x="10583333" y="745384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1326</xdr:row>
      <xdr:rowOff>42333</xdr:rowOff>
    </xdr:from>
    <xdr:to>
      <xdr:col>11</xdr:col>
      <xdr:colOff>603250</xdr:colOff>
      <xdr:row>1338</xdr:row>
      <xdr:rowOff>10583</xdr:rowOff>
    </xdr:to>
    <xdr:cxnSp macro="">
      <xdr:nvCxnSpPr>
        <xdr:cNvPr id="814" name="Straight Arrow Connector 813">
          <a:extLst>
            <a:ext uri="{FF2B5EF4-FFF2-40B4-BE49-F238E27FC236}">
              <a16:creationId xmlns:a16="http://schemas.microsoft.com/office/drawing/2014/main" id="{00000000-0008-0000-1300-00002E030000}"/>
            </a:ext>
          </a:extLst>
        </xdr:cNvPr>
        <xdr:cNvCxnSpPr/>
      </xdr:nvCxnSpPr>
      <xdr:spPr>
        <a:xfrm>
          <a:off x="7598834" y="811953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1316</xdr:row>
      <xdr:rowOff>21167</xdr:rowOff>
    </xdr:from>
    <xdr:to>
      <xdr:col>13</xdr:col>
      <xdr:colOff>592667</xdr:colOff>
      <xdr:row>1318</xdr:row>
      <xdr:rowOff>0</xdr:rowOff>
    </xdr:to>
    <xdr:cxnSp macro="">
      <xdr:nvCxnSpPr>
        <xdr:cNvPr id="815" name="Straight Arrow Connector 814">
          <a:extLst>
            <a:ext uri="{FF2B5EF4-FFF2-40B4-BE49-F238E27FC236}">
              <a16:creationId xmlns:a16="http://schemas.microsoft.com/office/drawing/2014/main" id="{00000000-0008-0000-1300-00002F030000}"/>
            </a:ext>
          </a:extLst>
        </xdr:cNvPr>
        <xdr:cNvCxnSpPr/>
      </xdr:nvCxnSpPr>
      <xdr:spPr>
        <a:xfrm flipV="1">
          <a:off x="8794750" y="792691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1321</xdr:row>
      <xdr:rowOff>21166</xdr:rowOff>
    </xdr:from>
    <xdr:to>
      <xdr:col>13</xdr:col>
      <xdr:colOff>592667</xdr:colOff>
      <xdr:row>1322</xdr:row>
      <xdr:rowOff>169334</xdr:rowOff>
    </xdr:to>
    <xdr:cxnSp macro="">
      <xdr:nvCxnSpPr>
        <xdr:cNvPr id="816" name="Straight Arrow Connector 815">
          <a:extLst>
            <a:ext uri="{FF2B5EF4-FFF2-40B4-BE49-F238E27FC236}">
              <a16:creationId xmlns:a16="http://schemas.microsoft.com/office/drawing/2014/main" id="{00000000-0008-0000-1300-000030030000}"/>
            </a:ext>
          </a:extLst>
        </xdr:cNvPr>
        <xdr:cNvCxnSpPr/>
      </xdr:nvCxnSpPr>
      <xdr:spPr>
        <a:xfrm>
          <a:off x="8784166" y="802216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1336</xdr:row>
      <xdr:rowOff>21167</xdr:rowOff>
    </xdr:from>
    <xdr:to>
      <xdr:col>13</xdr:col>
      <xdr:colOff>592667</xdr:colOff>
      <xdr:row>1338</xdr:row>
      <xdr:rowOff>63500</xdr:rowOff>
    </xdr:to>
    <xdr:cxnSp macro="">
      <xdr:nvCxnSpPr>
        <xdr:cNvPr id="817" name="Straight Arrow Connector 816">
          <a:extLst>
            <a:ext uri="{FF2B5EF4-FFF2-40B4-BE49-F238E27FC236}">
              <a16:creationId xmlns:a16="http://schemas.microsoft.com/office/drawing/2014/main" id="{00000000-0008-0000-1300-000031030000}"/>
            </a:ext>
          </a:extLst>
        </xdr:cNvPr>
        <xdr:cNvCxnSpPr/>
      </xdr:nvCxnSpPr>
      <xdr:spPr>
        <a:xfrm flipV="1">
          <a:off x="8794750" y="832696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1341</xdr:row>
      <xdr:rowOff>0</xdr:rowOff>
    </xdr:from>
    <xdr:to>
      <xdr:col>14</xdr:col>
      <xdr:colOff>10584</xdr:colOff>
      <xdr:row>1349</xdr:row>
      <xdr:rowOff>148167</xdr:rowOff>
    </xdr:to>
    <xdr:cxnSp macro="">
      <xdr:nvCxnSpPr>
        <xdr:cNvPr id="818" name="Straight Arrow Connector 817">
          <a:extLst>
            <a:ext uri="{FF2B5EF4-FFF2-40B4-BE49-F238E27FC236}">
              <a16:creationId xmlns:a16="http://schemas.microsoft.com/office/drawing/2014/main" id="{00000000-0008-0000-1300-000032030000}"/>
            </a:ext>
          </a:extLst>
        </xdr:cNvPr>
        <xdr:cNvCxnSpPr/>
      </xdr:nvCxnSpPr>
      <xdr:spPr>
        <a:xfrm>
          <a:off x="8805333" y="842010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1312</xdr:row>
      <xdr:rowOff>95250</xdr:rowOff>
    </xdr:from>
    <xdr:to>
      <xdr:col>15</xdr:col>
      <xdr:colOff>582083</xdr:colOff>
      <xdr:row>1314</xdr:row>
      <xdr:rowOff>137583</xdr:rowOff>
    </xdr:to>
    <xdr:cxnSp macro="">
      <xdr:nvCxnSpPr>
        <xdr:cNvPr id="819" name="Straight Arrow Connector 818">
          <a:extLst>
            <a:ext uri="{FF2B5EF4-FFF2-40B4-BE49-F238E27FC236}">
              <a16:creationId xmlns:a16="http://schemas.microsoft.com/office/drawing/2014/main" id="{00000000-0008-0000-1300-000033030000}"/>
            </a:ext>
          </a:extLst>
        </xdr:cNvPr>
        <xdr:cNvCxnSpPr/>
      </xdr:nvCxnSpPr>
      <xdr:spPr>
        <a:xfrm>
          <a:off x="10593916" y="78581250"/>
          <a:ext cx="5291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1321</xdr:row>
      <xdr:rowOff>52916</xdr:rowOff>
    </xdr:from>
    <xdr:to>
      <xdr:col>16</xdr:col>
      <xdr:colOff>0</xdr:colOff>
      <xdr:row>1323</xdr:row>
      <xdr:rowOff>0</xdr:rowOff>
    </xdr:to>
    <xdr:cxnSp macro="">
      <xdr:nvCxnSpPr>
        <xdr:cNvPr id="820" name="Straight Arrow Connector 819">
          <a:extLst>
            <a:ext uri="{FF2B5EF4-FFF2-40B4-BE49-F238E27FC236}">
              <a16:creationId xmlns:a16="http://schemas.microsoft.com/office/drawing/2014/main" id="{00000000-0008-0000-1300-000034030000}"/>
            </a:ext>
          </a:extLst>
        </xdr:cNvPr>
        <xdr:cNvCxnSpPr/>
      </xdr:nvCxnSpPr>
      <xdr:spPr>
        <a:xfrm flipV="1">
          <a:off x="10541000" y="802534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1323</xdr:row>
      <xdr:rowOff>21167</xdr:rowOff>
    </xdr:from>
    <xdr:to>
      <xdr:col>15</xdr:col>
      <xdr:colOff>592666</xdr:colOff>
      <xdr:row>1324</xdr:row>
      <xdr:rowOff>84667</xdr:rowOff>
    </xdr:to>
    <xdr:cxnSp macro="">
      <xdr:nvCxnSpPr>
        <xdr:cNvPr id="821" name="Straight Arrow Connector 820">
          <a:extLst>
            <a:ext uri="{FF2B5EF4-FFF2-40B4-BE49-F238E27FC236}">
              <a16:creationId xmlns:a16="http://schemas.microsoft.com/office/drawing/2014/main" id="{00000000-0008-0000-1300-000035030000}"/>
            </a:ext>
          </a:extLst>
        </xdr:cNvPr>
        <xdr:cNvCxnSpPr/>
      </xdr:nvCxnSpPr>
      <xdr:spPr>
        <a:xfrm>
          <a:off x="10530417" y="80602667"/>
          <a:ext cx="603249" cy="25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1323</xdr:row>
      <xdr:rowOff>0</xdr:rowOff>
    </xdr:from>
    <xdr:to>
      <xdr:col>16</xdr:col>
      <xdr:colOff>0</xdr:colOff>
      <xdr:row>1327</xdr:row>
      <xdr:rowOff>42334</xdr:rowOff>
    </xdr:to>
    <xdr:cxnSp macro="">
      <xdr:nvCxnSpPr>
        <xdr:cNvPr id="822" name="Straight Arrow Connector 821">
          <a:extLst>
            <a:ext uri="{FF2B5EF4-FFF2-40B4-BE49-F238E27FC236}">
              <a16:creationId xmlns:a16="http://schemas.microsoft.com/office/drawing/2014/main" id="{00000000-0008-0000-1300-000036030000}"/>
            </a:ext>
          </a:extLst>
        </xdr:cNvPr>
        <xdr:cNvCxnSpPr/>
      </xdr:nvCxnSpPr>
      <xdr:spPr>
        <a:xfrm>
          <a:off x="10530417" y="80581500"/>
          <a:ext cx="613833" cy="804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1334</xdr:row>
      <xdr:rowOff>0</xdr:rowOff>
    </xdr:from>
    <xdr:to>
      <xdr:col>15</xdr:col>
      <xdr:colOff>603250</xdr:colOff>
      <xdr:row>1336</xdr:row>
      <xdr:rowOff>1</xdr:rowOff>
    </xdr:to>
    <xdr:cxnSp macro="">
      <xdr:nvCxnSpPr>
        <xdr:cNvPr id="823" name="Straight Arrow Connector 822">
          <a:extLst>
            <a:ext uri="{FF2B5EF4-FFF2-40B4-BE49-F238E27FC236}">
              <a16:creationId xmlns:a16="http://schemas.microsoft.com/office/drawing/2014/main" id="{00000000-0008-0000-1300-000037030000}"/>
            </a:ext>
          </a:extLst>
        </xdr:cNvPr>
        <xdr:cNvCxnSpPr/>
      </xdr:nvCxnSpPr>
      <xdr:spPr>
        <a:xfrm flipV="1">
          <a:off x="10530417" y="828675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1336</xdr:row>
      <xdr:rowOff>10584</xdr:rowOff>
    </xdr:from>
    <xdr:to>
      <xdr:col>15</xdr:col>
      <xdr:colOff>592666</xdr:colOff>
      <xdr:row>1337</xdr:row>
      <xdr:rowOff>95250</xdr:rowOff>
    </xdr:to>
    <xdr:cxnSp macro="">
      <xdr:nvCxnSpPr>
        <xdr:cNvPr id="824" name="Straight Arrow Connector 823">
          <a:extLst>
            <a:ext uri="{FF2B5EF4-FFF2-40B4-BE49-F238E27FC236}">
              <a16:creationId xmlns:a16="http://schemas.microsoft.com/office/drawing/2014/main" id="{00000000-0008-0000-1300-000038030000}"/>
            </a:ext>
          </a:extLst>
        </xdr:cNvPr>
        <xdr:cNvCxnSpPr/>
      </xdr:nvCxnSpPr>
      <xdr:spPr>
        <a:xfrm>
          <a:off x="10572750" y="832590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1336</xdr:row>
      <xdr:rowOff>10584</xdr:rowOff>
    </xdr:from>
    <xdr:to>
      <xdr:col>15</xdr:col>
      <xdr:colOff>560916</xdr:colOff>
      <xdr:row>1340</xdr:row>
      <xdr:rowOff>52917</xdr:rowOff>
    </xdr:to>
    <xdr:cxnSp macro="">
      <xdr:nvCxnSpPr>
        <xdr:cNvPr id="825" name="Straight Arrow Connector 824">
          <a:extLst>
            <a:ext uri="{FF2B5EF4-FFF2-40B4-BE49-F238E27FC236}">
              <a16:creationId xmlns:a16="http://schemas.microsoft.com/office/drawing/2014/main" id="{00000000-0008-0000-1300-000039030000}"/>
            </a:ext>
          </a:extLst>
        </xdr:cNvPr>
        <xdr:cNvCxnSpPr/>
      </xdr:nvCxnSpPr>
      <xdr:spPr>
        <a:xfrm>
          <a:off x="10551583" y="832590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1336</xdr:row>
      <xdr:rowOff>31750</xdr:rowOff>
    </xdr:from>
    <xdr:to>
      <xdr:col>16</xdr:col>
      <xdr:colOff>21167</xdr:colOff>
      <xdr:row>1343</xdr:row>
      <xdr:rowOff>95250</xdr:rowOff>
    </xdr:to>
    <xdr:cxnSp macro="">
      <xdr:nvCxnSpPr>
        <xdr:cNvPr id="826" name="Straight Arrow Connector 825">
          <a:extLst>
            <a:ext uri="{FF2B5EF4-FFF2-40B4-BE49-F238E27FC236}">
              <a16:creationId xmlns:a16="http://schemas.microsoft.com/office/drawing/2014/main" id="{00000000-0008-0000-1300-00003A030000}"/>
            </a:ext>
          </a:extLst>
        </xdr:cNvPr>
        <xdr:cNvCxnSpPr/>
      </xdr:nvCxnSpPr>
      <xdr:spPr>
        <a:xfrm>
          <a:off x="10583333" y="832802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1350</xdr:row>
      <xdr:rowOff>0</xdr:rowOff>
    </xdr:from>
    <xdr:to>
      <xdr:col>16</xdr:col>
      <xdr:colOff>0</xdr:colOff>
      <xdr:row>1350</xdr:row>
      <xdr:rowOff>42334</xdr:rowOff>
    </xdr:to>
    <xdr:cxnSp macro="">
      <xdr:nvCxnSpPr>
        <xdr:cNvPr id="827" name="Straight Arrow Connector 826">
          <a:extLst>
            <a:ext uri="{FF2B5EF4-FFF2-40B4-BE49-F238E27FC236}">
              <a16:creationId xmlns:a16="http://schemas.microsoft.com/office/drawing/2014/main" id="{00000000-0008-0000-1300-00003B030000}"/>
            </a:ext>
          </a:extLst>
        </xdr:cNvPr>
        <xdr:cNvCxnSpPr/>
      </xdr:nvCxnSpPr>
      <xdr:spPr>
        <a:xfrm>
          <a:off x="10562166" y="859155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1350</xdr:row>
      <xdr:rowOff>21166</xdr:rowOff>
    </xdr:from>
    <xdr:to>
      <xdr:col>15</xdr:col>
      <xdr:colOff>560916</xdr:colOff>
      <xdr:row>1353</xdr:row>
      <xdr:rowOff>84667</xdr:rowOff>
    </xdr:to>
    <xdr:cxnSp macro="">
      <xdr:nvCxnSpPr>
        <xdr:cNvPr id="828" name="Straight Arrow Connector 827">
          <a:extLst>
            <a:ext uri="{FF2B5EF4-FFF2-40B4-BE49-F238E27FC236}">
              <a16:creationId xmlns:a16="http://schemas.microsoft.com/office/drawing/2014/main" id="{00000000-0008-0000-1300-00003C030000}"/>
            </a:ext>
          </a:extLst>
        </xdr:cNvPr>
        <xdr:cNvCxnSpPr/>
      </xdr:nvCxnSpPr>
      <xdr:spPr>
        <a:xfrm>
          <a:off x="10615083" y="859366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1350</xdr:row>
      <xdr:rowOff>52916</xdr:rowOff>
    </xdr:from>
    <xdr:to>
      <xdr:col>15</xdr:col>
      <xdr:colOff>592666</xdr:colOff>
      <xdr:row>1356</xdr:row>
      <xdr:rowOff>63501</xdr:rowOff>
    </xdr:to>
    <xdr:cxnSp macro="">
      <xdr:nvCxnSpPr>
        <xdr:cNvPr id="829" name="Straight Arrow Connector 828">
          <a:extLst>
            <a:ext uri="{FF2B5EF4-FFF2-40B4-BE49-F238E27FC236}">
              <a16:creationId xmlns:a16="http://schemas.microsoft.com/office/drawing/2014/main" id="{00000000-0008-0000-1300-00003D030000}"/>
            </a:ext>
          </a:extLst>
        </xdr:cNvPr>
        <xdr:cNvCxnSpPr/>
      </xdr:nvCxnSpPr>
      <xdr:spPr>
        <a:xfrm>
          <a:off x="10572750" y="859684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1347</xdr:row>
      <xdr:rowOff>52917</xdr:rowOff>
    </xdr:from>
    <xdr:to>
      <xdr:col>15</xdr:col>
      <xdr:colOff>603250</xdr:colOff>
      <xdr:row>1349</xdr:row>
      <xdr:rowOff>148167</xdr:rowOff>
    </xdr:to>
    <xdr:cxnSp macro="">
      <xdr:nvCxnSpPr>
        <xdr:cNvPr id="830" name="Straight Arrow Connector 829">
          <a:extLst>
            <a:ext uri="{FF2B5EF4-FFF2-40B4-BE49-F238E27FC236}">
              <a16:creationId xmlns:a16="http://schemas.microsoft.com/office/drawing/2014/main" id="{00000000-0008-0000-1300-00003E030000}"/>
            </a:ext>
          </a:extLst>
        </xdr:cNvPr>
        <xdr:cNvCxnSpPr/>
      </xdr:nvCxnSpPr>
      <xdr:spPr>
        <a:xfrm flipV="1">
          <a:off x="10583333" y="853969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31750</xdr:colOff>
      <xdr:row>1258</xdr:row>
      <xdr:rowOff>127000</xdr:rowOff>
    </xdr:from>
    <xdr:to>
      <xdr:col>8</xdr:col>
      <xdr:colOff>63500</xdr:colOff>
      <xdr:row>1277</xdr:row>
      <xdr:rowOff>0</xdr:rowOff>
    </xdr:to>
    <xdr:cxnSp macro="">
      <xdr:nvCxnSpPr>
        <xdr:cNvPr id="831" name="Straight Arrow Connector 830">
          <a:extLst>
            <a:ext uri="{FF2B5EF4-FFF2-40B4-BE49-F238E27FC236}">
              <a16:creationId xmlns:a16="http://schemas.microsoft.com/office/drawing/2014/main" id="{00000000-0008-0000-1300-00003F030000}"/>
            </a:ext>
          </a:extLst>
        </xdr:cNvPr>
        <xdr:cNvCxnSpPr/>
      </xdr:nvCxnSpPr>
      <xdr:spPr>
        <a:xfrm flipV="1">
          <a:off x="5207000" y="68135500"/>
          <a:ext cx="635000" cy="3587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603250</xdr:colOff>
      <xdr:row>1364</xdr:row>
      <xdr:rowOff>10584</xdr:rowOff>
    </xdr:from>
    <xdr:to>
      <xdr:col>1</xdr:col>
      <xdr:colOff>603250</xdr:colOff>
      <xdr:row>1457</xdr:row>
      <xdr:rowOff>158750</xdr:rowOff>
    </xdr:to>
    <xdr:cxnSp macro="">
      <xdr:nvCxnSpPr>
        <xdr:cNvPr id="832" name="Straight Arrow Connector 831">
          <a:extLst>
            <a:ext uri="{FF2B5EF4-FFF2-40B4-BE49-F238E27FC236}">
              <a16:creationId xmlns:a16="http://schemas.microsoft.com/office/drawing/2014/main" id="{00000000-0008-0000-1300-000040030000}"/>
            </a:ext>
          </a:extLst>
        </xdr:cNvPr>
        <xdr:cNvCxnSpPr/>
      </xdr:nvCxnSpPr>
      <xdr:spPr>
        <a:xfrm flipV="1">
          <a:off x="603250" y="963084"/>
          <a:ext cx="603250" cy="18245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603250</xdr:colOff>
      <xdr:row>1460</xdr:row>
      <xdr:rowOff>169333</xdr:rowOff>
    </xdr:from>
    <xdr:to>
      <xdr:col>1</xdr:col>
      <xdr:colOff>603250</xdr:colOff>
      <xdr:row>1502</xdr:row>
      <xdr:rowOff>148167</xdr:rowOff>
    </xdr:to>
    <xdr:cxnSp macro="">
      <xdr:nvCxnSpPr>
        <xdr:cNvPr id="833" name="Straight Arrow Connector 832">
          <a:extLst>
            <a:ext uri="{FF2B5EF4-FFF2-40B4-BE49-F238E27FC236}">
              <a16:creationId xmlns:a16="http://schemas.microsoft.com/office/drawing/2014/main" id="{00000000-0008-0000-1300-000041030000}"/>
            </a:ext>
          </a:extLst>
        </xdr:cNvPr>
        <xdr:cNvCxnSpPr/>
      </xdr:nvCxnSpPr>
      <xdr:spPr>
        <a:xfrm>
          <a:off x="603250" y="19790833"/>
          <a:ext cx="603250" cy="7979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10584</xdr:colOff>
      <xdr:row>1436</xdr:row>
      <xdr:rowOff>158750</xdr:rowOff>
    </xdr:from>
    <xdr:to>
      <xdr:col>3</xdr:col>
      <xdr:colOff>603250</xdr:colOff>
      <xdr:row>1503</xdr:row>
      <xdr:rowOff>10583</xdr:rowOff>
    </xdr:to>
    <xdr:cxnSp macro="">
      <xdr:nvCxnSpPr>
        <xdr:cNvPr id="834" name="Straight Arrow Connector 833">
          <a:extLst>
            <a:ext uri="{FF2B5EF4-FFF2-40B4-BE49-F238E27FC236}">
              <a16:creationId xmlns:a16="http://schemas.microsoft.com/office/drawing/2014/main" id="{00000000-0008-0000-1300-000042030000}"/>
            </a:ext>
          </a:extLst>
        </xdr:cNvPr>
        <xdr:cNvCxnSpPr/>
      </xdr:nvCxnSpPr>
      <xdr:spPr>
        <a:xfrm flipV="1">
          <a:off x="2296584" y="15017750"/>
          <a:ext cx="592666" cy="12805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21167</xdr:colOff>
      <xdr:row>1505</xdr:row>
      <xdr:rowOff>10583</xdr:rowOff>
    </xdr:from>
    <xdr:to>
      <xdr:col>4</xdr:col>
      <xdr:colOff>63500</xdr:colOff>
      <xdr:row>1656</xdr:row>
      <xdr:rowOff>158750</xdr:rowOff>
    </xdr:to>
    <xdr:cxnSp macro="">
      <xdr:nvCxnSpPr>
        <xdr:cNvPr id="835" name="Straight Arrow Connector 834">
          <a:extLst>
            <a:ext uri="{FF2B5EF4-FFF2-40B4-BE49-F238E27FC236}">
              <a16:creationId xmlns:a16="http://schemas.microsoft.com/office/drawing/2014/main" id="{00000000-0008-0000-1300-000043030000}"/>
            </a:ext>
          </a:extLst>
        </xdr:cNvPr>
        <xdr:cNvCxnSpPr/>
      </xdr:nvCxnSpPr>
      <xdr:spPr>
        <a:xfrm>
          <a:off x="2307167" y="28395083"/>
          <a:ext cx="645583" cy="29294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825500</xdr:colOff>
      <xdr:row>1399</xdr:row>
      <xdr:rowOff>1</xdr:rowOff>
    </xdr:from>
    <xdr:to>
      <xdr:col>6</xdr:col>
      <xdr:colOff>0</xdr:colOff>
      <xdr:row>1433</xdr:row>
      <xdr:rowOff>116417</xdr:rowOff>
    </xdr:to>
    <xdr:cxnSp macro="">
      <xdr:nvCxnSpPr>
        <xdr:cNvPr id="836" name="Straight Arrow Connector 835">
          <a:extLst>
            <a:ext uri="{FF2B5EF4-FFF2-40B4-BE49-F238E27FC236}">
              <a16:creationId xmlns:a16="http://schemas.microsoft.com/office/drawing/2014/main" id="{00000000-0008-0000-1300-000044030000}"/>
            </a:ext>
          </a:extLst>
        </xdr:cNvPr>
        <xdr:cNvCxnSpPr/>
      </xdr:nvCxnSpPr>
      <xdr:spPr>
        <a:xfrm flipV="1">
          <a:off x="3714750" y="7810501"/>
          <a:ext cx="666750" cy="65934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21167</xdr:colOff>
      <xdr:row>1436</xdr:row>
      <xdr:rowOff>169334</xdr:rowOff>
    </xdr:from>
    <xdr:to>
      <xdr:col>5</xdr:col>
      <xdr:colOff>571500</xdr:colOff>
      <xdr:row>1505</xdr:row>
      <xdr:rowOff>0</xdr:rowOff>
    </xdr:to>
    <xdr:cxnSp macro="">
      <xdr:nvCxnSpPr>
        <xdr:cNvPr id="837" name="Straight Arrow Connector 836">
          <a:extLst>
            <a:ext uri="{FF2B5EF4-FFF2-40B4-BE49-F238E27FC236}">
              <a16:creationId xmlns:a16="http://schemas.microsoft.com/office/drawing/2014/main" id="{00000000-0008-0000-1300-000045030000}"/>
            </a:ext>
          </a:extLst>
        </xdr:cNvPr>
        <xdr:cNvCxnSpPr/>
      </xdr:nvCxnSpPr>
      <xdr:spPr>
        <a:xfrm>
          <a:off x="3799417" y="15028334"/>
          <a:ext cx="550333" cy="133244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1374</xdr:row>
      <xdr:rowOff>148167</xdr:rowOff>
    </xdr:from>
    <xdr:to>
      <xdr:col>7</xdr:col>
      <xdr:colOff>603250</xdr:colOff>
      <xdr:row>1396</xdr:row>
      <xdr:rowOff>31750</xdr:rowOff>
    </xdr:to>
    <xdr:cxnSp macro="">
      <xdr:nvCxnSpPr>
        <xdr:cNvPr id="838" name="Straight Arrow Connector 837">
          <a:extLst>
            <a:ext uri="{FF2B5EF4-FFF2-40B4-BE49-F238E27FC236}">
              <a16:creationId xmlns:a16="http://schemas.microsoft.com/office/drawing/2014/main" id="{00000000-0008-0000-1300-000046030000}"/>
            </a:ext>
          </a:extLst>
        </xdr:cNvPr>
        <xdr:cNvCxnSpPr/>
      </xdr:nvCxnSpPr>
      <xdr:spPr>
        <a:xfrm flipV="1">
          <a:off x="5175250" y="3005667"/>
          <a:ext cx="603250" cy="42650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1399</xdr:row>
      <xdr:rowOff>10584</xdr:rowOff>
    </xdr:from>
    <xdr:to>
      <xdr:col>8</xdr:col>
      <xdr:colOff>21167</xdr:colOff>
      <xdr:row>1427</xdr:row>
      <xdr:rowOff>148166</xdr:rowOff>
    </xdr:to>
    <xdr:cxnSp macro="">
      <xdr:nvCxnSpPr>
        <xdr:cNvPr id="839" name="Straight Arrow Connector 838">
          <a:extLst>
            <a:ext uri="{FF2B5EF4-FFF2-40B4-BE49-F238E27FC236}">
              <a16:creationId xmlns:a16="http://schemas.microsoft.com/office/drawing/2014/main" id="{00000000-0008-0000-1300-000047030000}"/>
            </a:ext>
          </a:extLst>
        </xdr:cNvPr>
        <xdr:cNvCxnSpPr/>
      </xdr:nvCxnSpPr>
      <xdr:spPr>
        <a:xfrm>
          <a:off x="5175250" y="7821084"/>
          <a:ext cx="624417" cy="547158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1366</xdr:row>
      <xdr:rowOff>137583</xdr:rowOff>
    </xdr:from>
    <xdr:to>
      <xdr:col>9</xdr:col>
      <xdr:colOff>603250</xdr:colOff>
      <xdr:row>1372</xdr:row>
      <xdr:rowOff>21166</xdr:rowOff>
    </xdr:to>
    <xdr:cxnSp macro="">
      <xdr:nvCxnSpPr>
        <xdr:cNvPr id="840" name="Straight Arrow Connector 839">
          <a:extLst>
            <a:ext uri="{FF2B5EF4-FFF2-40B4-BE49-F238E27FC236}">
              <a16:creationId xmlns:a16="http://schemas.microsoft.com/office/drawing/2014/main" id="{00000000-0008-0000-1300-000048030000}"/>
            </a:ext>
          </a:extLst>
        </xdr:cNvPr>
        <xdr:cNvCxnSpPr/>
      </xdr:nvCxnSpPr>
      <xdr:spPr>
        <a:xfrm flipV="1">
          <a:off x="6381750" y="1471083"/>
          <a:ext cx="603250" cy="1026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1375</xdr:row>
      <xdr:rowOff>0</xdr:rowOff>
    </xdr:from>
    <xdr:to>
      <xdr:col>9</xdr:col>
      <xdr:colOff>582083</xdr:colOff>
      <xdr:row>1383</xdr:row>
      <xdr:rowOff>10583</xdr:rowOff>
    </xdr:to>
    <xdr:cxnSp macro="">
      <xdr:nvCxnSpPr>
        <xdr:cNvPr id="841" name="Straight Arrow Connector 840">
          <a:extLst>
            <a:ext uri="{FF2B5EF4-FFF2-40B4-BE49-F238E27FC236}">
              <a16:creationId xmlns:a16="http://schemas.microsoft.com/office/drawing/2014/main" id="{00000000-0008-0000-1300-000049030000}"/>
            </a:ext>
          </a:extLst>
        </xdr:cNvPr>
        <xdr:cNvCxnSpPr/>
      </xdr:nvCxnSpPr>
      <xdr:spPr>
        <a:xfrm>
          <a:off x="6413500" y="3048000"/>
          <a:ext cx="550333" cy="1534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21167</xdr:colOff>
      <xdr:row>1380</xdr:row>
      <xdr:rowOff>169333</xdr:rowOff>
    </xdr:from>
    <xdr:to>
      <xdr:col>11</xdr:col>
      <xdr:colOff>603250</xdr:colOff>
      <xdr:row>1383</xdr:row>
      <xdr:rowOff>21167</xdr:rowOff>
    </xdr:to>
    <xdr:cxnSp macro="">
      <xdr:nvCxnSpPr>
        <xdr:cNvPr id="842" name="Straight Arrow Connector 841">
          <a:extLst>
            <a:ext uri="{FF2B5EF4-FFF2-40B4-BE49-F238E27FC236}">
              <a16:creationId xmlns:a16="http://schemas.microsoft.com/office/drawing/2014/main" id="{00000000-0008-0000-1300-00004A030000}"/>
            </a:ext>
          </a:extLst>
        </xdr:cNvPr>
        <xdr:cNvCxnSpPr/>
      </xdr:nvCxnSpPr>
      <xdr:spPr>
        <a:xfrm flipV="1">
          <a:off x="7609417" y="4169833"/>
          <a:ext cx="582083" cy="423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1386</xdr:row>
      <xdr:rowOff>42333</xdr:rowOff>
    </xdr:from>
    <xdr:to>
      <xdr:col>11</xdr:col>
      <xdr:colOff>603250</xdr:colOff>
      <xdr:row>1398</xdr:row>
      <xdr:rowOff>10583</xdr:rowOff>
    </xdr:to>
    <xdr:cxnSp macro="">
      <xdr:nvCxnSpPr>
        <xdr:cNvPr id="843" name="Straight Arrow Connector 842">
          <a:extLst>
            <a:ext uri="{FF2B5EF4-FFF2-40B4-BE49-F238E27FC236}">
              <a16:creationId xmlns:a16="http://schemas.microsoft.com/office/drawing/2014/main" id="{00000000-0008-0000-1300-00004B030000}"/>
            </a:ext>
          </a:extLst>
        </xdr:cNvPr>
        <xdr:cNvCxnSpPr/>
      </xdr:nvCxnSpPr>
      <xdr:spPr>
        <a:xfrm>
          <a:off x="7598834" y="51858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1376</xdr:row>
      <xdr:rowOff>21167</xdr:rowOff>
    </xdr:from>
    <xdr:to>
      <xdr:col>13</xdr:col>
      <xdr:colOff>592667</xdr:colOff>
      <xdr:row>1378</xdr:row>
      <xdr:rowOff>0</xdr:rowOff>
    </xdr:to>
    <xdr:cxnSp macro="">
      <xdr:nvCxnSpPr>
        <xdr:cNvPr id="844" name="Straight Arrow Connector 843">
          <a:extLst>
            <a:ext uri="{FF2B5EF4-FFF2-40B4-BE49-F238E27FC236}">
              <a16:creationId xmlns:a16="http://schemas.microsoft.com/office/drawing/2014/main" id="{00000000-0008-0000-1300-00004C030000}"/>
            </a:ext>
          </a:extLst>
        </xdr:cNvPr>
        <xdr:cNvCxnSpPr/>
      </xdr:nvCxnSpPr>
      <xdr:spPr>
        <a:xfrm flipV="1">
          <a:off x="8794750" y="32596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1381</xdr:row>
      <xdr:rowOff>21166</xdr:rowOff>
    </xdr:from>
    <xdr:to>
      <xdr:col>13</xdr:col>
      <xdr:colOff>592667</xdr:colOff>
      <xdr:row>1382</xdr:row>
      <xdr:rowOff>169334</xdr:rowOff>
    </xdr:to>
    <xdr:cxnSp macro="">
      <xdr:nvCxnSpPr>
        <xdr:cNvPr id="845" name="Straight Arrow Connector 844">
          <a:extLst>
            <a:ext uri="{FF2B5EF4-FFF2-40B4-BE49-F238E27FC236}">
              <a16:creationId xmlns:a16="http://schemas.microsoft.com/office/drawing/2014/main" id="{00000000-0008-0000-1300-00004D030000}"/>
            </a:ext>
          </a:extLst>
        </xdr:cNvPr>
        <xdr:cNvCxnSpPr/>
      </xdr:nvCxnSpPr>
      <xdr:spPr>
        <a:xfrm>
          <a:off x="8784166" y="42121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1396</xdr:row>
      <xdr:rowOff>21167</xdr:rowOff>
    </xdr:from>
    <xdr:to>
      <xdr:col>13</xdr:col>
      <xdr:colOff>592667</xdr:colOff>
      <xdr:row>1398</xdr:row>
      <xdr:rowOff>63500</xdr:rowOff>
    </xdr:to>
    <xdr:cxnSp macro="">
      <xdr:nvCxnSpPr>
        <xdr:cNvPr id="846" name="Straight Arrow Connector 845">
          <a:extLst>
            <a:ext uri="{FF2B5EF4-FFF2-40B4-BE49-F238E27FC236}">
              <a16:creationId xmlns:a16="http://schemas.microsoft.com/office/drawing/2014/main" id="{00000000-0008-0000-1300-00004E030000}"/>
            </a:ext>
          </a:extLst>
        </xdr:cNvPr>
        <xdr:cNvCxnSpPr/>
      </xdr:nvCxnSpPr>
      <xdr:spPr>
        <a:xfrm flipV="1">
          <a:off x="8794750" y="72601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1401</xdr:row>
      <xdr:rowOff>0</xdr:rowOff>
    </xdr:from>
    <xdr:to>
      <xdr:col>14</xdr:col>
      <xdr:colOff>10584</xdr:colOff>
      <xdr:row>1409</xdr:row>
      <xdr:rowOff>148167</xdr:rowOff>
    </xdr:to>
    <xdr:cxnSp macro="">
      <xdr:nvCxnSpPr>
        <xdr:cNvPr id="847" name="Straight Arrow Connector 846">
          <a:extLst>
            <a:ext uri="{FF2B5EF4-FFF2-40B4-BE49-F238E27FC236}">
              <a16:creationId xmlns:a16="http://schemas.microsoft.com/office/drawing/2014/main" id="{00000000-0008-0000-1300-00004F030000}"/>
            </a:ext>
          </a:extLst>
        </xdr:cNvPr>
        <xdr:cNvCxnSpPr/>
      </xdr:nvCxnSpPr>
      <xdr:spPr>
        <a:xfrm>
          <a:off x="8805333" y="81915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1368</xdr:row>
      <xdr:rowOff>0</xdr:rowOff>
    </xdr:from>
    <xdr:to>
      <xdr:col>15</xdr:col>
      <xdr:colOff>603250</xdr:colOff>
      <xdr:row>1373</xdr:row>
      <xdr:rowOff>31750</xdr:rowOff>
    </xdr:to>
    <xdr:cxnSp macro="">
      <xdr:nvCxnSpPr>
        <xdr:cNvPr id="848" name="Straight Arrow Connector 847">
          <a:extLst>
            <a:ext uri="{FF2B5EF4-FFF2-40B4-BE49-F238E27FC236}">
              <a16:creationId xmlns:a16="http://schemas.microsoft.com/office/drawing/2014/main" id="{00000000-0008-0000-1300-000050030000}"/>
            </a:ext>
          </a:extLst>
        </xdr:cNvPr>
        <xdr:cNvCxnSpPr/>
      </xdr:nvCxnSpPr>
      <xdr:spPr>
        <a:xfrm flipV="1">
          <a:off x="10541000" y="1714500"/>
          <a:ext cx="603250" cy="984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1371</xdr:row>
      <xdr:rowOff>52917</xdr:rowOff>
    </xdr:from>
    <xdr:to>
      <xdr:col>15</xdr:col>
      <xdr:colOff>603250</xdr:colOff>
      <xdr:row>1373</xdr:row>
      <xdr:rowOff>95250</xdr:rowOff>
    </xdr:to>
    <xdr:cxnSp macro="">
      <xdr:nvCxnSpPr>
        <xdr:cNvPr id="849" name="Straight Arrow Connector 848">
          <a:extLst>
            <a:ext uri="{FF2B5EF4-FFF2-40B4-BE49-F238E27FC236}">
              <a16:creationId xmlns:a16="http://schemas.microsoft.com/office/drawing/2014/main" id="{00000000-0008-0000-1300-000051030000}"/>
            </a:ext>
          </a:extLst>
        </xdr:cNvPr>
        <xdr:cNvCxnSpPr/>
      </xdr:nvCxnSpPr>
      <xdr:spPr>
        <a:xfrm flipV="1">
          <a:off x="10583333" y="2338917"/>
          <a:ext cx="56091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1373</xdr:row>
      <xdr:rowOff>158750</xdr:rowOff>
    </xdr:from>
    <xdr:to>
      <xdr:col>15</xdr:col>
      <xdr:colOff>582083</xdr:colOff>
      <xdr:row>1374</xdr:row>
      <xdr:rowOff>137583</xdr:rowOff>
    </xdr:to>
    <xdr:cxnSp macro="">
      <xdr:nvCxnSpPr>
        <xdr:cNvPr id="850" name="Straight Arrow Connector 849">
          <a:extLst>
            <a:ext uri="{FF2B5EF4-FFF2-40B4-BE49-F238E27FC236}">
              <a16:creationId xmlns:a16="http://schemas.microsoft.com/office/drawing/2014/main" id="{00000000-0008-0000-1300-000052030000}"/>
            </a:ext>
          </a:extLst>
        </xdr:cNvPr>
        <xdr:cNvCxnSpPr/>
      </xdr:nvCxnSpPr>
      <xdr:spPr>
        <a:xfrm>
          <a:off x="10604500" y="2825750"/>
          <a:ext cx="518583" cy="169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1121834</xdr:colOff>
      <xdr:row>1373</xdr:row>
      <xdr:rowOff>105834</xdr:rowOff>
    </xdr:from>
    <xdr:to>
      <xdr:col>16</xdr:col>
      <xdr:colOff>0</xdr:colOff>
      <xdr:row>1377</xdr:row>
      <xdr:rowOff>84667</xdr:rowOff>
    </xdr:to>
    <xdr:cxnSp macro="">
      <xdr:nvCxnSpPr>
        <xdr:cNvPr id="851" name="Straight Arrow Connector 850">
          <a:extLst>
            <a:ext uri="{FF2B5EF4-FFF2-40B4-BE49-F238E27FC236}">
              <a16:creationId xmlns:a16="http://schemas.microsoft.com/office/drawing/2014/main" id="{00000000-0008-0000-1300-000053030000}"/>
            </a:ext>
          </a:extLst>
        </xdr:cNvPr>
        <xdr:cNvCxnSpPr/>
      </xdr:nvCxnSpPr>
      <xdr:spPr>
        <a:xfrm>
          <a:off x="10519834" y="2772834"/>
          <a:ext cx="624416"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1381</xdr:row>
      <xdr:rowOff>52916</xdr:rowOff>
    </xdr:from>
    <xdr:to>
      <xdr:col>16</xdr:col>
      <xdr:colOff>0</xdr:colOff>
      <xdr:row>1383</xdr:row>
      <xdr:rowOff>0</xdr:rowOff>
    </xdr:to>
    <xdr:cxnSp macro="">
      <xdr:nvCxnSpPr>
        <xdr:cNvPr id="852" name="Straight Arrow Connector 851">
          <a:extLst>
            <a:ext uri="{FF2B5EF4-FFF2-40B4-BE49-F238E27FC236}">
              <a16:creationId xmlns:a16="http://schemas.microsoft.com/office/drawing/2014/main" id="{00000000-0008-0000-1300-000054030000}"/>
            </a:ext>
          </a:extLst>
        </xdr:cNvPr>
        <xdr:cNvCxnSpPr/>
      </xdr:nvCxnSpPr>
      <xdr:spPr>
        <a:xfrm flipV="1">
          <a:off x="10541000" y="42439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1383</xdr:row>
      <xdr:rowOff>21167</xdr:rowOff>
    </xdr:from>
    <xdr:to>
      <xdr:col>15</xdr:col>
      <xdr:colOff>582083</xdr:colOff>
      <xdr:row>1384</xdr:row>
      <xdr:rowOff>42333</xdr:rowOff>
    </xdr:to>
    <xdr:cxnSp macro="">
      <xdr:nvCxnSpPr>
        <xdr:cNvPr id="853" name="Straight Arrow Connector 852">
          <a:extLst>
            <a:ext uri="{FF2B5EF4-FFF2-40B4-BE49-F238E27FC236}">
              <a16:creationId xmlns:a16="http://schemas.microsoft.com/office/drawing/2014/main" id="{00000000-0008-0000-1300-000055030000}"/>
            </a:ext>
          </a:extLst>
        </xdr:cNvPr>
        <xdr:cNvCxnSpPr/>
      </xdr:nvCxnSpPr>
      <xdr:spPr>
        <a:xfrm>
          <a:off x="10551583" y="4593167"/>
          <a:ext cx="571500" cy="211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1383</xdr:row>
      <xdr:rowOff>21167</xdr:rowOff>
    </xdr:from>
    <xdr:to>
      <xdr:col>16</xdr:col>
      <xdr:colOff>42333</xdr:colOff>
      <xdr:row>1388</xdr:row>
      <xdr:rowOff>21168</xdr:rowOff>
    </xdr:to>
    <xdr:cxnSp macro="">
      <xdr:nvCxnSpPr>
        <xdr:cNvPr id="854" name="Straight Arrow Connector 853">
          <a:extLst>
            <a:ext uri="{FF2B5EF4-FFF2-40B4-BE49-F238E27FC236}">
              <a16:creationId xmlns:a16="http://schemas.microsoft.com/office/drawing/2014/main" id="{00000000-0008-0000-1300-000056030000}"/>
            </a:ext>
          </a:extLst>
        </xdr:cNvPr>
        <xdr:cNvCxnSpPr/>
      </xdr:nvCxnSpPr>
      <xdr:spPr>
        <a:xfrm>
          <a:off x="10530417" y="4593167"/>
          <a:ext cx="656166" cy="9525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1383</xdr:row>
      <xdr:rowOff>31750</xdr:rowOff>
    </xdr:from>
    <xdr:to>
      <xdr:col>16</xdr:col>
      <xdr:colOff>42334</xdr:colOff>
      <xdr:row>1390</xdr:row>
      <xdr:rowOff>63501</xdr:rowOff>
    </xdr:to>
    <xdr:cxnSp macro="">
      <xdr:nvCxnSpPr>
        <xdr:cNvPr id="855" name="Straight Arrow Connector 854">
          <a:extLst>
            <a:ext uri="{FF2B5EF4-FFF2-40B4-BE49-F238E27FC236}">
              <a16:creationId xmlns:a16="http://schemas.microsoft.com/office/drawing/2014/main" id="{00000000-0008-0000-1300-000057030000}"/>
            </a:ext>
          </a:extLst>
        </xdr:cNvPr>
        <xdr:cNvCxnSpPr/>
      </xdr:nvCxnSpPr>
      <xdr:spPr>
        <a:xfrm>
          <a:off x="10541000" y="4603750"/>
          <a:ext cx="645584"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10583</xdr:colOff>
      <xdr:row>1420</xdr:row>
      <xdr:rowOff>42333</xdr:rowOff>
    </xdr:from>
    <xdr:to>
      <xdr:col>9</xdr:col>
      <xdr:colOff>592666</xdr:colOff>
      <xdr:row>1428</xdr:row>
      <xdr:rowOff>42333</xdr:rowOff>
    </xdr:to>
    <xdr:cxnSp macro="">
      <xdr:nvCxnSpPr>
        <xdr:cNvPr id="856" name="Straight Arrow Connector 855">
          <a:extLst>
            <a:ext uri="{FF2B5EF4-FFF2-40B4-BE49-F238E27FC236}">
              <a16:creationId xmlns:a16="http://schemas.microsoft.com/office/drawing/2014/main" id="{00000000-0008-0000-1300-000058030000}"/>
            </a:ext>
          </a:extLst>
        </xdr:cNvPr>
        <xdr:cNvCxnSpPr/>
      </xdr:nvCxnSpPr>
      <xdr:spPr>
        <a:xfrm flipV="1">
          <a:off x="6392333" y="11853333"/>
          <a:ext cx="582083" cy="152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1430</xdr:row>
      <xdr:rowOff>169334</xdr:rowOff>
    </xdr:from>
    <xdr:to>
      <xdr:col>9</xdr:col>
      <xdr:colOff>603250</xdr:colOff>
      <xdr:row>1439</xdr:row>
      <xdr:rowOff>31750</xdr:rowOff>
    </xdr:to>
    <xdr:cxnSp macro="">
      <xdr:nvCxnSpPr>
        <xdr:cNvPr id="857" name="Straight Arrow Connector 856">
          <a:extLst>
            <a:ext uri="{FF2B5EF4-FFF2-40B4-BE49-F238E27FC236}">
              <a16:creationId xmlns:a16="http://schemas.microsoft.com/office/drawing/2014/main" id="{00000000-0008-0000-1300-000059030000}"/>
            </a:ext>
          </a:extLst>
        </xdr:cNvPr>
        <xdr:cNvCxnSpPr/>
      </xdr:nvCxnSpPr>
      <xdr:spPr>
        <a:xfrm>
          <a:off x="6413500" y="13885334"/>
          <a:ext cx="571500" cy="1576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571500</xdr:colOff>
      <xdr:row>1436</xdr:row>
      <xdr:rowOff>158750</xdr:rowOff>
    </xdr:from>
    <xdr:to>
      <xdr:col>11</xdr:col>
      <xdr:colOff>571500</xdr:colOff>
      <xdr:row>1439</xdr:row>
      <xdr:rowOff>0</xdr:rowOff>
    </xdr:to>
    <xdr:cxnSp macro="">
      <xdr:nvCxnSpPr>
        <xdr:cNvPr id="858" name="Straight Arrow Connector 857">
          <a:extLst>
            <a:ext uri="{FF2B5EF4-FFF2-40B4-BE49-F238E27FC236}">
              <a16:creationId xmlns:a16="http://schemas.microsoft.com/office/drawing/2014/main" id="{00000000-0008-0000-1300-00005A030000}"/>
            </a:ext>
          </a:extLst>
        </xdr:cNvPr>
        <xdr:cNvCxnSpPr/>
      </xdr:nvCxnSpPr>
      <xdr:spPr>
        <a:xfrm flipV="1">
          <a:off x="7556500" y="15017750"/>
          <a:ext cx="603250" cy="412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1394</xdr:row>
      <xdr:rowOff>0</xdr:rowOff>
    </xdr:from>
    <xdr:to>
      <xdr:col>15</xdr:col>
      <xdr:colOff>603250</xdr:colOff>
      <xdr:row>1396</xdr:row>
      <xdr:rowOff>1</xdr:rowOff>
    </xdr:to>
    <xdr:cxnSp macro="">
      <xdr:nvCxnSpPr>
        <xdr:cNvPr id="859" name="Straight Arrow Connector 858">
          <a:extLst>
            <a:ext uri="{FF2B5EF4-FFF2-40B4-BE49-F238E27FC236}">
              <a16:creationId xmlns:a16="http://schemas.microsoft.com/office/drawing/2014/main" id="{00000000-0008-0000-1300-00005B030000}"/>
            </a:ext>
          </a:extLst>
        </xdr:cNvPr>
        <xdr:cNvCxnSpPr/>
      </xdr:nvCxnSpPr>
      <xdr:spPr>
        <a:xfrm flipV="1">
          <a:off x="10530417" y="68580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1396</xdr:row>
      <xdr:rowOff>10584</xdr:rowOff>
    </xdr:from>
    <xdr:to>
      <xdr:col>15</xdr:col>
      <xdr:colOff>592666</xdr:colOff>
      <xdr:row>1397</xdr:row>
      <xdr:rowOff>95250</xdr:rowOff>
    </xdr:to>
    <xdr:cxnSp macro="">
      <xdr:nvCxnSpPr>
        <xdr:cNvPr id="860" name="Straight Arrow Connector 859">
          <a:extLst>
            <a:ext uri="{FF2B5EF4-FFF2-40B4-BE49-F238E27FC236}">
              <a16:creationId xmlns:a16="http://schemas.microsoft.com/office/drawing/2014/main" id="{00000000-0008-0000-1300-00005C030000}"/>
            </a:ext>
          </a:extLst>
        </xdr:cNvPr>
        <xdr:cNvCxnSpPr/>
      </xdr:nvCxnSpPr>
      <xdr:spPr>
        <a:xfrm>
          <a:off x="10572750" y="72495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1396</xdr:row>
      <xdr:rowOff>10584</xdr:rowOff>
    </xdr:from>
    <xdr:to>
      <xdr:col>15</xdr:col>
      <xdr:colOff>560916</xdr:colOff>
      <xdr:row>1400</xdr:row>
      <xdr:rowOff>52917</xdr:rowOff>
    </xdr:to>
    <xdr:cxnSp macro="">
      <xdr:nvCxnSpPr>
        <xdr:cNvPr id="861" name="Straight Arrow Connector 860">
          <a:extLst>
            <a:ext uri="{FF2B5EF4-FFF2-40B4-BE49-F238E27FC236}">
              <a16:creationId xmlns:a16="http://schemas.microsoft.com/office/drawing/2014/main" id="{00000000-0008-0000-1300-00005D030000}"/>
            </a:ext>
          </a:extLst>
        </xdr:cNvPr>
        <xdr:cNvCxnSpPr/>
      </xdr:nvCxnSpPr>
      <xdr:spPr>
        <a:xfrm>
          <a:off x="10551583" y="72495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1396</xdr:row>
      <xdr:rowOff>31750</xdr:rowOff>
    </xdr:from>
    <xdr:to>
      <xdr:col>16</xdr:col>
      <xdr:colOff>21167</xdr:colOff>
      <xdr:row>1403</xdr:row>
      <xdr:rowOff>95250</xdr:rowOff>
    </xdr:to>
    <xdr:cxnSp macro="">
      <xdr:nvCxnSpPr>
        <xdr:cNvPr id="862" name="Straight Arrow Connector 861">
          <a:extLst>
            <a:ext uri="{FF2B5EF4-FFF2-40B4-BE49-F238E27FC236}">
              <a16:creationId xmlns:a16="http://schemas.microsoft.com/office/drawing/2014/main" id="{00000000-0008-0000-1300-00005E030000}"/>
            </a:ext>
          </a:extLst>
        </xdr:cNvPr>
        <xdr:cNvCxnSpPr/>
      </xdr:nvCxnSpPr>
      <xdr:spPr>
        <a:xfrm>
          <a:off x="10583333" y="72707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1410</xdr:row>
      <xdr:rowOff>0</xdr:rowOff>
    </xdr:from>
    <xdr:to>
      <xdr:col>16</xdr:col>
      <xdr:colOff>0</xdr:colOff>
      <xdr:row>1410</xdr:row>
      <xdr:rowOff>42334</xdr:rowOff>
    </xdr:to>
    <xdr:cxnSp macro="">
      <xdr:nvCxnSpPr>
        <xdr:cNvPr id="863" name="Straight Arrow Connector 862">
          <a:extLst>
            <a:ext uri="{FF2B5EF4-FFF2-40B4-BE49-F238E27FC236}">
              <a16:creationId xmlns:a16="http://schemas.microsoft.com/office/drawing/2014/main" id="{00000000-0008-0000-1300-00005F030000}"/>
            </a:ext>
          </a:extLst>
        </xdr:cNvPr>
        <xdr:cNvCxnSpPr/>
      </xdr:nvCxnSpPr>
      <xdr:spPr>
        <a:xfrm>
          <a:off x="10562166" y="99060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1410</xdr:row>
      <xdr:rowOff>21166</xdr:rowOff>
    </xdr:from>
    <xdr:to>
      <xdr:col>15</xdr:col>
      <xdr:colOff>560916</xdr:colOff>
      <xdr:row>1413</xdr:row>
      <xdr:rowOff>84667</xdr:rowOff>
    </xdr:to>
    <xdr:cxnSp macro="">
      <xdr:nvCxnSpPr>
        <xdr:cNvPr id="864" name="Straight Arrow Connector 863">
          <a:extLst>
            <a:ext uri="{FF2B5EF4-FFF2-40B4-BE49-F238E27FC236}">
              <a16:creationId xmlns:a16="http://schemas.microsoft.com/office/drawing/2014/main" id="{00000000-0008-0000-1300-000060030000}"/>
            </a:ext>
          </a:extLst>
        </xdr:cNvPr>
        <xdr:cNvCxnSpPr/>
      </xdr:nvCxnSpPr>
      <xdr:spPr>
        <a:xfrm>
          <a:off x="10615083" y="99271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1410</xdr:row>
      <xdr:rowOff>52916</xdr:rowOff>
    </xdr:from>
    <xdr:to>
      <xdr:col>15</xdr:col>
      <xdr:colOff>592666</xdr:colOff>
      <xdr:row>1416</xdr:row>
      <xdr:rowOff>63501</xdr:rowOff>
    </xdr:to>
    <xdr:cxnSp macro="">
      <xdr:nvCxnSpPr>
        <xdr:cNvPr id="865" name="Straight Arrow Connector 864">
          <a:extLst>
            <a:ext uri="{FF2B5EF4-FFF2-40B4-BE49-F238E27FC236}">
              <a16:creationId xmlns:a16="http://schemas.microsoft.com/office/drawing/2014/main" id="{00000000-0008-0000-1300-000061030000}"/>
            </a:ext>
          </a:extLst>
        </xdr:cNvPr>
        <xdr:cNvCxnSpPr/>
      </xdr:nvCxnSpPr>
      <xdr:spPr>
        <a:xfrm>
          <a:off x="10572750" y="99589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1424</xdr:row>
      <xdr:rowOff>116416</xdr:rowOff>
    </xdr:from>
    <xdr:to>
      <xdr:col>15</xdr:col>
      <xdr:colOff>592666</xdr:colOff>
      <xdr:row>1427</xdr:row>
      <xdr:rowOff>158750</xdr:rowOff>
    </xdr:to>
    <xdr:cxnSp macro="">
      <xdr:nvCxnSpPr>
        <xdr:cNvPr id="866" name="Straight Arrow Connector 865">
          <a:extLst>
            <a:ext uri="{FF2B5EF4-FFF2-40B4-BE49-F238E27FC236}">
              <a16:creationId xmlns:a16="http://schemas.microsoft.com/office/drawing/2014/main" id="{00000000-0008-0000-1300-000062030000}"/>
            </a:ext>
          </a:extLst>
        </xdr:cNvPr>
        <xdr:cNvCxnSpPr/>
      </xdr:nvCxnSpPr>
      <xdr:spPr>
        <a:xfrm flipV="1">
          <a:off x="10562166" y="12689416"/>
          <a:ext cx="571500" cy="613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1426</xdr:row>
      <xdr:rowOff>95250</xdr:rowOff>
    </xdr:from>
    <xdr:to>
      <xdr:col>15</xdr:col>
      <xdr:colOff>582083</xdr:colOff>
      <xdr:row>1428</xdr:row>
      <xdr:rowOff>52917</xdr:rowOff>
    </xdr:to>
    <xdr:cxnSp macro="">
      <xdr:nvCxnSpPr>
        <xdr:cNvPr id="867" name="Straight Arrow Connector 866">
          <a:extLst>
            <a:ext uri="{FF2B5EF4-FFF2-40B4-BE49-F238E27FC236}">
              <a16:creationId xmlns:a16="http://schemas.microsoft.com/office/drawing/2014/main" id="{00000000-0008-0000-1300-000063030000}"/>
            </a:ext>
          </a:extLst>
        </xdr:cNvPr>
        <xdr:cNvCxnSpPr/>
      </xdr:nvCxnSpPr>
      <xdr:spPr>
        <a:xfrm flipV="1">
          <a:off x="10604500" y="13049250"/>
          <a:ext cx="518583" cy="338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1428</xdr:row>
      <xdr:rowOff>116417</xdr:rowOff>
    </xdr:from>
    <xdr:to>
      <xdr:col>15</xdr:col>
      <xdr:colOff>592666</xdr:colOff>
      <xdr:row>1432</xdr:row>
      <xdr:rowOff>95250</xdr:rowOff>
    </xdr:to>
    <xdr:cxnSp macro="">
      <xdr:nvCxnSpPr>
        <xdr:cNvPr id="868" name="Straight Arrow Connector 867">
          <a:extLst>
            <a:ext uri="{FF2B5EF4-FFF2-40B4-BE49-F238E27FC236}">
              <a16:creationId xmlns:a16="http://schemas.microsoft.com/office/drawing/2014/main" id="{00000000-0008-0000-1300-000064030000}"/>
            </a:ext>
          </a:extLst>
        </xdr:cNvPr>
        <xdr:cNvCxnSpPr/>
      </xdr:nvCxnSpPr>
      <xdr:spPr>
        <a:xfrm>
          <a:off x="10593916" y="13451417"/>
          <a:ext cx="53975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1439</xdr:row>
      <xdr:rowOff>116416</xdr:rowOff>
    </xdr:from>
    <xdr:to>
      <xdr:col>16</xdr:col>
      <xdr:colOff>0</xdr:colOff>
      <xdr:row>1446</xdr:row>
      <xdr:rowOff>74084</xdr:rowOff>
    </xdr:to>
    <xdr:cxnSp macro="">
      <xdr:nvCxnSpPr>
        <xdr:cNvPr id="869" name="Straight Arrow Connector 868">
          <a:extLst>
            <a:ext uri="{FF2B5EF4-FFF2-40B4-BE49-F238E27FC236}">
              <a16:creationId xmlns:a16="http://schemas.microsoft.com/office/drawing/2014/main" id="{00000000-0008-0000-1300-000065030000}"/>
            </a:ext>
          </a:extLst>
        </xdr:cNvPr>
        <xdr:cNvCxnSpPr/>
      </xdr:nvCxnSpPr>
      <xdr:spPr>
        <a:xfrm>
          <a:off x="10572750" y="15546916"/>
          <a:ext cx="571500" cy="12911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1407</xdr:row>
      <xdr:rowOff>52917</xdr:rowOff>
    </xdr:from>
    <xdr:to>
      <xdr:col>15</xdr:col>
      <xdr:colOff>603250</xdr:colOff>
      <xdr:row>1409</xdr:row>
      <xdr:rowOff>148167</xdr:rowOff>
    </xdr:to>
    <xdr:cxnSp macro="">
      <xdr:nvCxnSpPr>
        <xdr:cNvPr id="870" name="Straight Arrow Connector 869">
          <a:extLst>
            <a:ext uri="{FF2B5EF4-FFF2-40B4-BE49-F238E27FC236}">
              <a16:creationId xmlns:a16="http://schemas.microsoft.com/office/drawing/2014/main" id="{00000000-0008-0000-1300-000066030000}"/>
            </a:ext>
          </a:extLst>
        </xdr:cNvPr>
        <xdr:cNvCxnSpPr/>
      </xdr:nvCxnSpPr>
      <xdr:spPr>
        <a:xfrm flipV="1">
          <a:off x="10583333" y="93874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1442</xdr:row>
      <xdr:rowOff>42333</xdr:rowOff>
    </xdr:from>
    <xdr:to>
      <xdr:col>11</xdr:col>
      <xdr:colOff>603250</xdr:colOff>
      <xdr:row>1454</xdr:row>
      <xdr:rowOff>10583</xdr:rowOff>
    </xdr:to>
    <xdr:cxnSp macro="">
      <xdr:nvCxnSpPr>
        <xdr:cNvPr id="871" name="Straight Arrow Connector 870">
          <a:extLst>
            <a:ext uri="{FF2B5EF4-FFF2-40B4-BE49-F238E27FC236}">
              <a16:creationId xmlns:a16="http://schemas.microsoft.com/office/drawing/2014/main" id="{00000000-0008-0000-1300-000067030000}"/>
            </a:ext>
          </a:extLst>
        </xdr:cNvPr>
        <xdr:cNvCxnSpPr/>
      </xdr:nvCxnSpPr>
      <xdr:spPr>
        <a:xfrm>
          <a:off x="7598834" y="160443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1432</xdr:row>
      <xdr:rowOff>21167</xdr:rowOff>
    </xdr:from>
    <xdr:to>
      <xdr:col>13</xdr:col>
      <xdr:colOff>592667</xdr:colOff>
      <xdr:row>1434</xdr:row>
      <xdr:rowOff>0</xdr:rowOff>
    </xdr:to>
    <xdr:cxnSp macro="">
      <xdr:nvCxnSpPr>
        <xdr:cNvPr id="872" name="Straight Arrow Connector 871">
          <a:extLst>
            <a:ext uri="{FF2B5EF4-FFF2-40B4-BE49-F238E27FC236}">
              <a16:creationId xmlns:a16="http://schemas.microsoft.com/office/drawing/2014/main" id="{00000000-0008-0000-1300-000068030000}"/>
            </a:ext>
          </a:extLst>
        </xdr:cNvPr>
        <xdr:cNvCxnSpPr/>
      </xdr:nvCxnSpPr>
      <xdr:spPr>
        <a:xfrm flipV="1">
          <a:off x="8794750" y="141181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1437</xdr:row>
      <xdr:rowOff>21166</xdr:rowOff>
    </xdr:from>
    <xdr:to>
      <xdr:col>13</xdr:col>
      <xdr:colOff>592667</xdr:colOff>
      <xdr:row>1438</xdr:row>
      <xdr:rowOff>169334</xdr:rowOff>
    </xdr:to>
    <xdr:cxnSp macro="">
      <xdr:nvCxnSpPr>
        <xdr:cNvPr id="873" name="Straight Arrow Connector 872">
          <a:extLst>
            <a:ext uri="{FF2B5EF4-FFF2-40B4-BE49-F238E27FC236}">
              <a16:creationId xmlns:a16="http://schemas.microsoft.com/office/drawing/2014/main" id="{00000000-0008-0000-1300-000069030000}"/>
            </a:ext>
          </a:extLst>
        </xdr:cNvPr>
        <xdr:cNvCxnSpPr/>
      </xdr:nvCxnSpPr>
      <xdr:spPr>
        <a:xfrm>
          <a:off x="8784166" y="150706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1452</xdr:row>
      <xdr:rowOff>21167</xdr:rowOff>
    </xdr:from>
    <xdr:to>
      <xdr:col>13</xdr:col>
      <xdr:colOff>592667</xdr:colOff>
      <xdr:row>1454</xdr:row>
      <xdr:rowOff>63500</xdr:rowOff>
    </xdr:to>
    <xdr:cxnSp macro="">
      <xdr:nvCxnSpPr>
        <xdr:cNvPr id="874" name="Straight Arrow Connector 873">
          <a:extLst>
            <a:ext uri="{FF2B5EF4-FFF2-40B4-BE49-F238E27FC236}">
              <a16:creationId xmlns:a16="http://schemas.microsoft.com/office/drawing/2014/main" id="{00000000-0008-0000-1300-00006A030000}"/>
            </a:ext>
          </a:extLst>
        </xdr:cNvPr>
        <xdr:cNvCxnSpPr/>
      </xdr:nvCxnSpPr>
      <xdr:spPr>
        <a:xfrm flipV="1">
          <a:off x="8794750" y="181186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1457</xdr:row>
      <xdr:rowOff>0</xdr:rowOff>
    </xdr:from>
    <xdr:to>
      <xdr:col>14</xdr:col>
      <xdr:colOff>10584</xdr:colOff>
      <xdr:row>1465</xdr:row>
      <xdr:rowOff>148167</xdr:rowOff>
    </xdr:to>
    <xdr:cxnSp macro="">
      <xdr:nvCxnSpPr>
        <xdr:cNvPr id="875" name="Straight Arrow Connector 874">
          <a:extLst>
            <a:ext uri="{FF2B5EF4-FFF2-40B4-BE49-F238E27FC236}">
              <a16:creationId xmlns:a16="http://schemas.microsoft.com/office/drawing/2014/main" id="{00000000-0008-0000-1300-00006B030000}"/>
            </a:ext>
          </a:extLst>
        </xdr:cNvPr>
        <xdr:cNvCxnSpPr/>
      </xdr:nvCxnSpPr>
      <xdr:spPr>
        <a:xfrm>
          <a:off x="8805333" y="190500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1428</xdr:row>
      <xdr:rowOff>95250</xdr:rowOff>
    </xdr:from>
    <xdr:to>
      <xdr:col>15</xdr:col>
      <xdr:colOff>582083</xdr:colOff>
      <xdr:row>1430</xdr:row>
      <xdr:rowOff>137583</xdr:rowOff>
    </xdr:to>
    <xdr:cxnSp macro="">
      <xdr:nvCxnSpPr>
        <xdr:cNvPr id="876" name="Straight Arrow Connector 875">
          <a:extLst>
            <a:ext uri="{FF2B5EF4-FFF2-40B4-BE49-F238E27FC236}">
              <a16:creationId xmlns:a16="http://schemas.microsoft.com/office/drawing/2014/main" id="{00000000-0008-0000-1300-00006C030000}"/>
            </a:ext>
          </a:extLst>
        </xdr:cNvPr>
        <xdr:cNvCxnSpPr/>
      </xdr:nvCxnSpPr>
      <xdr:spPr>
        <a:xfrm>
          <a:off x="10593916" y="13430250"/>
          <a:ext cx="5291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1437</xdr:row>
      <xdr:rowOff>52916</xdr:rowOff>
    </xdr:from>
    <xdr:to>
      <xdr:col>16</xdr:col>
      <xdr:colOff>0</xdr:colOff>
      <xdr:row>1439</xdr:row>
      <xdr:rowOff>0</xdr:rowOff>
    </xdr:to>
    <xdr:cxnSp macro="">
      <xdr:nvCxnSpPr>
        <xdr:cNvPr id="877" name="Straight Arrow Connector 876">
          <a:extLst>
            <a:ext uri="{FF2B5EF4-FFF2-40B4-BE49-F238E27FC236}">
              <a16:creationId xmlns:a16="http://schemas.microsoft.com/office/drawing/2014/main" id="{00000000-0008-0000-1300-00006D030000}"/>
            </a:ext>
          </a:extLst>
        </xdr:cNvPr>
        <xdr:cNvCxnSpPr/>
      </xdr:nvCxnSpPr>
      <xdr:spPr>
        <a:xfrm flipV="1">
          <a:off x="10541000" y="151024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1439</xdr:row>
      <xdr:rowOff>21167</xdr:rowOff>
    </xdr:from>
    <xdr:to>
      <xdr:col>15</xdr:col>
      <xdr:colOff>592666</xdr:colOff>
      <xdr:row>1440</xdr:row>
      <xdr:rowOff>84667</xdr:rowOff>
    </xdr:to>
    <xdr:cxnSp macro="">
      <xdr:nvCxnSpPr>
        <xdr:cNvPr id="878" name="Straight Arrow Connector 877">
          <a:extLst>
            <a:ext uri="{FF2B5EF4-FFF2-40B4-BE49-F238E27FC236}">
              <a16:creationId xmlns:a16="http://schemas.microsoft.com/office/drawing/2014/main" id="{00000000-0008-0000-1300-00006E030000}"/>
            </a:ext>
          </a:extLst>
        </xdr:cNvPr>
        <xdr:cNvCxnSpPr/>
      </xdr:nvCxnSpPr>
      <xdr:spPr>
        <a:xfrm>
          <a:off x="10530417" y="15451667"/>
          <a:ext cx="603249" cy="25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1439</xdr:row>
      <xdr:rowOff>0</xdr:rowOff>
    </xdr:from>
    <xdr:to>
      <xdr:col>16</xdr:col>
      <xdr:colOff>0</xdr:colOff>
      <xdr:row>1443</xdr:row>
      <xdr:rowOff>42334</xdr:rowOff>
    </xdr:to>
    <xdr:cxnSp macro="">
      <xdr:nvCxnSpPr>
        <xdr:cNvPr id="879" name="Straight Arrow Connector 878">
          <a:extLst>
            <a:ext uri="{FF2B5EF4-FFF2-40B4-BE49-F238E27FC236}">
              <a16:creationId xmlns:a16="http://schemas.microsoft.com/office/drawing/2014/main" id="{00000000-0008-0000-1300-00006F030000}"/>
            </a:ext>
          </a:extLst>
        </xdr:cNvPr>
        <xdr:cNvCxnSpPr/>
      </xdr:nvCxnSpPr>
      <xdr:spPr>
        <a:xfrm>
          <a:off x="10530417" y="15430500"/>
          <a:ext cx="613833" cy="804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1450</xdr:row>
      <xdr:rowOff>0</xdr:rowOff>
    </xdr:from>
    <xdr:to>
      <xdr:col>15</xdr:col>
      <xdr:colOff>603250</xdr:colOff>
      <xdr:row>1452</xdr:row>
      <xdr:rowOff>1</xdr:rowOff>
    </xdr:to>
    <xdr:cxnSp macro="">
      <xdr:nvCxnSpPr>
        <xdr:cNvPr id="880" name="Straight Arrow Connector 879">
          <a:extLst>
            <a:ext uri="{FF2B5EF4-FFF2-40B4-BE49-F238E27FC236}">
              <a16:creationId xmlns:a16="http://schemas.microsoft.com/office/drawing/2014/main" id="{00000000-0008-0000-1300-000070030000}"/>
            </a:ext>
          </a:extLst>
        </xdr:cNvPr>
        <xdr:cNvCxnSpPr/>
      </xdr:nvCxnSpPr>
      <xdr:spPr>
        <a:xfrm flipV="1">
          <a:off x="10530417" y="177165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1452</xdr:row>
      <xdr:rowOff>10584</xdr:rowOff>
    </xdr:from>
    <xdr:to>
      <xdr:col>15</xdr:col>
      <xdr:colOff>592666</xdr:colOff>
      <xdr:row>1453</xdr:row>
      <xdr:rowOff>95250</xdr:rowOff>
    </xdr:to>
    <xdr:cxnSp macro="">
      <xdr:nvCxnSpPr>
        <xdr:cNvPr id="881" name="Straight Arrow Connector 880">
          <a:extLst>
            <a:ext uri="{FF2B5EF4-FFF2-40B4-BE49-F238E27FC236}">
              <a16:creationId xmlns:a16="http://schemas.microsoft.com/office/drawing/2014/main" id="{00000000-0008-0000-1300-000071030000}"/>
            </a:ext>
          </a:extLst>
        </xdr:cNvPr>
        <xdr:cNvCxnSpPr/>
      </xdr:nvCxnSpPr>
      <xdr:spPr>
        <a:xfrm>
          <a:off x="10572750" y="181080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1452</xdr:row>
      <xdr:rowOff>10584</xdr:rowOff>
    </xdr:from>
    <xdr:to>
      <xdr:col>15</xdr:col>
      <xdr:colOff>560916</xdr:colOff>
      <xdr:row>1456</xdr:row>
      <xdr:rowOff>52917</xdr:rowOff>
    </xdr:to>
    <xdr:cxnSp macro="">
      <xdr:nvCxnSpPr>
        <xdr:cNvPr id="882" name="Straight Arrow Connector 881">
          <a:extLst>
            <a:ext uri="{FF2B5EF4-FFF2-40B4-BE49-F238E27FC236}">
              <a16:creationId xmlns:a16="http://schemas.microsoft.com/office/drawing/2014/main" id="{00000000-0008-0000-1300-000072030000}"/>
            </a:ext>
          </a:extLst>
        </xdr:cNvPr>
        <xdr:cNvCxnSpPr/>
      </xdr:nvCxnSpPr>
      <xdr:spPr>
        <a:xfrm>
          <a:off x="10551583" y="181080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1452</xdr:row>
      <xdr:rowOff>31750</xdr:rowOff>
    </xdr:from>
    <xdr:to>
      <xdr:col>16</xdr:col>
      <xdr:colOff>21167</xdr:colOff>
      <xdr:row>1459</xdr:row>
      <xdr:rowOff>95250</xdr:rowOff>
    </xdr:to>
    <xdr:cxnSp macro="">
      <xdr:nvCxnSpPr>
        <xdr:cNvPr id="883" name="Straight Arrow Connector 882">
          <a:extLst>
            <a:ext uri="{FF2B5EF4-FFF2-40B4-BE49-F238E27FC236}">
              <a16:creationId xmlns:a16="http://schemas.microsoft.com/office/drawing/2014/main" id="{00000000-0008-0000-1300-000073030000}"/>
            </a:ext>
          </a:extLst>
        </xdr:cNvPr>
        <xdr:cNvCxnSpPr/>
      </xdr:nvCxnSpPr>
      <xdr:spPr>
        <a:xfrm>
          <a:off x="10583333" y="181292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1466</xdr:row>
      <xdr:rowOff>0</xdr:rowOff>
    </xdr:from>
    <xdr:to>
      <xdr:col>16</xdr:col>
      <xdr:colOff>0</xdr:colOff>
      <xdr:row>1466</xdr:row>
      <xdr:rowOff>42334</xdr:rowOff>
    </xdr:to>
    <xdr:cxnSp macro="">
      <xdr:nvCxnSpPr>
        <xdr:cNvPr id="884" name="Straight Arrow Connector 883">
          <a:extLst>
            <a:ext uri="{FF2B5EF4-FFF2-40B4-BE49-F238E27FC236}">
              <a16:creationId xmlns:a16="http://schemas.microsoft.com/office/drawing/2014/main" id="{00000000-0008-0000-1300-000074030000}"/>
            </a:ext>
          </a:extLst>
        </xdr:cNvPr>
        <xdr:cNvCxnSpPr/>
      </xdr:nvCxnSpPr>
      <xdr:spPr>
        <a:xfrm>
          <a:off x="10562166" y="207645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1466</xdr:row>
      <xdr:rowOff>21166</xdr:rowOff>
    </xdr:from>
    <xdr:to>
      <xdr:col>15</xdr:col>
      <xdr:colOff>560916</xdr:colOff>
      <xdr:row>1469</xdr:row>
      <xdr:rowOff>84667</xdr:rowOff>
    </xdr:to>
    <xdr:cxnSp macro="">
      <xdr:nvCxnSpPr>
        <xdr:cNvPr id="885" name="Straight Arrow Connector 884">
          <a:extLst>
            <a:ext uri="{FF2B5EF4-FFF2-40B4-BE49-F238E27FC236}">
              <a16:creationId xmlns:a16="http://schemas.microsoft.com/office/drawing/2014/main" id="{00000000-0008-0000-1300-000075030000}"/>
            </a:ext>
          </a:extLst>
        </xdr:cNvPr>
        <xdr:cNvCxnSpPr/>
      </xdr:nvCxnSpPr>
      <xdr:spPr>
        <a:xfrm>
          <a:off x="10615083" y="207856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1466</xdr:row>
      <xdr:rowOff>52916</xdr:rowOff>
    </xdr:from>
    <xdr:to>
      <xdr:col>15</xdr:col>
      <xdr:colOff>592666</xdr:colOff>
      <xdr:row>1472</xdr:row>
      <xdr:rowOff>63501</xdr:rowOff>
    </xdr:to>
    <xdr:cxnSp macro="">
      <xdr:nvCxnSpPr>
        <xdr:cNvPr id="886" name="Straight Arrow Connector 885">
          <a:extLst>
            <a:ext uri="{FF2B5EF4-FFF2-40B4-BE49-F238E27FC236}">
              <a16:creationId xmlns:a16="http://schemas.microsoft.com/office/drawing/2014/main" id="{00000000-0008-0000-1300-000076030000}"/>
            </a:ext>
          </a:extLst>
        </xdr:cNvPr>
        <xdr:cNvCxnSpPr/>
      </xdr:nvCxnSpPr>
      <xdr:spPr>
        <a:xfrm>
          <a:off x="10572750" y="208174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1463</xdr:row>
      <xdr:rowOff>52917</xdr:rowOff>
    </xdr:from>
    <xdr:to>
      <xdr:col>15</xdr:col>
      <xdr:colOff>603250</xdr:colOff>
      <xdr:row>1465</xdr:row>
      <xdr:rowOff>148167</xdr:rowOff>
    </xdr:to>
    <xdr:cxnSp macro="">
      <xdr:nvCxnSpPr>
        <xdr:cNvPr id="887" name="Straight Arrow Connector 886">
          <a:extLst>
            <a:ext uri="{FF2B5EF4-FFF2-40B4-BE49-F238E27FC236}">
              <a16:creationId xmlns:a16="http://schemas.microsoft.com/office/drawing/2014/main" id="{00000000-0008-0000-1300-000077030000}"/>
            </a:ext>
          </a:extLst>
        </xdr:cNvPr>
        <xdr:cNvCxnSpPr/>
      </xdr:nvCxnSpPr>
      <xdr:spPr>
        <a:xfrm flipV="1">
          <a:off x="10583333" y="202459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698500</xdr:colOff>
      <xdr:row>1507</xdr:row>
      <xdr:rowOff>95250</xdr:rowOff>
    </xdr:from>
    <xdr:to>
      <xdr:col>8</xdr:col>
      <xdr:colOff>21167</xdr:colOff>
      <xdr:row>1539</xdr:row>
      <xdr:rowOff>148166</xdr:rowOff>
    </xdr:to>
    <xdr:cxnSp macro="">
      <xdr:nvCxnSpPr>
        <xdr:cNvPr id="888" name="Straight Arrow Connector 887">
          <a:extLst>
            <a:ext uri="{FF2B5EF4-FFF2-40B4-BE49-F238E27FC236}">
              <a16:creationId xmlns:a16="http://schemas.microsoft.com/office/drawing/2014/main" id="{00000000-0008-0000-1300-000078030000}"/>
            </a:ext>
          </a:extLst>
        </xdr:cNvPr>
        <xdr:cNvCxnSpPr/>
      </xdr:nvCxnSpPr>
      <xdr:spPr>
        <a:xfrm>
          <a:off x="5080000" y="28860750"/>
          <a:ext cx="719667" cy="6148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1478</xdr:row>
      <xdr:rowOff>137583</xdr:rowOff>
    </xdr:from>
    <xdr:to>
      <xdr:col>9</xdr:col>
      <xdr:colOff>603250</xdr:colOff>
      <xdr:row>1484</xdr:row>
      <xdr:rowOff>21166</xdr:rowOff>
    </xdr:to>
    <xdr:cxnSp macro="">
      <xdr:nvCxnSpPr>
        <xdr:cNvPr id="889" name="Straight Arrow Connector 888">
          <a:extLst>
            <a:ext uri="{FF2B5EF4-FFF2-40B4-BE49-F238E27FC236}">
              <a16:creationId xmlns:a16="http://schemas.microsoft.com/office/drawing/2014/main" id="{00000000-0008-0000-1300-000079030000}"/>
            </a:ext>
          </a:extLst>
        </xdr:cNvPr>
        <xdr:cNvCxnSpPr/>
      </xdr:nvCxnSpPr>
      <xdr:spPr>
        <a:xfrm flipV="1">
          <a:off x="6381750" y="23188083"/>
          <a:ext cx="603250" cy="1026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1487</xdr:row>
      <xdr:rowOff>0</xdr:rowOff>
    </xdr:from>
    <xdr:to>
      <xdr:col>9</xdr:col>
      <xdr:colOff>582083</xdr:colOff>
      <xdr:row>1495</xdr:row>
      <xdr:rowOff>10583</xdr:rowOff>
    </xdr:to>
    <xdr:cxnSp macro="">
      <xdr:nvCxnSpPr>
        <xdr:cNvPr id="890" name="Straight Arrow Connector 889">
          <a:extLst>
            <a:ext uri="{FF2B5EF4-FFF2-40B4-BE49-F238E27FC236}">
              <a16:creationId xmlns:a16="http://schemas.microsoft.com/office/drawing/2014/main" id="{00000000-0008-0000-1300-00007A030000}"/>
            </a:ext>
          </a:extLst>
        </xdr:cNvPr>
        <xdr:cNvCxnSpPr/>
      </xdr:nvCxnSpPr>
      <xdr:spPr>
        <a:xfrm>
          <a:off x="6413500" y="24765000"/>
          <a:ext cx="550333" cy="1534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21167</xdr:colOff>
      <xdr:row>1492</xdr:row>
      <xdr:rowOff>169333</xdr:rowOff>
    </xdr:from>
    <xdr:to>
      <xdr:col>11</xdr:col>
      <xdr:colOff>603250</xdr:colOff>
      <xdr:row>1495</xdr:row>
      <xdr:rowOff>21167</xdr:rowOff>
    </xdr:to>
    <xdr:cxnSp macro="">
      <xdr:nvCxnSpPr>
        <xdr:cNvPr id="891" name="Straight Arrow Connector 890">
          <a:extLst>
            <a:ext uri="{FF2B5EF4-FFF2-40B4-BE49-F238E27FC236}">
              <a16:creationId xmlns:a16="http://schemas.microsoft.com/office/drawing/2014/main" id="{00000000-0008-0000-1300-00007B030000}"/>
            </a:ext>
          </a:extLst>
        </xdr:cNvPr>
        <xdr:cNvCxnSpPr/>
      </xdr:nvCxnSpPr>
      <xdr:spPr>
        <a:xfrm flipV="1">
          <a:off x="7609417" y="25886833"/>
          <a:ext cx="582083" cy="423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1498</xdr:row>
      <xdr:rowOff>42333</xdr:rowOff>
    </xdr:from>
    <xdr:to>
      <xdr:col>11</xdr:col>
      <xdr:colOff>603250</xdr:colOff>
      <xdr:row>1510</xdr:row>
      <xdr:rowOff>10583</xdr:rowOff>
    </xdr:to>
    <xdr:cxnSp macro="">
      <xdr:nvCxnSpPr>
        <xdr:cNvPr id="892" name="Straight Arrow Connector 891">
          <a:extLst>
            <a:ext uri="{FF2B5EF4-FFF2-40B4-BE49-F238E27FC236}">
              <a16:creationId xmlns:a16="http://schemas.microsoft.com/office/drawing/2014/main" id="{00000000-0008-0000-1300-00007C030000}"/>
            </a:ext>
          </a:extLst>
        </xdr:cNvPr>
        <xdr:cNvCxnSpPr/>
      </xdr:nvCxnSpPr>
      <xdr:spPr>
        <a:xfrm>
          <a:off x="7598834" y="269028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1488</xdr:row>
      <xdr:rowOff>21167</xdr:rowOff>
    </xdr:from>
    <xdr:to>
      <xdr:col>13</xdr:col>
      <xdr:colOff>592667</xdr:colOff>
      <xdr:row>1490</xdr:row>
      <xdr:rowOff>0</xdr:rowOff>
    </xdr:to>
    <xdr:cxnSp macro="">
      <xdr:nvCxnSpPr>
        <xdr:cNvPr id="893" name="Straight Arrow Connector 892">
          <a:extLst>
            <a:ext uri="{FF2B5EF4-FFF2-40B4-BE49-F238E27FC236}">
              <a16:creationId xmlns:a16="http://schemas.microsoft.com/office/drawing/2014/main" id="{00000000-0008-0000-1300-00007D030000}"/>
            </a:ext>
          </a:extLst>
        </xdr:cNvPr>
        <xdr:cNvCxnSpPr/>
      </xdr:nvCxnSpPr>
      <xdr:spPr>
        <a:xfrm flipV="1">
          <a:off x="8794750" y="249766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1493</xdr:row>
      <xdr:rowOff>21166</xdr:rowOff>
    </xdr:from>
    <xdr:to>
      <xdr:col>13</xdr:col>
      <xdr:colOff>592667</xdr:colOff>
      <xdr:row>1494</xdr:row>
      <xdr:rowOff>169334</xdr:rowOff>
    </xdr:to>
    <xdr:cxnSp macro="">
      <xdr:nvCxnSpPr>
        <xdr:cNvPr id="894" name="Straight Arrow Connector 893">
          <a:extLst>
            <a:ext uri="{FF2B5EF4-FFF2-40B4-BE49-F238E27FC236}">
              <a16:creationId xmlns:a16="http://schemas.microsoft.com/office/drawing/2014/main" id="{00000000-0008-0000-1300-00007E030000}"/>
            </a:ext>
          </a:extLst>
        </xdr:cNvPr>
        <xdr:cNvCxnSpPr/>
      </xdr:nvCxnSpPr>
      <xdr:spPr>
        <a:xfrm>
          <a:off x="8784166" y="259291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1508</xdr:row>
      <xdr:rowOff>21167</xdr:rowOff>
    </xdr:from>
    <xdr:to>
      <xdr:col>13</xdr:col>
      <xdr:colOff>592667</xdr:colOff>
      <xdr:row>1510</xdr:row>
      <xdr:rowOff>63500</xdr:rowOff>
    </xdr:to>
    <xdr:cxnSp macro="">
      <xdr:nvCxnSpPr>
        <xdr:cNvPr id="895" name="Straight Arrow Connector 894">
          <a:extLst>
            <a:ext uri="{FF2B5EF4-FFF2-40B4-BE49-F238E27FC236}">
              <a16:creationId xmlns:a16="http://schemas.microsoft.com/office/drawing/2014/main" id="{00000000-0008-0000-1300-00007F030000}"/>
            </a:ext>
          </a:extLst>
        </xdr:cNvPr>
        <xdr:cNvCxnSpPr/>
      </xdr:nvCxnSpPr>
      <xdr:spPr>
        <a:xfrm flipV="1">
          <a:off x="8794750" y="289771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1513</xdr:row>
      <xdr:rowOff>0</xdr:rowOff>
    </xdr:from>
    <xdr:to>
      <xdr:col>14</xdr:col>
      <xdr:colOff>10584</xdr:colOff>
      <xdr:row>1521</xdr:row>
      <xdr:rowOff>148167</xdr:rowOff>
    </xdr:to>
    <xdr:cxnSp macro="">
      <xdr:nvCxnSpPr>
        <xdr:cNvPr id="896" name="Straight Arrow Connector 895">
          <a:extLst>
            <a:ext uri="{FF2B5EF4-FFF2-40B4-BE49-F238E27FC236}">
              <a16:creationId xmlns:a16="http://schemas.microsoft.com/office/drawing/2014/main" id="{00000000-0008-0000-1300-000080030000}"/>
            </a:ext>
          </a:extLst>
        </xdr:cNvPr>
        <xdr:cNvCxnSpPr/>
      </xdr:nvCxnSpPr>
      <xdr:spPr>
        <a:xfrm>
          <a:off x="8805333" y="299085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1480</xdr:row>
      <xdr:rowOff>0</xdr:rowOff>
    </xdr:from>
    <xdr:to>
      <xdr:col>15</xdr:col>
      <xdr:colOff>603250</xdr:colOff>
      <xdr:row>1485</xdr:row>
      <xdr:rowOff>31750</xdr:rowOff>
    </xdr:to>
    <xdr:cxnSp macro="">
      <xdr:nvCxnSpPr>
        <xdr:cNvPr id="897" name="Straight Arrow Connector 896">
          <a:extLst>
            <a:ext uri="{FF2B5EF4-FFF2-40B4-BE49-F238E27FC236}">
              <a16:creationId xmlns:a16="http://schemas.microsoft.com/office/drawing/2014/main" id="{00000000-0008-0000-1300-000081030000}"/>
            </a:ext>
          </a:extLst>
        </xdr:cNvPr>
        <xdr:cNvCxnSpPr/>
      </xdr:nvCxnSpPr>
      <xdr:spPr>
        <a:xfrm flipV="1">
          <a:off x="10541000" y="23431500"/>
          <a:ext cx="603250" cy="984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1483</xdr:row>
      <xdr:rowOff>52917</xdr:rowOff>
    </xdr:from>
    <xdr:to>
      <xdr:col>15</xdr:col>
      <xdr:colOff>603250</xdr:colOff>
      <xdr:row>1485</xdr:row>
      <xdr:rowOff>95250</xdr:rowOff>
    </xdr:to>
    <xdr:cxnSp macro="">
      <xdr:nvCxnSpPr>
        <xdr:cNvPr id="898" name="Straight Arrow Connector 897">
          <a:extLst>
            <a:ext uri="{FF2B5EF4-FFF2-40B4-BE49-F238E27FC236}">
              <a16:creationId xmlns:a16="http://schemas.microsoft.com/office/drawing/2014/main" id="{00000000-0008-0000-1300-000082030000}"/>
            </a:ext>
          </a:extLst>
        </xdr:cNvPr>
        <xdr:cNvCxnSpPr/>
      </xdr:nvCxnSpPr>
      <xdr:spPr>
        <a:xfrm flipV="1">
          <a:off x="10583333" y="24055917"/>
          <a:ext cx="56091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1485</xdr:row>
      <xdr:rowOff>158750</xdr:rowOff>
    </xdr:from>
    <xdr:to>
      <xdr:col>15</xdr:col>
      <xdr:colOff>582083</xdr:colOff>
      <xdr:row>1486</xdr:row>
      <xdr:rowOff>137583</xdr:rowOff>
    </xdr:to>
    <xdr:cxnSp macro="">
      <xdr:nvCxnSpPr>
        <xdr:cNvPr id="899" name="Straight Arrow Connector 898">
          <a:extLst>
            <a:ext uri="{FF2B5EF4-FFF2-40B4-BE49-F238E27FC236}">
              <a16:creationId xmlns:a16="http://schemas.microsoft.com/office/drawing/2014/main" id="{00000000-0008-0000-1300-000083030000}"/>
            </a:ext>
          </a:extLst>
        </xdr:cNvPr>
        <xdr:cNvCxnSpPr/>
      </xdr:nvCxnSpPr>
      <xdr:spPr>
        <a:xfrm>
          <a:off x="10604500" y="24542750"/>
          <a:ext cx="518583" cy="169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1121834</xdr:colOff>
      <xdr:row>1485</xdr:row>
      <xdr:rowOff>105834</xdr:rowOff>
    </xdr:from>
    <xdr:to>
      <xdr:col>16</xdr:col>
      <xdr:colOff>0</xdr:colOff>
      <xdr:row>1489</xdr:row>
      <xdr:rowOff>84667</xdr:rowOff>
    </xdr:to>
    <xdr:cxnSp macro="">
      <xdr:nvCxnSpPr>
        <xdr:cNvPr id="900" name="Straight Arrow Connector 899">
          <a:extLst>
            <a:ext uri="{FF2B5EF4-FFF2-40B4-BE49-F238E27FC236}">
              <a16:creationId xmlns:a16="http://schemas.microsoft.com/office/drawing/2014/main" id="{00000000-0008-0000-1300-000084030000}"/>
            </a:ext>
          </a:extLst>
        </xdr:cNvPr>
        <xdr:cNvCxnSpPr/>
      </xdr:nvCxnSpPr>
      <xdr:spPr>
        <a:xfrm>
          <a:off x="10519834" y="24489834"/>
          <a:ext cx="624416"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1493</xdr:row>
      <xdr:rowOff>52916</xdr:rowOff>
    </xdr:from>
    <xdr:to>
      <xdr:col>16</xdr:col>
      <xdr:colOff>0</xdr:colOff>
      <xdr:row>1495</xdr:row>
      <xdr:rowOff>0</xdr:rowOff>
    </xdr:to>
    <xdr:cxnSp macro="">
      <xdr:nvCxnSpPr>
        <xdr:cNvPr id="901" name="Straight Arrow Connector 900">
          <a:extLst>
            <a:ext uri="{FF2B5EF4-FFF2-40B4-BE49-F238E27FC236}">
              <a16:creationId xmlns:a16="http://schemas.microsoft.com/office/drawing/2014/main" id="{00000000-0008-0000-1300-000085030000}"/>
            </a:ext>
          </a:extLst>
        </xdr:cNvPr>
        <xdr:cNvCxnSpPr/>
      </xdr:nvCxnSpPr>
      <xdr:spPr>
        <a:xfrm flipV="1">
          <a:off x="10541000" y="259609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1495</xdr:row>
      <xdr:rowOff>21167</xdr:rowOff>
    </xdr:from>
    <xdr:to>
      <xdr:col>15</xdr:col>
      <xdr:colOff>582083</xdr:colOff>
      <xdr:row>1496</xdr:row>
      <xdr:rowOff>42333</xdr:rowOff>
    </xdr:to>
    <xdr:cxnSp macro="">
      <xdr:nvCxnSpPr>
        <xdr:cNvPr id="902" name="Straight Arrow Connector 901">
          <a:extLst>
            <a:ext uri="{FF2B5EF4-FFF2-40B4-BE49-F238E27FC236}">
              <a16:creationId xmlns:a16="http://schemas.microsoft.com/office/drawing/2014/main" id="{00000000-0008-0000-1300-000086030000}"/>
            </a:ext>
          </a:extLst>
        </xdr:cNvPr>
        <xdr:cNvCxnSpPr/>
      </xdr:nvCxnSpPr>
      <xdr:spPr>
        <a:xfrm>
          <a:off x="10551583" y="26310167"/>
          <a:ext cx="571500" cy="211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1495</xdr:row>
      <xdr:rowOff>21167</xdr:rowOff>
    </xdr:from>
    <xdr:to>
      <xdr:col>16</xdr:col>
      <xdr:colOff>42333</xdr:colOff>
      <xdr:row>1500</xdr:row>
      <xdr:rowOff>21168</xdr:rowOff>
    </xdr:to>
    <xdr:cxnSp macro="">
      <xdr:nvCxnSpPr>
        <xdr:cNvPr id="903" name="Straight Arrow Connector 902">
          <a:extLst>
            <a:ext uri="{FF2B5EF4-FFF2-40B4-BE49-F238E27FC236}">
              <a16:creationId xmlns:a16="http://schemas.microsoft.com/office/drawing/2014/main" id="{00000000-0008-0000-1300-000087030000}"/>
            </a:ext>
          </a:extLst>
        </xdr:cNvPr>
        <xdr:cNvCxnSpPr/>
      </xdr:nvCxnSpPr>
      <xdr:spPr>
        <a:xfrm>
          <a:off x="10530417" y="26310167"/>
          <a:ext cx="656166" cy="9525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1495</xdr:row>
      <xdr:rowOff>31750</xdr:rowOff>
    </xdr:from>
    <xdr:to>
      <xdr:col>16</xdr:col>
      <xdr:colOff>42334</xdr:colOff>
      <xdr:row>1502</xdr:row>
      <xdr:rowOff>63501</xdr:rowOff>
    </xdr:to>
    <xdr:cxnSp macro="">
      <xdr:nvCxnSpPr>
        <xdr:cNvPr id="904" name="Straight Arrow Connector 903">
          <a:extLst>
            <a:ext uri="{FF2B5EF4-FFF2-40B4-BE49-F238E27FC236}">
              <a16:creationId xmlns:a16="http://schemas.microsoft.com/office/drawing/2014/main" id="{00000000-0008-0000-1300-000088030000}"/>
            </a:ext>
          </a:extLst>
        </xdr:cNvPr>
        <xdr:cNvCxnSpPr/>
      </xdr:nvCxnSpPr>
      <xdr:spPr>
        <a:xfrm>
          <a:off x="10541000" y="26320750"/>
          <a:ext cx="645584"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10583</xdr:colOff>
      <xdr:row>1532</xdr:row>
      <xdr:rowOff>42333</xdr:rowOff>
    </xdr:from>
    <xdr:to>
      <xdr:col>9</xdr:col>
      <xdr:colOff>592666</xdr:colOff>
      <xdr:row>1540</xdr:row>
      <xdr:rowOff>42333</xdr:rowOff>
    </xdr:to>
    <xdr:cxnSp macro="">
      <xdr:nvCxnSpPr>
        <xdr:cNvPr id="905" name="Straight Arrow Connector 904">
          <a:extLst>
            <a:ext uri="{FF2B5EF4-FFF2-40B4-BE49-F238E27FC236}">
              <a16:creationId xmlns:a16="http://schemas.microsoft.com/office/drawing/2014/main" id="{00000000-0008-0000-1300-000089030000}"/>
            </a:ext>
          </a:extLst>
        </xdr:cNvPr>
        <xdr:cNvCxnSpPr/>
      </xdr:nvCxnSpPr>
      <xdr:spPr>
        <a:xfrm flipV="1">
          <a:off x="6392333" y="33570333"/>
          <a:ext cx="582083" cy="152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1542</xdr:row>
      <xdr:rowOff>169334</xdr:rowOff>
    </xdr:from>
    <xdr:to>
      <xdr:col>9</xdr:col>
      <xdr:colOff>603250</xdr:colOff>
      <xdr:row>1551</xdr:row>
      <xdr:rowOff>31750</xdr:rowOff>
    </xdr:to>
    <xdr:cxnSp macro="">
      <xdr:nvCxnSpPr>
        <xdr:cNvPr id="906" name="Straight Arrow Connector 905">
          <a:extLst>
            <a:ext uri="{FF2B5EF4-FFF2-40B4-BE49-F238E27FC236}">
              <a16:creationId xmlns:a16="http://schemas.microsoft.com/office/drawing/2014/main" id="{00000000-0008-0000-1300-00008A030000}"/>
            </a:ext>
          </a:extLst>
        </xdr:cNvPr>
        <xdr:cNvCxnSpPr/>
      </xdr:nvCxnSpPr>
      <xdr:spPr>
        <a:xfrm>
          <a:off x="6413500" y="35602334"/>
          <a:ext cx="571500" cy="1576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571500</xdr:colOff>
      <xdr:row>1548</xdr:row>
      <xdr:rowOff>158750</xdr:rowOff>
    </xdr:from>
    <xdr:to>
      <xdr:col>11</xdr:col>
      <xdr:colOff>571500</xdr:colOff>
      <xdr:row>1551</xdr:row>
      <xdr:rowOff>0</xdr:rowOff>
    </xdr:to>
    <xdr:cxnSp macro="">
      <xdr:nvCxnSpPr>
        <xdr:cNvPr id="907" name="Straight Arrow Connector 906">
          <a:extLst>
            <a:ext uri="{FF2B5EF4-FFF2-40B4-BE49-F238E27FC236}">
              <a16:creationId xmlns:a16="http://schemas.microsoft.com/office/drawing/2014/main" id="{00000000-0008-0000-1300-00008B030000}"/>
            </a:ext>
          </a:extLst>
        </xdr:cNvPr>
        <xdr:cNvCxnSpPr/>
      </xdr:nvCxnSpPr>
      <xdr:spPr>
        <a:xfrm flipV="1">
          <a:off x="7556500" y="36734750"/>
          <a:ext cx="603250" cy="412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1506</xdr:row>
      <xdr:rowOff>0</xdr:rowOff>
    </xdr:from>
    <xdr:to>
      <xdr:col>15</xdr:col>
      <xdr:colOff>603250</xdr:colOff>
      <xdr:row>1508</xdr:row>
      <xdr:rowOff>1</xdr:rowOff>
    </xdr:to>
    <xdr:cxnSp macro="">
      <xdr:nvCxnSpPr>
        <xdr:cNvPr id="908" name="Straight Arrow Connector 907">
          <a:extLst>
            <a:ext uri="{FF2B5EF4-FFF2-40B4-BE49-F238E27FC236}">
              <a16:creationId xmlns:a16="http://schemas.microsoft.com/office/drawing/2014/main" id="{00000000-0008-0000-1300-00008C030000}"/>
            </a:ext>
          </a:extLst>
        </xdr:cNvPr>
        <xdr:cNvCxnSpPr/>
      </xdr:nvCxnSpPr>
      <xdr:spPr>
        <a:xfrm flipV="1">
          <a:off x="10530417" y="285750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1508</xdr:row>
      <xdr:rowOff>10584</xdr:rowOff>
    </xdr:from>
    <xdr:to>
      <xdr:col>15</xdr:col>
      <xdr:colOff>592666</xdr:colOff>
      <xdr:row>1509</xdr:row>
      <xdr:rowOff>95250</xdr:rowOff>
    </xdr:to>
    <xdr:cxnSp macro="">
      <xdr:nvCxnSpPr>
        <xdr:cNvPr id="909" name="Straight Arrow Connector 908">
          <a:extLst>
            <a:ext uri="{FF2B5EF4-FFF2-40B4-BE49-F238E27FC236}">
              <a16:creationId xmlns:a16="http://schemas.microsoft.com/office/drawing/2014/main" id="{00000000-0008-0000-1300-00008D030000}"/>
            </a:ext>
          </a:extLst>
        </xdr:cNvPr>
        <xdr:cNvCxnSpPr/>
      </xdr:nvCxnSpPr>
      <xdr:spPr>
        <a:xfrm>
          <a:off x="10572750" y="289665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1508</xdr:row>
      <xdr:rowOff>10584</xdr:rowOff>
    </xdr:from>
    <xdr:to>
      <xdr:col>15</xdr:col>
      <xdr:colOff>560916</xdr:colOff>
      <xdr:row>1512</xdr:row>
      <xdr:rowOff>52917</xdr:rowOff>
    </xdr:to>
    <xdr:cxnSp macro="">
      <xdr:nvCxnSpPr>
        <xdr:cNvPr id="910" name="Straight Arrow Connector 909">
          <a:extLst>
            <a:ext uri="{FF2B5EF4-FFF2-40B4-BE49-F238E27FC236}">
              <a16:creationId xmlns:a16="http://schemas.microsoft.com/office/drawing/2014/main" id="{00000000-0008-0000-1300-00008E030000}"/>
            </a:ext>
          </a:extLst>
        </xdr:cNvPr>
        <xdr:cNvCxnSpPr/>
      </xdr:nvCxnSpPr>
      <xdr:spPr>
        <a:xfrm>
          <a:off x="10551583" y="289665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1508</xdr:row>
      <xdr:rowOff>31750</xdr:rowOff>
    </xdr:from>
    <xdr:to>
      <xdr:col>16</xdr:col>
      <xdr:colOff>21167</xdr:colOff>
      <xdr:row>1515</xdr:row>
      <xdr:rowOff>95250</xdr:rowOff>
    </xdr:to>
    <xdr:cxnSp macro="">
      <xdr:nvCxnSpPr>
        <xdr:cNvPr id="911" name="Straight Arrow Connector 910">
          <a:extLst>
            <a:ext uri="{FF2B5EF4-FFF2-40B4-BE49-F238E27FC236}">
              <a16:creationId xmlns:a16="http://schemas.microsoft.com/office/drawing/2014/main" id="{00000000-0008-0000-1300-00008F030000}"/>
            </a:ext>
          </a:extLst>
        </xdr:cNvPr>
        <xdr:cNvCxnSpPr/>
      </xdr:nvCxnSpPr>
      <xdr:spPr>
        <a:xfrm>
          <a:off x="10583333" y="289877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1522</xdr:row>
      <xdr:rowOff>0</xdr:rowOff>
    </xdr:from>
    <xdr:to>
      <xdr:col>16</xdr:col>
      <xdr:colOff>0</xdr:colOff>
      <xdr:row>1522</xdr:row>
      <xdr:rowOff>42334</xdr:rowOff>
    </xdr:to>
    <xdr:cxnSp macro="">
      <xdr:nvCxnSpPr>
        <xdr:cNvPr id="912" name="Straight Arrow Connector 911">
          <a:extLst>
            <a:ext uri="{FF2B5EF4-FFF2-40B4-BE49-F238E27FC236}">
              <a16:creationId xmlns:a16="http://schemas.microsoft.com/office/drawing/2014/main" id="{00000000-0008-0000-1300-000090030000}"/>
            </a:ext>
          </a:extLst>
        </xdr:cNvPr>
        <xdr:cNvCxnSpPr/>
      </xdr:nvCxnSpPr>
      <xdr:spPr>
        <a:xfrm>
          <a:off x="10562166" y="316230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1522</xdr:row>
      <xdr:rowOff>21166</xdr:rowOff>
    </xdr:from>
    <xdr:to>
      <xdr:col>15</xdr:col>
      <xdr:colOff>560916</xdr:colOff>
      <xdr:row>1525</xdr:row>
      <xdr:rowOff>84667</xdr:rowOff>
    </xdr:to>
    <xdr:cxnSp macro="">
      <xdr:nvCxnSpPr>
        <xdr:cNvPr id="913" name="Straight Arrow Connector 912">
          <a:extLst>
            <a:ext uri="{FF2B5EF4-FFF2-40B4-BE49-F238E27FC236}">
              <a16:creationId xmlns:a16="http://schemas.microsoft.com/office/drawing/2014/main" id="{00000000-0008-0000-1300-000091030000}"/>
            </a:ext>
          </a:extLst>
        </xdr:cNvPr>
        <xdr:cNvCxnSpPr/>
      </xdr:nvCxnSpPr>
      <xdr:spPr>
        <a:xfrm>
          <a:off x="10615083" y="316441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1522</xdr:row>
      <xdr:rowOff>52916</xdr:rowOff>
    </xdr:from>
    <xdr:to>
      <xdr:col>15</xdr:col>
      <xdr:colOff>592666</xdr:colOff>
      <xdr:row>1528</xdr:row>
      <xdr:rowOff>63501</xdr:rowOff>
    </xdr:to>
    <xdr:cxnSp macro="">
      <xdr:nvCxnSpPr>
        <xdr:cNvPr id="914" name="Straight Arrow Connector 913">
          <a:extLst>
            <a:ext uri="{FF2B5EF4-FFF2-40B4-BE49-F238E27FC236}">
              <a16:creationId xmlns:a16="http://schemas.microsoft.com/office/drawing/2014/main" id="{00000000-0008-0000-1300-000092030000}"/>
            </a:ext>
          </a:extLst>
        </xdr:cNvPr>
        <xdr:cNvCxnSpPr/>
      </xdr:nvCxnSpPr>
      <xdr:spPr>
        <a:xfrm>
          <a:off x="10572750" y="316759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1536</xdr:row>
      <xdr:rowOff>116416</xdr:rowOff>
    </xdr:from>
    <xdr:to>
      <xdr:col>15</xdr:col>
      <xdr:colOff>592666</xdr:colOff>
      <xdr:row>1539</xdr:row>
      <xdr:rowOff>158750</xdr:rowOff>
    </xdr:to>
    <xdr:cxnSp macro="">
      <xdr:nvCxnSpPr>
        <xdr:cNvPr id="915" name="Straight Arrow Connector 914">
          <a:extLst>
            <a:ext uri="{FF2B5EF4-FFF2-40B4-BE49-F238E27FC236}">
              <a16:creationId xmlns:a16="http://schemas.microsoft.com/office/drawing/2014/main" id="{00000000-0008-0000-1300-000093030000}"/>
            </a:ext>
          </a:extLst>
        </xdr:cNvPr>
        <xdr:cNvCxnSpPr/>
      </xdr:nvCxnSpPr>
      <xdr:spPr>
        <a:xfrm flipV="1">
          <a:off x="10562166" y="34406416"/>
          <a:ext cx="571500" cy="613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1538</xdr:row>
      <xdr:rowOff>95250</xdr:rowOff>
    </xdr:from>
    <xdr:to>
      <xdr:col>15</xdr:col>
      <xdr:colOff>582083</xdr:colOff>
      <xdr:row>1540</xdr:row>
      <xdr:rowOff>52917</xdr:rowOff>
    </xdr:to>
    <xdr:cxnSp macro="">
      <xdr:nvCxnSpPr>
        <xdr:cNvPr id="916" name="Straight Arrow Connector 915">
          <a:extLst>
            <a:ext uri="{FF2B5EF4-FFF2-40B4-BE49-F238E27FC236}">
              <a16:creationId xmlns:a16="http://schemas.microsoft.com/office/drawing/2014/main" id="{00000000-0008-0000-1300-000094030000}"/>
            </a:ext>
          </a:extLst>
        </xdr:cNvPr>
        <xdr:cNvCxnSpPr/>
      </xdr:nvCxnSpPr>
      <xdr:spPr>
        <a:xfrm flipV="1">
          <a:off x="10604500" y="34766250"/>
          <a:ext cx="518583" cy="338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1540</xdr:row>
      <xdr:rowOff>116417</xdr:rowOff>
    </xdr:from>
    <xdr:to>
      <xdr:col>15</xdr:col>
      <xdr:colOff>592666</xdr:colOff>
      <xdr:row>1544</xdr:row>
      <xdr:rowOff>95250</xdr:rowOff>
    </xdr:to>
    <xdr:cxnSp macro="">
      <xdr:nvCxnSpPr>
        <xdr:cNvPr id="917" name="Straight Arrow Connector 916">
          <a:extLst>
            <a:ext uri="{FF2B5EF4-FFF2-40B4-BE49-F238E27FC236}">
              <a16:creationId xmlns:a16="http://schemas.microsoft.com/office/drawing/2014/main" id="{00000000-0008-0000-1300-000095030000}"/>
            </a:ext>
          </a:extLst>
        </xdr:cNvPr>
        <xdr:cNvCxnSpPr/>
      </xdr:nvCxnSpPr>
      <xdr:spPr>
        <a:xfrm>
          <a:off x="10593916" y="35168417"/>
          <a:ext cx="53975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1551</xdr:row>
      <xdr:rowOff>116416</xdr:rowOff>
    </xdr:from>
    <xdr:to>
      <xdr:col>16</xdr:col>
      <xdr:colOff>0</xdr:colOff>
      <xdr:row>1558</xdr:row>
      <xdr:rowOff>74084</xdr:rowOff>
    </xdr:to>
    <xdr:cxnSp macro="">
      <xdr:nvCxnSpPr>
        <xdr:cNvPr id="918" name="Straight Arrow Connector 917">
          <a:extLst>
            <a:ext uri="{FF2B5EF4-FFF2-40B4-BE49-F238E27FC236}">
              <a16:creationId xmlns:a16="http://schemas.microsoft.com/office/drawing/2014/main" id="{00000000-0008-0000-1300-000096030000}"/>
            </a:ext>
          </a:extLst>
        </xdr:cNvPr>
        <xdr:cNvCxnSpPr/>
      </xdr:nvCxnSpPr>
      <xdr:spPr>
        <a:xfrm>
          <a:off x="10572750" y="37263916"/>
          <a:ext cx="571500" cy="12911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1519</xdr:row>
      <xdr:rowOff>52917</xdr:rowOff>
    </xdr:from>
    <xdr:to>
      <xdr:col>15</xdr:col>
      <xdr:colOff>603250</xdr:colOff>
      <xdr:row>1521</xdr:row>
      <xdr:rowOff>148167</xdr:rowOff>
    </xdr:to>
    <xdr:cxnSp macro="">
      <xdr:nvCxnSpPr>
        <xdr:cNvPr id="919" name="Straight Arrow Connector 918">
          <a:extLst>
            <a:ext uri="{FF2B5EF4-FFF2-40B4-BE49-F238E27FC236}">
              <a16:creationId xmlns:a16="http://schemas.microsoft.com/office/drawing/2014/main" id="{00000000-0008-0000-1300-000097030000}"/>
            </a:ext>
          </a:extLst>
        </xdr:cNvPr>
        <xdr:cNvCxnSpPr/>
      </xdr:nvCxnSpPr>
      <xdr:spPr>
        <a:xfrm flipV="1">
          <a:off x="10583333" y="311044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1554</xdr:row>
      <xdr:rowOff>42333</xdr:rowOff>
    </xdr:from>
    <xdr:to>
      <xdr:col>11</xdr:col>
      <xdr:colOff>603250</xdr:colOff>
      <xdr:row>1566</xdr:row>
      <xdr:rowOff>10583</xdr:rowOff>
    </xdr:to>
    <xdr:cxnSp macro="">
      <xdr:nvCxnSpPr>
        <xdr:cNvPr id="920" name="Straight Arrow Connector 919">
          <a:extLst>
            <a:ext uri="{FF2B5EF4-FFF2-40B4-BE49-F238E27FC236}">
              <a16:creationId xmlns:a16="http://schemas.microsoft.com/office/drawing/2014/main" id="{00000000-0008-0000-1300-000098030000}"/>
            </a:ext>
          </a:extLst>
        </xdr:cNvPr>
        <xdr:cNvCxnSpPr/>
      </xdr:nvCxnSpPr>
      <xdr:spPr>
        <a:xfrm>
          <a:off x="7598834" y="377613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1544</xdr:row>
      <xdr:rowOff>21167</xdr:rowOff>
    </xdr:from>
    <xdr:to>
      <xdr:col>13</xdr:col>
      <xdr:colOff>592667</xdr:colOff>
      <xdr:row>1546</xdr:row>
      <xdr:rowOff>0</xdr:rowOff>
    </xdr:to>
    <xdr:cxnSp macro="">
      <xdr:nvCxnSpPr>
        <xdr:cNvPr id="921" name="Straight Arrow Connector 920">
          <a:extLst>
            <a:ext uri="{FF2B5EF4-FFF2-40B4-BE49-F238E27FC236}">
              <a16:creationId xmlns:a16="http://schemas.microsoft.com/office/drawing/2014/main" id="{00000000-0008-0000-1300-000099030000}"/>
            </a:ext>
          </a:extLst>
        </xdr:cNvPr>
        <xdr:cNvCxnSpPr/>
      </xdr:nvCxnSpPr>
      <xdr:spPr>
        <a:xfrm flipV="1">
          <a:off x="8794750" y="358351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1549</xdr:row>
      <xdr:rowOff>21166</xdr:rowOff>
    </xdr:from>
    <xdr:to>
      <xdr:col>13</xdr:col>
      <xdr:colOff>592667</xdr:colOff>
      <xdr:row>1550</xdr:row>
      <xdr:rowOff>169334</xdr:rowOff>
    </xdr:to>
    <xdr:cxnSp macro="">
      <xdr:nvCxnSpPr>
        <xdr:cNvPr id="922" name="Straight Arrow Connector 921">
          <a:extLst>
            <a:ext uri="{FF2B5EF4-FFF2-40B4-BE49-F238E27FC236}">
              <a16:creationId xmlns:a16="http://schemas.microsoft.com/office/drawing/2014/main" id="{00000000-0008-0000-1300-00009A030000}"/>
            </a:ext>
          </a:extLst>
        </xdr:cNvPr>
        <xdr:cNvCxnSpPr/>
      </xdr:nvCxnSpPr>
      <xdr:spPr>
        <a:xfrm>
          <a:off x="8784166" y="367876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1564</xdr:row>
      <xdr:rowOff>21167</xdr:rowOff>
    </xdr:from>
    <xdr:to>
      <xdr:col>13</xdr:col>
      <xdr:colOff>592667</xdr:colOff>
      <xdr:row>1566</xdr:row>
      <xdr:rowOff>63500</xdr:rowOff>
    </xdr:to>
    <xdr:cxnSp macro="">
      <xdr:nvCxnSpPr>
        <xdr:cNvPr id="923" name="Straight Arrow Connector 922">
          <a:extLst>
            <a:ext uri="{FF2B5EF4-FFF2-40B4-BE49-F238E27FC236}">
              <a16:creationId xmlns:a16="http://schemas.microsoft.com/office/drawing/2014/main" id="{00000000-0008-0000-1300-00009B030000}"/>
            </a:ext>
          </a:extLst>
        </xdr:cNvPr>
        <xdr:cNvCxnSpPr/>
      </xdr:nvCxnSpPr>
      <xdr:spPr>
        <a:xfrm flipV="1">
          <a:off x="8794750" y="398356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1569</xdr:row>
      <xdr:rowOff>0</xdr:rowOff>
    </xdr:from>
    <xdr:to>
      <xdr:col>14</xdr:col>
      <xdr:colOff>10584</xdr:colOff>
      <xdr:row>1577</xdr:row>
      <xdr:rowOff>148167</xdr:rowOff>
    </xdr:to>
    <xdr:cxnSp macro="">
      <xdr:nvCxnSpPr>
        <xdr:cNvPr id="924" name="Straight Arrow Connector 923">
          <a:extLst>
            <a:ext uri="{FF2B5EF4-FFF2-40B4-BE49-F238E27FC236}">
              <a16:creationId xmlns:a16="http://schemas.microsoft.com/office/drawing/2014/main" id="{00000000-0008-0000-1300-00009C030000}"/>
            </a:ext>
          </a:extLst>
        </xdr:cNvPr>
        <xdr:cNvCxnSpPr/>
      </xdr:nvCxnSpPr>
      <xdr:spPr>
        <a:xfrm>
          <a:off x="8805333" y="407670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1540</xdr:row>
      <xdr:rowOff>95250</xdr:rowOff>
    </xdr:from>
    <xdr:to>
      <xdr:col>15</xdr:col>
      <xdr:colOff>582083</xdr:colOff>
      <xdr:row>1542</xdr:row>
      <xdr:rowOff>137583</xdr:rowOff>
    </xdr:to>
    <xdr:cxnSp macro="">
      <xdr:nvCxnSpPr>
        <xdr:cNvPr id="925" name="Straight Arrow Connector 924">
          <a:extLst>
            <a:ext uri="{FF2B5EF4-FFF2-40B4-BE49-F238E27FC236}">
              <a16:creationId xmlns:a16="http://schemas.microsoft.com/office/drawing/2014/main" id="{00000000-0008-0000-1300-00009D030000}"/>
            </a:ext>
          </a:extLst>
        </xdr:cNvPr>
        <xdr:cNvCxnSpPr/>
      </xdr:nvCxnSpPr>
      <xdr:spPr>
        <a:xfrm>
          <a:off x="10593916" y="35147250"/>
          <a:ext cx="5291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1549</xdr:row>
      <xdr:rowOff>52916</xdr:rowOff>
    </xdr:from>
    <xdr:to>
      <xdr:col>16</xdr:col>
      <xdr:colOff>0</xdr:colOff>
      <xdr:row>1551</xdr:row>
      <xdr:rowOff>0</xdr:rowOff>
    </xdr:to>
    <xdr:cxnSp macro="">
      <xdr:nvCxnSpPr>
        <xdr:cNvPr id="926" name="Straight Arrow Connector 925">
          <a:extLst>
            <a:ext uri="{FF2B5EF4-FFF2-40B4-BE49-F238E27FC236}">
              <a16:creationId xmlns:a16="http://schemas.microsoft.com/office/drawing/2014/main" id="{00000000-0008-0000-1300-00009E030000}"/>
            </a:ext>
          </a:extLst>
        </xdr:cNvPr>
        <xdr:cNvCxnSpPr/>
      </xdr:nvCxnSpPr>
      <xdr:spPr>
        <a:xfrm flipV="1">
          <a:off x="10541000" y="368194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1551</xdr:row>
      <xdr:rowOff>21167</xdr:rowOff>
    </xdr:from>
    <xdr:to>
      <xdr:col>15</xdr:col>
      <xdr:colOff>592666</xdr:colOff>
      <xdr:row>1552</xdr:row>
      <xdr:rowOff>84667</xdr:rowOff>
    </xdr:to>
    <xdr:cxnSp macro="">
      <xdr:nvCxnSpPr>
        <xdr:cNvPr id="927" name="Straight Arrow Connector 926">
          <a:extLst>
            <a:ext uri="{FF2B5EF4-FFF2-40B4-BE49-F238E27FC236}">
              <a16:creationId xmlns:a16="http://schemas.microsoft.com/office/drawing/2014/main" id="{00000000-0008-0000-1300-00009F030000}"/>
            </a:ext>
          </a:extLst>
        </xdr:cNvPr>
        <xdr:cNvCxnSpPr/>
      </xdr:nvCxnSpPr>
      <xdr:spPr>
        <a:xfrm>
          <a:off x="10530417" y="37168667"/>
          <a:ext cx="603249" cy="25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1551</xdr:row>
      <xdr:rowOff>0</xdr:rowOff>
    </xdr:from>
    <xdr:to>
      <xdr:col>16</xdr:col>
      <xdr:colOff>0</xdr:colOff>
      <xdr:row>1555</xdr:row>
      <xdr:rowOff>42334</xdr:rowOff>
    </xdr:to>
    <xdr:cxnSp macro="">
      <xdr:nvCxnSpPr>
        <xdr:cNvPr id="928" name="Straight Arrow Connector 927">
          <a:extLst>
            <a:ext uri="{FF2B5EF4-FFF2-40B4-BE49-F238E27FC236}">
              <a16:creationId xmlns:a16="http://schemas.microsoft.com/office/drawing/2014/main" id="{00000000-0008-0000-1300-0000A0030000}"/>
            </a:ext>
          </a:extLst>
        </xdr:cNvPr>
        <xdr:cNvCxnSpPr/>
      </xdr:nvCxnSpPr>
      <xdr:spPr>
        <a:xfrm>
          <a:off x="10530417" y="37147500"/>
          <a:ext cx="613833" cy="804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1562</xdr:row>
      <xdr:rowOff>0</xdr:rowOff>
    </xdr:from>
    <xdr:to>
      <xdr:col>15</xdr:col>
      <xdr:colOff>603250</xdr:colOff>
      <xdr:row>1564</xdr:row>
      <xdr:rowOff>1</xdr:rowOff>
    </xdr:to>
    <xdr:cxnSp macro="">
      <xdr:nvCxnSpPr>
        <xdr:cNvPr id="929" name="Straight Arrow Connector 928">
          <a:extLst>
            <a:ext uri="{FF2B5EF4-FFF2-40B4-BE49-F238E27FC236}">
              <a16:creationId xmlns:a16="http://schemas.microsoft.com/office/drawing/2014/main" id="{00000000-0008-0000-1300-0000A1030000}"/>
            </a:ext>
          </a:extLst>
        </xdr:cNvPr>
        <xdr:cNvCxnSpPr/>
      </xdr:nvCxnSpPr>
      <xdr:spPr>
        <a:xfrm flipV="1">
          <a:off x="10530417" y="394335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1564</xdr:row>
      <xdr:rowOff>10584</xdr:rowOff>
    </xdr:from>
    <xdr:to>
      <xdr:col>15</xdr:col>
      <xdr:colOff>592666</xdr:colOff>
      <xdr:row>1565</xdr:row>
      <xdr:rowOff>95250</xdr:rowOff>
    </xdr:to>
    <xdr:cxnSp macro="">
      <xdr:nvCxnSpPr>
        <xdr:cNvPr id="930" name="Straight Arrow Connector 929">
          <a:extLst>
            <a:ext uri="{FF2B5EF4-FFF2-40B4-BE49-F238E27FC236}">
              <a16:creationId xmlns:a16="http://schemas.microsoft.com/office/drawing/2014/main" id="{00000000-0008-0000-1300-0000A2030000}"/>
            </a:ext>
          </a:extLst>
        </xdr:cNvPr>
        <xdr:cNvCxnSpPr/>
      </xdr:nvCxnSpPr>
      <xdr:spPr>
        <a:xfrm>
          <a:off x="10572750" y="398250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1564</xdr:row>
      <xdr:rowOff>10584</xdr:rowOff>
    </xdr:from>
    <xdr:to>
      <xdr:col>15</xdr:col>
      <xdr:colOff>560916</xdr:colOff>
      <xdr:row>1568</xdr:row>
      <xdr:rowOff>52917</xdr:rowOff>
    </xdr:to>
    <xdr:cxnSp macro="">
      <xdr:nvCxnSpPr>
        <xdr:cNvPr id="931" name="Straight Arrow Connector 930">
          <a:extLst>
            <a:ext uri="{FF2B5EF4-FFF2-40B4-BE49-F238E27FC236}">
              <a16:creationId xmlns:a16="http://schemas.microsoft.com/office/drawing/2014/main" id="{00000000-0008-0000-1300-0000A3030000}"/>
            </a:ext>
          </a:extLst>
        </xdr:cNvPr>
        <xdr:cNvCxnSpPr/>
      </xdr:nvCxnSpPr>
      <xdr:spPr>
        <a:xfrm>
          <a:off x="10551583" y="398250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1564</xdr:row>
      <xdr:rowOff>31750</xdr:rowOff>
    </xdr:from>
    <xdr:to>
      <xdr:col>16</xdr:col>
      <xdr:colOff>21167</xdr:colOff>
      <xdr:row>1571</xdr:row>
      <xdr:rowOff>95250</xdr:rowOff>
    </xdr:to>
    <xdr:cxnSp macro="">
      <xdr:nvCxnSpPr>
        <xdr:cNvPr id="932" name="Straight Arrow Connector 931">
          <a:extLst>
            <a:ext uri="{FF2B5EF4-FFF2-40B4-BE49-F238E27FC236}">
              <a16:creationId xmlns:a16="http://schemas.microsoft.com/office/drawing/2014/main" id="{00000000-0008-0000-1300-0000A4030000}"/>
            </a:ext>
          </a:extLst>
        </xdr:cNvPr>
        <xdr:cNvCxnSpPr/>
      </xdr:nvCxnSpPr>
      <xdr:spPr>
        <a:xfrm>
          <a:off x="10583333" y="398462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1578</xdr:row>
      <xdr:rowOff>0</xdr:rowOff>
    </xdr:from>
    <xdr:to>
      <xdr:col>16</xdr:col>
      <xdr:colOff>0</xdr:colOff>
      <xdr:row>1578</xdr:row>
      <xdr:rowOff>42334</xdr:rowOff>
    </xdr:to>
    <xdr:cxnSp macro="">
      <xdr:nvCxnSpPr>
        <xdr:cNvPr id="933" name="Straight Arrow Connector 932">
          <a:extLst>
            <a:ext uri="{FF2B5EF4-FFF2-40B4-BE49-F238E27FC236}">
              <a16:creationId xmlns:a16="http://schemas.microsoft.com/office/drawing/2014/main" id="{00000000-0008-0000-1300-0000A5030000}"/>
            </a:ext>
          </a:extLst>
        </xdr:cNvPr>
        <xdr:cNvCxnSpPr/>
      </xdr:nvCxnSpPr>
      <xdr:spPr>
        <a:xfrm>
          <a:off x="10562166" y="424815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1578</xdr:row>
      <xdr:rowOff>21166</xdr:rowOff>
    </xdr:from>
    <xdr:to>
      <xdr:col>15</xdr:col>
      <xdr:colOff>560916</xdr:colOff>
      <xdr:row>1581</xdr:row>
      <xdr:rowOff>84667</xdr:rowOff>
    </xdr:to>
    <xdr:cxnSp macro="">
      <xdr:nvCxnSpPr>
        <xdr:cNvPr id="934" name="Straight Arrow Connector 933">
          <a:extLst>
            <a:ext uri="{FF2B5EF4-FFF2-40B4-BE49-F238E27FC236}">
              <a16:creationId xmlns:a16="http://schemas.microsoft.com/office/drawing/2014/main" id="{00000000-0008-0000-1300-0000A6030000}"/>
            </a:ext>
          </a:extLst>
        </xdr:cNvPr>
        <xdr:cNvCxnSpPr/>
      </xdr:nvCxnSpPr>
      <xdr:spPr>
        <a:xfrm>
          <a:off x="10615083" y="425026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1578</xdr:row>
      <xdr:rowOff>52916</xdr:rowOff>
    </xdr:from>
    <xdr:to>
      <xdr:col>15</xdr:col>
      <xdr:colOff>592666</xdr:colOff>
      <xdr:row>1584</xdr:row>
      <xdr:rowOff>63501</xdr:rowOff>
    </xdr:to>
    <xdr:cxnSp macro="">
      <xdr:nvCxnSpPr>
        <xdr:cNvPr id="935" name="Straight Arrow Connector 934">
          <a:extLst>
            <a:ext uri="{FF2B5EF4-FFF2-40B4-BE49-F238E27FC236}">
              <a16:creationId xmlns:a16="http://schemas.microsoft.com/office/drawing/2014/main" id="{00000000-0008-0000-1300-0000A7030000}"/>
            </a:ext>
          </a:extLst>
        </xdr:cNvPr>
        <xdr:cNvCxnSpPr/>
      </xdr:nvCxnSpPr>
      <xdr:spPr>
        <a:xfrm>
          <a:off x="10572750" y="425344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1575</xdr:row>
      <xdr:rowOff>52917</xdr:rowOff>
    </xdr:from>
    <xdr:to>
      <xdr:col>15</xdr:col>
      <xdr:colOff>603250</xdr:colOff>
      <xdr:row>1577</xdr:row>
      <xdr:rowOff>148167</xdr:rowOff>
    </xdr:to>
    <xdr:cxnSp macro="">
      <xdr:nvCxnSpPr>
        <xdr:cNvPr id="936" name="Straight Arrow Connector 935">
          <a:extLst>
            <a:ext uri="{FF2B5EF4-FFF2-40B4-BE49-F238E27FC236}">
              <a16:creationId xmlns:a16="http://schemas.microsoft.com/office/drawing/2014/main" id="{00000000-0008-0000-1300-0000A8030000}"/>
            </a:ext>
          </a:extLst>
        </xdr:cNvPr>
        <xdr:cNvCxnSpPr/>
      </xdr:nvCxnSpPr>
      <xdr:spPr>
        <a:xfrm flipV="1">
          <a:off x="10583333" y="419629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31750</xdr:colOff>
      <xdr:row>1486</xdr:row>
      <xdr:rowOff>127000</xdr:rowOff>
    </xdr:from>
    <xdr:to>
      <xdr:col>8</xdr:col>
      <xdr:colOff>63500</xdr:colOff>
      <xdr:row>1505</xdr:row>
      <xdr:rowOff>0</xdr:rowOff>
    </xdr:to>
    <xdr:cxnSp macro="">
      <xdr:nvCxnSpPr>
        <xdr:cNvPr id="937" name="Straight Arrow Connector 936">
          <a:extLst>
            <a:ext uri="{FF2B5EF4-FFF2-40B4-BE49-F238E27FC236}">
              <a16:creationId xmlns:a16="http://schemas.microsoft.com/office/drawing/2014/main" id="{00000000-0008-0000-1300-0000A9030000}"/>
            </a:ext>
          </a:extLst>
        </xdr:cNvPr>
        <xdr:cNvCxnSpPr/>
      </xdr:nvCxnSpPr>
      <xdr:spPr>
        <a:xfrm flipV="1">
          <a:off x="5207000" y="24701500"/>
          <a:ext cx="635000" cy="3587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825500</xdr:colOff>
      <xdr:row>1623</xdr:row>
      <xdr:rowOff>1</xdr:rowOff>
    </xdr:from>
    <xdr:to>
      <xdr:col>6</xdr:col>
      <xdr:colOff>0</xdr:colOff>
      <xdr:row>1657</xdr:row>
      <xdr:rowOff>116417</xdr:rowOff>
    </xdr:to>
    <xdr:cxnSp macro="">
      <xdr:nvCxnSpPr>
        <xdr:cNvPr id="938" name="Straight Arrow Connector 937">
          <a:extLst>
            <a:ext uri="{FF2B5EF4-FFF2-40B4-BE49-F238E27FC236}">
              <a16:creationId xmlns:a16="http://schemas.microsoft.com/office/drawing/2014/main" id="{00000000-0008-0000-1300-0000AA030000}"/>
            </a:ext>
          </a:extLst>
        </xdr:cNvPr>
        <xdr:cNvCxnSpPr/>
      </xdr:nvCxnSpPr>
      <xdr:spPr>
        <a:xfrm flipV="1">
          <a:off x="3714750" y="51244501"/>
          <a:ext cx="666750" cy="65934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21167</xdr:colOff>
      <xdr:row>1660</xdr:row>
      <xdr:rowOff>169334</xdr:rowOff>
    </xdr:from>
    <xdr:to>
      <xdr:col>5</xdr:col>
      <xdr:colOff>571500</xdr:colOff>
      <xdr:row>1729</xdr:row>
      <xdr:rowOff>0</xdr:rowOff>
    </xdr:to>
    <xdr:cxnSp macro="">
      <xdr:nvCxnSpPr>
        <xdr:cNvPr id="939" name="Straight Arrow Connector 938">
          <a:extLst>
            <a:ext uri="{FF2B5EF4-FFF2-40B4-BE49-F238E27FC236}">
              <a16:creationId xmlns:a16="http://schemas.microsoft.com/office/drawing/2014/main" id="{00000000-0008-0000-1300-0000AB030000}"/>
            </a:ext>
          </a:extLst>
        </xdr:cNvPr>
        <xdr:cNvCxnSpPr/>
      </xdr:nvCxnSpPr>
      <xdr:spPr>
        <a:xfrm>
          <a:off x="3799417" y="58462334"/>
          <a:ext cx="550333" cy="133244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1598</xdr:row>
      <xdr:rowOff>148167</xdr:rowOff>
    </xdr:from>
    <xdr:to>
      <xdr:col>7</xdr:col>
      <xdr:colOff>603250</xdr:colOff>
      <xdr:row>1620</xdr:row>
      <xdr:rowOff>31750</xdr:rowOff>
    </xdr:to>
    <xdr:cxnSp macro="">
      <xdr:nvCxnSpPr>
        <xdr:cNvPr id="940" name="Straight Arrow Connector 939">
          <a:extLst>
            <a:ext uri="{FF2B5EF4-FFF2-40B4-BE49-F238E27FC236}">
              <a16:creationId xmlns:a16="http://schemas.microsoft.com/office/drawing/2014/main" id="{00000000-0008-0000-1300-0000AC030000}"/>
            </a:ext>
          </a:extLst>
        </xdr:cNvPr>
        <xdr:cNvCxnSpPr/>
      </xdr:nvCxnSpPr>
      <xdr:spPr>
        <a:xfrm flipV="1">
          <a:off x="5175250" y="46439667"/>
          <a:ext cx="603250" cy="42650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1623</xdr:row>
      <xdr:rowOff>10584</xdr:rowOff>
    </xdr:from>
    <xdr:to>
      <xdr:col>8</xdr:col>
      <xdr:colOff>21167</xdr:colOff>
      <xdr:row>1651</xdr:row>
      <xdr:rowOff>148166</xdr:rowOff>
    </xdr:to>
    <xdr:cxnSp macro="">
      <xdr:nvCxnSpPr>
        <xdr:cNvPr id="941" name="Straight Arrow Connector 940">
          <a:extLst>
            <a:ext uri="{FF2B5EF4-FFF2-40B4-BE49-F238E27FC236}">
              <a16:creationId xmlns:a16="http://schemas.microsoft.com/office/drawing/2014/main" id="{00000000-0008-0000-1300-0000AD030000}"/>
            </a:ext>
          </a:extLst>
        </xdr:cNvPr>
        <xdr:cNvCxnSpPr/>
      </xdr:nvCxnSpPr>
      <xdr:spPr>
        <a:xfrm>
          <a:off x="5175250" y="51255084"/>
          <a:ext cx="624417" cy="547158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1590</xdr:row>
      <xdr:rowOff>137583</xdr:rowOff>
    </xdr:from>
    <xdr:to>
      <xdr:col>9</xdr:col>
      <xdr:colOff>603250</xdr:colOff>
      <xdr:row>1596</xdr:row>
      <xdr:rowOff>21166</xdr:rowOff>
    </xdr:to>
    <xdr:cxnSp macro="">
      <xdr:nvCxnSpPr>
        <xdr:cNvPr id="942" name="Straight Arrow Connector 941">
          <a:extLst>
            <a:ext uri="{FF2B5EF4-FFF2-40B4-BE49-F238E27FC236}">
              <a16:creationId xmlns:a16="http://schemas.microsoft.com/office/drawing/2014/main" id="{00000000-0008-0000-1300-0000AE030000}"/>
            </a:ext>
          </a:extLst>
        </xdr:cNvPr>
        <xdr:cNvCxnSpPr/>
      </xdr:nvCxnSpPr>
      <xdr:spPr>
        <a:xfrm flipV="1">
          <a:off x="6381750" y="44905083"/>
          <a:ext cx="603250" cy="1026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1599</xdr:row>
      <xdr:rowOff>0</xdr:rowOff>
    </xdr:from>
    <xdr:to>
      <xdr:col>9</xdr:col>
      <xdr:colOff>582083</xdr:colOff>
      <xdr:row>1607</xdr:row>
      <xdr:rowOff>10583</xdr:rowOff>
    </xdr:to>
    <xdr:cxnSp macro="">
      <xdr:nvCxnSpPr>
        <xdr:cNvPr id="943" name="Straight Arrow Connector 942">
          <a:extLst>
            <a:ext uri="{FF2B5EF4-FFF2-40B4-BE49-F238E27FC236}">
              <a16:creationId xmlns:a16="http://schemas.microsoft.com/office/drawing/2014/main" id="{00000000-0008-0000-1300-0000AF030000}"/>
            </a:ext>
          </a:extLst>
        </xdr:cNvPr>
        <xdr:cNvCxnSpPr/>
      </xdr:nvCxnSpPr>
      <xdr:spPr>
        <a:xfrm>
          <a:off x="6413500" y="46482000"/>
          <a:ext cx="550333" cy="1534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21167</xdr:colOff>
      <xdr:row>1604</xdr:row>
      <xdr:rowOff>169333</xdr:rowOff>
    </xdr:from>
    <xdr:to>
      <xdr:col>11</xdr:col>
      <xdr:colOff>603250</xdr:colOff>
      <xdr:row>1607</xdr:row>
      <xdr:rowOff>21167</xdr:rowOff>
    </xdr:to>
    <xdr:cxnSp macro="">
      <xdr:nvCxnSpPr>
        <xdr:cNvPr id="944" name="Straight Arrow Connector 943">
          <a:extLst>
            <a:ext uri="{FF2B5EF4-FFF2-40B4-BE49-F238E27FC236}">
              <a16:creationId xmlns:a16="http://schemas.microsoft.com/office/drawing/2014/main" id="{00000000-0008-0000-1300-0000B0030000}"/>
            </a:ext>
          </a:extLst>
        </xdr:cNvPr>
        <xdr:cNvCxnSpPr/>
      </xdr:nvCxnSpPr>
      <xdr:spPr>
        <a:xfrm flipV="1">
          <a:off x="7609417" y="47603833"/>
          <a:ext cx="582083" cy="423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1610</xdr:row>
      <xdr:rowOff>42333</xdr:rowOff>
    </xdr:from>
    <xdr:to>
      <xdr:col>11</xdr:col>
      <xdr:colOff>603250</xdr:colOff>
      <xdr:row>1622</xdr:row>
      <xdr:rowOff>10583</xdr:rowOff>
    </xdr:to>
    <xdr:cxnSp macro="">
      <xdr:nvCxnSpPr>
        <xdr:cNvPr id="945" name="Straight Arrow Connector 944">
          <a:extLst>
            <a:ext uri="{FF2B5EF4-FFF2-40B4-BE49-F238E27FC236}">
              <a16:creationId xmlns:a16="http://schemas.microsoft.com/office/drawing/2014/main" id="{00000000-0008-0000-1300-0000B1030000}"/>
            </a:ext>
          </a:extLst>
        </xdr:cNvPr>
        <xdr:cNvCxnSpPr/>
      </xdr:nvCxnSpPr>
      <xdr:spPr>
        <a:xfrm>
          <a:off x="7598834" y="486198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1600</xdr:row>
      <xdr:rowOff>21167</xdr:rowOff>
    </xdr:from>
    <xdr:to>
      <xdr:col>13</xdr:col>
      <xdr:colOff>592667</xdr:colOff>
      <xdr:row>1602</xdr:row>
      <xdr:rowOff>0</xdr:rowOff>
    </xdr:to>
    <xdr:cxnSp macro="">
      <xdr:nvCxnSpPr>
        <xdr:cNvPr id="946" name="Straight Arrow Connector 945">
          <a:extLst>
            <a:ext uri="{FF2B5EF4-FFF2-40B4-BE49-F238E27FC236}">
              <a16:creationId xmlns:a16="http://schemas.microsoft.com/office/drawing/2014/main" id="{00000000-0008-0000-1300-0000B2030000}"/>
            </a:ext>
          </a:extLst>
        </xdr:cNvPr>
        <xdr:cNvCxnSpPr/>
      </xdr:nvCxnSpPr>
      <xdr:spPr>
        <a:xfrm flipV="1">
          <a:off x="8794750" y="466936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1605</xdr:row>
      <xdr:rowOff>21166</xdr:rowOff>
    </xdr:from>
    <xdr:to>
      <xdr:col>13</xdr:col>
      <xdr:colOff>592667</xdr:colOff>
      <xdr:row>1606</xdr:row>
      <xdr:rowOff>169334</xdr:rowOff>
    </xdr:to>
    <xdr:cxnSp macro="">
      <xdr:nvCxnSpPr>
        <xdr:cNvPr id="947" name="Straight Arrow Connector 946">
          <a:extLst>
            <a:ext uri="{FF2B5EF4-FFF2-40B4-BE49-F238E27FC236}">
              <a16:creationId xmlns:a16="http://schemas.microsoft.com/office/drawing/2014/main" id="{00000000-0008-0000-1300-0000B3030000}"/>
            </a:ext>
          </a:extLst>
        </xdr:cNvPr>
        <xdr:cNvCxnSpPr/>
      </xdr:nvCxnSpPr>
      <xdr:spPr>
        <a:xfrm>
          <a:off x="8784166" y="476461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1620</xdr:row>
      <xdr:rowOff>21167</xdr:rowOff>
    </xdr:from>
    <xdr:to>
      <xdr:col>13</xdr:col>
      <xdr:colOff>592667</xdr:colOff>
      <xdr:row>1622</xdr:row>
      <xdr:rowOff>63500</xdr:rowOff>
    </xdr:to>
    <xdr:cxnSp macro="">
      <xdr:nvCxnSpPr>
        <xdr:cNvPr id="948" name="Straight Arrow Connector 947">
          <a:extLst>
            <a:ext uri="{FF2B5EF4-FFF2-40B4-BE49-F238E27FC236}">
              <a16:creationId xmlns:a16="http://schemas.microsoft.com/office/drawing/2014/main" id="{00000000-0008-0000-1300-0000B4030000}"/>
            </a:ext>
          </a:extLst>
        </xdr:cNvPr>
        <xdr:cNvCxnSpPr/>
      </xdr:nvCxnSpPr>
      <xdr:spPr>
        <a:xfrm flipV="1">
          <a:off x="8794750" y="506941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1625</xdr:row>
      <xdr:rowOff>0</xdr:rowOff>
    </xdr:from>
    <xdr:to>
      <xdr:col>14</xdr:col>
      <xdr:colOff>10584</xdr:colOff>
      <xdr:row>1633</xdr:row>
      <xdr:rowOff>148167</xdr:rowOff>
    </xdr:to>
    <xdr:cxnSp macro="">
      <xdr:nvCxnSpPr>
        <xdr:cNvPr id="949" name="Straight Arrow Connector 948">
          <a:extLst>
            <a:ext uri="{FF2B5EF4-FFF2-40B4-BE49-F238E27FC236}">
              <a16:creationId xmlns:a16="http://schemas.microsoft.com/office/drawing/2014/main" id="{00000000-0008-0000-1300-0000B5030000}"/>
            </a:ext>
          </a:extLst>
        </xdr:cNvPr>
        <xdr:cNvCxnSpPr/>
      </xdr:nvCxnSpPr>
      <xdr:spPr>
        <a:xfrm>
          <a:off x="8805333" y="516255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1592</xdr:row>
      <xdr:rowOff>0</xdr:rowOff>
    </xdr:from>
    <xdr:to>
      <xdr:col>15</xdr:col>
      <xdr:colOff>603250</xdr:colOff>
      <xdr:row>1597</xdr:row>
      <xdr:rowOff>31750</xdr:rowOff>
    </xdr:to>
    <xdr:cxnSp macro="">
      <xdr:nvCxnSpPr>
        <xdr:cNvPr id="950" name="Straight Arrow Connector 949">
          <a:extLst>
            <a:ext uri="{FF2B5EF4-FFF2-40B4-BE49-F238E27FC236}">
              <a16:creationId xmlns:a16="http://schemas.microsoft.com/office/drawing/2014/main" id="{00000000-0008-0000-1300-0000B6030000}"/>
            </a:ext>
          </a:extLst>
        </xdr:cNvPr>
        <xdr:cNvCxnSpPr/>
      </xdr:nvCxnSpPr>
      <xdr:spPr>
        <a:xfrm flipV="1">
          <a:off x="10541000" y="45148500"/>
          <a:ext cx="603250" cy="984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1595</xdr:row>
      <xdr:rowOff>52917</xdr:rowOff>
    </xdr:from>
    <xdr:to>
      <xdr:col>15</xdr:col>
      <xdr:colOff>603250</xdr:colOff>
      <xdr:row>1597</xdr:row>
      <xdr:rowOff>95250</xdr:rowOff>
    </xdr:to>
    <xdr:cxnSp macro="">
      <xdr:nvCxnSpPr>
        <xdr:cNvPr id="951" name="Straight Arrow Connector 950">
          <a:extLst>
            <a:ext uri="{FF2B5EF4-FFF2-40B4-BE49-F238E27FC236}">
              <a16:creationId xmlns:a16="http://schemas.microsoft.com/office/drawing/2014/main" id="{00000000-0008-0000-1300-0000B7030000}"/>
            </a:ext>
          </a:extLst>
        </xdr:cNvPr>
        <xdr:cNvCxnSpPr/>
      </xdr:nvCxnSpPr>
      <xdr:spPr>
        <a:xfrm flipV="1">
          <a:off x="10583333" y="45772917"/>
          <a:ext cx="56091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1597</xdr:row>
      <xdr:rowOff>158750</xdr:rowOff>
    </xdr:from>
    <xdr:to>
      <xdr:col>15</xdr:col>
      <xdr:colOff>582083</xdr:colOff>
      <xdr:row>1598</xdr:row>
      <xdr:rowOff>137583</xdr:rowOff>
    </xdr:to>
    <xdr:cxnSp macro="">
      <xdr:nvCxnSpPr>
        <xdr:cNvPr id="952" name="Straight Arrow Connector 951">
          <a:extLst>
            <a:ext uri="{FF2B5EF4-FFF2-40B4-BE49-F238E27FC236}">
              <a16:creationId xmlns:a16="http://schemas.microsoft.com/office/drawing/2014/main" id="{00000000-0008-0000-1300-0000B8030000}"/>
            </a:ext>
          </a:extLst>
        </xdr:cNvPr>
        <xdr:cNvCxnSpPr/>
      </xdr:nvCxnSpPr>
      <xdr:spPr>
        <a:xfrm>
          <a:off x="10604500" y="46259750"/>
          <a:ext cx="518583" cy="169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1121834</xdr:colOff>
      <xdr:row>1597</xdr:row>
      <xdr:rowOff>105834</xdr:rowOff>
    </xdr:from>
    <xdr:to>
      <xdr:col>16</xdr:col>
      <xdr:colOff>0</xdr:colOff>
      <xdr:row>1601</xdr:row>
      <xdr:rowOff>84667</xdr:rowOff>
    </xdr:to>
    <xdr:cxnSp macro="">
      <xdr:nvCxnSpPr>
        <xdr:cNvPr id="953" name="Straight Arrow Connector 952">
          <a:extLst>
            <a:ext uri="{FF2B5EF4-FFF2-40B4-BE49-F238E27FC236}">
              <a16:creationId xmlns:a16="http://schemas.microsoft.com/office/drawing/2014/main" id="{00000000-0008-0000-1300-0000B9030000}"/>
            </a:ext>
          </a:extLst>
        </xdr:cNvPr>
        <xdr:cNvCxnSpPr/>
      </xdr:nvCxnSpPr>
      <xdr:spPr>
        <a:xfrm>
          <a:off x="10519834" y="46206834"/>
          <a:ext cx="624416"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1605</xdr:row>
      <xdr:rowOff>52916</xdr:rowOff>
    </xdr:from>
    <xdr:to>
      <xdr:col>16</xdr:col>
      <xdr:colOff>0</xdr:colOff>
      <xdr:row>1607</xdr:row>
      <xdr:rowOff>0</xdr:rowOff>
    </xdr:to>
    <xdr:cxnSp macro="">
      <xdr:nvCxnSpPr>
        <xdr:cNvPr id="954" name="Straight Arrow Connector 953">
          <a:extLst>
            <a:ext uri="{FF2B5EF4-FFF2-40B4-BE49-F238E27FC236}">
              <a16:creationId xmlns:a16="http://schemas.microsoft.com/office/drawing/2014/main" id="{00000000-0008-0000-1300-0000BA030000}"/>
            </a:ext>
          </a:extLst>
        </xdr:cNvPr>
        <xdr:cNvCxnSpPr/>
      </xdr:nvCxnSpPr>
      <xdr:spPr>
        <a:xfrm flipV="1">
          <a:off x="10541000" y="476779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1607</xdr:row>
      <xdr:rowOff>21167</xdr:rowOff>
    </xdr:from>
    <xdr:to>
      <xdr:col>15</xdr:col>
      <xdr:colOff>582083</xdr:colOff>
      <xdr:row>1608</xdr:row>
      <xdr:rowOff>42333</xdr:rowOff>
    </xdr:to>
    <xdr:cxnSp macro="">
      <xdr:nvCxnSpPr>
        <xdr:cNvPr id="955" name="Straight Arrow Connector 954">
          <a:extLst>
            <a:ext uri="{FF2B5EF4-FFF2-40B4-BE49-F238E27FC236}">
              <a16:creationId xmlns:a16="http://schemas.microsoft.com/office/drawing/2014/main" id="{00000000-0008-0000-1300-0000BB030000}"/>
            </a:ext>
          </a:extLst>
        </xdr:cNvPr>
        <xdr:cNvCxnSpPr/>
      </xdr:nvCxnSpPr>
      <xdr:spPr>
        <a:xfrm>
          <a:off x="10551583" y="48027167"/>
          <a:ext cx="571500" cy="211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1607</xdr:row>
      <xdr:rowOff>21167</xdr:rowOff>
    </xdr:from>
    <xdr:to>
      <xdr:col>16</xdr:col>
      <xdr:colOff>42333</xdr:colOff>
      <xdr:row>1612</xdr:row>
      <xdr:rowOff>21168</xdr:rowOff>
    </xdr:to>
    <xdr:cxnSp macro="">
      <xdr:nvCxnSpPr>
        <xdr:cNvPr id="956" name="Straight Arrow Connector 955">
          <a:extLst>
            <a:ext uri="{FF2B5EF4-FFF2-40B4-BE49-F238E27FC236}">
              <a16:creationId xmlns:a16="http://schemas.microsoft.com/office/drawing/2014/main" id="{00000000-0008-0000-1300-0000BC030000}"/>
            </a:ext>
          </a:extLst>
        </xdr:cNvPr>
        <xdr:cNvCxnSpPr/>
      </xdr:nvCxnSpPr>
      <xdr:spPr>
        <a:xfrm>
          <a:off x="10530417" y="48027167"/>
          <a:ext cx="656166" cy="9525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1607</xdr:row>
      <xdr:rowOff>31750</xdr:rowOff>
    </xdr:from>
    <xdr:to>
      <xdr:col>16</xdr:col>
      <xdr:colOff>42334</xdr:colOff>
      <xdr:row>1614</xdr:row>
      <xdr:rowOff>63501</xdr:rowOff>
    </xdr:to>
    <xdr:cxnSp macro="">
      <xdr:nvCxnSpPr>
        <xdr:cNvPr id="957" name="Straight Arrow Connector 956">
          <a:extLst>
            <a:ext uri="{FF2B5EF4-FFF2-40B4-BE49-F238E27FC236}">
              <a16:creationId xmlns:a16="http://schemas.microsoft.com/office/drawing/2014/main" id="{00000000-0008-0000-1300-0000BD030000}"/>
            </a:ext>
          </a:extLst>
        </xdr:cNvPr>
        <xdr:cNvCxnSpPr/>
      </xdr:nvCxnSpPr>
      <xdr:spPr>
        <a:xfrm>
          <a:off x="10541000" y="48037750"/>
          <a:ext cx="645584"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10583</xdr:colOff>
      <xdr:row>1644</xdr:row>
      <xdr:rowOff>42333</xdr:rowOff>
    </xdr:from>
    <xdr:to>
      <xdr:col>9</xdr:col>
      <xdr:colOff>592666</xdr:colOff>
      <xdr:row>1652</xdr:row>
      <xdr:rowOff>42333</xdr:rowOff>
    </xdr:to>
    <xdr:cxnSp macro="">
      <xdr:nvCxnSpPr>
        <xdr:cNvPr id="958" name="Straight Arrow Connector 957">
          <a:extLst>
            <a:ext uri="{FF2B5EF4-FFF2-40B4-BE49-F238E27FC236}">
              <a16:creationId xmlns:a16="http://schemas.microsoft.com/office/drawing/2014/main" id="{00000000-0008-0000-1300-0000BE030000}"/>
            </a:ext>
          </a:extLst>
        </xdr:cNvPr>
        <xdr:cNvCxnSpPr/>
      </xdr:nvCxnSpPr>
      <xdr:spPr>
        <a:xfrm flipV="1">
          <a:off x="6392333" y="55287333"/>
          <a:ext cx="582083" cy="152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1654</xdr:row>
      <xdr:rowOff>169334</xdr:rowOff>
    </xdr:from>
    <xdr:to>
      <xdr:col>9</xdr:col>
      <xdr:colOff>603250</xdr:colOff>
      <xdr:row>1663</xdr:row>
      <xdr:rowOff>31750</xdr:rowOff>
    </xdr:to>
    <xdr:cxnSp macro="">
      <xdr:nvCxnSpPr>
        <xdr:cNvPr id="959" name="Straight Arrow Connector 958">
          <a:extLst>
            <a:ext uri="{FF2B5EF4-FFF2-40B4-BE49-F238E27FC236}">
              <a16:creationId xmlns:a16="http://schemas.microsoft.com/office/drawing/2014/main" id="{00000000-0008-0000-1300-0000BF030000}"/>
            </a:ext>
          </a:extLst>
        </xdr:cNvPr>
        <xdr:cNvCxnSpPr/>
      </xdr:nvCxnSpPr>
      <xdr:spPr>
        <a:xfrm>
          <a:off x="6413500" y="57319334"/>
          <a:ext cx="571500" cy="1576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571500</xdr:colOff>
      <xdr:row>1660</xdr:row>
      <xdr:rowOff>158750</xdr:rowOff>
    </xdr:from>
    <xdr:to>
      <xdr:col>11</xdr:col>
      <xdr:colOff>571500</xdr:colOff>
      <xdr:row>1663</xdr:row>
      <xdr:rowOff>0</xdr:rowOff>
    </xdr:to>
    <xdr:cxnSp macro="">
      <xdr:nvCxnSpPr>
        <xdr:cNvPr id="960" name="Straight Arrow Connector 959">
          <a:extLst>
            <a:ext uri="{FF2B5EF4-FFF2-40B4-BE49-F238E27FC236}">
              <a16:creationId xmlns:a16="http://schemas.microsoft.com/office/drawing/2014/main" id="{00000000-0008-0000-1300-0000C0030000}"/>
            </a:ext>
          </a:extLst>
        </xdr:cNvPr>
        <xdr:cNvCxnSpPr/>
      </xdr:nvCxnSpPr>
      <xdr:spPr>
        <a:xfrm flipV="1">
          <a:off x="7556500" y="58451750"/>
          <a:ext cx="603250" cy="412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1618</xdr:row>
      <xdr:rowOff>0</xdr:rowOff>
    </xdr:from>
    <xdr:to>
      <xdr:col>15</xdr:col>
      <xdr:colOff>603250</xdr:colOff>
      <xdr:row>1620</xdr:row>
      <xdr:rowOff>1</xdr:rowOff>
    </xdr:to>
    <xdr:cxnSp macro="">
      <xdr:nvCxnSpPr>
        <xdr:cNvPr id="961" name="Straight Arrow Connector 960">
          <a:extLst>
            <a:ext uri="{FF2B5EF4-FFF2-40B4-BE49-F238E27FC236}">
              <a16:creationId xmlns:a16="http://schemas.microsoft.com/office/drawing/2014/main" id="{00000000-0008-0000-1300-0000C1030000}"/>
            </a:ext>
          </a:extLst>
        </xdr:cNvPr>
        <xdr:cNvCxnSpPr/>
      </xdr:nvCxnSpPr>
      <xdr:spPr>
        <a:xfrm flipV="1">
          <a:off x="10530417" y="502920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1620</xdr:row>
      <xdr:rowOff>10584</xdr:rowOff>
    </xdr:from>
    <xdr:to>
      <xdr:col>15</xdr:col>
      <xdr:colOff>592666</xdr:colOff>
      <xdr:row>1621</xdr:row>
      <xdr:rowOff>95250</xdr:rowOff>
    </xdr:to>
    <xdr:cxnSp macro="">
      <xdr:nvCxnSpPr>
        <xdr:cNvPr id="962" name="Straight Arrow Connector 961">
          <a:extLst>
            <a:ext uri="{FF2B5EF4-FFF2-40B4-BE49-F238E27FC236}">
              <a16:creationId xmlns:a16="http://schemas.microsoft.com/office/drawing/2014/main" id="{00000000-0008-0000-1300-0000C2030000}"/>
            </a:ext>
          </a:extLst>
        </xdr:cNvPr>
        <xdr:cNvCxnSpPr/>
      </xdr:nvCxnSpPr>
      <xdr:spPr>
        <a:xfrm>
          <a:off x="10572750" y="506835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1620</xdr:row>
      <xdr:rowOff>10584</xdr:rowOff>
    </xdr:from>
    <xdr:to>
      <xdr:col>15</xdr:col>
      <xdr:colOff>560916</xdr:colOff>
      <xdr:row>1624</xdr:row>
      <xdr:rowOff>52917</xdr:rowOff>
    </xdr:to>
    <xdr:cxnSp macro="">
      <xdr:nvCxnSpPr>
        <xdr:cNvPr id="963" name="Straight Arrow Connector 962">
          <a:extLst>
            <a:ext uri="{FF2B5EF4-FFF2-40B4-BE49-F238E27FC236}">
              <a16:creationId xmlns:a16="http://schemas.microsoft.com/office/drawing/2014/main" id="{00000000-0008-0000-1300-0000C3030000}"/>
            </a:ext>
          </a:extLst>
        </xdr:cNvPr>
        <xdr:cNvCxnSpPr/>
      </xdr:nvCxnSpPr>
      <xdr:spPr>
        <a:xfrm>
          <a:off x="10551583" y="506835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1620</xdr:row>
      <xdr:rowOff>31750</xdr:rowOff>
    </xdr:from>
    <xdr:to>
      <xdr:col>16</xdr:col>
      <xdr:colOff>21167</xdr:colOff>
      <xdr:row>1627</xdr:row>
      <xdr:rowOff>95250</xdr:rowOff>
    </xdr:to>
    <xdr:cxnSp macro="">
      <xdr:nvCxnSpPr>
        <xdr:cNvPr id="964" name="Straight Arrow Connector 963">
          <a:extLst>
            <a:ext uri="{FF2B5EF4-FFF2-40B4-BE49-F238E27FC236}">
              <a16:creationId xmlns:a16="http://schemas.microsoft.com/office/drawing/2014/main" id="{00000000-0008-0000-1300-0000C4030000}"/>
            </a:ext>
          </a:extLst>
        </xdr:cNvPr>
        <xdr:cNvCxnSpPr/>
      </xdr:nvCxnSpPr>
      <xdr:spPr>
        <a:xfrm>
          <a:off x="10583333" y="507047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1634</xdr:row>
      <xdr:rowOff>0</xdr:rowOff>
    </xdr:from>
    <xdr:to>
      <xdr:col>16</xdr:col>
      <xdr:colOff>0</xdr:colOff>
      <xdr:row>1634</xdr:row>
      <xdr:rowOff>42334</xdr:rowOff>
    </xdr:to>
    <xdr:cxnSp macro="">
      <xdr:nvCxnSpPr>
        <xdr:cNvPr id="965" name="Straight Arrow Connector 964">
          <a:extLst>
            <a:ext uri="{FF2B5EF4-FFF2-40B4-BE49-F238E27FC236}">
              <a16:creationId xmlns:a16="http://schemas.microsoft.com/office/drawing/2014/main" id="{00000000-0008-0000-1300-0000C5030000}"/>
            </a:ext>
          </a:extLst>
        </xdr:cNvPr>
        <xdr:cNvCxnSpPr/>
      </xdr:nvCxnSpPr>
      <xdr:spPr>
        <a:xfrm>
          <a:off x="10562166" y="533400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1634</xdr:row>
      <xdr:rowOff>21166</xdr:rowOff>
    </xdr:from>
    <xdr:to>
      <xdr:col>15</xdr:col>
      <xdr:colOff>560916</xdr:colOff>
      <xdr:row>1637</xdr:row>
      <xdr:rowOff>84667</xdr:rowOff>
    </xdr:to>
    <xdr:cxnSp macro="">
      <xdr:nvCxnSpPr>
        <xdr:cNvPr id="966" name="Straight Arrow Connector 965">
          <a:extLst>
            <a:ext uri="{FF2B5EF4-FFF2-40B4-BE49-F238E27FC236}">
              <a16:creationId xmlns:a16="http://schemas.microsoft.com/office/drawing/2014/main" id="{00000000-0008-0000-1300-0000C6030000}"/>
            </a:ext>
          </a:extLst>
        </xdr:cNvPr>
        <xdr:cNvCxnSpPr/>
      </xdr:nvCxnSpPr>
      <xdr:spPr>
        <a:xfrm>
          <a:off x="10615083" y="533611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1634</xdr:row>
      <xdr:rowOff>52916</xdr:rowOff>
    </xdr:from>
    <xdr:to>
      <xdr:col>15</xdr:col>
      <xdr:colOff>592666</xdr:colOff>
      <xdr:row>1640</xdr:row>
      <xdr:rowOff>63501</xdr:rowOff>
    </xdr:to>
    <xdr:cxnSp macro="">
      <xdr:nvCxnSpPr>
        <xdr:cNvPr id="967" name="Straight Arrow Connector 966">
          <a:extLst>
            <a:ext uri="{FF2B5EF4-FFF2-40B4-BE49-F238E27FC236}">
              <a16:creationId xmlns:a16="http://schemas.microsoft.com/office/drawing/2014/main" id="{00000000-0008-0000-1300-0000C7030000}"/>
            </a:ext>
          </a:extLst>
        </xdr:cNvPr>
        <xdr:cNvCxnSpPr/>
      </xdr:nvCxnSpPr>
      <xdr:spPr>
        <a:xfrm>
          <a:off x="10572750" y="533929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1648</xdr:row>
      <xdr:rowOff>116416</xdr:rowOff>
    </xdr:from>
    <xdr:to>
      <xdr:col>15</xdr:col>
      <xdr:colOff>592666</xdr:colOff>
      <xdr:row>1651</xdr:row>
      <xdr:rowOff>158750</xdr:rowOff>
    </xdr:to>
    <xdr:cxnSp macro="">
      <xdr:nvCxnSpPr>
        <xdr:cNvPr id="968" name="Straight Arrow Connector 967">
          <a:extLst>
            <a:ext uri="{FF2B5EF4-FFF2-40B4-BE49-F238E27FC236}">
              <a16:creationId xmlns:a16="http://schemas.microsoft.com/office/drawing/2014/main" id="{00000000-0008-0000-1300-0000C8030000}"/>
            </a:ext>
          </a:extLst>
        </xdr:cNvPr>
        <xdr:cNvCxnSpPr/>
      </xdr:nvCxnSpPr>
      <xdr:spPr>
        <a:xfrm flipV="1">
          <a:off x="10562166" y="56123416"/>
          <a:ext cx="571500" cy="613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1650</xdr:row>
      <xdr:rowOff>95250</xdr:rowOff>
    </xdr:from>
    <xdr:to>
      <xdr:col>15</xdr:col>
      <xdr:colOff>582083</xdr:colOff>
      <xdr:row>1652</xdr:row>
      <xdr:rowOff>52917</xdr:rowOff>
    </xdr:to>
    <xdr:cxnSp macro="">
      <xdr:nvCxnSpPr>
        <xdr:cNvPr id="969" name="Straight Arrow Connector 968">
          <a:extLst>
            <a:ext uri="{FF2B5EF4-FFF2-40B4-BE49-F238E27FC236}">
              <a16:creationId xmlns:a16="http://schemas.microsoft.com/office/drawing/2014/main" id="{00000000-0008-0000-1300-0000C9030000}"/>
            </a:ext>
          </a:extLst>
        </xdr:cNvPr>
        <xdr:cNvCxnSpPr/>
      </xdr:nvCxnSpPr>
      <xdr:spPr>
        <a:xfrm flipV="1">
          <a:off x="10604500" y="56483250"/>
          <a:ext cx="518583" cy="338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1652</xdr:row>
      <xdr:rowOff>116417</xdr:rowOff>
    </xdr:from>
    <xdr:to>
      <xdr:col>15</xdr:col>
      <xdr:colOff>592666</xdr:colOff>
      <xdr:row>1656</xdr:row>
      <xdr:rowOff>95250</xdr:rowOff>
    </xdr:to>
    <xdr:cxnSp macro="">
      <xdr:nvCxnSpPr>
        <xdr:cNvPr id="970" name="Straight Arrow Connector 969">
          <a:extLst>
            <a:ext uri="{FF2B5EF4-FFF2-40B4-BE49-F238E27FC236}">
              <a16:creationId xmlns:a16="http://schemas.microsoft.com/office/drawing/2014/main" id="{00000000-0008-0000-1300-0000CA030000}"/>
            </a:ext>
          </a:extLst>
        </xdr:cNvPr>
        <xdr:cNvCxnSpPr/>
      </xdr:nvCxnSpPr>
      <xdr:spPr>
        <a:xfrm>
          <a:off x="10593916" y="56885417"/>
          <a:ext cx="53975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1663</xdr:row>
      <xdr:rowOff>116416</xdr:rowOff>
    </xdr:from>
    <xdr:to>
      <xdr:col>16</xdr:col>
      <xdr:colOff>0</xdr:colOff>
      <xdr:row>1670</xdr:row>
      <xdr:rowOff>74084</xdr:rowOff>
    </xdr:to>
    <xdr:cxnSp macro="">
      <xdr:nvCxnSpPr>
        <xdr:cNvPr id="971" name="Straight Arrow Connector 970">
          <a:extLst>
            <a:ext uri="{FF2B5EF4-FFF2-40B4-BE49-F238E27FC236}">
              <a16:creationId xmlns:a16="http://schemas.microsoft.com/office/drawing/2014/main" id="{00000000-0008-0000-1300-0000CB030000}"/>
            </a:ext>
          </a:extLst>
        </xdr:cNvPr>
        <xdr:cNvCxnSpPr/>
      </xdr:nvCxnSpPr>
      <xdr:spPr>
        <a:xfrm>
          <a:off x="10572750" y="58980916"/>
          <a:ext cx="571500" cy="12911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1631</xdr:row>
      <xdr:rowOff>52917</xdr:rowOff>
    </xdr:from>
    <xdr:to>
      <xdr:col>15</xdr:col>
      <xdr:colOff>603250</xdr:colOff>
      <xdr:row>1633</xdr:row>
      <xdr:rowOff>148167</xdr:rowOff>
    </xdr:to>
    <xdr:cxnSp macro="">
      <xdr:nvCxnSpPr>
        <xdr:cNvPr id="972" name="Straight Arrow Connector 971">
          <a:extLst>
            <a:ext uri="{FF2B5EF4-FFF2-40B4-BE49-F238E27FC236}">
              <a16:creationId xmlns:a16="http://schemas.microsoft.com/office/drawing/2014/main" id="{00000000-0008-0000-1300-0000CC030000}"/>
            </a:ext>
          </a:extLst>
        </xdr:cNvPr>
        <xdr:cNvCxnSpPr/>
      </xdr:nvCxnSpPr>
      <xdr:spPr>
        <a:xfrm flipV="1">
          <a:off x="10583333" y="528214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1666</xdr:row>
      <xdr:rowOff>42333</xdr:rowOff>
    </xdr:from>
    <xdr:to>
      <xdr:col>11</xdr:col>
      <xdr:colOff>603250</xdr:colOff>
      <xdr:row>1678</xdr:row>
      <xdr:rowOff>10583</xdr:rowOff>
    </xdr:to>
    <xdr:cxnSp macro="">
      <xdr:nvCxnSpPr>
        <xdr:cNvPr id="973" name="Straight Arrow Connector 972">
          <a:extLst>
            <a:ext uri="{FF2B5EF4-FFF2-40B4-BE49-F238E27FC236}">
              <a16:creationId xmlns:a16="http://schemas.microsoft.com/office/drawing/2014/main" id="{00000000-0008-0000-1300-0000CD030000}"/>
            </a:ext>
          </a:extLst>
        </xdr:cNvPr>
        <xdr:cNvCxnSpPr/>
      </xdr:nvCxnSpPr>
      <xdr:spPr>
        <a:xfrm>
          <a:off x="7598834" y="594783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1656</xdr:row>
      <xdr:rowOff>21167</xdr:rowOff>
    </xdr:from>
    <xdr:to>
      <xdr:col>13</xdr:col>
      <xdr:colOff>592667</xdr:colOff>
      <xdr:row>1658</xdr:row>
      <xdr:rowOff>0</xdr:rowOff>
    </xdr:to>
    <xdr:cxnSp macro="">
      <xdr:nvCxnSpPr>
        <xdr:cNvPr id="974" name="Straight Arrow Connector 973">
          <a:extLst>
            <a:ext uri="{FF2B5EF4-FFF2-40B4-BE49-F238E27FC236}">
              <a16:creationId xmlns:a16="http://schemas.microsoft.com/office/drawing/2014/main" id="{00000000-0008-0000-1300-0000CE030000}"/>
            </a:ext>
          </a:extLst>
        </xdr:cNvPr>
        <xdr:cNvCxnSpPr/>
      </xdr:nvCxnSpPr>
      <xdr:spPr>
        <a:xfrm flipV="1">
          <a:off x="8794750" y="575521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1661</xdr:row>
      <xdr:rowOff>21166</xdr:rowOff>
    </xdr:from>
    <xdr:to>
      <xdr:col>13</xdr:col>
      <xdr:colOff>592667</xdr:colOff>
      <xdr:row>1662</xdr:row>
      <xdr:rowOff>169334</xdr:rowOff>
    </xdr:to>
    <xdr:cxnSp macro="">
      <xdr:nvCxnSpPr>
        <xdr:cNvPr id="975" name="Straight Arrow Connector 974">
          <a:extLst>
            <a:ext uri="{FF2B5EF4-FFF2-40B4-BE49-F238E27FC236}">
              <a16:creationId xmlns:a16="http://schemas.microsoft.com/office/drawing/2014/main" id="{00000000-0008-0000-1300-0000CF030000}"/>
            </a:ext>
          </a:extLst>
        </xdr:cNvPr>
        <xdr:cNvCxnSpPr/>
      </xdr:nvCxnSpPr>
      <xdr:spPr>
        <a:xfrm>
          <a:off x="8784166" y="585046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1676</xdr:row>
      <xdr:rowOff>21167</xdr:rowOff>
    </xdr:from>
    <xdr:to>
      <xdr:col>13</xdr:col>
      <xdr:colOff>592667</xdr:colOff>
      <xdr:row>1678</xdr:row>
      <xdr:rowOff>63500</xdr:rowOff>
    </xdr:to>
    <xdr:cxnSp macro="">
      <xdr:nvCxnSpPr>
        <xdr:cNvPr id="976" name="Straight Arrow Connector 975">
          <a:extLst>
            <a:ext uri="{FF2B5EF4-FFF2-40B4-BE49-F238E27FC236}">
              <a16:creationId xmlns:a16="http://schemas.microsoft.com/office/drawing/2014/main" id="{00000000-0008-0000-1300-0000D0030000}"/>
            </a:ext>
          </a:extLst>
        </xdr:cNvPr>
        <xdr:cNvCxnSpPr/>
      </xdr:nvCxnSpPr>
      <xdr:spPr>
        <a:xfrm flipV="1">
          <a:off x="8794750" y="615526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1681</xdr:row>
      <xdr:rowOff>0</xdr:rowOff>
    </xdr:from>
    <xdr:to>
      <xdr:col>14</xdr:col>
      <xdr:colOff>10584</xdr:colOff>
      <xdr:row>1689</xdr:row>
      <xdr:rowOff>148167</xdr:rowOff>
    </xdr:to>
    <xdr:cxnSp macro="">
      <xdr:nvCxnSpPr>
        <xdr:cNvPr id="977" name="Straight Arrow Connector 976">
          <a:extLst>
            <a:ext uri="{FF2B5EF4-FFF2-40B4-BE49-F238E27FC236}">
              <a16:creationId xmlns:a16="http://schemas.microsoft.com/office/drawing/2014/main" id="{00000000-0008-0000-1300-0000D1030000}"/>
            </a:ext>
          </a:extLst>
        </xdr:cNvPr>
        <xdr:cNvCxnSpPr/>
      </xdr:nvCxnSpPr>
      <xdr:spPr>
        <a:xfrm>
          <a:off x="8805333" y="624840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1652</xdr:row>
      <xdr:rowOff>95250</xdr:rowOff>
    </xdr:from>
    <xdr:to>
      <xdr:col>15</xdr:col>
      <xdr:colOff>582083</xdr:colOff>
      <xdr:row>1654</xdr:row>
      <xdr:rowOff>137583</xdr:rowOff>
    </xdr:to>
    <xdr:cxnSp macro="">
      <xdr:nvCxnSpPr>
        <xdr:cNvPr id="978" name="Straight Arrow Connector 977">
          <a:extLst>
            <a:ext uri="{FF2B5EF4-FFF2-40B4-BE49-F238E27FC236}">
              <a16:creationId xmlns:a16="http://schemas.microsoft.com/office/drawing/2014/main" id="{00000000-0008-0000-1300-0000D2030000}"/>
            </a:ext>
          </a:extLst>
        </xdr:cNvPr>
        <xdr:cNvCxnSpPr/>
      </xdr:nvCxnSpPr>
      <xdr:spPr>
        <a:xfrm>
          <a:off x="10593916" y="56864250"/>
          <a:ext cx="5291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1661</xdr:row>
      <xdr:rowOff>52916</xdr:rowOff>
    </xdr:from>
    <xdr:to>
      <xdr:col>16</xdr:col>
      <xdr:colOff>0</xdr:colOff>
      <xdr:row>1663</xdr:row>
      <xdr:rowOff>0</xdr:rowOff>
    </xdr:to>
    <xdr:cxnSp macro="">
      <xdr:nvCxnSpPr>
        <xdr:cNvPr id="979" name="Straight Arrow Connector 978">
          <a:extLst>
            <a:ext uri="{FF2B5EF4-FFF2-40B4-BE49-F238E27FC236}">
              <a16:creationId xmlns:a16="http://schemas.microsoft.com/office/drawing/2014/main" id="{00000000-0008-0000-1300-0000D3030000}"/>
            </a:ext>
          </a:extLst>
        </xdr:cNvPr>
        <xdr:cNvCxnSpPr/>
      </xdr:nvCxnSpPr>
      <xdr:spPr>
        <a:xfrm flipV="1">
          <a:off x="10541000" y="585364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1663</xdr:row>
      <xdr:rowOff>21167</xdr:rowOff>
    </xdr:from>
    <xdr:to>
      <xdr:col>15</xdr:col>
      <xdr:colOff>592666</xdr:colOff>
      <xdr:row>1664</xdr:row>
      <xdr:rowOff>84667</xdr:rowOff>
    </xdr:to>
    <xdr:cxnSp macro="">
      <xdr:nvCxnSpPr>
        <xdr:cNvPr id="980" name="Straight Arrow Connector 979">
          <a:extLst>
            <a:ext uri="{FF2B5EF4-FFF2-40B4-BE49-F238E27FC236}">
              <a16:creationId xmlns:a16="http://schemas.microsoft.com/office/drawing/2014/main" id="{00000000-0008-0000-1300-0000D4030000}"/>
            </a:ext>
          </a:extLst>
        </xdr:cNvPr>
        <xdr:cNvCxnSpPr/>
      </xdr:nvCxnSpPr>
      <xdr:spPr>
        <a:xfrm>
          <a:off x="10530417" y="58885667"/>
          <a:ext cx="603249" cy="25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1663</xdr:row>
      <xdr:rowOff>0</xdr:rowOff>
    </xdr:from>
    <xdr:to>
      <xdr:col>16</xdr:col>
      <xdr:colOff>0</xdr:colOff>
      <xdr:row>1667</xdr:row>
      <xdr:rowOff>42334</xdr:rowOff>
    </xdr:to>
    <xdr:cxnSp macro="">
      <xdr:nvCxnSpPr>
        <xdr:cNvPr id="981" name="Straight Arrow Connector 980">
          <a:extLst>
            <a:ext uri="{FF2B5EF4-FFF2-40B4-BE49-F238E27FC236}">
              <a16:creationId xmlns:a16="http://schemas.microsoft.com/office/drawing/2014/main" id="{00000000-0008-0000-1300-0000D5030000}"/>
            </a:ext>
          </a:extLst>
        </xdr:cNvPr>
        <xdr:cNvCxnSpPr/>
      </xdr:nvCxnSpPr>
      <xdr:spPr>
        <a:xfrm>
          <a:off x="10530417" y="58864500"/>
          <a:ext cx="613833" cy="804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1674</xdr:row>
      <xdr:rowOff>0</xdr:rowOff>
    </xdr:from>
    <xdr:to>
      <xdr:col>15</xdr:col>
      <xdr:colOff>603250</xdr:colOff>
      <xdr:row>1676</xdr:row>
      <xdr:rowOff>1</xdr:rowOff>
    </xdr:to>
    <xdr:cxnSp macro="">
      <xdr:nvCxnSpPr>
        <xdr:cNvPr id="982" name="Straight Arrow Connector 981">
          <a:extLst>
            <a:ext uri="{FF2B5EF4-FFF2-40B4-BE49-F238E27FC236}">
              <a16:creationId xmlns:a16="http://schemas.microsoft.com/office/drawing/2014/main" id="{00000000-0008-0000-1300-0000D6030000}"/>
            </a:ext>
          </a:extLst>
        </xdr:cNvPr>
        <xdr:cNvCxnSpPr/>
      </xdr:nvCxnSpPr>
      <xdr:spPr>
        <a:xfrm flipV="1">
          <a:off x="10530417" y="611505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1676</xdr:row>
      <xdr:rowOff>10584</xdr:rowOff>
    </xdr:from>
    <xdr:to>
      <xdr:col>15</xdr:col>
      <xdr:colOff>592666</xdr:colOff>
      <xdr:row>1677</xdr:row>
      <xdr:rowOff>95250</xdr:rowOff>
    </xdr:to>
    <xdr:cxnSp macro="">
      <xdr:nvCxnSpPr>
        <xdr:cNvPr id="983" name="Straight Arrow Connector 982">
          <a:extLst>
            <a:ext uri="{FF2B5EF4-FFF2-40B4-BE49-F238E27FC236}">
              <a16:creationId xmlns:a16="http://schemas.microsoft.com/office/drawing/2014/main" id="{00000000-0008-0000-1300-0000D7030000}"/>
            </a:ext>
          </a:extLst>
        </xdr:cNvPr>
        <xdr:cNvCxnSpPr/>
      </xdr:nvCxnSpPr>
      <xdr:spPr>
        <a:xfrm>
          <a:off x="10572750" y="615420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1676</xdr:row>
      <xdr:rowOff>10584</xdr:rowOff>
    </xdr:from>
    <xdr:to>
      <xdr:col>15</xdr:col>
      <xdr:colOff>560916</xdr:colOff>
      <xdr:row>1680</xdr:row>
      <xdr:rowOff>52917</xdr:rowOff>
    </xdr:to>
    <xdr:cxnSp macro="">
      <xdr:nvCxnSpPr>
        <xdr:cNvPr id="984" name="Straight Arrow Connector 983">
          <a:extLst>
            <a:ext uri="{FF2B5EF4-FFF2-40B4-BE49-F238E27FC236}">
              <a16:creationId xmlns:a16="http://schemas.microsoft.com/office/drawing/2014/main" id="{00000000-0008-0000-1300-0000D8030000}"/>
            </a:ext>
          </a:extLst>
        </xdr:cNvPr>
        <xdr:cNvCxnSpPr/>
      </xdr:nvCxnSpPr>
      <xdr:spPr>
        <a:xfrm>
          <a:off x="10551583" y="615420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985" name="Straight Arrow Connector 984">
          <a:extLst>
            <a:ext uri="{FF2B5EF4-FFF2-40B4-BE49-F238E27FC236}">
              <a16:creationId xmlns:a16="http://schemas.microsoft.com/office/drawing/2014/main" id="{00000000-0008-0000-1300-0000D9030000}"/>
            </a:ext>
          </a:extLst>
        </xdr:cNvPr>
        <xdr:cNvCxnSpPr/>
      </xdr:nvCxnSpPr>
      <xdr:spPr>
        <a:xfrm>
          <a:off x="10583333" y="615632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1690</xdr:row>
      <xdr:rowOff>0</xdr:rowOff>
    </xdr:from>
    <xdr:to>
      <xdr:col>16</xdr:col>
      <xdr:colOff>0</xdr:colOff>
      <xdr:row>1690</xdr:row>
      <xdr:rowOff>42334</xdr:rowOff>
    </xdr:to>
    <xdr:cxnSp macro="">
      <xdr:nvCxnSpPr>
        <xdr:cNvPr id="986" name="Straight Arrow Connector 985">
          <a:extLst>
            <a:ext uri="{FF2B5EF4-FFF2-40B4-BE49-F238E27FC236}">
              <a16:creationId xmlns:a16="http://schemas.microsoft.com/office/drawing/2014/main" id="{00000000-0008-0000-1300-0000DA030000}"/>
            </a:ext>
          </a:extLst>
        </xdr:cNvPr>
        <xdr:cNvCxnSpPr/>
      </xdr:nvCxnSpPr>
      <xdr:spPr>
        <a:xfrm>
          <a:off x="10562166" y="641985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1690</xdr:row>
      <xdr:rowOff>21166</xdr:rowOff>
    </xdr:from>
    <xdr:to>
      <xdr:col>15</xdr:col>
      <xdr:colOff>560916</xdr:colOff>
      <xdr:row>1693</xdr:row>
      <xdr:rowOff>84667</xdr:rowOff>
    </xdr:to>
    <xdr:cxnSp macro="">
      <xdr:nvCxnSpPr>
        <xdr:cNvPr id="987" name="Straight Arrow Connector 986">
          <a:extLst>
            <a:ext uri="{FF2B5EF4-FFF2-40B4-BE49-F238E27FC236}">
              <a16:creationId xmlns:a16="http://schemas.microsoft.com/office/drawing/2014/main" id="{00000000-0008-0000-1300-0000DB030000}"/>
            </a:ext>
          </a:extLst>
        </xdr:cNvPr>
        <xdr:cNvCxnSpPr/>
      </xdr:nvCxnSpPr>
      <xdr:spPr>
        <a:xfrm>
          <a:off x="10615083" y="642196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1690</xdr:row>
      <xdr:rowOff>52916</xdr:rowOff>
    </xdr:from>
    <xdr:to>
      <xdr:col>15</xdr:col>
      <xdr:colOff>592666</xdr:colOff>
      <xdr:row>1696</xdr:row>
      <xdr:rowOff>63501</xdr:rowOff>
    </xdr:to>
    <xdr:cxnSp macro="">
      <xdr:nvCxnSpPr>
        <xdr:cNvPr id="988" name="Straight Arrow Connector 987">
          <a:extLst>
            <a:ext uri="{FF2B5EF4-FFF2-40B4-BE49-F238E27FC236}">
              <a16:creationId xmlns:a16="http://schemas.microsoft.com/office/drawing/2014/main" id="{00000000-0008-0000-1300-0000DC030000}"/>
            </a:ext>
          </a:extLst>
        </xdr:cNvPr>
        <xdr:cNvCxnSpPr/>
      </xdr:nvCxnSpPr>
      <xdr:spPr>
        <a:xfrm>
          <a:off x="10572750" y="642514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1687</xdr:row>
      <xdr:rowOff>52917</xdr:rowOff>
    </xdr:from>
    <xdr:to>
      <xdr:col>15</xdr:col>
      <xdr:colOff>603250</xdr:colOff>
      <xdr:row>1689</xdr:row>
      <xdr:rowOff>148167</xdr:rowOff>
    </xdr:to>
    <xdr:cxnSp macro="">
      <xdr:nvCxnSpPr>
        <xdr:cNvPr id="989" name="Straight Arrow Connector 988">
          <a:extLst>
            <a:ext uri="{FF2B5EF4-FFF2-40B4-BE49-F238E27FC236}">
              <a16:creationId xmlns:a16="http://schemas.microsoft.com/office/drawing/2014/main" id="{00000000-0008-0000-1300-0000DD030000}"/>
            </a:ext>
          </a:extLst>
        </xdr:cNvPr>
        <xdr:cNvCxnSpPr/>
      </xdr:nvCxnSpPr>
      <xdr:spPr>
        <a:xfrm flipV="1">
          <a:off x="10583333" y="636799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698500</xdr:colOff>
      <xdr:row>1731</xdr:row>
      <xdr:rowOff>95250</xdr:rowOff>
    </xdr:from>
    <xdr:to>
      <xdr:col>8</xdr:col>
      <xdr:colOff>21167</xdr:colOff>
      <xdr:row>1763</xdr:row>
      <xdr:rowOff>148166</xdr:rowOff>
    </xdr:to>
    <xdr:cxnSp macro="">
      <xdr:nvCxnSpPr>
        <xdr:cNvPr id="990" name="Straight Arrow Connector 989">
          <a:extLst>
            <a:ext uri="{FF2B5EF4-FFF2-40B4-BE49-F238E27FC236}">
              <a16:creationId xmlns:a16="http://schemas.microsoft.com/office/drawing/2014/main" id="{00000000-0008-0000-1300-0000DE030000}"/>
            </a:ext>
          </a:extLst>
        </xdr:cNvPr>
        <xdr:cNvCxnSpPr/>
      </xdr:nvCxnSpPr>
      <xdr:spPr>
        <a:xfrm>
          <a:off x="5080000" y="72294750"/>
          <a:ext cx="719667" cy="6148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1702</xdr:row>
      <xdr:rowOff>137583</xdr:rowOff>
    </xdr:from>
    <xdr:to>
      <xdr:col>9</xdr:col>
      <xdr:colOff>603250</xdr:colOff>
      <xdr:row>1708</xdr:row>
      <xdr:rowOff>21166</xdr:rowOff>
    </xdr:to>
    <xdr:cxnSp macro="">
      <xdr:nvCxnSpPr>
        <xdr:cNvPr id="991" name="Straight Arrow Connector 990">
          <a:extLst>
            <a:ext uri="{FF2B5EF4-FFF2-40B4-BE49-F238E27FC236}">
              <a16:creationId xmlns:a16="http://schemas.microsoft.com/office/drawing/2014/main" id="{00000000-0008-0000-1300-0000DF030000}"/>
            </a:ext>
          </a:extLst>
        </xdr:cNvPr>
        <xdr:cNvCxnSpPr/>
      </xdr:nvCxnSpPr>
      <xdr:spPr>
        <a:xfrm flipV="1">
          <a:off x="6381750" y="66622083"/>
          <a:ext cx="603250" cy="1026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1711</xdr:row>
      <xdr:rowOff>0</xdr:rowOff>
    </xdr:from>
    <xdr:to>
      <xdr:col>9</xdr:col>
      <xdr:colOff>582083</xdr:colOff>
      <xdr:row>1719</xdr:row>
      <xdr:rowOff>10583</xdr:rowOff>
    </xdr:to>
    <xdr:cxnSp macro="">
      <xdr:nvCxnSpPr>
        <xdr:cNvPr id="992" name="Straight Arrow Connector 991">
          <a:extLst>
            <a:ext uri="{FF2B5EF4-FFF2-40B4-BE49-F238E27FC236}">
              <a16:creationId xmlns:a16="http://schemas.microsoft.com/office/drawing/2014/main" id="{00000000-0008-0000-1300-0000E0030000}"/>
            </a:ext>
          </a:extLst>
        </xdr:cNvPr>
        <xdr:cNvCxnSpPr/>
      </xdr:nvCxnSpPr>
      <xdr:spPr>
        <a:xfrm>
          <a:off x="6413500" y="68199000"/>
          <a:ext cx="550333" cy="1534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21167</xdr:colOff>
      <xdr:row>1716</xdr:row>
      <xdr:rowOff>169333</xdr:rowOff>
    </xdr:from>
    <xdr:to>
      <xdr:col>11</xdr:col>
      <xdr:colOff>603250</xdr:colOff>
      <xdr:row>1719</xdr:row>
      <xdr:rowOff>21167</xdr:rowOff>
    </xdr:to>
    <xdr:cxnSp macro="">
      <xdr:nvCxnSpPr>
        <xdr:cNvPr id="993" name="Straight Arrow Connector 992">
          <a:extLst>
            <a:ext uri="{FF2B5EF4-FFF2-40B4-BE49-F238E27FC236}">
              <a16:creationId xmlns:a16="http://schemas.microsoft.com/office/drawing/2014/main" id="{00000000-0008-0000-1300-0000E1030000}"/>
            </a:ext>
          </a:extLst>
        </xdr:cNvPr>
        <xdr:cNvCxnSpPr/>
      </xdr:nvCxnSpPr>
      <xdr:spPr>
        <a:xfrm flipV="1">
          <a:off x="7609417" y="69320833"/>
          <a:ext cx="582083" cy="423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1722</xdr:row>
      <xdr:rowOff>42333</xdr:rowOff>
    </xdr:from>
    <xdr:to>
      <xdr:col>11</xdr:col>
      <xdr:colOff>603250</xdr:colOff>
      <xdr:row>1734</xdr:row>
      <xdr:rowOff>10583</xdr:rowOff>
    </xdr:to>
    <xdr:cxnSp macro="">
      <xdr:nvCxnSpPr>
        <xdr:cNvPr id="994" name="Straight Arrow Connector 993">
          <a:extLst>
            <a:ext uri="{FF2B5EF4-FFF2-40B4-BE49-F238E27FC236}">
              <a16:creationId xmlns:a16="http://schemas.microsoft.com/office/drawing/2014/main" id="{00000000-0008-0000-1300-0000E2030000}"/>
            </a:ext>
          </a:extLst>
        </xdr:cNvPr>
        <xdr:cNvCxnSpPr/>
      </xdr:nvCxnSpPr>
      <xdr:spPr>
        <a:xfrm>
          <a:off x="7598834" y="703368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1712</xdr:row>
      <xdr:rowOff>21167</xdr:rowOff>
    </xdr:from>
    <xdr:to>
      <xdr:col>13</xdr:col>
      <xdr:colOff>592667</xdr:colOff>
      <xdr:row>1714</xdr:row>
      <xdr:rowOff>0</xdr:rowOff>
    </xdr:to>
    <xdr:cxnSp macro="">
      <xdr:nvCxnSpPr>
        <xdr:cNvPr id="995" name="Straight Arrow Connector 994">
          <a:extLst>
            <a:ext uri="{FF2B5EF4-FFF2-40B4-BE49-F238E27FC236}">
              <a16:creationId xmlns:a16="http://schemas.microsoft.com/office/drawing/2014/main" id="{00000000-0008-0000-1300-0000E3030000}"/>
            </a:ext>
          </a:extLst>
        </xdr:cNvPr>
        <xdr:cNvCxnSpPr/>
      </xdr:nvCxnSpPr>
      <xdr:spPr>
        <a:xfrm flipV="1">
          <a:off x="8794750" y="684106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1717</xdr:row>
      <xdr:rowOff>21166</xdr:rowOff>
    </xdr:from>
    <xdr:to>
      <xdr:col>13</xdr:col>
      <xdr:colOff>592667</xdr:colOff>
      <xdr:row>1718</xdr:row>
      <xdr:rowOff>169334</xdr:rowOff>
    </xdr:to>
    <xdr:cxnSp macro="">
      <xdr:nvCxnSpPr>
        <xdr:cNvPr id="996" name="Straight Arrow Connector 995">
          <a:extLst>
            <a:ext uri="{FF2B5EF4-FFF2-40B4-BE49-F238E27FC236}">
              <a16:creationId xmlns:a16="http://schemas.microsoft.com/office/drawing/2014/main" id="{00000000-0008-0000-1300-0000E4030000}"/>
            </a:ext>
          </a:extLst>
        </xdr:cNvPr>
        <xdr:cNvCxnSpPr/>
      </xdr:nvCxnSpPr>
      <xdr:spPr>
        <a:xfrm>
          <a:off x="8784166" y="693631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1732</xdr:row>
      <xdr:rowOff>21167</xdr:rowOff>
    </xdr:from>
    <xdr:to>
      <xdr:col>13</xdr:col>
      <xdr:colOff>592667</xdr:colOff>
      <xdr:row>1734</xdr:row>
      <xdr:rowOff>63500</xdr:rowOff>
    </xdr:to>
    <xdr:cxnSp macro="">
      <xdr:nvCxnSpPr>
        <xdr:cNvPr id="997" name="Straight Arrow Connector 996">
          <a:extLst>
            <a:ext uri="{FF2B5EF4-FFF2-40B4-BE49-F238E27FC236}">
              <a16:creationId xmlns:a16="http://schemas.microsoft.com/office/drawing/2014/main" id="{00000000-0008-0000-1300-0000E5030000}"/>
            </a:ext>
          </a:extLst>
        </xdr:cNvPr>
        <xdr:cNvCxnSpPr/>
      </xdr:nvCxnSpPr>
      <xdr:spPr>
        <a:xfrm flipV="1">
          <a:off x="8794750" y="724111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1737</xdr:row>
      <xdr:rowOff>0</xdr:rowOff>
    </xdr:from>
    <xdr:to>
      <xdr:col>14</xdr:col>
      <xdr:colOff>10584</xdr:colOff>
      <xdr:row>1745</xdr:row>
      <xdr:rowOff>148167</xdr:rowOff>
    </xdr:to>
    <xdr:cxnSp macro="">
      <xdr:nvCxnSpPr>
        <xdr:cNvPr id="998" name="Straight Arrow Connector 997">
          <a:extLst>
            <a:ext uri="{FF2B5EF4-FFF2-40B4-BE49-F238E27FC236}">
              <a16:creationId xmlns:a16="http://schemas.microsoft.com/office/drawing/2014/main" id="{00000000-0008-0000-1300-0000E6030000}"/>
            </a:ext>
          </a:extLst>
        </xdr:cNvPr>
        <xdr:cNvCxnSpPr/>
      </xdr:nvCxnSpPr>
      <xdr:spPr>
        <a:xfrm>
          <a:off x="8805333" y="733425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1704</xdr:row>
      <xdr:rowOff>0</xdr:rowOff>
    </xdr:from>
    <xdr:to>
      <xdr:col>15</xdr:col>
      <xdr:colOff>603250</xdr:colOff>
      <xdr:row>1709</xdr:row>
      <xdr:rowOff>31750</xdr:rowOff>
    </xdr:to>
    <xdr:cxnSp macro="">
      <xdr:nvCxnSpPr>
        <xdr:cNvPr id="999" name="Straight Arrow Connector 998">
          <a:extLst>
            <a:ext uri="{FF2B5EF4-FFF2-40B4-BE49-F238E27FC236}">
              <a16:creationId xmlns:a16="http://schemas.microsoft.com/office/drawing/2014/main" id="{00000000-0008-0000-1300-0000E7030000}"/>
            </a:ext>
          </a:extLst>
        </xdr:cNvPr>
        <xdr:cNvCxnSpPr/>
      </xdr:nvCxnSpPr>
      <xdr:spPr>
        <a:xfrm flipV="1">
          <a:off x="10541000" y="66865500"/>
          <a:ext cx="603250" cy="984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1707</xdr:row>
      <xdr:rowOff>52917</xdr:rowOff>
    </xdr:from>
    <xdr:to>
      <xdr:col>15</xdr:col>
      <xdr:colOff>603250</xdr:colOff>
      <xdr:row>1709</xdr:row>
      <xdr:rowOff>95250</xdr:rowOff>
    </xdr:to>
    <xdr:cxnSp macro="">
      <xdr:nvCxnSpPr>
        <xdr:cNvPr id="1000" name="Straight Arrow Connector 999">
          <a:extLst>
            <a:ext uri="{FF2B5EF4-FFF2-40B4-BE49-F238E27FC236}">
              <a16:creationId xmlns:a16="http://schemas.microsoft.com/office/drawing/2014/main" id="{00000000-0008-0000-1300-0000E8030000}"/>
            </a:ext>
          </a:extLst>
        </xdr:cNvPr>
        <xdr:cNvCxnSpPr/>
      </xdr:nvCxnSpPr>
      <xdr:spPr>
        <a:xfrm flipV="1">
          <a:off x="10583333" y="67489917"/>
          <a:ext cx="56091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1709</xdr:row>
      <xdr:rowOff>158750</xdr:rowOff>
    </xdr:from>
    <xdr:to>
      <xdr:col>15</xdr:col>
      <xdr:colOff>582083</xdr:colOff>
      <xdr:row>1710</xdr:row>
      <xdr:rowOff>137583</xdr:rowOff>
    </xdr:to>
    <xdr:cxnSp macro="">
      <xdr:nvCxnSpPr>
        <xdr:cNvPr id="1001" name="Straight Arrow Connector 1000">
          <a:extLst>
            <a:ext uri="{FF2B5EF4-FFF2-40B4-BE49-F238E27FC236}">
              <a16:creationId xmlns:a16="http://schemas.microsoft.com/office/drawing/2014/main" id="{00000000-0008-0000-1300-0000E9030000}"/>
            </a:ext>
          </a:extLst>
        </xdr:cNvPr>
        <xdr:cNvCxnSpPr/>
      </xdr:nvCxnSpPr>
      <xdr:spPr>
        <a:xfrm>
          <a:off x="10604500" y="67976750"/>
          <a:ext cx="518583" cy="169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1121834</xdr:colOff>
      <xdr:row>1709</xdr:row>
      <xdr:rowOff>105834</xdr:rowOff>
    </xdr:from>
    <xdr:to>
      <xdr:col>16</xdr:col>
      <xdr:colOff>0</xdr:colOff>
      <xdr:row>1713</xdr:row>
      <xdr:rowOff>84667</xdr:rowOff>
    </xdr:to>
    <xdr:cxnSp macro="">
      <xdr:nvCxnSpPr>
        <xdr:cNvPr id="1002" name="Straight Arrow Connector 1001">
          <a:extLst>
            <a:ext uri="{FF2B5EF4-FFF2-40B4-BE49-F238E27FC236}">
              <a16:creationId xmlns:a16="http://schemas.microsoft.com/office/drawing/2014/main" id="{00000000-0008-0000-1300-0000EA030000}"/>
            </a:ext>
          </a:extLst>
        </xdr:cNvPr>
        <xdr:cNvCxnSpPr/>
      </xdr:nvCxnSpPr>
      <xdr:spPr>
        <a:xfrm>
          <a:off x="10519834" y="67923834"/>
          <a:ext cx="624416"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1717</xdr:row>
      <xdr:rowOff>52916</xdr:rowOff>
    </xdr:from>
    <xdr:to>
      <xdr:col>16</xdr:col>
      <xdr:colOff>0</xdr:colOff>
      <xdr:row>1719</xdr:row>
      <xdr:rowOff>0</xdr:rowOff>
    </xdr:to>
    <xdr:cxnSp macro="">
      <xdr:nvCxnSpPr>
        <xdr:cNvPr id="1003" name="Straight Arrow Connector 1002">
          <a:extLst>
            <a:ext uri="{FF2B5EF4-FFF2-40B4-BE49-F238E27FC236}">
              <a16:creationId xmlns:a16="http://schemas.microsoft.com/office/drawing/2014/main" id="{00000000-0008-0000-1300-0000EB030000}"/>
            </a:ext>
          </a:extLst>
        </xdr:cNvPr>
        <xdr:cNvCxnSpPr/>
      </xdr:nvCxnSpPr>
      <xdr:spPr>
        <a:xfrm flipV="1">
          <a:off x="10541000" y="693949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1719</xdr:row>
      <xdr:rowOff>21167</xdr:rowOff>
    </xdr:from>
    <xdr:to>
      <xdr:col>15</xdr:col>
      <xdr:colOff>582083</xdr:colOff>
      <xdr:row>1720</xdr:row>
      <xdr:rowOff>42333</xdr:rowOff>
    </xdr:to>
    <xdr:cxnSp macro="">
      <xdr:nvCxnSpPr>
        <xdr:cNvPr id="1004" name="Straight Arrow Connector 1003">
          <a:extLst>
            <a:ext uri="{FF2B5EF4-FFF2-40B4-BE49-F238E27FC236}">
              <a16:creationId xmlns:a16="http://schemas.microsoft.com/office/drawing/2014/main" id="{00000000-0008-0000-1300-0000EC030000}"/>
            </a:ext>
          </a:extLst>
        </xdr:cNvPr>
        <xdr:cNvCxnSpPr/>
      </xdr:nvCxnSpPr>
      <xdr:spPr>
        <a:xfrm>
          <a:off x="10551583" y="69744167"/>
          <a:ext cx="571500" cy="211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1719</xdr:row>
      <xdr:rowOff>21167</xdr:rowOff>
    </xdr:from>
    <xdr:to>
      <xdr:col>16</xdr:col>
      <xdr:colOff>42333</xdr:colOff>
      <xdr:row>1724</xdr:row>
      <xdr:rowOff>21168</xdr:rowOff>
    </xdr:to>
    <xdr:cxnSp macro="">
      <xdr:nvCxnSpPr>
        <xdr:cNvPr id="1005" name="Straight Arrow Connector 1004">
          <a:extLst>
            <a:ext uri="{FF2B5EF4-FFF2-40B4-BE49-F238E27FC236}">
              <a16:creationId xmlns:a16="http://schemas.microsoft.com/office/drawing/2014/main" id="{00000000-0008-0000-1300-0000ED030000}"/>
            </a:ext>
          </a:extLst>
        </xdr:cNvPr>
        <xdr:cNvCxnSpPr/>
      </xdr:nvCxnSpPr>
      <xdr:spPr>
        <a:xfrm>
          <a:off x="10530417" y="69744167"/>
          <a:ext cx="656166" cy="9525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1719</xdr:row>
      <xdr:rowOff>31750</xdr:rowOff>
    </xdr:from>
    <xdr:to>
      <xdr:col>16</xdr:col>
      <xdr:colOff>42334</xdr:colOff>
      <xdr:row>1726</xdr:row>
      <xdr:rowOff>63501</xdr:rowOff>
    </xdr:to>
    <xdr:cxnSp macro="">
      <xdr:nvCxnSpPr>
        <xdr:cNvPr id="1006" name="Straight Arrow Connector 1005">
          <a:extLst>
            <a:ext uri="{FF2B5EF4-FFF2-40B4-BE49-F238E27FC236}">
              <a16:creationId xmlns:a16="http://schemas.microsoft.com/office/drawing/2014/main" id="{00000000-0008-0000-1300-0000EE030000}"/>
            </a:ext>
          </a:extLst>
        </xdr:cNvPr>
        <xdr:cNvCxnSpPr/>
      </xdr:nvCxnSpPr>
      <xdr:spPr>
        <a:xfrm>
          <a:off x="10541000" y="69754750"/>
          <a:ext cx="645584"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10583</xdr:colOff>
      <xdr:row>1756</xdr:row>
      <xdr:rowOff>42333</xdr:rowOff>
    </xdr:from>
    <xdr:to>
      <xdr:col>9</xdr:col>
      <xdr:colOff>592666</xdr:colOff>
      <xdr:row>1764</xdr:row>
      <xdr:rowOff>42333</xdr:rowOff>
    </xdr:to>
    <xdr:cxnSp macro="">
      <xdr:nvCxnSpPr>
        <xdr:cNvPr id="1007" name="Straight Arrow Connector 1006">
          <a:extLst>
            <a:ext uri="{FF2B5EF4-FFF2-40B4-BE49-F238E27FC236}">
              <a16:creationId xmlns:a16="http://schemas.microsoft.com/office/drawing/2014/main" id="{00000000-0008-0000-1300-0000EF030000}"/>
            </a:ext>
          </a:extLst>
        </xdr:cNvPr>
        <xdr:cNvCxnSpPr/>
      </xdr:nvCxnSpPr>
      <xdr:spPr>
        <a:xfrm flipV="1">
          <a:off x="6392333" y="77004333"/>
          <a:ext cx="582083" cy="152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1766</xdr:row>
      <xdr:rowOff>169334</xdr:rowOff>
    </xdr:from>
    <xdr:to>
      <xdr:col>9</xdr:col>
      <xdr:colOff>603250</xdr:colOff>
      <xdr:row>1775</xdr:row>
      <xdr:rowOff>31750</xdr:rowOff>
    </xdr:to>
    <xdr:cxnSp macro="">
      <xdr:nvCxnSpPr>
        <xdr:cNvPr id="1008" name="Straight Arrow Connector 1007">
          <a:extLst>
            <a:ext uri="{FF2B5EF4-FFF2-40B4-BE49-F238E27FC236}">
              <a16:creationId xmlns:a16="http://schemas.microsoft.com/office/drawing/2014/main" id="{00000000-0008-0000-1300-0000F0030000}"/>
            </a:ext>
          </a:extLst>
        </xdr:cNvPr>
        <xdr:cNvCxnSpPr/>
      </xdr:nvCxnSpPr>
      <xdr:spPr>
        <a:xfrm>
          <a:off x="6413500" y="79036334"/>
          <a:ext cx="571500" cy="1576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571500</xdr:colOff>
      <xdr:row>1772</xdr:row>
      <xdr:rowOff>158750</xdr:rowOff>
    </xdr:from>
    <xdr:to>
      <xdr:col>11</xdr:col>
      <xdr:colOff>571500</xdr:colOff>
      <xdr:row>1775</xdr:row>
      <xdr:rowOff>0</xdr:rowOff>
    </xdr:to>
    <xdr:cxnSp macro="">
      <xdr:nvCxnSpPr>
        <xdr:cNvPr id="1009" name="Straight Arrow Connector 1008">
          <a:extLst>
            <a:ext uri="{FF2B5EF4-FFF2-40B4-BE49-F238E27FC236}">
              <a16:creationId xmlns:a16="http://schemas.microsoft.com/office/drawing/2014/main" id="{00000000-0008-0000-1300-0000F1030000}"/>
            </a:ext>
          </a:extLst>
        </xdr:cNvPr>
        <xdr:cNvCxnSpPr/>
      </xdr:nvCxnSpPr>
      <xdr:spPr>
        <a:xfrm flipV="1">
          <a:off x="7556500" y="80168750"/>
          <a:ext cx="603250" cy="412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1730</xdr:row>
      <xdr:rowOff>0</xdr:rowOff>
    </xdr:from>
    <xdr:to>
      <xdr:col>15</xdr:col>
      <xdr:colOff>603250</xdr:colOff>
      <xdr:row>1732</xdr:row>
      <xdr:rowOff>1</xdr:rowOff>
    </xdr:to>
    <xdr:cxnSp macro="">
      <xdr:nvCxnSpPr>
        <xdr:cNvPr id="1010" name="Straight Arrow Connector 1009">
          <a:extLst>
            <a:ext uri="{FF2B5EF4-FFF2-40B4-BE49-F238E27FC236}">
              <a16:creationId xmlns:a16="http://schemas.microsoft.com/office/drawing/2014/main" id="{00000000-0008-0000-1300-0000F2030000}"/>
            </a:ext>
          </a:extLst>
        </xdr:cNvPr>
        <xdr:cNvCxnSpPr/>
      </xdr:nvCxnSpPr>
      <xdr:spPr>
        <a:xfrm flipV="1">
          <a:off x="10530417" y="720090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1732</xdr:row>
      <xdr:rowOff>10584</xdr:rowOff>
    </xdr:from>
    <xdr:to>
      <xdr:col>15</xdr:col>
      <xdr:colOff>592666</xdr:colOff>
      <xdr:row>1733</xdr:row>
      <xdr:rowOff>95250</xdr:rowOff>
    </xdr:to>
    <xdr:cxnSp macro="">
      <xdr:nvCxnSpPr>
        <xdr:cNvPr id="1011" name="Straight Arrow Connector 1010">
          <a:extLst>
            <a:ext uri="{FF2B5EF4-FFF2-40B4-BE49-F238E27FC236}">
              <a16:creationId xmlns:a16="http://schemas.microsoft.com/office/drawing/2014/main" id="{00000000-0008-0000-1300-0000F3030000}"/>
            </a:ext>
          </a:extLst>
        </xdr:cNvPr>
        <xdr:cNvCxnSpPr/>
      </xdr:nvCxnSpPr>
      <xdr:spPr>
        <a:xfrm>
          <a:off x="10572750" y="724005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1732</xdr:row>
      <xdr:rowOff>10584</xdr:rowOff>
    </xdr:from>
    <xdr:to>
      <xdr:col>15</xdr:col>
      <xdr:colOff>560916</xdr:colOff>
      <xdr:row>1736</xdr:row>
      <xdr:rowOff>52917</xdr:rowOff>
    </xdr:to>
    <xdr:cxnSp macro="">
      <xdr:nvCxnSpPr>
        <xdr:cNvPr id="1012" name="Straight Arrow Connector 1011">
          <a:extLst>
            <a:ext uri="{FF2B5EF4-FFF2-40B4-BE49-F238E27FC236}">
              <a16:creationId xmlns:a16="http://schemas.microsoft.com/office/drawing/2014/main" id="{00000000-0008-0000-1300-0000F4030000}"/>
            </a:ext>
          </a:extLst>
        </xdr:cNvPr>
        <xdr:cNvCxnSpPr/>
      </xdr:nvCxnSpPr>
      <xdr:spPr>
        <a:xfrm>
          <a:off x="10551583" y="724005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1013" name="Straight Arrow Connector 1012">
          <a:extLst>
            <a:ext uri="{FF2B5EF4-FFF2-40B4-BE49-F238E27FC236}">
              <a16:creationId xmlns:a16="http://schemas.microsoft.com/office/drawing/2014/main" id="{00000000-0008-0000-1300-0000F5030000}"/>
            </a:ext>
          </a:extLst>
        </xdr:cNvPr>
        <xdr:cNvCxnSpPr/>
      </xdr:nvCxnSpPr>
      <xdr:spPr>
        <a:xfrm>
          <a:off x="10583333" y="724217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1746</xdr:row>
      <xdr:rowOff>0</xdr:rowOff>
    </xdr:from>
    <xdr:to>
      <xdr:col>16</xdr:col>
      <xdr:colOff>0</xdr:colOff>
      <xdr:row>1746</xdr:row>
      <xdr:rowOff>42334</xdr:rowOff>
    </xdr:to>
    <xdr:cxnSp macro="">
      <xdr:nvCxnSpPr>
        <xdr:cNvPr id="1014" name="Straight Arrow Connector 1013">
          <a:extLst>
            <a:ext uri="{FF2B5EF4-FFF2-40B4-BE49-F238E27FC236}">
              <a16:creationId xmlns:a16="http://schemas.microsoft.com/office/drawing/2014/main" id="{00000000-0008-0000-1300-0000F6030000}"/>
            </a:ext>
          </a:extLst>
        </xdr:cNvPr>
        <xdr:cNvCxnSpPr/>
      </xdr:nvCxnSpPr>
      <xdr:spPr>
        <a:xfrm>
          <a:off x="10562166" y="750570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1746</xdr:row>
      <xdr:rowOff>21166</xdr:rowOff>
    </xdr:from>
    <xdr:to>
      <xdr:col>15</xdr:col>
      <xdr:colOff>560916</xdr:colOff>
      <xdr:row>1749</xdr:row>
      <xdr:rowOff>84667</xdr:rowOff>
    </xdr:to>
    <xdr:cxnSp macro="">
      <xdr:nvCxnSpPr>
        <xdr:cNvPr id="1015" name="Straight Arrow Connector 1014">
          <a:extLst>
            <a:ext uri="{FF2B5EF4-FFF2-40B4-BE49-F238E27FC236}">
              <a16:creationId xmlns:a16="http://schemas.microsoft.com/office/drawing/2014/main" id="{00000000-0008-0000-1300-0000F7030000}"/>
            </a:ext>
          </a:extLst>
        </xdr:cNvPr>
        <xdr:cNvCxnSpPr/>
      </xdr:nvCxnSpPr>
      <xdr:spPr>
        <a:xfrm>
          <a:off x="10615083" y="750781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1746</xdr:row>
      <xdr:rowOff>52916</xdr:rowOff>
    </xdr:from>
    <xdr:to>
      <xdr:col>15</xdr:col>
      <xdr:colOff>592666</xdr:colOff>
      <xdr:row>1752</xdr:row>
      <xdr:rowOff>63501</xdr:rowOff>
    </xdr:to>
    <xdr:cxnSp macro="">
      <xdr:nvCxnSpPr>
        <xdr:cNvPr id="1016" name="Straight Arrow Connector 1015">
          <a:extLst>
            <a:ext uri="{FF2B5EF4-FFF2-40B4-BE49-F238E27FC236}">
              <a16:creationId xmlns:a16="http://schemas.microsoft.com/office/drawing/2014/main" id="{00000000-0008-0000-1300-0000F8030000}"/>
            </a:ext>
          </a:extLst>
        </xdr:cNvPr>
        <xdr:cNvCxnSpPr/>
      </xdr:nvCxnSpPr>
      <xdr:spPr>
        <a:xfrm>
          <a:off x="10572750" y="751099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1760</xdr:row>
      <xdr:rowOff>116416</xdr:rowOff>
    </xdr:from>
    <xdr:to>
      <xdr:col>15</xdr:col>
      <xdr:colOff>592666</xdr:colOff>
      <xdr:row>1763</xdr:row>
      <xdr:rowOff>158750</xdr:rowOff>
    </xdr:to>
    <xdr:cxnSp macro="">
      <xdr:nvCxnSpPr>
        <xdr:cNvPr id="1017" name="Straight Arrow Connector 1016">
          <a:extLst>
            <a:ext uri="{FF2B5EF4-FFF2-40B4-BE49-F238E27FC236}">
              <a16:creationId xmlns:a16="http://schemas.microsoft.com/office/drawing/2014/main" id="{00000000-0008-0000-1300-0000F9030000}"/>
            </a:ext>
          </a:extLst>
        </xdr:cNvPr>
        <xdr:cNvCxnSpPr/>
      </xdr:nvCxnSpPr>
      <xdr:spPr>
        <a:xfrm flipV="1">
          <a:off x="10562166" y="77840416"/>
          <a:ext cx="571500" cy="613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1762</xdr:row>
      <xdr:rowOff>95250</xdr:rowOff>
    </xdr:from>
    <xdr:to>
      <xdr:col>15</xdr:col>
      <xdr:colOff>582083</xdr:colOff>
      <xdr:row>1764</xdr:row>
      <xdr:rowOff>52917</xdr:rowOff>
    </xdr:to>
    <xdr:cxnSp macro="">
      <xdr:nvCxnSpPr>
        <xdr:cNvPr id="1018" name="Straight Arrow Connector 1017">
          <a:extLst>
            <a:ext uri="{FF2B5EF4-FFF2-40B4-BE49-F238E27FC236}">
              <a16:creationId xmlns:a16="http://schemas.microsoft.com/office/drawing/2014/main" id="{00000000-0008-0000-1300-0000FA030000}"/>
            </a:ext>
          </a:extLst>
        </xdr:cNvPr>
        <xdr:cNvCxnSpPr/>
      </xdr:nvCxnSpPr>
      <xdr:spPr>
        <a:xfrm flipV="1">
          <a:off x="10604500" y="78200250"/>
          <a:ext cx="518583" cy="338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1764</xdr:row>
      <xdr:rowOff>116417</xdr:rowOff>
    </xdr:from>
    <xdr:to>
      <xdr:col>15</xdr:col>
      <xdr:colOff>592666</xdr:colOff>
      <xdr:row>1768</xdr:row>
      <xdr:rowOff>95250</xdr:rowOff>
    </xdr:to>
    <xdr:cxnSp macro="">
      <xdr:nvCxnSpPr>
        <xdr:cNvPr id="1019" name="Straight Arrow Connector 1018">
          <a:extLst>
            <a:ext uri="{FF2B5EF4-FFF2-40B4-BE49-F238E27FC236}">
              <a16:creationId xmlns:a16="http://schemas.microsoft.com/office/drawing/2014/main" id="{00000000-0008-0000-1300-0000FB030000}"/>
            </a:ext>
          </a:extLst>
        </xdr:cNvPr>
        <xdr:cNvCxnSpPr/>
      </xdr:nvCxnSpPr>
      <xdr:spPr>
        <a:xfrm>
          <a:off x="10593916" y="78602417"/>
          <a:ext cx="53975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1775</xdr:row>
      <xdr:rowOff>116416</xdr:rowOff>
    </xdr:from>
    <xdr:to>
      <xdr:col>16</xdr:col>
      <xdr:colOff>0</xdr:colOff>
      <xdr:row>1782</xdr:row>
      <xdr:rowOff>74084</xdr:rowOff>
    </xdr:to>
    <xdr:cxnSp macro="">
      <xdr:nvCxnSpPr>
        <xdr:cNvPr id="1020" name="Straight Arrow Connector 1019">
          <a:extLst>
            <a:ext uri="{FF2B5EF4-FFF2-40B4-BE49-F238E27FC236}">
              <a16:creationId xmlns:a16="http://schemas.microsoft.com/office/drawing/2014/main" id="{00000000-0008-0000-1300-0000FC030000}"/>
            </a:ext>
          </a:extLst>
        </xdr:cNvPr>
        <xdr:cNvCxnSpPr/>
      </xdr:nvCxnSpPr>
      <xdr:spPr>
        <a:xfrm>
          <a:off x="10572750" y="80697916"/>
          <a:ext cx="571500" cy="12911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1743</xdr:row>
      <xdr:rowOff>52917</xdr:rowOff>
    </xdr:from>
    <xdr:to>
      <xdr:col>15</xdr:col>
      <xdr:colOff>603250</xdr:colOff>
      <xdr:row>1745</xdr:row>
      <xdr:rowOff>148167</xdr:rowOff>
    </xdr:to>
    <xdr:cxnSp macro="">
      <xdr:nvCxnSpPr>
        <xdr:cNvPr id="1021" name="Straight Arrow Connector 1020">
          <a:extLst>
            <a:ext uri="{FF2B5EF4-FFF2-40B4-BE49-F238E27FC236}">
              <a16:creationId xmlns:a16="http://schemas.microsoft.com/office/drawing/2014/main" id="{00000000-0008-0000-1300-0000FD030000}"/>
            </a:ext>
          </a:extLst>
        </xdr:cNvPr>
        <xdr:cNvCxnSpPr/>
      </xdr:nvCxnSpPr>
      <xdr:spPr>
        <a:xfrm flipV="1">
          <a:off x="10583333" y="745384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1778</xdr:row>
      <xdr:rowOff>42333</xdr:rowOff>
    </xdr:from>
    <xdr:to>
      <xdr:col>11</xdr:col>
      <xdr:colOff>603250</xdr:colOff>
      <xdr:row>1790</xdr:row>
      <xdr:rowOff>10583</xdr:rowOff>
    </xdr:to>
    <xdr:cxnSp macro="">
      <xdr:nvCxnSpPr>
        <xdr:cNvPr id="1022" name="Straight Arrow Connector 1021">
          <a:extLst>
            <a:ext uri="{FF2B5EF4-FFF2-40B4-BE49-F238E27FC236}">
              <a16:creationId xmlns:a16="http://schemas.microsoft.com/office/drawing/2014/main" id="{00000000-0008-0000-1300-0000FE030000}"/>
            </a:ext>
          </a:extLst>
        </xdr:cNvPr>
        <xdr:cNvCxnSpPr/>
      </xdr:nvCxnSpPr>
      <xdr:spPr>
        <a:xfrm>
          <a:off x="7598834" y="811953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1768</xdr:row>
      <xdr:rowOff>21167</xdr:rowOff>
    </xdr:from>
    <xdr:to>
      <xdr:col>13</xdr:col>
      <xdr:colOff>592667</xdr:colOff>
      <xdr:row>1770</xdr:row>
      <xdr:rowOff>0</xdr:rowOff>
    </xdr:to>
    <xdr:cxnSp macro="">
      <xdr:nvCxnSpPr>
        <xdr:cNvPr id="1023" name="Straight Arrow Connector 1022">
          <a:extLst>
            <a:ext uri="{FF2B5EF4-FFF2-40B4-BE49-F238E27FC236}">
              <a16:creationId xmlns:a16="http://schemas.microsoft.com/office/drawing/2014/main" id="{00000000-0008-0000-1300-0000FF030000}"/>
            </a:ext>
          </a:extLst>
        </xdr:cNvPr>
        <xdr:cNvCxnSpPr/>
      </xdr:nvCxnSpPr>
      <xdr:spPr>
        <a:xfrm flipV="1">
          <a:off x="8794750" y="792691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1773</xdr:row>
      <xdr:rowOff>21166</xdr:rowOff>
    </xdr:from>
    <xdr:to>
      <xdr:col>13</xdr:col>
      <xdr:colOff>592667</xdr:colOff>
      <xdr:row>1774</xdr:row>
      <xdr:rowOff>169334</xdr:rowOff>
    </xdr:to>
    <xdr:cxnSp macro="">
      <xdr:nvCxnSpPr>
        <xdr:cNvPr id="1024" name="Straight Arrow Connector 1023">
          <a:extLst>
            <a:ext uri="{FF2B5EF4-FFF2-40B4-BE49-F238E27FC236}">
              <a16:creationId xmlns:a16="http://schemas.microsoft.com/office/drawing/2014/main" id="{00000000-0008-0000-1300-000000040000}"/>
            </a:ext>
          </a:extLst>
        </xdr:cNvPr>
        <xdr:cNvCxnSpPr/>
      </xdr:nvCxnSpPr>
      <xdr:spPr>
        <a:xfrm>
          <a:off x="8784166" y="802216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1788</xdr:row>
      <xdr:rowOff>21167</xdr:rowOff>
    </xdr:from>
    <xdr:to>
      <xdr:col>13</xdr:col>
      <xdr:colOff>592667</xdr:colOff>
      <xdr:row>1790</xdr:row>
      <xdr:rowOff>63500</xdr:rowOff>
    </xdr:to>
    <xdr:cxnSp macro="">
      <xdr:nvCxnSpPr>
        <xdr:cNvPr id="1025" name="Straight Arrow Connector 1024">
          <a:extLst>
            <a:ext uri="{FF2B5EF4-FFF2-40B4-BE49-F238E27FC236}">
              <a16:creationId xmlns:a16="http://schemas.microsoft.com/office/drawing/2014/main" id="{00000000-0008-0000-1300-000001040000}"/>
            </a:ext>
          </a:extLst>
        </xdr:cNvPr>
        <xdr:cNvCxnSpPr/>
      </xdr:nvCxnSpPr>
      <xdr:spPr>
        <a:xfrm flipV="1">
          <a:off x="8794750" y="832696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1793</xdr:row>
      <xdr:rowOff>0</xdr:rowOff>
    </xdr:from>
    <xdr:to>
      <xdr:col>14</xdr:col>
      <xdr:colOff>10584</xdr:colOff>
      <xdr:row>1801</xdr:row>
      <xdr:rowOff>148167</xdr:rowOff>
    </xdr:to>
    <xdr:cxnSp macro="">
      <xdr:nvCxnSpPr>
        <xdr:cNvPr id="1026" name="Straight Arrow Connector 1025">
          <a:extLst>
            <a:ext uri="{FF2B5EF4-FFF2-40B4-BE49-F238E27FC236}">
              <a16:creationId xmlns:a16="http://schemas.microsoft.com/office/drawing/2014/main" id="{00000000-0008-0000-1300-000002040000}"/>
            </a:ext>
          </a:extLst>
        </xdr:cNvPr>
        <xdr:cNvCxnSpPr/>
      </xdr:nvCxnSpPr>
      <xdr:spPr>
        <a:xfrm>
          <a:off x="8805333" y="842010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1764</xdr:row>
      <xdr:rowOff>95250</xdr:rowOff>
    </xdr:from>
    <xdr:to>
      <xdr:col>15</xdr:col>
      <xdr:colOff>582083</xdr:colOff>
      <xdr:row>1766</xdr:row>
      <xdr:rowOff>137583</xdr:rowOff>
    </xdr:to>
    <xdr:cxnSp macro="">
      <xdr:nvCxnSpPr>
        <xdr:cNvPr id="1027" name="Straight Arrow Connector 1026">
          <a:extLst>
            <a:ext uri="{FF2B5EF4-FFF2-40B4-BE49-F238E27FC236}">
              <a16:creationId xmlns:a16="http://schemas.microsoft.com/office/drawing/2014/main" id="{00000000-0008-0000-1300-000003040000}"/>
            </a:ext>
          </a:extLst>
        </xdr:cNvPr>
        <xdr:cNvCxnSpPr/>
      </xdr:nvCxnSpPr>
      <xdr:spPr>
        <a:xfrm>
          <a:off x="10593916" y="78581250"/>
          <a:ext cx="5291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1773</xdr:row>
      <xdr:rowOff>52916</xdr:rowOff>
    </xdr:from>
    <xdr:to>
      <xdr:col>16</xdr:col>
      <xdr:colOff>0</xdr:colOff>
      <xdr:row>1775</xdr:row>
      <xdr:rowOff>0</xdr:rowOff>
    </xdr:to>
    <xdr:cxnSp macro="">
      <xdr:nvCxnSpPr>
        <xdr:cNvPr id="1028" name="Straight Arrow Connector 1027">
          <a:extLst>
            <a:ext uri="{FF2B5EF4-FFF2-40B4-BE49-F238E27FC236}">
              <a16:creationId xmlns:a16="http://schemas.microsoft.com/office/drawing/2014/main" id="{00000000-0008-0000-1300-000004040000}"/>
            </a:ext>
          </a:extLst>
        </xdr:cNvPr>
        <xdr:cNvCxnSpPr/>
      </xdr:nvCxnSpPr>
      <xdr:spPr>
        <a:xfrm flipV="1">
          <a:off x="10541000" y="802534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1775</xdr:row>
      <xdr:rowOff>21167</xdr:rowOff>
    </xdr:from>
    <xdr:to>
      <xdr:col>15</xdr:col>
      <xdr:colOff>592666</xdr:colOff>
      <xdr:row>1776</xdr:row>
      <xdr:rowOff>84667</xdr:rowOff>
    </xdr:to>
    <xdr:cxnSp macro="">
      <xdr:nvCxnSpPr>
        <xdr:cNvPr id="1029" name="Straight Arrow Connector 1028">
          <a:extLst>
            <a:ext uri="{FF2B5EF4-FFF2-40B4-BE49-F238E27FC236}">
              <a16:creationId xmlns:a16="http://schemas.microsoft.com/office/drawing/2014/main" id="{00000000-0008-0000-1300-000005040000}"/>
            </a:ext>
          </a:extLst>
        </xdr:cNvPr>
        <xdr:cNvCxnSpPr/>
      </xdr:nvCxnSpPr>
      <xdr:spPr>
        <a:xfrm>
          <a:off x="10530417" y="80602667"/>
          <a:ext cx="603249" cy="25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1775</xdr:row>
      <xdr:rowOff>0</xdr:rowOff>
    </xdr:from>
    <xdr:to>
      <xdr:col>16</xdr:col>
      <xdr:colOff>0</xdr:colOff>
      <xdr:row>1779</xdr:row>
      <xdr:rowOff>42334</xdr:rowOff>
    </xdr:to>
    <xdr:cxnSp macro="">
      <xdr:nvCxnSpPr>
        <xdr:cNvPr id="1030" name="Straight Arrow Connector 1029">
          <a:extLst>
            <a:ext uri="{FF2B5EF4-FFF2-40B4-BE49-F238E27FC236}">
              <a16:creationId xmlns:a16="http://schemas.microsoft.com/office/drawing/2014/main" id="{00000000-0008-0000-1300-000006040000}"/>
            </a:ext>
          </a:extLst>
        </xdr:cNvPr>
        <xdr:cNvCxnSpPr/>
      </xdr:nvCxnSpPr>
      <xdr:spPr>
        <a:xfrm>
          <a:off x="10530417" y="80581500"/>
          <a:ext cx="613833" cy="804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1786</xdr:row>
      <xdr:rowOff>0</xdr:rowOff>
    </xdr:from>
    <xdr:to>
      <xdr:col>15</xdr:col>
      <xdr:colOff>603250</xdr:colOff>
      <xdr:row>1788</xdr:row>
      <xdr:rowOff>1</xdr:rowOff>
    </xdr:to>
    <xdr:cxnSp macro="">
      <xdr:nvCxnSpPr>
        <xdr:cNvPr id="1031" name="Straight Arrow Connector 1030">
          <a:extLst>
            <a:ext uri="{FF2B5EF4-FFF2-40B4-BE49-F238E27FC236}">
              <a16:creationId xmlns:a16="http://schemas.microsoft.com/office/drawing/2014/main" id="{00000000-0008-0000-1300-000007040000}"/>
            </a:ext>
          </a:extLst>
        </xdr:cNvPr>
        <xdr:cNvCxnSpPr/>
      </xdr:nvCxnSpPr>
      <xdr:spPr>
        <a:xfrm flipV="1">
          <a:off x="10530417" y="828675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1788</xdr:row>
      <xdr:rowOff>10584</xdr:rowOff>
    </xdr:from>
    <xdr:to>
      <xdr:col>15</xdr:col>
      <xdr:colOff>592666</xdr:colOff>
      <xdr:row>1789</xdr:row>
      <xdr:rowOff>95250</xdr:rowOff>
    </xdr:to>
    <xdr:cxnSp macro="">
      <xdr:nvCxnSpPr>
        <xdr:cNvPr id="1032" name="Straight Arrow Connector 1031">
          <a:extLst>
            <a:ext uri="{FF2B5EF4-FFF2-40B4-BE49-F238E27FC236}">
              <a16:creationId xmlns:a16="http://schemas.microsoft.com/office/drawing/2014/main" id="{00000000-0008-0000-1300-000008040000}"/>
            </a:ext>
          </a:extLst>
        </xdr:cNvPr>
        <xdr:cNvCxnSpPr/>
      </xdr:nvCxnSpPr>
      <xdr:spPr>
        <a:xfrm>
          <a:off x="10572750" y="832590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1788</xdr:row>
      <xdr:rowOff>10584</xdr:rowOff>
    </xdr:from>
    <xdr:to>
      <xdr:col>15</xdr:col>
      <xdr:colOff>560916</xdr:colOff>
      <xdr:row>1792</xdr:row>
      <xdr:rowOff>52917</xdr:rowOff>
    </xdr:to>
    <xdr:cxnSp macro="">
      <xdr:nvCxnSpPr>
        <xdr:cNvPr id="1033" name="Straight Arrow Connector 1032">
          <a:extLst>
            <a:ext uri="{FF2B5EF4-FFF2-40B4-BE49-F238E27FC236}">
              <a16:creationId xmlns:a16="http://schemas.microsoft.com/office/drawing/2014/main" id="{00000000-0008-0000-1300-000009040000}"/>
            </a:ext>
          </a:extLst>
        </xdr:cNvPr>
        <xdr:cNvCxnSpPr/>
      </xdr:nvCxnSpPr>
      <xdr:spPr>
        <a:xfrm>
          <a:off x="10551583" y="832590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1034" name="Straight Arrow Connector 1033">
          <a:extLst>
            <a:ext uri="{FF2B5EF4-FFF2-40B4-BE49-F238E27FC236}">
              <a16:creationId xmlns:a16="http://schemas.microsoft.com/office/drawing/2014/main" id="{00000000-0008-0000-1300-00000A040000}"/>
            </a:ext>
          </a:extLst>
        </xdr:cNvPr>
        <xdr:cNvCxnSpPr/>
      </xdr:nvCxnSpPr>
      <xdr:spPr>
        <a:xfrm>
          <a:off x="10583333" y="832802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1802</xdr:row>
      <xdr:rowOff>0</xdr:rowOff>
    </xdr:from>
    <xdr:to>
      <xdr:col>16</xdr:col>
      <xdr:colOff>0</xdr:colOff>
      <xdr:row>1802</xdr:row>
      <xdr:rowOff>42334</xdr:rowOff>
    </xdr:to>
    <xdr:cxnSp macro="">
      <xdr:nvCxnSpPr>
        <xdr:cNvPr id="1035" name="Straight Arrow Connector 1034">
          <a:extLst>
            <a:ext uri="{FF2B5EF4-FFF2-40B4-BE49-F238E27FC236}">
              <a16:creationId xmlns:a16="http://schemas.microsoft.com/office/drawing/2014/main" id="{00000000-0008-0000-1300-00000B040000}"/>
            </a:ext>
          </a:extLst>
        </xdr:cNvPr>
        <xdr:cNvCxnSpPr/>
      </xdr:nvCxnSpPr>
      <xdr:spPr>
        <a:xfrm>
          <a:off x="10562166" y="859155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1802</xdr:row>
      <xdr:rowOff>21166</xdr:rowOff>
    </xdr:from>
    <xdr:to>
      <xdr:col>15</xdr:col>
      <xdr:colOff>560916</xdr:colOff>
      <xdr:row>1805</xdr:row>
      <xdr:rowOff>84667</xdr:rowOff>
    </xdr:to>
    <xdr:cxnSp macro="">
      <xdr:nvCxnSpPr>
        <xdr:cNvPr id="1036" name="Straight Arrow Connector 1035">
          <a:extLst>
            <a:ext uri="{FF2B5EF4-FFF2-40B4-BE49-F238E27FC236}">
              <a16:creationId xmlns:a16="http://schemas.microsoft.com/office/drawing/2014/main" id="{00000000-0008-0000-1300-00000C040000}"/>
            </a:ext>
          </a:extLst>
        </xdr:cNvPr>
        <xdr:cNvCxnSpPr/>
      </xdr:nvCxnSpPr>
      <xdr:spPr>
        <a:xfrm>
          <a:off x="10615083" y="859366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1802</xdr:row>
      <xdr:rowOff>52916</xdr:rowOff>
    </xdr:from>
    <xdr:to>
      <xdr:col>15</xdr:col>
      <xdr:colOff>592666</xdr:colOff>
      <xdr:row>1808</xdr:row>
      <xdr:rowOff>63501</xdr:rowOff>
    </xdr:to>
    <xdr:cxnSp macro="">
      <xdr:nvCxnSpPr>
        <xdr:cNvPr id="1037" name="Straight Arrow Connector 1036">
          <a:extLst>
            <a:ext uri="{FF2B5EF4-FFF2-40B4-BE49-F238E27FC236}">
              <a16:creationId xmlns:a16="http://schemas.microsoft.com/office/drawing/2014/main" id="{00000000-0008-0000-1300-00000D040000}"/>
            </a:ext>
          </a:extLst>
        </xdr:cNvPr>
        <xdr:cNvCxnSpPr/>
      </xdr:nvCxnSpPr>
      <xdr:spPr>
        <a:xfrm>
          <a:off x="10572750" y="859684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1799</xdr:row>
      <xdr:rowOff>52917</xdr:rowOff>
    </xdr:from>
    <xdr:to>
      <xdr:col>15</xdr:col>
      <xdr:colOff>603250</xdr:colOff>
      <xdr:row>1801</xdr:row>
      <xdr:rowOff>148167</xdr:rowOff>
    </xdr:to>
    <xdr:cxnSp macro="">
      <xdr:nvCxnSpPr>
        <xdr:cNvPr id="1038" name="Straight Arrow Connector 1037">
          <a:extLst>
            <a:ext uri="{FF2B5EF4-FFF2-40B4-BE49-F238E27FC236}">
              <a16:creationId xmlns:a16="http://schemas.microsoft.com/office/drawing/2014/main" id="{00000000-0008-0000-1300-00000E040000}"/>
            </a:ext>
          </a:extLst>
        </xdr:cNvPr>
        <xdr:cNvCxnSpPr/>
      </xdr:nvCxnSpPr>
      <xdr:spPr>
        <a:xfrm flipV="1">
          <a:off x="10583333" y="853969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31750</xdr:colOff>
      <xdr:row>1710</xdr:row>
      <xdr:rowOff>127000</xdr:rowOff>
    </xdr:from>
    <xdr:to>
      <xdr:col>8</xdr:col>
      <xdr:colOff>63500</xdr:colOff>
      <xdr:row>1729</xdr:row>
      <xdr:rowOff>0</xdr:rowOff>
    </xdr:to>
    <xdr:cxnSp macro="">
      <xdr:nvCxnSpPr>
        <xdr:cNvPr id="1039" name="Straight Arrow Connector 1038">
          <a:extLst>
            <a:ext uri="{FF2B5EF4-FFF2-40B4-BE49-F238E27FC236}">
              <a16:creationId xmlns:a16="http://schemas.microsoft.com/office/drawing/2014/main" id="{00000000-0008-0000-1300-00000F040000}"/>
            </a:ext>
          </a:extLst>
        </xdr:cNvPr>
        <xdr:cNvCxnSpPr/>
      </xdr:nvCxnSpPr>
      <xdr:spPr>
        <a:xfrm flipV="1">
          <a:off x="5207000" y="68135500"/>
          <a:ext cx="635000" cy="3587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603250</xdr:colOff>
      <xdr:row>912</xdr:row>
      <xdr:rowOff>10584</xdr:rowOff>
    </xdr:from>
    <xdr:to>
      <xdr:col>1</xdr:col>
      <xdr:colOff>603250</xdr:colOff>
      <xdr:row>1005</xdr:row>
      <xdr:rowOff>158750</xdr:rowOff>
    </xdr:to>
    <xdr:cxnSp macro="">
      <xdr:nvCxnSpPr>
        <xdr:cNvPr id="1040" name="Straight Arrow Connector 1039">
          <a:extLst>
            <a:ext uri="{FF2B5EF4-FFF2-40B4-BE49-F238E27FC236}">
              <a16:creationId xmlns:a16="http://schemas.microsoft.com/office/drawing/2014/main" id="{00000000-0008-0000-1300-000010040000}"/>
            </a:ext>
          </a:extLst>
        </xdr:cNvPr>
        <xdr:cNvCxnSpPr/>
      </xdr:nvCxnSpPr>
      <xdr:spPr>
        <a:xfrm flipV="1">
          <a:off x="603250" y="963084"/>
          <a:ext cx="603250" cy="18245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603250</xdr:colOff>
      <xdr:row>1008</xdr:row>
      <xdr:rowOff>169333</xdr:rowOff>
    </xdr:from>
    <xdr:to>
      <xdr:col>1</xdr:col>
      <xdr:colOff>603250</xdr:colOff>
      <xdr:row>1050</xdr:row>
      <xdr:rowOff>148167</xdr:rowOff>
    </xdr:to>
    <xdr:cxnSp macro="">
      <xdr:nvCxnSpPr>
        <xdr:cNvPr id="1041" name="Straight Arrow Connector 1040">
          <a:extLst>
            <a:ext uri="{FF2B5EF4-FFF2-40B4-BE49-F238E27FC236}">
              <a16:creationId xmlns:a16="http://schemas.microsoft.com/office/drawing/2014/main" id="{00000000-0008-0000-1300-000011040000}"/>
            </a:ext>
          </a:extLst>
        </xdr:cNvPr>
        <xdr:cNvCxnSpPr/>
      </xdr:nvCxnSpPr>
      <xdr:spPr>
        <a:xfrm>
          <a:off x="603250" y="19790833"/>
          <a:ext cx="603250" cy="7979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10584</xdr:colOff>
      <xdr:row>984</xdr:row>
      <xdr:rowOff>158750</xdr:rowOff>
    </xdr:from>
    <xdr:to>
      <xdr:col>3</xdr:col>
      <xdr:colOff>603250</xdr:colOff>
      <xdr:row>1051</xdr:row>
      <xdr:rowOff>10583</xdr:rowOff>
    </xdr:to>
    <xdr:cxnSp macro="">
      <xdr:nvCxnSpPr>
        <xdr:cNvPr id="1042" name="Straight Arrow Connector 1041">
          <a:extLst>
            <a:ext uri="{FF2B5EF4-FFF2-40B4-BE49-F238E27FC236}">
              <a16:creationId xmlns:a16="http://schemas.microsoft.com/office/drawing/2014/main" id="{00000000-0008-0000-1300-000012040000}"/>
            </a:ext>
          </a:extLst>
        </xdr:cNvPr>
        <xdr:cNvCxnSpPr/>
      </xdr:nvCxnSpPr>
      <xdr:spPr>
        <a:xfrm flipV="1">
          <a:off x="2296584" y="15017750"/>
          <a:ext cx="592666" cy="12805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21167</xdr:colOff>
      <xdr:row>1053</xdr:row>
      <xdr:rowOff>10583</xdr:rowOff>
    </xdr:from>
    <xdr:to>
      <xdr:col>4</xdr:col>
      <xdr:colOff>63500</xdr:colOff>
      <xdr:row>1204</xdr:row>
      <xdr:rowOff>158750</xdr:rowOff>
    </xdr:to>
    <xdr:cxnSp macro="">
      <xdr:nvCxnSpPr>
        <xdr:cNvPr id="1043" name="Straight Arrow Connector 1042">
          <a:extLst>
            <a:ext uri="{FF2B5EF4-FFF2-40B4-BE49-F238E27FC236}">
              <a16:creationId xmlns:a16="http://schemas.microsoft.com/office/drawing/2014/main" id="{00000000-0008-0000-1300-000013040000}"/>
            </a:ext>
          </a:extLst>
        </xdr:cNvPr>
        <xdr:cNvCxnSpPr/>
      </xdr:nvCxnSpPr>
      <xdr:spPr>
        <a:xfrm>
          <a:off x="2307167" y="28395083"/>
          <a:ext cx="645583" cy="29294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825500</xdr:colOff>
      <xdr:row>947</xdr:row>
      <xdr:rowOff>1</xdr:rowOff>
    </xdr:from>
    <xdr:to>
      <xdr:col>6</xdr:col>
      <xdr:colOff>0</xdr:colOff>
      <xdr:row>981</xdr:row>
      <xdr:rowOff>116417</xdr:rowOff>
    </xdr:to>
    <xdr:cxnSp macro="">
      <xdr:nvCxnSpPr>
        <xdr:cNvPr id="1044" name="Straight Arrow Connector 1043">
          <a:extLst>
            <a:ext uri="{FF2B5EF4-FFF2-40B4-BE49-F238E27FC236}">
              <a16:creationId xmlns:a16="http://schemas.microsoft.com/office/drawing/2014/main" id="{00000000-0008-0000-1300-000014040000}"/>
            </a:ext>
          </a:extLst>
        </xdr:cNvPr>
        <xdr:cNvCxnSpPr/>
      </xdr:nvCxnSpPr>
      <xdr:spPr>
        <a:xfrm flipV="1">
          <a:off x="3714750" y="7810501"/>
          <a:ext cx="666750" cy="65934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21167</xdr:colOff>
      <xdr:row>984</xdr:row>
      <xdr:rowOff>169334</xdr:rowOff>
    </xdr:from>
    <xdr:to>
      <xdr:col>5</xdr:col>
      <xdr:colOff>571500</xdr:colOff>
      <xdr:row>1053</xdr:row>
      <xdr:rowOff>0</xdr:rowOff>
    </xdr:to>
    <xdr:cxnSp macro="">
      <xdr:nvCxnSpPr>
        <xdr:cNvPr id="1045" name="Straight Arrow Connector 1044">
          <a:extLst>
            <a:ext uri="{FF2B5EF4-FFF2-40B4-BE49-F238E27FC236}">
              <a16:creationId xmlns:a16="http://schemas.microsoft.com/office/drawing/2014/main" id="{00000000-0008-0000-1300-000015040000}"/>
            </a:ext>
          </a:extLst>
        </xdr:cNvPr>
        <xdr:cNvCxnSpPr/>
      </xdr:nvCxnSpPr>
      <xdr:spPr>
        <a:xfrm>
          <a:off x="3799417" y="15028334"/>
          <a:ext cx="550333" cy="133244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922</xdr:row>
      <xdr:rowOff>148167</xdr:rowOff>
    </xdr:from>
    <xdr:to>
      <xdr:col>7</xdr:col>
      <xdr:colOff>603250</xdr:colOff>
      <xdr:row>944</xdr:row>
      <xdr:rowOff>31750</xdr:rowOff>
    </xdr:to>
    <xdr:cxnSp macro="">
      <xdr:nvCxnSpPr>
        <xdr:cNvPr id="1046" name="Straight Arrow Connector 1045">
          <a:extLst>
            <a:ext uri="{FF2B5EF4-FFF2-40B4-BE49-F238E27FC236}">
              <a16:creationId xmlns:a16="http://schemas.microsoft.com/office/drawing/2014/main" id="{00000000-0008-0000-1300-000016040000}"/>
            </a:ext>
          </a:extLst>
        </xdr:cNvPr>
        <xdr:cNvCxnSpPr/>
      </xdr:nvCxnSpPr>
      <xdr:spPr>
        <a:xfrm flipV="1">
          <a:off x="5175250" y="3005667"/>
          <a:ext cx="603250" cy="42650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947</xdr:row>
      <xdr:rowOff>10584</xdr:rowOff>
    </xdr:from>
    <xdr:to>
      <xdr:col>8</xdr:col>
      <xdr:colOff>21167</xdr:colOff>
      <xdr:row>975</xdr:row>
      <xdr:rowOff>148166</xdr:rowOff>
    </xdr:to>
    <xdr:cxnSp macro="">
      <xdr:nvCxnSpPr>
        <xdr:cNvPr id="1047" name="Straight Arrow Connector 1046">
          <a:extLst>
            <a:ext uri="{FF2B5EF4-FFF2-40B4-BE49-F238E27FC236}">
              <a16:creationId xmlns:a16="http://schemas.microsoft.com/office/drawing/2014/main" id="{00000000-0008-0000-1300-000017040000}"/>
            </a:ext>
          </a:extLst>
        </xdr:cNvPr>
        <xdr:cNvCxnSpPr/>
      </xdr:nvCxnSpPr>
      <xdr:spPr>
        <a:xfrm>
          <a:off x="5175250" y="7821084"/>
          <a:ext cx="624417" cy="547158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914</xdr:row>
      <xdr:rowOff>137583</xdr:rowOff>
    </xdr:from>
    <xdr:to>
      <xdr:col>9</xdr:col>
      <xdr:colOff>603250</xdr:colOff>
      <xdr:row>920</xdr:row>
      <xdr:rowOff>21166</xdr:rowOff>
    </xdr:to>
    <xdr:cxnSp macro="">
      <xdr:nvCxnSpPr>
        <xdr:cNvPr id="1048" name="Straight Arrow Connector 1047">
          <a:extLst>
            <a:ext uri="{FF2B5EF4-FFF2-40B4-BE49-F238E27FC236}">
              <a16:creationId xmlns:a16="http://schemas.microsoft.com/office/drawing/2014/main" id="{00000000-0008-0000-1300-000018040000}"/>
            </a:ext>
          </a:extLst>
        </xdr:cNvPr>
        <xdr:cNvCxnSpPr/>
      </xdr:nvCxnSpPr>
      <xdr:spPr>
        <a:xfrm flipV="1">
          <a:off x="6381750" y="1471083"/>
          <a:ext cx="603250" cy="1026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923</xdr:row>
      <xdr:rowOff>0</xdr:rowOff>
    </xdr:from>
    <xdr:to>
      <xdr:col>9</xdr:col>
      <xdr:colOff>582083</xdr:colOff>
      <xdr:row>931</xdr:row>
      <xdr:rowOff>10583</xdr:rowOff>
    </xdr:to>
    <xdr:cxnSp macro="">
      <xdr:nvCxnSpPr>
        <xdr:cNvPr id="1049" name="Straight Arrow Connector 1048">
          <a:extLst>
            <a:ext uri="{FF2B5EF4-FFF2-40B4-BE49-F238E27FC236}">
              <a16:creationId xmlns:a16="http://schemas.microsoft.com/office/drawing/2014/main" id="{00000000-0008-0000-1300-000019040000}"/>
            </a:ext>
          </a:extLst>
        </xdr:cNvPr>
        <xdr:cNvCxnSpPr/>
      </xdr:nvCxnSpPr>
      <xdr:spPr>
        <a:xfrm>
          <a:off x="6413500" y="3048000"/>
          <a:ext cx="550333" cy="1534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21167</xdr:colOff>
      <xdr:row>928</xdr:row>
      <xdr:rowOff>169333</xdr:rowOff>
    </xdr:from>
    <xdr:to>
      <xdr:col>11</xdr:col>
      <xdr:colOff>603250</xdr:colOff>
      <xdr:row>931</xdr:row>
      <xdr:rowOff>21167</xdr:rowOff>
    </xdr:to>
    <xdr:cxnSp macro="">
      <xdr:nvCxnSpPr>
        <xdr:cNvPr id="1050" name="Straight Arrow Connector 1049">
          <a:extLst>
            <a:ext uri="{FF2B5EF4-FFF2-40B4-BE49-F238E27FC236}">
              <a16:creationId xmlns:a16="http://schemas.microsoft.com/office/drawing/2014/main" id="{00000000-0008-0000-1300-00001A040000}"/>
            </a:ext>
          </a:extLst>
        </xdr:cNvPr>
        <xdr:cNvCxnSpPr/>
      </xdr:nvCxnSpPr>
      <xdr:spPr>
        <a:xfrm flipV="1">
          <a:off x="7609417" y="4169833"/>
          <a:ext cx="582083" cy="423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934</xdr:row>
      <xdr:rowOff>42333</xdr:rowOff>
    </xdr:from>
    <xdr:to>
      <xdr:col>11</xdr:col>
      <xdr:colOff>603250</xdr:colOff>
      <xdr:row>946</xdr:row>
      <xdr:rowOff>10583</xdr:rowOff>
    </xdr:to>
    <xdr:cxnSp macro="">
      <xdr:nvCxnSpPr>
        <xdr:cNvPr id="1051" name="Straight Arrow Connector 1050">
          <a:extLst>
            <a:ext uri="{FF2B5EF4-FFF2-40B4-BE49-F238E27FC236}">
              <a16:creationId xmlns:a16="http://schemas.microsoft.com/office/drawing/2014/main" id="{00000000-0008-0000-1300-00001B040000}"/>
            </a:ext>
          </a:extLst>
        </xdr:cNvPr>
        <xdr:cNvCxnSpPr/>
      </xdr:nvCxnSpPr>
      <xdr:spPr>
        <a:xfrm>
          <a:off x="7598834" y="51858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924</xdr:row>
      <xdr:rowOff>21167</xdr:rowOff>
    </xdr:from>
    <xdr:to>
      <xdr:col>13</xdr:col>
      <xdr:colOff>592667</xdr:colOff>
      <xdr:row>926</xdr:row>
      <xdr:rowOff>0</xdr:rowOff>
    </xdr:to>
    <xdr:cxnSp macro="">
      <xdr:nvCxnSpPr>
        <xdr:cNvPr id="1052" name="Straight Arrow Connector 1051">
          <a:extLst>
            <a:ext uri="{FF2B5EF4-FFF2-40B4-BE49-F238E27FC236}">
              <a16:creationId xmlns:a16="http://schemas.microsoft.com/office/drawing/2014/main" id="{00000000-0008-0000-1300-00001C040000}"/>
            </a:ext>
          </a:extLst>
        </xdr:cNvPr>
        <xdr:cNvCxnSpPr/>
      </xdr:nvCxnSpPr>
      <xdr:spPr>
        <a:xfrm flipV="1">
          <a:off x="8794750" y="32596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929</xdr:row>
      <xdr:rowOff>21166</xdr:rowOff>
    </xdr:from>
    <xdr:to>
      <xdr:col>13</xdr:col>
      <xdr:colOff>592667</xdr:colOff>
      <xdr:row>930</xdr:row>
      <xdr:rowOff>169334</xdr:rowOff>
    </xdr:to>
    <xdr:cxnSp macro="">
      <xdr:nvCxnSpPr>
        <xdr:cNvPr id="1053" name="Straight Arrow Connector 1052">
          <a:extLst>
            <a:ext uri="{FF2B5EF4-FFF2-40B4-BE49-F238E27FC236}">
              <a16:creationId xmlns:a16="http://schemas.microsoft.com/office/drawing/2014/main" id="{00000000-0008-0000-1300-00001D040000}"/>
            </a:ext>
          </a:extLst>
        </xdr:cNvPr>
        <xdr:cNvCxnSpPr/>
      </xdr:nvCxnSpPr>
      <xdr:spPr>
        <a:xfrm>
          <a:off x="8784166" y="42121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944</xdr:row>
      <xdr:rowOff>21167</xdr:rowOff>
    </xdr:from>
    <xdr:to>
      <xdr:col>13</xdr:col>
      <xdr:colOff>592667</xdr:colOff>
      <xdr:row>946</xdr:row>
      <xdr:rowOff>63500</xdr:rowOff>
    </xdr:to>
    <xdr:cxnSp macro="">
      <xdr:nvCxnSpPr>
        <xdr:cNvPr id="1054" name="Straight Arrow Connector 1053">
          <a:extLst>
            <a:ext uri="{FF2B5EF4-FFF2-40B4-BE49-F238E27FC236}">
              <a16:creationId xmlns:a16="http://schemas.microsoft.com/office/drawing/2014/main" id="{00000000-0008-0000-1300-00001E040000}"/>
            </a:ext>
          </a:extLst>
        </xdr:cNvPr>
        <xdr:cNvCxnSpPr/>
      </xdr:nvCxnSpPr>
      <xdr:spPr>
        <a:xfrm flipV="1">
          <a:off x="8794750" y="72601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949</xdr:row>
      <xdr:rowOff>0</xdr:rowOff>
    </xdr:from>
    <xdr:to>
      <xdr:col>14</xdr:col>
      <xdr:colOff>10584</xdr:colOff>
      <xdr:row>957</xdr:row>
      <xdr:rowOff>148167</xdr:rowOff>
    </xdr:to>
    <xdr:cxnSp macro="">
      <xdr:nvCxnSpPr>
        <xdr:cNvPr id="1055" name="Straight Arrow Connector 1054">
          <a:extLst>
            <a:ext uri="{FF2B5EF4-FFF2-40B4-BE49-F238E27FC236}">
              <a16:creationId xmlns:a16="http://schemas.microsoft.com/office/drawing/2014/main" id="{00000000-0008-0000-1300-00001F040000}"/>
            </a:ext>
          </a:extLst>
        </xdr:cNvPr>
        <xdr:cNvCxnSpPr/>
      </xdr:nvCxnSpPr>
      <xdr:spPr>
        <a:xfrm>
          <a:off x="8805333" y="81915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916</xdr:row>
      <xdr:rowOff>0</xdr:rowOff>
    </xdr:from>
    <xdr:to>
      <xdr:col>15</xdr:col>
      <xdr:colOff>603250</xdr:colOff>
      <xdr:row>921</xdr:row>
      <xdr:rowOff>31750</xdr:rowOff>
    </xdr:to>
    <xdr:cxnSp macro="">
      <xdr:nvCxnSpPr>
        <xdr:cNvPr id="1056" name="Straight Arrow Connector 1055">
          <a:extLst>
            <a:ext uri="{FF2B5EF4-FFF2-40B4-BE49-F238E27FC236}">
              <a16:creationId xmlns:a16="http://schemas.microsoft.com/office/drawing/2014/main" id="{00000000-0008-0000-1300-000020040000}"/>
            </a:ext>
          </a:extLst>
        </xdr:cNvPr>
        <xdr:cNvCxnSpPr/>
      </xdr:nvCxnSpPr>
      <xdr:spPr>
        <a:xfrm flipV="1">
          <a:off x="10541000" y="1714500"/>
          <a:ext cx="603250" cy="984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919</xdr:row>
      <xdr:rowOff>52917</xdr:rowOff>
    </xdr:from>
    <xdr:to>
      <xdr:col>15</xdr:col>
      <xdr:colOff>603250</xdr:colOff>
      <xdr:row>921</xdr:row>
      <xdr:rowOff>95250</xdr:rowOff>
    </xdr:to>
    <xdr:cxnSp macro="">
      <xdr:nvCxnSpPr>
        <xdr:cNvPr id="1057" name="Straight Arrow Connector 1056">
          <a:extLst>
            <a:ext uri="{FF2B5EF4-FFF2-40B4-BE49-F238E27FC236}">
              <a16:creationId xmlns:a16="http://schemas.microsoft.com/office/drawing/2014/main" id="{00000000-0008-0000-1300-000021040000}"/>
            </a:ext>
          </a:extLst>
        </xdr:cNvPr>
        <xdr:cNvCxnSpPr/>
      </xdr:nvCxnSpPr>
      <xdr:spPr>
        <a:xfrm flipV="1">
          <a:off x="10583333" y="2338917"/>
          <a:ext cx="56091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921</xdr:row>
      <xdr:rowOff>158750</xdr:rowOff>
    </xdr:from>
    <xdr:to>
      <xdr:col>15</xdr:col>
      <xdr:colOff>582083</xdr:colOff>
      <xdr:row>922</xdr:row>
      <xdr:rowOff>137583</xdr:rowOff>
    </xdr:to>
    <xdr:cxnSp macro="">
      <xdr:nvCxnSpPr>
        <xdr:cNvPr id="1058" name="Straight Arrow Connector 1057">
          <a:extLst>
            <a:ext uri="{FF2B5EF4-FFF2-40B4-BE49-F238E27FC236}">
              <a16:creationId xmlns:a16="http://schemas.microsoft.com/office/drawing/2014/main" id="{00000000-0008-0000-1300-000022040000}"/>
            </a:ext>
          </a:extLst>
        </xdr:cNvPr>
        <xdr:cNvCxnSpPr/>
      </xdr:nvCxnSpPr>
      <xdr:spPr>
        <a:xfrm>
          <a:off x="10604500" y="2825750"/>
          <a:ext cx="518583" cy="169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1121834</xdr:colOff>
      <xdr:row>921</xdr:row>
      <xdr:rowOff>105834</xdr:rowOff>
    </xdr:from>
    <xdr:to>
      <xdr:col>16</xdr:col>
      <xdr:colOff>0</xdr:colOff>
      <xdr:row>925</xdr:row>
      <xdr:rowOff>84667</xdr:rowOff>
    </xdr:to>
    <xdr:cxnSp macro="">
      <xdr:nvCxnSpPr>
        <xdr:cNvPr id="1059" name="Straight Arrow Connector 1058">
          <a:extLst>
            <a:ext uri="{FF2B5EF4-FFF2-40B4-BE49-F238E27FC236}">
              <a16:creationId xmlns:a16="http://schemas.microsoft.com/office/drawing/2014/main" id="{00000000-0008-0000-1300-000023040000}"/>
            </a:ext>
          </a:extLst>
        </xdr:cNvPr>
        <xdr:cNvCxnSpPr/>
      </xdr:nvCxnSpPr>
      <xdr:spPr>
        <a:xfrm>
          <a:off x="10519834" y="2772834"/>
          <a:ext cx="624416"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929</xdr:row>
      <xdr:rowOff>52916</xdr:rowOff>
    </xdr:from>
    <xdr:to>
      <xdr:col>16</xdr:col>
      <xdr:colOff>0</xdr:colOff>
      <xdr:row>931</xdr:row>
      <xdr:rowOff>0</xdr:rowOff>
    </xdr:to>
    <xdr:cxnSp macro="">
      <xdr:nvCxnSpPr>
        <xdr:cNvPr id="1060" name="Straight Arrow Connector 1059">
          <a:extLst>
            <a:ext uri="{FF2B5EF4-FFF2-40B4-BE49-F238E27FC236}">
              <a16:creationId xmlns:a16="http://schemas.microsoft.com/office/drawing/2014/main" id="{00000000-0008-0000-1300-000024040000}"/>
            </a:ext>
          </a:extLst>
        </xdr:cNvPr>
        <xdr:cNvCxnSpPr/>
      </xdr:nvCxnSpPr>
      <xdr:spPr>
        <a:xfrm flipV="1">
          <a:off x="10541000" y="42439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931</xdr:row>
      <xdr:rowOff>21167</xdr:rowOff>
    </xdr:from>
    <xdr:to>
      <xdr:col>15</xdr:col>
      <xdr:colOff>582083</xdr:colOff>
      <xdr:row>932</xdr:row>
      <xdr:rowOff>42333</xdr:rowOff>
    </xdr:to>
    <xdr:cxnSp macro="">
      <xdr:nvCxnSpPr>
        <xdr:cNvPr id="1061" name="Straight Arrow Connector 1060">
          <a:extLst>
            <a:ext uri="{FF2B5EF4-FFF2-40B4-BE49-F238E27FC236}">
              <a16:creationId xmlns:a16="http://schemas.microsoft.com/office/drawing/2014/main" id="{00000000-0008-0000-1300-000025040000}"/>
            </a:ext>
          </a:extLst>
        </xdr:cNvPr>
        <xdr:cNvCxnSpPr/>
      </xdr:nvCxnSpPr>
      <xdr:spPr>
        <a:xfrm>
          <a:off x="10551583" y="4593167"/>
          <a:ext cx="571500" cy="211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931</xdr:row>
      <xdr:rowOff>21167</xdr:rowOff>
    </xdr:from>
    <xdr:to>
      <xdr:col>16</xdr:col>
      <xdr:colOff>42333</xdr:colOff>
      <xdr:row>936</xdr:row>
      <xdr:rowOff>21168</xdr:rowOff>
    </xdr:to>
    <xdr:cxnSp macro="">
      <xdr:nvCxnSpPr>
        <xdr:cNvPr id="1062" name="Straight Arrow Connector 1061">
          <a:extLst>
            <a:ext uri="{FF2B5EF4-FFF2-40B4-BE49-F238E27FC236}">
              <a16:creationId xmlns:a16="http://schemas.microsoft.com/office/drawing/2014/main" id="{00000000-0008-0000-1300-000026040000}"/>
            </a:ext>
          </a:extLst>
        </xdr:cNvPr>
        <xdr:cNvCxnSpPr/>
      </xdr:nvCxnSpPr>
      <xdr:spPr>
        <a:xfrm>
          <a:off x="10530417" y="4593167"/>
          <a:ext cx="656166" cy="9525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931</xdr:row>
      <xdr:rowOff>31750</xdr:rowOff>
    </xdr:from>
    <xdr:to>
      <xdr:col>16</xdr:col>
      <xdr:colOff>42334</xdr:colOff>
      <xdr:row>938</xdr:row>
      <xdr:rowOff>63501</xdr:rowOff>
    </xdr:to>
    <xdr:cxnSp macro="">
      <xdr:nvCxnSpPr>
        <xdr:cNvPr id="1063" name="Straight Arrow Connector 1062">
          <a:extLst>
            <a:ext uri="{FF2B5EF4-FFF2-40B4-BE49-F238E27FC236}">
              <a16:creationId xmlns:a16="http://schemas.microsoft.com/office/drawing/2014/main" id="{00000000-0008-0000-1300-000027040000}"/>
            </a:ext>
          </a:extLst>
        </xdr:cNvPr>
        <xdr:cNvCxnSpPr/>
      </xdr:nvCxnSpPr>
      <xdr:spPr>
        <a:xfrm>
          <a:off x="10541000" y="4603750"/>
          <a:ext cx="645584"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10583</xdr:colOff>
      <xdr:row>968</xdr:row>
      <xdr:rowOff>42333</xdr:rowOff>
    </xdr:from>
    <xdr:to>
      <xdr:col>9</xdr:col>
      <xdr:colOff>592666</xdr:colOff>
      <xdr:row>976</xdr:row>
      <xdr:rowOff>42333</xdr:rowOff>
    </xdr:to>
    <xdr:cxnSp macro="">
      <xdr:nvCxnSpPr>
        <xdr:cNvPr id="1064" name="Straight Arrow Connector 1063">
          <a:extLst>
            <a:ext uri="{FF2B5EF4-FFF2-40B4-BE49-F238E27FC236}">
              <a16:creationId xmlns:a16="http://schemas.microsoft.com/office/drawing/2014/main" id="{00000000-0008-0000-1300-000028040000}"/>
            </a:ext>
          </a:extLst>
        </xdr:cNvPr>
        <xdr:cNvCxnSpPr/>
      </xdr:nvCxnSpPr>
      <xdr:spPr>
        <a:xfrm flipV="1">
          <a:off x="6392333" y="11853333"/>
          <a:ext cx="582083" cy="152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978</xdr:row>
      <xdr:rowOff>169334</xdr:rowOff>
    </xdr:from>
    <xdr:to>
      <xdr:col>9</xdr:col>
      <xdr:colOff>603250</xdr:colOff>
      <xdr:row>987</xdr:row>
      <xdr:rowOff>31750</xdr:rowOff>
    </xdr:to>
    <xdr:cxnSp macro="">
      <xdr:nvCxnSpPr>
        <xdr:cNvPr id="1065" name="Straight Arrow Connector 1064">
          <a:extLst>
            <a:ext uri="{FF2B5EF4-FFF2-40B4-BE49-F238E27FC236}">
              <a16:creationId xmlns:a16="http://schemas.microsoft.com/office/drawing/2014/main" id="{00000000-0008-0000-1300-000029040000}"/>
            </a:ext>
          </a:extLst>
        </xdr:cNvPr>
        <xdr:cNvCxnSpPr/>
      </xdr:nvCxnSpPr>
      <xdr:spPr>
        <a:xfrm>
          <a:off x="6413500" y="13885334"/>
          <a:ext cx="571500" cy="1576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571500</xdr:colOff>
      <xdr:row>984</xdr:row>
      <xdr:rowOff>158750</xdr:rowOff>
    </xdr:from>
    <xdr:to>
      <xdr:col>11</xdr:col>
      <xdr:colOff>571500</xdr:colOff>
      <xdr:row>987</xdr:row>
      <xdr:rowOff>0</xdr:rowOff>
    </xdr:to>
    <xdr:cxnSp macro="">
      <xdr:nvCxnSpPr>
        <xdr:cNvPr id="1066" name="Straight Arrow Connector 1065">
          <a:extLst>
            <a:ext uri="{FF2B5EF4-FFF2-40B4-BE49-F238E27FC236}">
              <a16:creationId xmlns:a16="http://schemas.microsoft.com/office/drawing/2014/main" id="{00000000-0008-0000-1300-00002A040000}"/>
            </a:ext>
          </a:extLst>
        </xdr:cNvPr>
        <xdr:cNvCxnSpPr/>
      </xdr:nvCxnSpPr>
      <xdr:spPr>
        <a:xfrm flipV="1">
          <a:off x="7556500" y="15017750"/>
          <a:ext cx="603250" cy="412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942</xdr:row>
      <xdr:rowOff>0</xdr:rowOff>
    </xdr:from>
    <xdr:to>
      <xdr:col>15</xdr:col>
      <xdr:colOff>603250</xdr:colOff>
      <xdr:row>944</xdr:row>
      <xdr:rowOff>1</xdr:rowOff>
    </xdr:to>
    <xdr:cxnSp macro="">
      <xdr:nvCxnSpPr>
        <xdr:cNvPr id="1067" name="Straight Arrow Connector 1066">
          <a:extLst>
            <a:ext uri="{FF2B5EF4-FFF2-40B4-BE49-F238E27FC236}">
              <a16:creationId xmlns:a16="http://schemas.microsoft.com/office/drawing/2014/main" id="{00000000-0008-0000-1300-00002B040000}"/>
            </a:ext>
          </a:extLst>
        </xdr:cNvPr>
        <xdr:cNvCxnSpPr/>
      </xdr:nvCxnSpPr>
      <xdr:spPr>
        <a:xfrm flipV="1">
          <a:off x="10530417" y="68580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944</xdr:row>
      <xdr:rowOff>10584</xdr:rowOff>
    </xdr:from>
    <xdr:to>
      <xdr:col>15</xdr:col>
      <xdr:colOff>592666</xdr:colOff>
      <xdr:row>945</xdr:row>
      <xdr:rowOff>95250</xdr:rowOff>
    </xdr:to>
    <xdr:cxnSp macro="">
      <xdr:nvCxnSpPr>
        <xdr:cNvPr id="1068" name="Straight Arrow Connector 1067">
          <a:extLst>
            <a:ext uri="{FF2B5EF4-FFF2-40B4-BE49-F238E27FC236}">
              <a16:creationId xmlns:a16="http://schemas.microsoft.com/office/drawing/2014/main" id="{00000000-0008-0000-1300-00002C040000}"/>
            </a:ext>
          </a:extLst>
        </xdr:cNvPr>
        <xdr:cNvCxnSpPr/>
      </xdr:nvCxnSpPr>
      <xdr:spPr>
        <a:xfrm>
          <a:off x="10572750" y="72495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944</xdr:row>
      <xdr:rowOff>10584</xdr:rowOff>
    </xdr:from>
    <xdr:to>
      <xdr:col>15</xdr:col>
      <xdr:colOff>560916</xdr:colOff>
      <xdr:row>948</xdr:row>
      <xdr:rowOff>52917</xdr:rowOff>
    </xdr:to>
    <xdr:cxnSp macro="">
      <xdr:nvCxnSpPr>
        <xdr:cNvPr id="1069" name="Straight Arrow Connector 1068">
          <a:extLst>
            <a:ext uri="{FF2B5EF4-FFF2-40B4-BE49-F238E27FC236}">
              <a16:creationId xmlns:a16="http://schemas.microsoft.com/office/drawing/2014/main" id="{00000000-0008-0000-1300-00002D040000}"/>
            </a:ext>
          </a:extLst>
        </xdr:cNvPr>
        <xdr:cNvCxnSpPr/>
      </xdr:nvCxnSpPr>
      <xdr:spPr>
        <a:xfrm>
          <a:off x="10551583" y="72495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944</xdr:row>
      <xdr:rowOff>31750</xdr:rowOff>
    </xdr:from>
    <xdr:to>
      <xdr:col>16</xdr:col>
      <xdr:colOff>21167</xdr:colOff>
      <xdr:row>951</xdr:row>
      <xdr:rowOff>95250</xdr:rowOff>
    </xdr:to>
    <xdr:cxnSp macro="">
      <xdr:nvCxnSpPr>
        <xdr:cNvPr id="1070" name="Straight Arrow Connector 1069">
          <a:extLst>
            <a:ext uri="{FF2B5EF4-FFF2-40B4-BE49-F238E27FC236}">
              <a16:creationId xmlns:a16="http://schemas.microsoft.com/office/drawing/2014/main" id="{00000000-0008-0000-1300-00002E040000}"/>
            </a:ext>
          </a:extLst>
        </xdr:cNvPr>
        <xdr:cNvCxnSpPr/>
      </xdr:nvCxnSpPr>
      <xdr:spPr>
        <a:xfrm>
          <a:off x="10583333" y="72707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958</xdr:row>
      <xdr:rowOff>0</xdr:rowOff>
    </xdr:from>
    <xdr:to>
      <xdr:col>16</xdr:col>
      <xdr:colOff>0</xdr:colOff>
      <xdr:row>958</xdr:row>
      <xdr:rowOff>42334</xdr:rowOff>
    </xdr:to>
    <xdr:cxnSp macro="">
      <xdr:nvCxnSpPr>
        <xdr:cNvPr id="1071" name="Straight Arrow Connector 1070">
          <a:extLst>
            <a:ext uri="{FF2B5EF4-FFF2-40B4-BE49-F238E27FC236}">
              <a16:creationId xmlns:a16="http://schemas.microsoft.com/office/drawing/2014/main" id="{00000000-0008-0000-1300-00002F040000}"/>
            </a:ext>
          </a:extLst>
        </xdr:cNvPr>
        <xdr:cNvCxnSpPr/>
      </xdr:nvCxnSpPr>
      <xdr:spPr>
        <a:xfrm>
          <a:off x="10562166" y="99060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958</xdr:row>
      <xdr:rowOff>21166</xdr:rowOff>
    </xdr:from>
    <xdr:to>
      <xdr:col>15</xdr:col>
      <xdr:colOff>560916</xdr:colOff>
      <xdr:row>961</xdr:row>
      <xdr:rowOff>84667</xdr:rowOff>
    </xdr:to>
    <xdr:cxnSp macro="">
      <xdr:nvCxnSpPr>
        <xdr:cNvPr id="1072" name="Straight Arrow Connector 1071">
          <a:extLst>
            <a:ext uri="{FF2B5EF4-FFF2-40B4-BE49-F238E27FC236}">
              <a16:creationId xmlns:a16="http://schemas.microsoft.com/office/drawing/2014/main" id="{00000000-0008-0000-1300-000030040000}"/>
            </a:ext>
          </a:extLst>
        </xdr:cNvPr>
        <xdr:cNvCxnSpPr/>
      </xdr:nvCxnSpPr>
      <xdr:spPr>
        <a:xfrm>
          <a:off x="10615083" y="99271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958</xdr:row>
      <xdr:rowOff>52916</xdr:rowOff>
    </xdr:from>
    <xdr:to>
      <xdr:col>15</xdr:col>
      <xdr:colOff>592666</xdr:colOff>
      <xdr:row>964</xdr:row>
      <xdr:rowOff>63501</xdr:rowOff>
    </xdr:to>
    <xdr:cxnSp macro="">
      <xdr:nvCxnSpPr>
        <xdr:cNvPr id="1073" name="Straight Arrow Connector 1072">
          <a:extLst>
            <a:ext uri="{FF2B5EF4-FFF2-40B4-BE49-F238E27FC236}">
              <a16:creationId xmlns:a16="http://schemas.microsoft.com/office/drawing/2014/main" id="{00000000-0008-0000-1300-000031040000}"/>
            </a:ext>
          </a:extLst>
        </xdr:cNvPr>
        <xdr:cNvCxnSpPr/>
      </xdr:nvCxnSpPr>
      <xdr:spPr>
        <a:xfrm>
          <a:off x="10572750" y="99589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972</xdr:row>
      <xdr:rowOff>116416</xdr:rowOff>
    </xdr:from>
    <xdr:to>
      <xdr:col>15</xdr:col>
      <xdr:colOff>592666</xdr:colOff>
      <xdr:row>975</xdr:row>
      <xdr:rowOff>158750</xdr:rowOff>
    </xdr:to>
    <xdr:cxnSp macro="">
      <xdr:nvCxnSpPr>
        <xdr:cNvPr id="1074" name="Straight Arrow Connector 1073">
          <a:extLst>
            <a:ext uri="{FF2B5EF4-FFF2-40B4-BE49-F238E27FC236}">
              <a16:creationId xmlns:a16="http://schemas.microsoft.com/office/drawing/2014/main" id="{00000000-0008-0000-1300-000032040000}"/>
            </a:ext>
          </a:extLst>
        </xdr:cNvPr>
        <xdr:cNvCxnSpPr/>
      </xdr:nvCxnSpPr>
      <xdr:spPr>
        <a:xfrm flipV="1">
          <a:off x="10562166" y="12689416"/>
          <a:ext cx="571500" cy="613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974</xdr:row>
      <xdr:rowOff>95250</xdr:rowOff>
    </xdr:from>
    <xdr:to>
      <xdr:col>15</xdr:col>
      <xdr:colOff>582083</xdr:colOff>
      <xdr:row>976</xdr:row>
      <xdr:rowOff>52917</xdr:rowOff>
    </xdr:to>
    <xdr:cxnSp macro="">
      <xdr:nvCxnSpPr>
        <xdr:cNvPr id="1075" name="Straight Arrow Connector 1074">
          <a:extLst>
            <a:ext uri="{FF2B5EF4-FFF2-40B4-BE49-F238E27FC236}">
              <a16:creationId xmlns:a16="http://schemas.microsoft.com/office/drawing/2014/main" id="{00000000-0008-0000-1300-000033040000}"/>
            </a:ext>
          </a:extLst>
        </xdr:cNvPr>
        <xdr:cNvCxnSpPr/>
      </xdr:nvCxnSpPr>
      <xdr:spPr>
        <a:xfrm flipV="1">
          <a:off x="10604500" y="13049250"/>
          <a:ext cx="518583" cy="338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976</xdr:row>
      <xdr:rowOff>116417</xdr:rowOff>
    </xdr:from>
    <xdr:to>
      <xdr:col>15</xdr:col>
      <xdr:colOff>592666</xdr:colOff>
      <xdr:row>980</xdr:row>
      <xdr:rowOff>95250</xdr:rowOff>
    </xdr:to>
    <xdr:cxnSp macro="">
      <xdr:nvCxnSpPr>
        <xdr:cNvPr id="1076" name="Straight Arrow Connector 1075">
          <a:extLst>
            <a:ext uri="{FF2B5EF4-FFF2-40B4-BE49-F238E27FC236}">
              <a16:creationId xmlns:a16="http://schemas.microsoft.com/office/drawing/2014/main" id="{00000000-0008-0000-1300-000034040000}"/>
            </a:ext>
          </a:extLst>
        </xdr:cNvPr>
        <xdr:cNvCxnSpPr/>
      </xdr:nvCxnSpPr>
      <xdr:spPr>
        <a:xfrm>
          <a:off x="10593916" y="13451417"/>
          <a:ext cx="53975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987</xdr:row>
      <xdr:rowOff>116416</xdr:rowOff>
    </xdr:from>
    <xdr:to>
      <xdr:col>16</xdr:col>
      <xdr:colOff>0</xdr:colOff>
      <xdr:row>994</xdr:row>
      <xdr:rowOff>74084</xdr:rowOff>
    </xdr:to>
    <xdr:cxnSp macro="">
      <xdr:nvCxnSpPr>
        <xdr:cNvPr id="1077" name="Straight Arrow Connector 1076">
          <a:extLst>
            <a:ext uri="{FF2B5EF4-FFF2-40B4-BE49-F238E27FC236}">
              <a16:creationId xmlns:a16="http://schemas.microsoft.com/office/drawing/2014/main" id="{00000000-0008-0000-1300-000035040000}"/>
            </a:ext>
          </a:extLst>
        </xdr:cNvPr>
        <xdr:cNvCxnSpPr/>
      </xdr:nvCxnSpPr>
      <xdr:spPr>
        <a:xfrm>
          <a:off x="10572750" y="15546916"/>
          <a:ext cx="571500" cy="12911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955</xdr:row>
      <xdr:rowOff>52917</xdr:rowOff>
    </xdr:from>
    <xdr:to>
      <xdr:col>15</xdr:col>
      <xdr:colOff>603250</xdr:colOff>
      <xdr:row>957</xdr:row>
      <xdr:rowOff>148167</xdr:rowOff>
    </xdr:to>
    <xdr:cxnSp macro="">
      <xdr:nvCxnSpPr>
        <xdr:cNvPr id="1078" name="Straight Arrow Connector 1077">
          <a:extLst>
            <a:ext uri="{FF2B5EF4-FFF2-40B4-BE49-F238E27FC236}">
              <a16:creationId xmlns:a16="http://schemas.microsoft.com/office/drawing/2014/main" id="{00000000-0008-0000-1300-000036040000}"/>
            </a:ext>
          </a:extLst>
        </xdr:cNvPr>
        <xdr:cNvCxnSpPr/>
      </xdr:nvCxnSpPr>
      <xdr:spPr>
        <a:xfrm flipV="1">
          <a:off x="10583333" y="93874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990</xdr:row>
      <xdr:rowOff>42333</xdr:rowOff>
    </xdr:from>
    <xdr:to>
      <xdr:col>11</xdr:col>
      <xdr:colOff>603250</xdr:colOff>
      <xdr:row>1002</xdr:row>
      <xdr:rowOff>10583</xdr:rowOff>
    </xdr:to>
    <xdr:cxnSp macro="">
      <xdr:nvCxnSpPr>
        <xdr:cNvPr id="1079" name="Straight Arrow Connector 1078">
          <a:extLst>
            <a:ext uri="{FF2B5EF4-FFF2-40B4-BE49-F238E27FC236}">
              <a16:creationId xmlns:a16="http://schemas.microsoft.com/office/drawing/2014/main" id="{00000000-0008-0000-1300-000037040000}"/>
            </a:ext>
          </a:extLst>
        </xdr:cNvPr>
        <xdr:cNvCxnSpPr/>
      </xdr:nvCxnSpPr>
      <xdr:spPr>
        <a:xfrm>
          <a:off x="7598834" y="160443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980</xdr:row>
      <xdr:rowOff>21167</xdr:rowOff>
    </xdr:from>
    <xdr:to>
      <xdr:col>13</xdr:col>
      <xdr:colOff>592667</xdr:colOff>
      <xdr:row>982</xdr:row>
      <xdr:rowOff>0</xdr:rowOff>
    </xdr:to>
    <xdr:cxnSp macro="">
      <xdr:nvCxnSpPr>
        <xdr:cNvPr id="1080" name="Straight Arrow Connector 1079">
          <a:extLst>
            <a:ext uri="{FF2B5EF4-FFF2-40B4-BE49-F238E27FC236}">
              <a16:creationId xmlns:a16="http://schemas.microsoft.com/office/drawing/2014/main" id="{00000000-0008-0000-1300-000038040000}"/>
            </a:ext>
          </a:extLst>
        </xdr:cNvPr>
        <xdr:cNvCxnSpPr/>
      </xdr:nvCxnSpPr>
      <xdr:spPr>
        <a:xfrm flipV="1">
          <a:off x="8794750" y="141181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985</xdr:row>
      <xdr:rowOff>21166</xdr:rowOff>
    </xdr:from>
    <xdr:to>
      <xdr:col>13</xdr:col>
      <xdr:colOff>592667</xdr:colOff>
      <xdr:row>986</xdr:row>
      <xdr:rowOff>169334</xdr:rowOff>
    </xdr:to>
    <xdr:cxnSp macro="">
      <xdr:nvCxnSpPr>
        <xdr:cNvPr id="1081" name="Straight Arrow Connector 1080">
          <a:extLst>
            <a:ext uri="{FF2B5EF4-FFF2-40B4-BE49-F238E27FC236}">
              <a16:creationId xmlns:a16="http://schemas.microsoft.com/office/drawing/2014/main" id="{00000000-0008-0000-1300-000039040000}"/>
            </a:ext>
          </a:extLst>
        </xdr:cNvPr>
        <xdr:cNvCxnSpPr/>
      </xdr:nvCxnSpPr>
      <xdr:spPr>
        <a:xfrm>
          <a:off x="8784166" y="150706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1000</xdr:row>
      <xdr:rowOff>21167</xdr:rowOff>
    </xdr:from>
    <xdr:to>
      <xdr:col>13</xdr:col>
      <xdr:colOff>592667</xdr:colOff>
      <xdr:row>1002</xdr:row>
      <xdr:rowOff>63500</xdr:rowOff>
    </xdr:to>
    <xdr:cxnSp macro="">
      <xdr:nvCxnSpPr>
        <xdr:cNvPr id="1082" name="Straight Arrow Connector 1081">
          <a:extLst>
            <a:ext uri="{FF2B5EF4-FFF2-40B4-BE49-F238E27FC236}">
              <a16:creationId xmlns:a16="http://schemas.microsoft.com/office/drawing/2014/main" id="{00000000-0008-0000-1300-00003A040000}"/>
            </a:ext>
          </a:extLst>
        </xdr:cNvPr>
        <xdr:cNvCxnSpPr/>
      </xdr:nvCxnSpPr>
      <xdr:spPr>
        <a:xfrm flipV="1">
          <a:off x="8794750" y="181186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1005</xdr:row>
      <xdr:rowOff>0</xdr:rowOff>
    </xdr:from>
    <xdr:to>
      <xdr:col>14</xdr:col>
      <xdr:colOff>10584</xdr:colOff>
      <xdr:row>1013</xdr:row>
      <xdr:rowOff>148167</xdr:rowOff>
    </xdr:to>
    <xdr:cxnSp macro="">
      <xdr:nvCxnSpPr>
        <xdr:cNvPr id="1083" name="Straight Arrow Connector 1082">
          <a:extLst>
            <a:ext uri="{FF2B5EF4-FFF2-40B4-BE49-F238E27FC236}">
              <a16:creationId xmlns:a16="http://schemas.microsoft.com/office/drawing/2014/main" id="{00000000-0008-0000-1300-00003B040000}"/>
            </a:ext>
          </a:extLst>
        </xdr:cNvPr>
        <xdr:cNvCxnSpPr/>
      </xdr:nvCxnSpPr>
      <xdr:spPr>
        <a:xfrm>
          <a:off x="8805333" y="190500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976</xdr:row>
      <xdr:rowOff>95250</xdr:rowOff>
    </xdr:from>
    <xdr:to>
      <xdr:col>15</xdr:col>
      <xdr:colOff>582083</xdr:colOff>
      <xdr:row>978</xdr:row>
      <xdr:rowOff>137583</xdr:rowOff>
    </xdr:to>
    <xdr:cxnSp macro="">
      <xdr:nvCxnSpPr>
        <xdr:cNvPr id="1084" name="Straight Arrow Connector 1083">
          <a:extLst>
            <a:ext uri="{FF2B5EF4-FFF2-40B4-BE49-F238E27FC236}">
              <a16:creationId xmlns:a16="http://schemas.microsoft.com/office/drawing/2014/main" id="{00000000-0008-0000-1300-00003C040000}"/>
            </a:ext>
          </a:extLst>
        </xdr:cNvPr>
        <xdr:cNvCxnSpPr/>
      </xdr:nvCxnSpPr>
      <xdr:spPr>
        <a:xfrm>
          <a:off x="10593916" y="13430250"/>
          <a:ext cx="5291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985</xdr:row>
      <xdr:rowOff>52916</xdr:rowOff>
    </xdr:from>
    <xdr:to>
      <xdr:col>16</xdr:col>
      <xdr:colOff>0</xdr:colOff>
      <xdr:row>987</xdr:row>
      <xdr:rowOff>0</xdr:rowOff>
    </xdr:to>
    <xdr:cxnSp macro="">
      <xdr:nvCxnSpPr>
        <xdr:cNvPr id="1085" name="Straight Arrow Connector 1084">
          <a:extLst>
            <a:ext uri="{FF2B5EF4-FFF2-40B4-BE49-F238E27FC236}">
              <a16:creationId xmlns:a16="http://schemas.microsoft.com/office/drawing/2014/main" id="{00000000-0008-0000-1300-00003D040000}"/>
            </a:ext>
          </a:extLst>
        </xdr:cNvPr>
        <xdr:cNvCxnSpPr/>
      </xdr:nvCxnSpPr>
      <xdr:spPr>
        <a:xfrm flipV="1">
          <a:off x="10541000" y="151024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987</xdr:row>
      <xdr:rowOff>21167</xdr:rowOff>
    </xdr:from>
    <xdr:to>
      <xdr:col>15</xdr:col>
      <xdr:colOff>592666</xdr:colOff>
      <xdr:row>988</xdr:row>
      <xdr:rowOff>84667</xdr:rowOff>
    </xdr:to>
    <xdr:cxnSp macro="">
      <xdr:nvCxnSpPr>
        <xdr:cNvPr id="1086" name="Straight Arrow Connector 1085">
          <a:extLst>
            <a:ext uri="{FF2B5EF4-FFF2-40B4-BE49-F238E27FC236}">
              <a16:creationId xmlns:a16="http://schemas.microsoft.com/office/drawing/2014/main" id="{00000000-0008-0000-1300-00003E040000}"/>
            </a:ext>
          </a:extLst>
        </xdr:cNvPr>
        <xdr:cNvCxnSpPr/>
      </xdr:nvCxnSpPr>
      <xdr:spPr>
        <a:xfrm>
          <a:off x="10530417" y="15451667"/>
          <a:ext cx="603249" cy="25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987</xdr:row>
      <xdr:rowOff>0</xdr:rowOff>
    </xdr:from>
    <xdr:to>
      <xdr:col>16</xdr:col>
      <xdr:colOff>0</xdr:colOff>
      <xdr:row>991</xdr:row>
      <xdr:rowOff>42334</xdr:rowOff>
    </xdr:to>
    <xdr:cxnSp macro="">
      <xdr:nvCxnSpPr>
        <xdr:cNvPr id="1087" name="Straight Arrow Connector 1086">
          <a:extLst>
            <a:ext uri="{FF2B5EF4-FFF2-40B4-BE49-F238E27FC236}">
              <a16:creationId xmlns:a16="http://schemas.microsoft.com/office/drawing/2014/main" id="{00000000-0008-0000-1300-00003F040000}"/>
            </a:ext>
          </a:extLst>
        </xdr:cNvPr>
        <xdr:cNvCxnSpPr/>
      </xdr:nvCxnSpPr>
      <xdr:spPr>
        <a:xfrm>
          <a:off x="10530417" y="15430500"/>
          <a:ext cx="613833" cy="804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998</xdr:row>
      <xdr:rowOff>0</xdr:rowOff>
    </xdr:from>
    <xdr:to>
      <xdr:col>15</xdr:col>
      <xdr:colOff>603250</xdr:colOff>
      <xdr:row>1000</xdr:row>
      <xdr:rowOff>1</xdr:rowOff>
    </xdr:to>
    <xdr:cxnSp macro="">
      <xdr:nvCxnSpPr>
        <xdr:cNvPr id="1088" name="Straight Arrow Connector 1087">
          <a:extLst>
            <a:ext uri="{FF2B5EF4-FFF2-40B4-BE49-F238E27FC236}">
              <a16:creationId xmlns:a16="http://schemas.microsoft.com/office/drawing/2014/main" id="{00000000-0008-0000-1300-000040040000}"/>
            </a:ext>
          </a:extLst>
        </xdr:cNvPr>
        <xdr:cNvCxnSpPr/>
      </xdr:nvCxnSpPr>
      <xdr:spPr>
        <a:xfrm flipV="1">
          <a:off x="10530417" y="177165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1000</xdr:row>
      <xdr:rowOff>10584</xdr:rowOff>
    </xdr:from>
    <xdr:to>
      <xdr:col>15</xdr:col>
      <xdr:colOff>592666</xdr:colOff>
      <xdr:row>1001</xdr:row>
      <xdr:rowOff>95250</xdr:rowOff>
    </xdr:to>
    <xdr:cxnSp macro="">
      <xdr:nvCxnSpPr>
        <xdr:cNvPr id="1089" name="Straight Arrow Connector 1088">
          <a:extLst>
            <a:ext uri="{FF2B5EF4-FFF2-40B4-BE49-F238E27FC236}">
              <a16:creationId xmlns:a16="http://schemas.microsoft.com/office/drawing/2014/main" id="{00000000-0008-0000-1300-000041040000}"/>
            </a:ext>
          </a:extLst>
        </xdr:cNvPr>
        <xdr:cNvCxnSpPr/>
      </xdr:nvCxnSpPr>
      <xdr:spPr>
        <a:xfrm>
          <a:off x="10572750" y="181080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1000</xdr:row>
      <xdr:rowOff>10584</xdr:rowOff>
    </xdr:from>
    <xdr:to>
      <xdr:col>15</xdr:col>
      <xdr:colOff>560916</xdr:colOff>
      <xdr:row>1004</xdr:row>
      <xdr:rowOff>52917</xdr:rowOff>
    </xdr:to>
    <xdr:cxnSp macro="">
      <xdr:nvCxnSpPr>
        <xdr:cNvPr id="1090" name="Straight Arrow Connector 1089">
          <a:extLst>
            <a:ext uri="{FF2B5EF4-FFF2-40B4-BE49-F238E27FC236}">
              <a16:creationId xmlns:a16="http://schemas.microsoft.com/office/drawing/2014/main" id="{00000000-0008-0000-1300-000042040000}"/>
            </a:ext>
          </a:extLst>
        </xdr:cNvPr>
        <xdr:cNvCxnSpPr/>
      </xdr:nvCxnSpPr>
      <xdr:spPr>
        <a:xfrm>
          <a:off x="10551583" y="181080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1000</xdr:row>
      <xdr:rowOff>31750</xdr:rowOff>
    </xdr:from>
    <xdr:to>
      <xdr:col>16</xdr:col>
      <xdr:colOff>21167</xdr:colOff>
      <xdr:row>1007</xdr:row>
      <xdr:rowOff>95250</xdr:rowOff>
    </xdr:to>
    <xdr:cxnSp macro="">
      <xdr:nvCxnSpPr>
        <xdr:cNvPr id="1091" name="Straight Arrow Connector 1090">
          <a:extLst>
            <a:ext uri="{FF2B5EF4-FFF2-40B4-BE49-F238E27FC236}">
              <a16:creationId xmlns:a16="http://schemas.microsoft.com/office/drawing/2014/main" id="{00000000-0008-0000-1300-000043040000}"/>
            </a:ext>
          </a:extLst>
        </xdr:cNvPr>
        <xdr:cNvCxnSpPr/>
      </xdr:nvCxnSpPr>
      <xdr:spPr>
        <a:xfrm>
          <a:off x="10583333" y="181292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1014</xdr:row>
      <xdr:rowOff>0</xdr:rowOff>
    </xdr:from>
    <xdr:to>
      <xdr:col>16</xdr:col>
      <xdr:colOff>0</xdr:colOff>
      <xdr:row>1014</xdr:row>
      <xdr:rowOff>42334</xdr:rowOff>
    </xdr:to>
    <xdr:cxnSp macro="">
      <xdr:nvCxnSpPr>
        <xdr:cNvPr id="1092" name="Straight Arrow Connector 1091">
          <a:extLst>
            <a:ext uri="{FF2B5EF4-FFF2-40B4-BE49-F238E27FC236}">
              <a16:creationId xmlns:a16="http://schemas.microsoft.com/office/drawing/2014/main" id="{00000000-0008-0000-1300-000044040000}"/>
            </a:ext>
          </a:extLst>
        </xdr:cNvPr>
        <xdr:cNvCxnSpPr/>
      </xdr:nvCxnSpPr>
      <xdr:spPr>
        <a:xfrm>
          <a:off x="10562166" y="207645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1014</xdr:row>
      <xdr:rowOff>21166</xdr:rowOff>
    </xdr:from>
    <xdr:to>
      <xdr:col>15</xdr:col>
      <xdr:colOff>560916</xdr:colOff>
      <xdr:row>1017</xdr:row>
      <xdr:rowOff>84667</xdr:rowOff>
    </xdr:to>
    <xdr:cxnSp macro="">
      <xdr:nvCxnSpPr>
        <xdr:cNvPr id="1093" name="Straight Arrow Connector 1092">
          <a:extLst>
            <a:ext uri="{FF2B5EF4-FFF2-40B4-BE49-F238E27FC236}">
              <a16:creationId xmlns:a16="http://schemas.microsoft.com/office/drawing/2014/main" id="{00000000-0008-0000-1300-000045040000}"/>
            </a:ext>
          </a:extLst>
        </xdr:cNvPr>
        <xdr:cNvCxnSpPr/>
      </xdr:nvCxnSpPr>
      <xdr:spPr>
        <a:xfrm>
          <a:off x="10615083" y="207856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1014</xdr:row>
      <xdr:rowOff>52916</xdr:rowOff>
    </xdr:from>
    <xdr:to>
      <xdr:col>15</xdr:col>
      <xdr:colOff>592666</xdr:colOff>
      <xdr:row>1020</xdr:row>
      <xdr:rowOff>63501</xdr:rowOff>
    </xdr:to>
    <xdr:cxnSp macro="">
      <xdr:nvCxnSpPr>
        <xdr:cNvPr id="1094" name="Straight Arrow Connector 1093">
          <a:extLst>
            <a:ext uri="{FF2B5EF4-FFF2-40B4-BE49-F238E27FC236}">
              <a16:creationId xmlns:a16="http://schemas.microsoft.com/office/drawing/2014/main" id="{00000000-0008-0000-1300-000046040000}"/>
            </a:ext>
          </a:extLst>
        </xdr:cNvPr>
        <xdr:cNvCxnSpPr/>
      </xdr:nvCxnSpPr>
      <xdr:spPr>
        <a:xfrm>
          <a:off x="10572750" y="208174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1011</xdr:row>
      <xdr:rowOff>52917</xdr:rowOff>
    </xdr:from>
    <xdr:to>
      <xdr:col>15</xdr:col>
      <xdr:colOff>603250</xdr:colOff>
      <xdr:row>1013</xdr:row>
      <xdr:rowOff>148167</xdr:rowOff>
    </xdr:to>
    <xdr:cxnSp macro="">
      <xdr:nvCxnSpPr>
        <xdr:cNvPr id="1095" name="Straight Arrow Connector 1094">
          <a:extLst>
            <a:ext uri="{FF2B5EF4-FFF2-40B4-BE49-F238E27FC236}">
              <a16:creationId xmlns:a16="http://schemas.microsoft.com/office/drawing/2014/main" id="{00000000-0008-0000-1300-000047040000}"/>
            </a:ext>
          </a:extLst>
        </xdr:cNvPr>
        <xdr:cNvCxnSpPr/>
      </xdr:nvCxnSpPr>
      <xdr:spPr>
        <a:xfrm flipV="1">
          <a:off x="10583333" y="202459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698500</xdr:colOff>
      <xdr:row>1055</xdr:row>
      <xdr:rowOff>95250</xdr:rowOff>
    </xdr:from>
    <xdr:to>
      <xdr:col>8</xdr:col>
      <xdr:colOff>21167</xdr:colOff>
      <xdr:row>1087</xdr:row>
      <xdr:rowOff>148166</xdr:rowOff>
    </xdr:to>
    <xdr:cxnSp macro="">
      <xdr:nvCxnSpPr>
        <xdr:cNvPr id="1096" name="Straight Arrow Connector 1095">
          <a:extLst>
            <a:ext uri="{FF2B5EF4-FFF2-40B4-BE49-F238E27FC236}">
              <a16:creationId xmlns:a16="http://schemas.microsoft.com/office/drawing/2014/main" id="{00000000-0008-0000-1300-000048040000}"/>
            </a:ext>
          </a:extLst>
        </xdr:cNvPr>
        <xdr:cNvCxnSpPr/>
      </xdr:nvCxnSpPr>
      <xdr:spPr>
        <a:xfrm>
          <a:off x="5080000" y="28860750"/>
          <a:ext cx="719667" cy="6148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1026</xdr:row>
      <xdr:rowOff>137583</xdr:rowOff>
    </xdr:from>
    <xdr:to>
      <xdr:col>9</xdr:col>
      <xdr:colOff>603250</xdr:colOff>
      <xdr:row>1032</xdr:row>
      <xdr:rowOff>21166</xdr:rowOff>
    </xdr:to>
    <xdr:cxnSp macro="">
      <xdr:nvCxnSpPr>
        <xdr:cNvPr id="1097" name="Straight Arrow Connector 1096">
          <a:extLst>
            <a:ext uri="{FF2B5EF4-FFF2-40B4-BE49-F238E27FC236}">
              <a16:creationId xmlns:a16="http://schemas.microsoft.com/office/drawing/2014/main" id="{00000000-0008-0000-1300-000049040000}"/>
            </a:ext>
          </a:extLst>
        </xdr:cNvPr>
        <xdr:cNvCxnSpPr/>
      </xdr:nvCxnSpPr>
      <xdr:spPr>
        <a:xfrm flipV="1">
          <a:off x="6381750" y="23188083"/>
          <a:ext cx="603250" cy="1026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1035</xdr:row>
      <xdr:rowOff>0</xdr:rowOff>
    </xdr:from>
    <xdr:to>
      <xdr:col>9</xdr:col>
      <xdr:colOff>582083</xdr:colOff>
      <xdr:row>1043</xdr:row>
      <xdr:rowOff>10583</xdr:rowOff>
    </xdr:to>
    <xdr:cxnSp macro="">
      <xdr:nvCxnSpPr>
        <xdr:cNvPr id="1098" name="Straight Arrow Connector 1097">
          <a:extLst>
            <a:ext uri="{FF2B5EF4-FFF2-40B4-BE49-F238E27FC236}">
              <a16:creationId xmlns:a16="http://schemas.microsoft.com/office/drawing/2014/main" id="{00000000-0008-0000-1300-00004A040000}"/>
            </a:ext>
          </a:extLst>
        </xdr:cNvPr>
        <xdr:cNvCxnSpPr/>
      </xdr:nvCxnSpPr>
      <xdr:spPr>
        <a:xfrm>
          <a:off x="6413500" y="24765000"/>
          <a:ext cx="550333" cy="1534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21167</xdr:colOff>
      <xdr:row>1040</xdr:row>
      <xdr:rowOff>169333</xdr:rowOff>
    </xdr:from>
    <xdr:to>
      <xdr:col>11</xdr:col>
      <xdr:colOff>603250</xdr:colOff>
      <xdr:row>1043</xdr:row>
      <xdr:rowOff>21167</xdr:rowOff>
    </xdr:to>
    <xdr:cxnSp macro="">
      <xdr:nvCxnSpPr>
        <xdr:cNvPr id="1099" name="Straight Arrow Connector 1098">
          <a:extLst>
            <a:ext uri="{FF2B5EF4-FFF2-40B4-BE49-F238E27FC236}">
              <a16:creationId xmlns:a16="http://schemas.microsoft.com/office/drawing/2014/main" id="{00000000-0008-0000-1300-00004B040000}"/>
            </a:ext>
          </a:extLst>
        </xdr:cNvPr>
        <xdr:cNvCxnSpPr/>
      </xdr:nvCxnSpPr>
      <xdr:spPr>
        <a:xfrm flipV="1">
          <a:off x="7609417" y="25886833"/>
          <a:ext cx="582083" cy="423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1046</xdr:row>
      <xdr:rowOff>42333</xdr:rowOff>
    </xdr:from>
    <xdr:to>
      <xdr:col>11</xdr:col>
      <xdr:colOff>603250</xdr:colOff>
      <xdr:row>1058</xdr:row>
      <xdr:rowOff>10583</xdr:rowOff>
    </xdr:to>
    <xdr:cxnSp macro="">
      <xdr:nvCxnSpPr>
        <xdr:cNvPr id="1100" name="Straight Arrow Connector 1099">
          <a:extLst>
            <a:ext uri="{FF2B5EF4-FFF2-40B4-BE49-F238E27FC236}">
              <a16:creationId xmlns:a16="http://schemas.microsoft.com/office/drawing/2014/main" id="{00000000-0008-0000-1300-00004C040000}"/>
            </a:ext>
          </a:extLst>
        </xdr:cNvPr>
        <xdr:cNvCxnSpPr/>
      </xdr:nvCxnSpPr>
      <xdr:spPr>
        <a:xfrm>
          <a:off x="7598834" y="269028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1036</xdr:row>
      <xdr:rowOff>21167</xdr:rowOff>
    </xdr:from>
    <xdr:to>
      <xdr:col>13</xdr:col>
      <xdr:colOff>592667</xdr:colOff>
      <xdr:row>1038</xdr:row>
      <xdr:rowOff>0</xdr:rowOff>
    </xdr:to>
    <xdr:cxnSp macro="">
      <xdr:nvCxnSpPr>
        <xdr:cNvPr id="1101" name="Straight Arrow Connector 1100">
          <a:extLst>
            <a:ext uri="{FF2B5EF4-FFF2-40B4-BE49-F238E27FC236}">
              <a16:creationId xmlns:a16="http://schemas.microsoft.com/office/drawing/2014/main" id="{00000000-0008-0000-1300-00004D040000}"/>
            </a:ext>
          </a:extLst>
        </xdr:cNvPr>
        <xdr:cNvCxnSpPr/>
      </xdr:nvCxnSpPr>
      <xdr:spPr>
        <a:xfrm flipV="1">
          <a:off x="8794750" y="249766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1041</xdr:row>
      <xdr:rowOff>21166</xdr:rowOff>
    </xdr:from>
    <xdr:to>
      <xdr:col>13</xdr:col>
      <xdr:colOff>592667</xdr:colOff>
      <xdr:row>1042</xdr:row>
      <xdr:rowOff>169334</xdr:rowOff>
    </xdr:to>
    <xdr:cxnSp macro="">
      <xdr:nvCxnSpPr>
        <xdr:cNvPr id="1102" name="Straight Arrow Connector 1101">
          <a:extLst>
            <a:ext uri="{FF2B5EF4-FFF2-40B4-BE49-F238E27FC236}">
              <a16:creationId xmlns:a16="http://schemas.microsoft.com/office/drawing/2014/main" id="{00000000-0008-0000-1300-00004E040000}"/>
            </a:ext>
          </a:extLst>
        </xdr:cNvPr>
        <xdr:cNvCxnSpPr/>
      </xdr:nvCxnSpPr>
      <xdr:spPr>
        <a:xfrm>
          <a:off x="8784166" y="259291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1056</xdr:row>
      <xdr:rowOff>21167</xdr:rowOff>
    </xdr:from>
    <xdr:to>
      <xdr:col>13</xdr:col>
      <xdr:colOff>592667</xdr:colOff>
      <xdr:row>1058</xdr:row>
      <xdr:rowOff>63500</xdr:rowOff>
    </xdr:to>
    <xdr:cxnSp macro="">
      <xdr:nvCxnSpPr>
        <xdr:cNvPr id="1103" name="Straight Arrow Connector 1102">
          <a:extLst>
            <a:ext uri="{FF2B5EF4-FFF2-40B4-BE49-F238E27FC236}">
              <a16:creationId xmlns:a16="http://schemas.microsoft.com/office/drawing/2014/main" id="{00000000-0008-0000-1300-00004F040000}"/>
            </a:ext>
          </a:extLst>
        </xdr:cNvPr>
        <xdr:cNvCxnSpPr/>
      </xdr:nvCxnSpPr>
      <xdr:spPr>
        <a:xfrm flipV="1">
          <a:off x="8794750" y="289771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1061</xdr:row>
      <xdr:rowOff>0</xdr:rowOff>
    </xdr:from>
    <xdr:to>
      <xdr:col>14</xdr:col>
      <xdr:colOff>10584</xdr:colOff>
      <xdr:row>1069</xdr:row>
      <xdr:rowOff>148167</xdr:rowOff>
    </xdr:to>
    <xdr:cxnSp macro="">
      <xdr:nvCxnSpPr>
        <xdr:cNvPr id="1104" name="Straight Arrow Connector 1103">
          <a:extLst>
            <a:ext uri="{FF2B5EF4-FFF2-40B4-BE49-F238E27FC236}">
              <a16:creationId xmlns:a16="http://schemas.microsoft.com/office/drawing/2014/main" id="{00000000-0008-0000-1300-000050040000}"/>
            </a:ext>
          </a:extLst>
        </xdr:cNvPr>
        <xdr:cNvCxnSpPr/>
      </xdr:nvCxnSpPr>
      <xdr:spPr>
        <a:xfrm>
          <a:off x="8805333" y="299085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1028</xdr:row>
      <xdr:rowOff>0</xdr:rowOff>
    </xdr:from>
    <xdr:to>
      <xdr:col>15</xdr:col>
      <xdr:colOff>603250</xdr:colOff>
      <xdr:row>1033</xdr:row>
      <xdr:rowOff>31750</xdr:rowOff>
    </xdr:to>
    <xdr:cxnSp macro="">
      <xdr:nvCxnSpPr>
        <xdr:cNvPr id="1105" name="Straight Arrow Connector 1104">
          <a:extLst>
            <a:ext uri="{FF2B5EF4-FFF2-40B4-BE49-F238E27FC236}">
              <a16:creationId xmlns:a16="http://schemas.microsoft.com/office/drawing/2014/main" id="{00000000-0008-0000-1300-000051040000}"/>
            </a:ext>
          </a:extLst>
        </xdr:cNvPr>
        <xdr:cNvCxnSpPr/>
      </xdr:nvCxnSpPr>
      <xdr:spPr>
        <a:xfrm flipV="1">
          <a:off x="10541000" y="23431500"/>
          <a:ext cx="603250" cy="984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1031</xdr:row>
      <xdr:rowOff>52917</xdr:rowOff>
    </xdr:from>
    <xdr:to>
      <xdr:col>15</xdr:col>
      <xdr:colOff>603250</xdr:colOff>
      <xdr:row>1033</xdr:row>
      <xdr:rowOff>95250</xdr:rowOff>
    </xdr:to>
    <xdr:cxnSp macro="">
      <xdr:nvCxnSpPr>
        <xdr:cNvPr id="1106" name="Straight Arrow Connector 1105">
          <a:extLst>
            <a:ext uri="{FF2B5EF4-FFF2-40B4-BE49-F238E27FC236}">
              <a16:creationId xmlns:a16="http://schemas.microsoft.com/office/drawing/2014/main" id="{00000000-0008-0000-1300-000052040000}"/>
            </a:ext>
          </a:extLst>
        </xdr:cNvPr>
        <xdr:cNvCxnSpPr/>
      </xdr:nvCxnSpPr>
      <xdr:spPr>
        <a:xfrm flipV="1">
          <a:off x="10583333" y="24055917"/>
          <a:ext cx="56091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1033</xdr:row>
      <xdr:rowOff>158750</xdr:rowOff>
    </xdr:from>
    <xdr:to>
      <xdr:col>15</xdr:col>
      <xdr:colOff>582083</xdr:colOff>
      <xdr:row>1034</xdr:row>
      <xdr:rowOff>137583</xdr:rowOff>
    </xdr:to>
    <xdr:cxnSp macro="">
      <xdr:nvCxnSpPr>
        <xdr:cNvPr id="1107" name="Straight Arrow Connector 1106">
          <a:extLst>
            <a:ext uri="{FF2B5EF4-FFF2-40B4-BE49-F238E27FC236}">
              <a16:creationId xmlns:a16="http://schemas.microsoft.com/office/drawing/2014/main" id="{00000000-0008-0000-1300-000053040000}"/>
            </a:ext>
          </a:extLst>
        </xdr:cNvPr>
        <xdr:cNvCxnSpPr/>
      </xdr:nvCxnSpPr>
      <xdr:spPr>
        <a:xfrm>
          <a:off x="10604500" y="24542750"/>
          <a:ext cx="518583" cy="169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1121834</xdr:colOff>
      <xdr:row>1033</xdr:row>
      <xdr:rowOff>105834</xdr:rowOff>
    </xdr:from>
    <xdr:to>
      <xdr:col>16</xdr:col>
      <xdr:colOff>0</xdr:colOff>
      <xdr:row>1037</xdr:row>
      <xdr:rowOff>84667</xdr:rowOff>
    </xdr:to>
    <xdr:cxnSp macro="">
      <xdr:nvCxnSpPr>
        <xdr:cNvPr id="1108" name="Straight Arrow Connector 1107">
          <a:extLst>
            <a:ext uri="{FF2B5EF4-FFF2-40B4-BE49-F238E27FC236}">
              <a16:creationId xmlns:a16="http://schemas.microsoft.com/office/drawing/2014/main" id="{00000000-0008-0000-1300-000054040000}"/>
            </a:ext>
          </a:extLst>
        </xdr:cNvPr>
        <xdr:cNvCxnSpPr/>
      </xdr:nvCxnSpPr>
      <xdr:spPr>
        <a:xfrm>
          <a:off x="10519834" y="24489834"/>
          <a:ext cx="624416"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1041</xdr:row>
      <xdr:rowOff>52916</xdr:rowOff>
    </xdr:from>
    <xdr:to>
      <xdr:col>16</xdr:col>
      <xdr:colOff>0</xdr:colOff>
      <xdr:row>1043</xdr:row>
      <xdr:rowOff>0</xdr:rowOff>
    </xdr:to>
    <xdr:cxnSp macro="">
      <xdr:nvCxnSpPr>
        <xdr:cNvPr id="1109" name="Straight Arrow Connector 1108">
          <a:extLst>
            <a:ext uri="{FF2B5EF4-FFF2-40B4-BE49-F238E27FC236}">
              <a16:creationId xmlns:a16="http://schemas.microsoft.com/office/drawing/2014/main" id="{00000000-0008-0000-1300-000055040000}"/>
            </a:ext>
          </a:extLst>
        </xdr:cNvPr>
        <xdr:cNvCxnSpPr/>
      </xdr:nvCxnSpPr>
      <xdr:spPr>
        <a:xfrm flipV="1">
          <a:off x="10541000" y="259609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1043</xdr:row>
      <xdr:rowOff>21167</xdr:rowOff>
    </xdr:from>
    <xdr:to>
      <xdr:col>15</xdr:col>
      <xdr:colOff>582083</xdr:colOff>
      <xdr:row>1044</xdr:row>
      <xdr:rowOff>42333</xdr:rowOff>
    </xdr:to>
    <xdr:cxnSp macro="">
      <xdr:nvCxnSpPr>
        <xdr:cNvPr id="1110" name="Straight Arrow Connector 1109">
          <a:extLst>
            <a:ext uri="{FF2B5EF4-FFF2-40B4-BE49-F238E27FC236}">
              <a16:creationId xmlns:a16="http://schemas.microsoft.com/office/drawing/2014/main" id="{00000000-0008-0000-1300-000056040000}"/>
            </a:ext>
          </a:extLst>
        </xdr:cNvPr>
        <xdr:cNvCxnSpPr/>
      </xdr:nvCxnSpPr>
      <xdr:spPr>
        <a:xfrm>
          <a:off x="10551583" y="26310167"/>
          <a:ext cx="571500" cy="211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1043</xdr:row>
      <xdr:rowOff>21167</xdr:rowOff>
    </xdr:from>
    <xdr:to>
      <xdr:col>16</xdr:col>
      <xdr:colOff>42333</xdr:colOff>
      <xdr:row>1048</xdr:row>
      <xdr:rowOff>21168</xdr:rowOff>
    </xdr:to>
    <xdr:cxnSp macro="">
      <xdr:nvCxnSpPr>
        <xdr:cNvPr id="1111" name="Straight Arrow Connector 1110">
          <a:extLst>
            <a:ext uri="{FF2B5EF4-FFF2-40B4-BE49-F238E27FC236}">
              <a16:creationId xmlns:a16="http://schemas.microsoft.com/office/drawing/2014/main" id="{00000000-0008-0000-1300-000057040000}"/>
            </a:ext>
          </a:extLst>
        </xdr:cNvPr>
        <xdr:cNvCxnSpPr/>
      </xdr:nvCxnSpPr>
      <xdr:spPr>
        <a:xfrm>
          <a:off x="10530417" y="26310167"/>
          <a:ext cx="656166" cy="9525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1043</xdr:row>
      <xdr:rowOff>31750</xdr:rowOff>
    </xdr:from>
    <xdr:to>
      <xdr:col>16</xdr:col>
      <xdr:colOff>42334</xdr:colOff>
      <xdr:row>1050</xdr:row>
      <xdr:rowOff>63501</xdr:rowOff>
    </xdr:to>
    <xdr:cxnSp macro="">
      <xdr:nvCxnSpPr>
        <xdr:cNvPr id="1112" name="Straight Arrow Connector 1111">
          <a:extLst>
            <a:ext uri="{FF2B5EF4-FFF2-40B4-BE49-F238E27FC236}">
              <a16:creationId xmlns:a16="http://schemas.microsoft.com/office/drawing/2014/main" id="{00000000-0008-0000-1300-000058040000}"/>
            </a:ext>
          </a:extLst>
        </xdr:cNvPr>
        <xdr:cNvCxnSpPr/>
      </xdr:nvCxnSpPr>
      <xdr:spPr>
        <a:xfrm>
          <a:off x="10541000" y="26320750"/>
          <a:ext cx="645584"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10583</xdr:colOff>
      <xdr:row>1080</xdr:row>
      <xdr:rowOff>42333</xdr:rowOff>
    </xdr:from>
    <xdr:to>
      <xdr:col>9</xdr:col>
      <xdr:colOff>592666</xdr:colOff>
      <xdr:row>1088</xdr:row>
      <xdr:rowOff>42333</xdr:rowOff>
    </xdr:to>
    <xdr:cxnSp macro="">
      <xdr:nvCxnSpPr>
        <xdr:cNvPr id="1113" name="Straight Arrow Connector 1112">
          <a:extLst>
            <a:ext uri="{FF2B5EF4-FFF2-40B4-BE49-F238E27FC236}">
              <a16:creationId xmlns:a16="http://schemas.microsoft.com/office/drawing/2014/main" id="{00000000-0008-0000-1300-000059040000}"/>
            </a:ext>
          </a:extLst>
        </xdr:cNvPr>
        <xdr:cNvCxnSpPr/>
      </xdr:nvCxnSpPr>
      <xdr:spPr>
        <a:xfrm flipV="1">
          <a:off x="6392333" y="33570333"/>
          <a:ext cx="582083" cy="152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1090</xdr:row>
      <xdr:rowOff>169334</xdr:rowOff>
    </xdr:from>
    <xdr:to>
      <xdr:col>9</xdr:col>
      <xdr:colOff>603250</xdr:colOff>
      <xdr:row>1099</xdr:row>
      <xdr:rowOff>31750</xdr:rowOff>
    </xdr:to>
    <xdr:cxnSp macro="">
      <xdr:nvCxnSpPr>
        <xdr:cNvPr id="1114" name="Straight Arrow Connector 1113">
          <a:extLst>
            <a:ext uri="{FF2B5EF4-FFF2-40B4-BE49-F238E27FC236}">
              <a16:creationId xmlns:a16="http://schemas.microsoft.com/office/drawing/2014/main" id="{00000000-0008-0000-1300-00005A040000}"/>
            </a:ext>
          </a:extLst>
        </xdr:cNvPr>
        <xdr:cNvCxnSpPr/>
      </xdr:nvCxnSpPr>
      <xdr:spPr>
        <a:xfrm>
          <a:off x="6413500" y="35602334"/>
          <a:ext cx="571500" cy="1576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571500</xdr:colOff>
      <xdr:row>1096</xdr:row>
      <xdr:rowOff>158750</xdr:rowOff>
    </xdr:from>
    <xdr:to>
      <xdr:col>11</xdr:col>
      <xdr:colOff>571500</xdr:colOff>
      <xdr:row>1099</xdr:row>
      <xdr:rowOff>0</xdr:rowOff>
    </xdr:to>
    <xdr:cxnSp macro="">
      <xdr:nvCxnSpPr>
        <xdr:cNvPr id="1115" name="Straight Arrow Connector 1114">
          <a:extLst>
            <a:ext uri="{FF2B5EF4-FFF2-40B4-BE49-F238E27FC236}">
              <a16:creationId xmlns:a16="http://schemas.microsoft.com/office/drawing/2014/main" id="{00000000-0008-0000-1300-00005B040000}"/>
            </a:ext>
          </a:extLst>
        </xdr:cNvPr>
        <xdr:cNvCxnSpPr/>
      </xdr:nvCxnSpPr>
      <xdr:spPr>
        <a:xfrm flipV="1">
          <a:off x="7556500" y="36734750"/>
          <a:ext cx="603250" cy="412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1054</xdr:row>
      <xdr:rowOff>0</xdr:rowOff>
    </xdr:from>
    <xdr:to>
      <xdr:col>15</xdr:col>
      <xdr:colOff>603250</xdr:colOff>
      <xdr:row>1056</xdr:row>
      <xdr:rowOff>1</xdr:rowOff>
    </xdr:to>
    <xdr:cxnSp macro="">
      <xdr:nvCxnSpPr>
        <xdr:cNvPr id="1116" name="Straight Arrow Connector 1115">
          <a:extLst>
            <a:ext uri="{FF2B5EF4-FFF2-40B4-BE49-F238E27FC236}">
              <a16:creationId xmlns:a16="http://schemas.microsoft.com/office/drawing/2014/main" id="{00000000-0008-0000-1300-00005C040000}"/>
            </a:ext>
          </a:extLst>
        </xdr:cNvPr>
        <xdr:cNvCxnSpPr/>
      </xdr:nvCxnSpPr>
      <xdr:spPr>
        <a:xfrm flipV="1">
          <a:off x="10530417" y="285750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1056</xdr:row>
      <xdr:rowOff>10584</xdr:rowOff>
    </xdr:from>
    <xdr:to>
      <xdr:col>15</xdr:col>
      <xdr:colOff>592666</xdr:colOff>
      <xdr:row>1057</xdr:row>
      <xdr:rowOff>95250</xdr:rowOff>
    </xdr:to>
    <xdr:cxnSp macro="">
      <xdr:nvCxnSpPr>
        <xdr:cNvPr id="1117" name="Straight Arrow Connector 1116">
          <a:extLst>
            <a:ext uri="{FF2B5EF4-FFF2-40B4-BE49-F238E27FC236}">
              <a16:creationId xmlns:a16="http://schemas.microsoft.com/office/drawing/2014/main" id="{00000000-0008-0000-1300-00005D040000}"/>
            </a:ext>
          </a:extLst>
        </xdr:cNvPr>
        <xdr:cNvCxnSpPr/>
      </xdr:nvCxnSpPr>
      <xdr:spPr>
        <a:xfrm>
          <a:off x="10572750" y="289665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1056</xdr:row>
      <xdr:rowOff>10584</xdr:rowOff>
    </xdr:from>
    <xdr:to>
      <xdr:col>15</xdr:col>
      <xdr:colOff>560916</xdr:colOff>
      <xdr:row>1060</xdr:row>
      <xdr:rowOff>52917</xdr:rowOff>
    </xdr:to>
    <xdr:cxnSp macro="">
      <xdr:nvCxnSpPr>
        <xdr:cNvPr id="1118" name="Straight Arrow Connector 1117">
          <a:extLst>
            <a:ext uri="{FF2B5EF4-FFF2-40B4-BE49-F238E27FC236}">
              <a16:creationId xmlns:a16="http://schemas.microsoft.com/office/drawing/2014/main" id="{00000000-0008-0000-1300-00005E040000}"/>
            </a:ext>
          </a:extLst>
        </xdr:cNvPr>
        <xdr:cNvCxnSpPr/>
      </xdr:nvCxnSpPr>
      <xdr:spPr>
        <a:xfrm>
          <a:off x="10551583" y="289665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1056</xdr:row>
      <xdr:rowOff>31750</xdr:rowOff>
    </xdr:from>
    <xdr:to>
      <xdr:col>16</xdr:col>
      <xdr:colOff>21167</xdr:colOff>
      <xdr:row>1063</xdr:row>
      <xdr:rowOff>95250</xdr:rowOff>
    </xdr:to>
    <xdr:cxnSp macro="">
      <xdr:nvCxnSpPr>
        <xdr:cNvPr id="1119" name="Straight Arrow Connector 1118">
          <a:extLst>
            <a:ext uri="{FF2B5EF4-FFF2-40B4-BE49-F238E27FC236}">
              <a16:creationId xmlns:a16="http://schemas.microsoft.com/office/drawing/2014/main" id="{00000000-0008-0000-1300-00005F040000}"/>
            </a:ext>
          </a:extLst>
        </xdr:cNvPr>
        <xdr:cNvCxnSpPr/>
      </xdr:nvCxnSpPr>
      <xdr:spPr>
        <a:xfrm>
          <a:off x="10583333" y="289877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1070</xdr:row>
      <xdr:rowOff>0</xdr:rowOff>
    </xdr:from>
    <xdr:to>
      <xdr:col>16</xdr:col>
      <xdr:colOff>0</xdr:colOff>
      <xdr:row>1070</xdr:row>
      <xdr:rowOff>42334</xdr:rowOff>
    </xdr:to>
    <xdr:cxnSp macro="">
      <xdr:nvCxnSpPr>
        <xdr:cNvPr id="1120" name="Straight Arrow Connector 1119">
          <a:extLst>
            <a:ext uri="{FF2B5EF4-FFF2-40B4-BE49-F238E27FC236}">
              <a16:creationId xmlns:a16="http://schemas.microsoft.com/office/drawing/2014/main" id="{00000000-0008-0000-1300-000060040000}"/>
            </a:ext>
          </a:extLst>
        </xdr:cNvPr>
        <xdr:cNvCxnSpPr/>
      </xdr:nvCxnSpPr>
      <xdr:spPr>
        <a:xfrm>
          <a:off x="10562166" y="316230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1070</xdr:row>
      <xdr:rowOff>21166</xdr:rowOff>
    </xdr:from>
    <xdr:to>
      <xdr:col>15</xdr:col>
      <xdr:colOff>560916</xdr:colOff>
      <xdr:row>1073</xdr:row>
      <xdr:rowOff>84667</xdr:rowOff>
    </xdr:to>
    <xdr:cxnSp macro="">
      <xdr:nvCxnSpPr>
        <xdr:cNvPr id="1121" name="Straight Arrow Connector 1120">
          <a:extLst>
            <a:ext uri="{FF2B5EF4-FFF2-40B4-BE49-F238E27FC236}">
              <a16:creationId xmlns:a16="http://schemas.microsoft.com/office/drawing/2014/main" id="{00000000-0008-0000-1300-000061040000}"/>
            </a:ext>
          </a:extLst>
        </xdr:cNvPr>
        <xdr:cNvCxnSpPr/>
      </xdr:nvCxnSpPr>
      <xdr:spPr>
        <a:xfrm>
          <a:off x="10615083" y="316441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1070</xdr:row>
      <xdr:rowOff>52916</xdr:rowOff>
    </xdr:from>
    <xdr:to>
      <xdr:col>15</xdr:col>
      <xdr:colOff>592666</xdr:colOff>
      <xdr:row>1076</xdr:row>
      <xdr:rowOff>63501</xdr:rowOff>
    </xdr:to>
    <xdr:cxnSp macro="">
      <xdr:nvCxnSpPr>
        <xdr:cNvPr id="1122" name="Straight Arrow Connector 1121">
          <a:extLst>
            <a:ext uri="{FF2B5EF4-FFF2-40B4-BE49-F238E27FC236}">
              <a16:creationId xmlns:a16="http://schemas.microsoft.com/office/drawing/2014/main" id="{00000000-0008-0000-1300-000062040000}"/>
            </a:ext>
          </a:extLst>
        </xdr:cNvPr>
        <xdr:cNvCxnSpPr/>
      </xdr:nvCxnSpPr>
      <xdr:spPr>
        <a:xfrm>
          <a:off x="10572750" y="316759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1084</xdr:row>
      <xdr:rowOff>116416</xdr:rowOff>
    </xdr:from>
    <xdr:to>
      <xdr:col>15</xdr:col>
      <xdr:colOff>592666</xdr:colOff>
      <xdr:row>1087</xdr:row>
      <xdr:rowOff>158750</xdr:rowOff>
    </xdr:to>
    <xdr:cxnSp macro="">
      <xdr:nvCxnSpPr>
        <xdr:cNvPr id="1123" name="Straight Arrow Connector 1122">
          <a:extLst>
            <a:ext uri="{FF2B5EF4-FFF2-40B4-BE49-F238E27FC236}">
              <a16:creationId xmlns:a16="http://schemas.microsoft.com/office/drawing/2014/main" id="{00000000-0008-0000-1300-000063040000}"/>
            </a:ext>
          </a:extLst>
        </xdr:cNvPr>
        <xdr:cNvCxnSpPr/>
      </xdr:nvCxnSpPr>
      <xdr:spPr>
        <a:xfrm flipV="1">
          <a:off x="10562166" y="34406416"/>
          <a:ext cx="571500" cy="613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1086</xdr:row>
      <xdr:rowOff>95250</xdr:rowOff>
    </xdr:from>
    <xdr:to>
      <xdr:col>15</xdr:col>
      <xdr:colOff>582083</xdr:colOff>
      <xdr:row>1088</xdr:row>
      <xdr:rowOff>52917</xdr:rowOff>
    </xdr:to>
    <xdr:cxnSp macro="">
      <xdr:nvCxnSpPr>
        <xdr:cNvPr id="1124" name="Straight Arrow Connector 1123">
          <a:extLst>
            <a:ext uri="{FF2B5EF4-FFF2-40B4-BE49-F238E27FC236}">
              <a16:creationId xmlns:a16="http://schemas.microsoft.com/office/drawing/2014/main" id="{00000000-0008-0000-1300-000064040000}"/>
            </a:ext>
          </a:extLst>
        </xdr:cNvPr>
        <xdr:cNvCxnSpPr/>
      </xdr:nvCxnSpPr>
      <xdr:spPr>
        <a:xfrm flipV="1">
          <a:off x="10604500" y="34766250"/>
          <a:ext cx="518583" cy="338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1088</xdr:row>
      <xdr:rowOff>116417</xdr:rowOff>
    </xdr:from>
    <xdr:to>
      <xdr:col>15</xdr:col>
      <xdr:colOff>592666</xdr:colOff>
      <xdr:row>1092</xdr:row>
      <xdr:rowOff>95250</xdr:rowOff>
    </xdr:to>
    <xdr:cxnSp macro="">
      <xdr:nvCxnSpPr>
        <xdr:cNvPr id="1125" name="Straight Arrow Connector 1124">
          <a:extLst>
            <a:ext uri="{FF2B5EF4-FFF2-40B4-BE49-F238E27FC236}">
              <a16:creationId xmlns:a16="http://schemas.microsoft.com/office/drawing/2014/main" id="{00000000-0008-0000-1300-000065040000}"/>
            </a:ext>
          </a:extLst>
        </xdr:cNvPr>
        <xdr:cNvCxnSpPr/>
      </xdr:nvCxnSpPr>
      <xdr:spPr>
        <a:xfrm>
          <a:off x="10593916" y="35168417"/>
          <a:ext cx="53975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1099</xdr:row>
      <xdr:rowOff>116416</xdr:rowOff>
    </xdr:from>
    <xdr:to>
      <xdr:col>16</xdr:col>
      <xdr:colOff>0</xdr:colOff>
      <xdr:row>1106</xdr:row>
      <xdr:rowOff>74084</xdr:rowOff>
    </xdr:to>
    <xdr:cxnSp macro="">
      <xdr:nvCxnSpPr>
        <xdr:cNvPr id="1126" name="Straight Arrow Connector 1125">
          <a:extLst>
            <a:ext uri="{FF2B5EF4-FFF2-40B4-BE49-F238E27FC236}">
              <a16:creationId xmlns:a16="http://schemas.microsoft.com/office/drawing/2014/main" id="{00000000-0008-0000-1300-000066040000}"/>
            </a:ext>
          </a:extLst>
        </xdr:cNvPr>
        <xdr:cNvCxnSpPr/>
      </xdr:nvCxnSpPr>
      <xdr:spPr>
        <a:xfrm>
          <a:off x="10572750" y="37263916"/>
          <a:ext cx="571500" cy="12911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1067</xdr:row>
      <xdr:rowOff>52917</xdr:rowOff>
    </xdr:from>
    <xdr:to>
      <xdr:col>15</xdr:col>
      <xdr:colOff>603250</xdr:colOff>
      <xdr:row>1069</xdr:row>
      <xdr:rowOff>148167</xdr:rowOff>
    </xdr:to>
    <xdr:cxnSp macro="">
      <xdr:nvCxnSpPr>
        <xdr:cNvPr id="1127" name="Straight Arrow Connector 1126">
          <a:extLst>
            <a:ext uri="{FF2B5EF4-FFF2-40B4-BE49-F238E27FC236}">
              <a16:creationId xmlns:a16="http://schemas.microsoft.com/office/drawing/2014/main" id="{00000000-0008-0000-1300-000067040000}"/>
            </a:ext>
          </a:extLst>
        </xdr:cNvPr>
        <xdr:cNvCxnSpPr/>
      </xdr:nvCxnSpPr>
      <xdr:spPr>
        <a:xfrm flipV="1">
          <a:off x="10583333" y="311044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1102</xdr:row>
      <xdr:rowOff>42333</xdr:rowOff>
    </xdr:from>
    <xdr:to>
      <xdr:col>11</xdr:col>
      <xdr:colOff>603250</xdr:colOff>
      <xdr:row>1114</xdr:row>
      <xdr:rowOff>10583</xdr:rowOff>
    </xdr:to>
    <xdr:cxnSp macro="">
      <xdr:nvCxnSpPr>
        <xdr:cNvPr id="1128" name="Straight Arrow Connector 1127">
          <a:extLst>
            <a:ext uri="{FF2B5EF4-FFF2-40B4-BE49-F238E27FC236}">
              <a16:creationId xmlns:a16="http://schemas.microsoft.com/office/drawing/2014/main" id="{00000000-0008-0000-1300-000068040000}"/>
            </a:ext>
          </a:extLst>
        </xdr:cNvPr>
        <xdr:cNvCxnSpPr/>
      </xdr:nvCxnSpPr>
      <xdr:spPr>
        <a:xfrm>
          <a:off x="7598834" y="377613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1092</xdr:row>
      <xdr:rowOff>21167</xdr:rowOff>
    </xdr:from>
    <xdr:to>
      <xdr:col>13</xdr:col>
      <xdr:colOff>592667</xdr:colOff>
      <xdr:row>1094</xdr:row>
      <xdr:rowOff>0</xdr:rowOff>
    </xdr:to>
    <xdr:cxnSp macro="">
      <xdr:nvCxnSpPr>
        <xdr:cNvPr id="1129" name="Straight Arrow Connector 1128">
          <a:extLst>
            <a:ext uri="{FF2B5EF4-FFF2-40B4-BE49-F238E27FC236}">
              <a16:creationId xmlns:a16="http://schemas.microsoft.com/office/drawing/2014/main" id="{00000000-0008-0000-1300-000069040000}"/>
            </a:ext>
          </a:extLst>
        </xdr:cNvPr>
        <xdr:cNvCxnSpPr/>
      </xdr:nvCxnSpPr>
      <xdr:spPr>
        <a:xfrm flipV="1">
          <a:off x="8794750" y="358351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1097</xdr:row>
      <xdr:rowOff>21166</xdr:rowOff>
    </xdr:from>
    <xdr:to>
      <xdr:col>13</xdr:col>
      <xdr:colOff>592667</xdr:colOff>
      <xdr:row>1098</xdr:row>
      <xdr:rowOff>169334</xdr:rowOff>
    </xdr:to>
    <xdr:cxnSp macro="">
      <xdr:nvCxnSpPr>
        <xdr:cNvPr id="1130" name="Straight Arrow Connector 1129">
          <a:extLst>
            <a:ext uri="{FF2B5EF4-FFF2-40B4-BE49-F238E27FC236}">
              <a16:creationId xmlns:a16="http://schemas.microsoft.com/office/drawing/2014/main" id="{00000000-0008-0000-1300-00006A040000}"/>
            </a:ext>
          </a:extLst>
        </xdr:cNvPr>
        <xdr:cNvCxnSpPr/>
      </xdr:nvCxnSpPr>
      <xdr:spPr>
        <a:xfrm>
          <a:off x="8784166" y="367876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1112</xdr:row>
      <xdr:rowOff>21167</xdr:rowOff>
    </xdr:from>
    <xdr:to>
      <xdr:col>13</xdr:col>
      <xdr:colOff>592667</xdr:colOff>
      <xdr:row>1114</xdr:row>
      <xdr:rowOff>63500</xdr:rowOff>
    </xdr:to>
    <xdr:cxnSp macro="">
      <xdr:nvCxnSpPr>
        <xdr:cNvPr id="1131" name="Straight Arrow Connector 1130">
          <a:extLst>
            <a:ext uri="{FF2B5EF4-FFF2-40B4-BE49-F238E27FC236}">
              <a16:creationId xmlns:a16="http://schemas.microsoft.com/office/drawing/2014/main" id="{00000000-0008-0000-1300-00006B040000}"/>
            </a:ext>
          </a:extLst>
        </xdr:cNvPr>
        <xdr:cNvCxnSpPr/>
      </xdr:nvCxnSpPr>
      <xdr:spPr>
        <a:xfrm flipV="1">
          <a:off x="8794750" y="398356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1117</xdr:row>
      <xdr:rowOff>0</xdr:rowOff>
    </xdr:from>
    <xdr:to>
      <xdr:col>14</xdr:col>
      <xdr:colOff>10584</xdr:colOff>
      <xdr:row>1125</xdr:row>
      <xdr:rowOff>148167</xdr:rowOff>
    </xdr:to>
    <xdr:cxnSp macro="">
      <xdr:nvCxnSpPr>
        <xdr:cNvPr id="1132" name="Straight Arrow Connector 1131">
          <a:extLst>
            <a:ext uri="{FF2B5EF4-FFF2-40B4-BE49-F238E27FC236}">
              <a16:creationId xmlns:a16="http://schemas.microsoft.com/office/drawing/2014/main" id="{00000000-0008-0000-1300-00006C040000}"/>
            </a:ext>
          </a:extLst>
        </xdr:cNvPr>
        <xdr:cNvCxnSpPr/>
      </xdr:nvCxnSpPr>
      <xdr:spPr>
        <a:xfrm>
          <a:off x="8805333" y="407670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1088</xdr:row>
      <xdr:rowOff>95250</xdr:rowOff>
    </xdr:from>
    <xdr:to>
      <xdr:col>15</xdr:col>
      <xdr:colOff>582083</xdr:colOff>
      <xdr:row>1090</xdr:row>
      <xdr:rowOff>137583</xdr:rowOff>
    </xdr:to>
    <xdr:cxnSp macro="">
      <xdr:nvCxnSpPr>
        <xdr:cNvPr id="1133" name="Straight Arrow Connector 1132">
          <a:extLst>
            <a:ext uri="{FF2B5EF4-FFF2-40B4-BE49-F238E27FC236}">
              <a16:creationId xmlns:a16="http://schemas.microsoft.com/office/drawing/2014/main" id="{00000000-0008-0000-1300-00006D040000}"/>
            </a:ext>
          </a:extLst>
        </xdr:cNvPr>
        <xdr:cNvCxnSpPr/>
      </xdr:nvCxnSpPr>
      <xdr:spPr>
        <a:xfrm>
          <a:off x="10593916" y="35147250"/>
          <a:ext cx="5291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1097</xdr:row>
      <xdr:rowOff>52916</xdr:rowOff>
    </xdr:from>
    <xdr:to>
      <xdr:col>16</xdr:col>
      <xdr:colOff>0</xdr:colOff>
      <xdr:row>1099</xdr:row>
      <xdr:rowOff>0</xdr:rowOff>
    </xdr:to>
    <xdr:cxnSp macro="">
      <xdr:nvCxnSpPr>
        <xdr:cNvPr id="1134" name="Straight Arrow Connector 1133">
          <a:extLst>
            <a:ext uri="{FF2B5EF4-FFF2-40B4-BE49-F238E27FC236}">
              <a16:creationId xmlns:a16="http://schemas.microsoft.com/office/drawing/2014/main" id="{00000000-0008-0000-1300-00006E040000}"/>
            </a:ext>
          </a:extLst>
        </xdr:cNvPr>
        <xdr:cNvCxnSpPr/>
      </xdr:nvCxnSpPr>
      <xdr:spPr>
        <a:xfrm flipV="1">
          <a:off x="10541000" y="368194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1099</xdr:row>
      <xdr:rowOff>21167</xdr:rowOff>
    </xdr:from>
    <xdr:to>
      <xdr:col>15</xdr:col>
      <xdr:colOff>592666</xdr:colOff>
      <xdr:row>1100</xdr:row>
      <xdr:rowOff>84667</xdr:rowOff>
    </xdr:to>
    <xdr:cxnSp macro="">
      <xdr:nvCxnSpPr>
        <xdr:cNvPr id="1135" name="Straight Arrow Connector 1134">
          <a:extLst>
            <a:ext uri="{FF2B5EF4-FFF2-40B4-BE49-F238E27FC236}">
              <a16:creationId xmlns:a16="http://schemas.microsoft.com/office/drawing/2014/main" id="{00000000-0008-0000-1300-00006F040000}"/>
            </a:ext>
          </a:extLst>
        </xdr:cNvPr>
        <xdr:cNvCxnSpPr/>
      </xdr:nvCxnSpPr>
      <xdr:spPr>
        <a:xfrm>
          <a:off x="10530417" y="37168667"/>
          <a:ext cx="603249" cy="25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1099</xdr:row>
      <xdr:rowOff>0</xdr:rowOff>
    </xdr:from>
    <xdr:to>
      <xdr:col>16</xdr:col>
      <xdr:colOff>0</xdr:colOff>
      <xdr:row>1103</xdr:row>
      <xdr:rowOff>42334</xdr:rowOff>
    </xdr:to>
    <xdr:cxnSp macro="">
      <xdr:nvCxnSpPr>
        <xdr:cNvPr id="1136" name="Straight Arrow Connector 1135">
          <a:extLst>
            <a:ext uri="{FF2B5EF4-FFF2-40B4-BE49-F238E27FC236}">
              <a16:creationId xmlns:a16="http://schemas.microsoft.com/office/drawing/2014/main" id="{00000000-0008-0000-1300-000070040000}"/>
            </a:ext>
          </a:extLst>
        </xdr:cNvPr>
        <xdr:cNvCxnSpPr/>
      </xdr:nvCxnSpPr>
      <xdr:spPr>
        <a:xfrm>
          <a:off x="10530417" y="37147500"/>
          <a:ext cx="613833" cy="804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1110</xdr:row>
      <xdr:rowOff>0</xdr:rowOff>
    </xdr:from>
    <xdr:to>
      <xdr:col>15</xdr:col>
      <xdr:colOff>603250</xdr:colOff>
      <xdr:row>1112</xdr:row>
      <xdr:rowOff>1</xdr:rowOff>
    </xdr:to>
    <xdr:cxnSp macro="">
      <xdr:nvCxnSpPr>
        <xdr:cNvPr id="1137" name="Straight Arrow Connector 1136">
          <a:extLst>
            <a:ext uri="{FF2B5EF4-FFF2-40B4-BE49-F238E27FC236}">
              <a16:creationId xmlns:a16="http://schemas.microsoft.com/office/drawing/2014/main" id="{00000000-0008-0000-1300-000071040000}"/>
            </a:ext>
          </a:extLst>
        </xdr:cNvPr>
        <xdr:cNvCxnSpPr/>
      </xdr:nvCxnSpPr>
      <xdr:spPr>
        <a:xfrm flipV="1">
          <a:off x="10530417" y="394335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1112</xdr:row>
      <xdr:rowOff>10584</xdr:rowOff>
    </xdr:from>
    <xdr:to>
      <xdr:col>15</xdr:col>
      <xdr:colOff>592666</xdr:colOff>
      <xdr:row>1113</xdr:row>
      <xdr:rowOff>95250</xdr:rowOff>
    </xdr:to>
    <xdr:cxnSp macro="">
      <xdr:nvCxnSpPr>
        <xdr:cNvPr id="1138" name="Straight Arrow Connector 1137">
          <a:extLst>
            <a:ext uri="{FF2B5EF4-FFF2-40B4-BE49-F238E27FC236}">
              <a16:creationId xmlns:a16="http://schemas.microsoft.com/office/drawing/2014/main" id="{00000000-0008-0000-1300-000072040000}"/>
            </a:ext>
          </a:extLst>
        </xdr:cNvPr>
        <xdr:cNvCxnSpPr/>
      </xdr:nvCxnSpPr>
      <xdr:spPr>
        <a:xfrm>
          <a:off x="10572750" y="398250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1112</xdr:row>
      <xdr:rowOff>10584</xdr:rowOff>
    </xdr:from>
    <xdr:to>
      <xdr:col>15</xdr:col>
      <xdr:colOff>560916</xdr:colOff>
      <xdr:row>1116</xdr:row>
      <xdr:rowOff>52917</xdr:rowOff>
    </xdr:to>
    <xdr:cxnSp macro="">
      <xdr:nvCxnSpPr>
        <xdr:cNvPr id="1139" name="Straight Arrow Connector 1138">
          <a:extLst>
            <a:ext uri="{FF2B5EF4-FFF2-40B4-BE49-F238E27FC236}">
              <a16:creationId xmlns:a16="http://schemas.microsoft.com/office/drawing/2014/main" id="{00000000-0008-0000-1300-000073040000}"/>
            </a:ext>
          </a:extLst>
        </xdr:cNvPr>
        <xdr:cNvCxnSpPr/>
      </xdr:nvCxnSpPr>
      <xdr:spPr>
        <a:xfrm>
          <a:off x="10551583" y="398250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1112</xdr:row>
      <xdr:rowOff>31750</xdr:rowOff>
    </xdr:from>
    <xdr:to>
      <xdr:col>16</xdr:col>
      <xdr:colOff>21167</xdr:colOff>
      <xdr:row>1119</xdr:row>
      <xdr:rowOff>95250</xdr:rowOff>
    </xdr:to>
    <xdr:cxnSp macro="">
      <xdr:nvCxnSpPr>
        <xdr:cNvPr id="1140" name="Straight Arrow Connector 1139">
          <a:extLst>
            <a:ext uri="{FF2B5EF4-FFF2-40B4-BE49-F238E27FC236}">
              <a16:creationId xmlns:a16="http://schemas.microsoft.com/office/drawing/2014/main" id="{00000000-0008-0000-1300-000074040000}"/>
            </a:ext>
          </a:extLst>
        </xdr:cNvPr>
        <xdr:cNvCxnSpPr/>
      </xdr:nvCxnSpPr>
      <xdr:spPr>
        <a:xfrm>
          <a:off x="10583333" y="398462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1126</xdr:row>
      <xdr:rowOff>0</xdr:rowOff>
    </xdr:from>
    <xdr:to>
      <xdr:col>16</xdr:col>
      <xdr:colOff>0</xdr:colOff>
      <xdr:row>1126</xdr:row>
      <xdr:rowOff>42334</xdr:rowOff>
    </xdr:to>
    <xdr:cxnSp macro="">
      <xdr:nvCxnSpPr>
        <xdr:cNvPr id="1141" name="Straight Arrow Connector 1140">
          <a:extLst>
            <a:ext uri="{FF2B5EF4-FFF2-40B4-BE49-F238E27FC236}">
              <a16:creationId xmlns:a16="http://schemas.microsoft.com/office/drawing/2014/main" id="{00000000-0008-0000-1300-000075040000}"/>
            </a:ext>
          </a:extLst>
        </xdr:cNvPr>
        <xdr:cNvCxnSpPr/>
      </xdr:nvCxnSpPr>
      <xdr:spPr>
        <a:xfrm>
          <a:off x="10562166" y="424815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1126</xdr:row>
      <xdr:rowOff>21166</xdr:rowOff>
    </xdr:from>
    <xdr:to>
      <xdr:col>15</xdr:col>
      <xdr:colOff>560916</xdr:colOff>
      <xdr:row>1129</xdr:row>
      <xdr:rowOff>84667</xdr:rowOff>
    </xdr:to>
    <xdr:cxnSp macro="">
      <xdr:nvCxnSpPr>
        <xdr:cNvPr id="1142" name="Straight Arrow Connector 1141">
          <a:extLst>
            <a:ext uri="{FF2B5EF4-FFF2-40B4-BE49-F238E27FC236}">
              <a16:creationId xmlns:a16="http://schemas.microsoft.com/office/drawing/2014/main" id="{00000000-0008-0000-1300-000076040000}"/>
            </a:ext>
          </a:extLst>
        </xdr:cNvPr>
        <xdr:cNvCxnSpPr/>
      </xdr:nvCxnSpPr>
      <xdr:spPr>
        <a:xfrm>
          <a:off x="10615083" y="425026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1126</xdr:row>
      <xdr:rowOff>52916</xdr:rowOff>
    </xdr:from>
    <xdr:to>
      <xdr:col>15</xdr:col>
      <xdr:colOff>592666</xdr:colOff>
      <xdr:row>1132</xdr:row>
      <xdr:rowOff>63501</xdr:rowOff>
    </xdr:to>
    <xdr:cxnSp macro="">
      <xdr:nvCxnSpPr>
        <xdr:cNvPr id="1143" name="Straight Arrow Connector 1142">
          <a:extLst>
            <a:ext uri="{FF2B5EF4-FFF2-40B4-BE49-F238E27FC236}">
              <a16:creationId xmlns:a16="http://schemas.microsoft.com/office/drawing/2014/main" id="{00000000-0008-0000-1300-000077040000}"/>
            </a:ext>
          </a:extLst>
        </xdr:cNvPr>
        <xdr:cNvCxnSpPr/>
      </xdr:nvCxnSpPr>
      <xdr:spPr>
        <a:xfrm>
          <a:off x="10572750" y="425344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1123</xdr:row>
      <xdr:rowOff>52917</xdr:rowOff>
    </xdr:from>
    <xdr:to>
      <xdr:col>15</xdr:col>
      <xdr:colOff>603250</xdr:colOff>
      <xdr:row>1125</xdr:row>
      <xdr:rowOff>148167</xdr:rowOff>
    </xdr:to>
    <xdr:cxnSp macro="">
      <xdr:nvCxnSpPr>
        <xdr:cNvPr id="1144" name="Straight Arrow Connector 1143">
          <a:extLst>
            <a:ext uri="{FF2B5EF4-FFF2-40B4-BE49-F238E27FC236}">
              <a16:creationId xmlns:a16="http://schemas.microsoft.com/office/drawing/2014/main" id="{00000000-0008-0000-1300-000078040000}"/>
            </a:ext>
          </a:extLst>
        </xdr:cNvPr>
        <xdr:cNvCxnSpPr/>
      </xdr:nvCxnSpPr>
      <xdr:spPr>
        <a:xfrm flipV="1">
          <a:off x="10583333" y="419629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31750</xdr:colOff>
      <xdr:row>1034</xdr:row>
      <xdr:rowOff>127000</xdr:rowOff>
    </xdr:from>
    <xdr:to>
      <xdr:col>8</xdr:col>
      <xdr:colOff>63500</xdr:colOff>
      <xdr:row>1053</xdr:row>
      <xdr:rowOff>0</xdr:rowOff>
    </xdr:to>
    <xdr:cxnSp macro="">
      <xdr:nvCxnSpPr>
        <xdr:cNvPr id="1145" name="Straight Arrow Connector 1144">
          <a:extLst>
            <a:ext uri="{FF2B5EF4-FFF2-40B4-BE49-F238E27FC236}">
              <a16:creationId xmlns:a16="http://schemas.microsoft.com/office/drawing/2014/main" id="{00000000-0008-0000-1300-000079040000}"/>
            </a:ext>
          </a:extLst>
        </xdr:cNvPr>
        <xdr:cNvCxnSpPr/>
      </xdr:nvCxnSpPr>
      <xdr:spPr>
        <a:xfrm flipV="1">
          <a:off x="5207000" y="24701500"/>
          <a:ext cx="635000" cy="3587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825500</xdr:colOff>
      <xdr:row>1171</xdr:row>
      <xdr:rowOff>1</xdr:rowOff>
    </xdr:from>
    <xdr:to>
      <xdr:col>6</xdr:col>
      <xdr:colOff>0</xdr:colOff>
      <xdr:row>1205</xdr:row>
      <xdr:rowOff>116417</xdr:rowOff>
    </xdr:to>
    <xdr:cxnSp macro="">
      <xdr:nvCxnSpPr>
        <xdr:cNvPr id="1146" name="Straight Arrow Connector 1145">
          <a:extLst>
            <a:ext uri="{FF2B5EF4-FFF2-40B4-BE49-F238E27FC236}">
              <a16:creationId xmlns:a16="http://schemas.microsoft.com/office/drawing/2014/main" id="{00000000-0008-0000-1300-00007A040000}"/>
            </a:ext>
          </a:extLst>
        </xdr:cNvPr>
        <xdr:cNvCxnSpPr/>
      </xdr:nvCxnSpPr>
      <xdr:spPr>
        <a:xfrm flipV="1">
          <a:off x="3714750" y="51244501"/>
          <a:ext cx="666750" cy="65934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21167</xdr:colOff>
      <xdr:row>1208</xdr:row>
      <xdr:rowOff>169334</xdr:rowOff>
    </xdr:from>
    <xdr:to>
      <xdr:col>5</xdr:col>
      <xdr:colOff>571500</xdr:colOff>
      <xdr:row>1277</xdr:row>
      <xdr:rowOff>0</xdr:rowOff>
    </xdr:to>
    <xdr:cxnSp macro="">
      <xdr:nvCxnSpPr>
        <xdr:cNvPr id="1147" name="Straight Arrow Connector 1146">
          <a:extLst>
            <a:ext uri="{FF2B5EF4-FFF2-40B4-BE49-F238E27FC236}">
              <a16:creationId xmlns:a16="http://schemas.microsoft.com/office/drawing/2014/main" id="{00000000-0008-0000-1300-00007B040000}"/>
            </a:ext>
          </a:extLst>
        </xdr:cNvPr>
        <xdr:cNvCxnSpPr/>
      </xdr:nvCxnSpPr>
      <xdr:spPr>
        <a:xfrm>
          <a:off x="3799417" y="58462334"/>
          <a:ext cx="550333" cy="133244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1146</xdr:row>
      <xdr:rowOff>148167</xdr:rowOff>
    </xdr:from>
    <xdr:to>
      <xdr:col>7</xdr:col>
      <xdr:colOff>603250</xdr:colOff>
      <xdr:row>1168</xdr:row>
      <xdr:rowOff>31750</xdr:rowOff>
    </xdr:to>
    <xdr:cxnSp macro="">
      <xdr:nvCxnSpPr>
        <xdr:cNvPr id="1148" name="Straight Arrow Connector 1147">
          <a:extLst>
            <a:ext uri="{FF2B5EF4-FFF2-40B4-BE49-F238E27FC236}">
              <a16:creationId xmlns:a16="http://schemas.microsoft.com/office/drawing/2014/main" id="{00000000-0008-0000-1300-00007C040000}"/>
            </a:ext>
          </a:extLst>
        </xdr:cNvPr>
        <xdr:cNvCxnSpPr/>
      </xdr:nvCxnSpPr>
      <xdr:spPr>
        <a:xfrm flipV="1">
          <a:off x="5175250" y="46439667"/>
          <a:ext cx="603250" cy="42650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1171</xdr:row>
      <xdr:rowOff>10584</xdr:rowOff>
    </xdr:from>
    <xdr:to>
      <xdr:col>8</xdr:col>
      <xdr:colOff>21167</xdr:colOff>
      <xdr:row>1199</xdr:row>
      <xdr:rowOff>148166</xdr:rowOff>
    </xdr:to>
    <xdr:cxnSp macro="">
      <xdr:nvCxnSpPr>
        <xdr:cNvPr id="1149" name="Straight Arrow Connector 1148">
          <a:extLst>
            <a:ext uri="{FF2B5EF4-FFF2-40B4-BE49-F238E27FC236}">
              <a16:creationId xmlns:a16="http://schemas.microsoft.com/office/drawing/2014/main" id="{00000000-0008-0000-1300-00007D040000}"/>
            </a:ext>
          </a:extLst>
        </xdr:cNvPr>
        <xdr:cNvCxnSpPr/>
      </xdr:nvCxnSpPr>
      <xdr:spPr>
        <a:xfrm>
          <a:off x="5175250" y="51255084"/>
          <a:ext cx="624417" cy="547158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1138</xdr:row>
      <xdr:rowOff>137583</xdr:rowOff>
    </xdr:from>
    <xdr:to>
      <xdr:col>9</xdr:col>
      <xdr:colOff>603250</xdr:colOff>
      <xdr:row>1144</xdr:row>
      <xdr:rowOff>21166</xdr:rowOff>
    </xdr:to>
    <xdr:cxnSp macro="">
      <xdr:nvCxnSpPr>
        <xdr:cNvPr id="1150" name="Straight Arrow Connector 1149">
          <a:extLst>
            <a:ext uri="{FF2B5EF4-FFF2-40B4-BE49-F238E27FC236}">
              <a16:creationId xmlns:a16="http://schemas.microsoft.com/office/drawing/2014/main" id="{00000000-0008-0000-1300-00007E040000}"/>
            </a:ext>
          </a:extLst>
        </xdr:cNvPr>
        <xdr:cNvCxnSpPr/>
      </xdr:nvCxnSpPr>
      <xdr:spPr>
        <a:xfrm flipV="1">
          <a:off x="6381750" y="44905083"/>
          <a:ext cx="603250" cy="1026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1147</xdr:row>
      <xdr:rowOff>0</xdr:rowOff>
    </xdr:from>
    <xdr:to>
      <xdr:col>9</xdr:col>
      <xdr:colOff>582083</xdr:colOff>
      <xdr:row>1155</xdr:row>
      <xdr:rowOff>10583</xdr:rowOff>
    </xdr:to>
    <xdr:cxnSp macro="">
      <xdr:nvCxnSpPr>
        <xdr:cNvPr id="1151" name="Straight Arrow Connector 1150">
          <a:extLst>
            <a:ext uri="{FF2B5EF4-FFF2-40B4-BE49-F238E27FC236}">
              <a16:creationId xmlns:a16="http://schemas.microsoft.com/office/drawing/2014/main" id="{00000000-0008-0000-1300-00007F040000}"/>
            </a:ext>
          </a:extLst>
        </xdr:cNvPr>
        <xdr:cNvCxnSpPr/>
      </xdr:nvCxnSpPr>
      <xdr:spPr>
        <a:xfrm>
          <a:off x="6413500" y="46482000"/>
          <a:ext cx="550333" cy="1534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21167</xdr:colOff>
      <xdr:row>1152</xdr:row>
      <xdr:rowOff>169333</xdr:rowOff>
    </xdr:from>
    <xdr:to>
      <xdr:col>11</xdr:col>
      <xdr:colOff>603250</xdr:colOff>
      <xdr:row>1155</xdr:row>
      <xdr:rowOff>21167</xdr:rowOff>
    </xdr:to>
    <xdr:cxnSp macro="">
      <xdr:nvCxnSpPr>
        <xdr:cNvPr id="1152" name="Straight Arrow Connector 1151">
          <a:extLst>
            <a:ext uri="{FF2B5EF4-FFF2-40B4-BE49-F238E27FC236}">
              <a16:creationId xmlns:a16="http://schemas.microsoft.com/office/drawing/2014/main" id="{00000000-0008-0000-1300-000080040000}"/>
            </a:ext>
          </a:extLst>
        </xdr:cNvPr>
        <xdr:cNvCxnSpPr/>
      </xdr:nvCxnSpPr>
      <xdr:spPr>
        <a:xfrm flipV="1">
          <a:off x="7609417" y="47603833"/>
          <a:ext cx="582083" cy="423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1158</xdr:row>
      <xdr:rowOff>42333</xdr:rowOff>
    </xdr:from>
    <xdr:to>
      <xdr:col>11</xdr:col>
      <xdr:colOff>603250</xdr:colOff>
      <xdr:row>1170</xdr:row>
      <xdr:rowOff>10583</xdr:rowOff>
    </xdr:to>
    <xdr:cxnSp macro="">
      <xdr:nvCxnSpPr>
        <xdr:cNvPr id="1153" name="Straight Arrow Connector 1152">
          <a:extLst>
            <a:ext uri="{FF2B5EF4-FFF2-40B4-BE49-F238E27FC236}">
              <a16:creationId xmlns:a16="http://schemas.microsoft.com/office/drawing/2014/main" id="{00000000-0008-0000-1300-000081040000}"/>
            </a:ext>
          </a:extLst>
        </xdr:cNvPr>
        <xdr:cNvCxnSpPr/>
      </xdr:nvCxnSpPr>
      <xdr:spPr>
        <a:xfrm>
          <a:off x="7598834" y="486198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1148</xdr:row>
      <xdr:rowOff>21167</xdr:rowOff>
    </xdr:from>
    <xdr:to>
      <xdr:col>13</xdr:col>
      <xdr:colOff>592667</xdr:colOff>
      <xdr:row>1150</xdr:row>
      <xdr:rowOff>0</xdr:rowOff>
    </xdr:to>
    <xdr:cxnSp macro="">
      <xdr:nvCxnSpPr>
        <xdr:cNvPr id="1154" name="Straight Arrow Connector 1153">
          <a:extLst>
            <a:ext uri="{FF2B5EF4-FFF2-40B4-BE49-F238E27FC236}">
              <a16:creationId xmlns:a16="http://schemas.microsoft.com/office/drawing/2014/main" id="{00000000-0008-0000-1300-000082040000}"/>
            </a:ext>
          </a:extLst>
        </xdr:cNvPr>
        <xdr:cNvCxnSpPr/>
      </xdr:nvCxnSpPr>
      <xdr:spPr>
        <a:xfrm flipV="1">
          <a:off x="8794750" y="466936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1153</xdr:row>
      <xdr:rowOff>21166</xdr:rowOff>
    </xdr:from>
    <xdr:to>
      <xdr:col>13</xdr:col>
      <xdr:colOff>592667</xdr:colOff>
      <xdr:row>1154</xdr:row>
      <xdr:rowOff>169334</xdr:rowOff>
    </xdr:to>
    <xdr:cxnSp macro="">
      <xdr:nvCxnSpPr>
        <xdr:cNvPr id="1155" name="Straight Arrow Connector 1154">
          <a:extLst>
            <a:ext uri="{FF2B5EF4-FFF2-40B4-BE49-F238E27FC236}">
              <a16:creationId xmlns:a16="http://schemas.microsoft.com/office/drawing/2014/main" id="{00000000-0008-0000-1300-000083040000}"/>
            </a:ext>
          </a:extLst>
        </xdr:cNvPr>
        <xdr:cNvCxnSpPr/>
      </xdr:nvCxnSpPr>
      <xdr:spPr>
        <a:xfrm>
          <a:off x="8784166" y="476461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1168</xdr:row>
      <xdr:rowOff>21167</xdr:rowOff>
    </xdr:from>
    <xdr:to>
      <xdr:col>13</xdr:col>
      <xdr:colOff>592667</xdr:colOff>
      <xdr:row>1170</xdr:row>
      <xdr:rowOff>63500</xdr:rowOff>
    </xdr:to>
    <xdr:cxnSp macro="">
      <xdr:nvCxnSpPr>
        <xdr:cNvPr id="1156" name="Straight Arrow Connector 1155">
          <a:extLst>
            <a:ext uri="{FF2B5EF4-FFF2-40B4-BE49-F238E27FC236}">
              <a16:creationId xmlns:a16="http://schemas.microsoft.com/office/drawing/2014/main" id="{00000000-0008-0000-1300-000084040000}"/>
            </a:ext>
          </a:extLst>
        </xdr:cNvPr>
        <xdr:cNvCxnSpPr/>
      </xdr:nvCxnSpPr>
      <xdr:spPr>
        <a:xfrm flipV="1">
          <a:off x="8794750" y="506941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1173</xdr:row>
      <xdr:rowOff>0</xdr:rowOff>
    </xdr:from>
    <xdr:to>
      <xdr:col>14</xdr:col>
      <xdr:colOff>10584</xdr:colOff>
      <xdr:row>1181</xdr:row>
      <xdr:rowOff>148167</xdr:rowOff>
    </xdr:to>
    <xdr:cxnSp macro="">
      <xdr:nvCxnSpPr>
        <xdr:cNvPr id="1157" name="Straight Arrow Connector 1156">
          <a:extLst>
            <a:ext uri="{FF2B5EF4-FFF2-40B4-BE49-F238E27FC236}">
              <a16:creationId xmlns:a16="http://schemas.microsoft.com/office/drawing/2014/main" id="{00000000-0008-0000-1300-000085040000}"/>
            </a:ext>
          </a:extLst>
        </xdr:cNvPr>
        <xdr:cNvCxnSpPr/>
      </xdr:nvCxnSpPr>
      <xdr:spPr>
        <a:xfrm>
          <a:off x="8805333" y="516255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1140</xdr:row>
      <xdr:rowOff>0</xdr:rowOff>
    </xdr:from>
    <xdr:to>
      <xdr:col>15</xdr:col>
      <xdr:colOff>603250</xdr:colOff>
      <xdr:row>1145</xdr:row>
      <xdr:rowOff>31750</xdr:rowOff>
    </xdr:to>
    <xdr:cxnSp macro="">
      <xdr:nvCxnSpPr>
        <xdr:cNvPr id="1158" name="Straight Arrow Connector 1157">
          <a:extLst>
            <a:ext uri="{FF2B5EF4-FFF2-40B4-BE49-F238E27FC236}">
              <a16:creationId xmlns:a16="http://schemas.microsoft.com/office/drawing/2014/main" id="{00000000-0008-0000-1300-000086040000}"/>
            </a:ext>
          </a:extLst>
        </xdr:cNvPr>
        <xdr:cNvCxnSpPr/>
      </xdr:nvCxnSpPr>
      <xdr:spPr>
        <a:xfrm flipV="1">
          <a:off x="10541000" y="45148500"/>
          <a:ext cx="603250" cy="984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1143</xdr:row>
      <xdr:rowOff>52917</xdr:rowOff>
    </xdr:from>
    <xdr:to>
      <xdr:col>15</xdr:col>
      <xdr:colOff>603250</xdr:colOff>
      <xdr:row>1145</xdr:row>
      <xdr:rowOff>95250</xdr:rowOff>
    </xdr:to>
    <xdr:cxnSp macro="">
      <xdr:nvCxnSpPr>
        <xdr:cNvPr id="1159" name="Straight Arrow Connector 1158">
          <a:extLst>
            <a:ext uri="{FF2B5EF4-FFF2-40B4-BE49-F238E27FC236}">
              <a16:creationId xmlns:a16="http://schemas.microsoft.com/office/drawing/2014/main" id="{00000000-0008-0000-1300-000087040000}"/>
            </a:ext>
          </a:extLst>
        </xdr:cNvPr>
        <xdr:cNvCxnSpPr/>
      </xdr:nvCxnSpPr>
      <xdr:spPr>
        <a:xfrm flipV="1">
          <a:off x="10583333" y="45772917"/>
          <a:ext cx="56091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1145</xdr:row>
      <xdr:rowOff>158750</xdr:rowOff>
    </xdr:from>
    <xdr:to>
      <xdr:col>15</xdr:col>
      <xdr:colOff>582083</xdr:colOff>
      <xdr:row>1146</xdr:row>
      <xdr:rowOff>137583</xdr:rowOff>
    </xdr:to>
    <xdr:cxnSp macro="">
      <xdr:nvCxnSpPr>
        <xdr:cNvPr id="1160" name="Straight Arrow Connector 1159">
          <a:extLst>
            <a:ext uri="{FF2B5EF4-FFF2-40B4-BE49-F238E27FC236}">
              <a16:creationId xmlns:a16="http://schemas.microsoft.com/office/drawing/2014/main" id="{00000000-0008-0000-1300-000088040000}"/>
            </a:ext>
          </a:extLst>
        </xdr:cNvPr>
        <xdr:cNvCxnSpPr/>
      </xdr:nvCxnSpPr>
      <xdr:spPr>
        <a:xfrm>
          <a:off x="10604500" y="46259750"/>
          <a:ext cx="518583" cy="169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1121834</xdr:colOff>
      <xdr:row>1145</xdr:row>
      <xdr:rowOff>105834</xdr:rowOff>
    </xdr:from>
    <xdr:to>
      <xdr:col>16</xdr:col>
      <xdr:colOff>0</xdr:colOff>
      <xdr:row>1149</xdr:row>
      <xdr:rowOff>84667</xdr:rowOff>
    </xdr:to>
    <xdr:cxnSp macro="">
      <xdr:nvCxnSpPr>
        <xdr:cNvPr id="1161" name="Straight Arrow Connector 1160">
          <a:extLst>
            <a:ext uri="{FF2B5EF4-FFF2-40B4-BE49-F238E27FC236}">
              <a16:creationId xmlns:a16="http://schemas.microsoft.com/office/drawing/2014/main" id="{00000000-0008-0000-1300-000089040000}"/>
            </a:ext>
          </a:extLst>
        </xdr:cNvPr>
        <xdr:cNvCxnSpPr/>
      </xdr:nvCxnSpPr>
      <xdr:spPr>
        <a:xfrm>
          <a:off x="10519834" y="46206834"/>
          <a:ext cx="624416"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1153</xdr:row>
      <xdr:rowOff>52916</xdr:rowOff>
    </xdr:from>
    <xdr:to>
      <xdr:col>16</xdr:col>
      <xdr:colOff>0</xdr:colOff>
      <xdr:row>1155</xdr:row>
      <xdr:rowOff>0</xdr:rowOff>
    </xdr:to>
    <xdr:cxnSp macro="">
      <xdr:nvCxnSpPr>
        <xdr:cNvPr id="1162" name="Straight Arrow Connector 1161">
          <a:extLst>
            <a:ext uri="{FF2B5EF4-FFF2-40B4-BE49-F238E27FC236}">
              <a16:creationId xmlns:a16="http://schemas.microsoft.com/office/drawing/2014/main" id="{00000000-0008-0000-1300-00008A040000}"/>
            </a:ext>
          </a:extLst>
        </xdr:cNvPr>
        <xdr:cNvCxnSpPr/>
      </xdr:nvCxnSpPr>
      <xdr:spPr>
        <a:xfrm flipV="1">
          <a:off x="10541000" y="476779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1155</xdr:row>
      <xdr:rowOff>21167</xdr:rowOff>
    </xdr:from>
    <xdr:to>
      <xdr:col>15</xdr:col>
      <xdr:colOff>582083</xdr:colOff>
      <xdr:row>1156</xdr:row>
      <xdr:rowOff>42333</xdr:rowOff>
    </xdr:to>
    <xdr:cxnSp macro="">
      <xdr:nvCxnSpPr>
        <xdr:cNvPr id="1163" name="Straight Arrow Connector 1162">
          <a:extLst>
            <a:ext uri="{FF2B5EF4-FFF2-40B4-BE49-F238E27FC236}">
              <a16:creationId xmlns:a16="http://schemas.microsoft.com/office/drawing/2014/main" id="{00000000-0008-0000-1300-00008B040000}"/>
            </a:ext>
          </a:extLst>
        </xdr:cNvPr>
        <xdr:cNvCxnSpPr/>
      </xdr:nvCxnSpPr>
      <xdr:spPr>
        <a:xfrm>
          <a:off x="10551583" y="48027167"/>
          <a:ext cx="571500" cy="211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1155</xdr:row>
      <xdr:rowOff>21167</xdr:rowOff>
    </xdr:from>
    <xdr:to>
      <xdr:col>16</xdr:col>
      <xdr:colOff>42333</xdr:colOff>
      <xdr:row>1160</xdr:row>
      <xdr:rowOff>21168</xdr:rowOff>
    </xdr:to>
    <xdr:cxnSp macro="">
      <xdr:nvCxnSpPr>
        <xdr:cNvPr id="1164" name="Straight Arrow Connector 1163">
          <a:extLst>
            <a:ext uri="{FF2B5EF4-FFF2-40B4-BE49-F238E27FC236}">
              <a16:creationId xmlns:a16="http://schemas.microsoft.com/office/drawing/2014/main" id="{00000000-0008-0000-1300-00008C040000}"/>
            </a:ext>
          </a:extLst>
        </xdr:cNvPr>
        <xdr:cNvCxnSpPr/>
      </xdr:nvCxnSpPr>
      <xdr:spPr>
        <a:xfrm>
          <a:off x="10530417" y="48027167"/>
          <a:ext cx="656166" cy="9525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1155</xdr:row>
      <xdr:rowOff>31750</xdr:rowOff>
    </xdr:from>
    <xdr:to>
      <xdr:col>16</xdr:col>
      <xdr:colOff>42334</xdr:colOff>
      <xdr:row>1162</xdr:row>
      <xdr:rowOff>63501</xdr:rowOff>
    </xdr:to>
    <xdr:cxnSp macro="">
      <xdr:nvCxnSpPr>
        <xdr:cNvPr id="1165" name="Straight Arrow Connector 1164">
          <a:extLst>
            <a:ext uri="{FF2B5EF4-FFF2-40B4-BE49-F238E27FC236}">
              <a16:creationId xmlns:a16="http://schemas.microsoft.com/office/drawing/2014/main" id="{00000000-0008-0000-1300-00008D040000}"/>
            </a:ext>
          </a:extLst>
        </xdr:cNvPr>
        <xdr:cNvCxnSpPr/>
      </xdr:nvCxnSpPr>
      <xdr:spPr>
        <a:xfrm>
          <a:off x="10541000" y="48037750"/>
          <a:ext cx="645584"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10583</xdr:colOff>
      <xdr:row>1192</xdr:row>
      <xdr:rowOff>42333</xdr:rowOff>
    </xdr:from>
    <xdr:to>
      <xdr:col>9</xdr:col>
      <xdr:colOff>592666</xdr:colOff>
      <xdr:row>1200</xdr:row>
      <xdr:rowOff>42333</xdr:rowOff>
    </xdr:to>
    <xdr:cxnSp macro="">
      <xdr:nvCxnSpPr>
        <xdr:cNvPr id="1166" name="Straight Arrow Connector 1165">
          <a:extLst>
            <a:ext uri="{FF2B5EF4-FFF2-40B4-BE49-F238E27FC236}">
              <a16:creationId xmlns:a16="http://schemas.microsoft.com/office/drawing/2014/main" id="{00000000-0008-0000-1300-00008E040000}"/>
            </a:ext>
          </a:extLst>
        </xdr:cNvPr>
        <xdr:cNvCxnSpPr/>
      </xdr:nvCxnSpPr>
      <xdr:spPr>
        <a:xfrm flipV="1">
          <a:off x="6392333" y="55287333"/>
          <a:ext cx="582083" cy="152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1202</xdr:row>
      <xdr:rowOff>169334</xdr:rowOff>
    </xdr:from>
    <xdr:to>
      <xdr:col>9</xdr:col>
      <xdr:colOff>603250</xdr:colOff>
      <xdr:row>1211</xdr:row>
      <xdr:rowOff>31750</xdr:rowOff>
    </xdr:to>
    <xdr:cxnSp macro="">
      <xdr:nvCxnSpPr>
        <xdr:cNvPr id="1167" name="Straight Arrow Connector 1166">
          <a:extLst>
            <a:ext uri="{FF2B5EF4-FFF2-40B4-BE49-F238E27FC236}">
              <a16:creationId xmlns:a16="http://schemas.microsoft.com/office/drawing/2014/main" id="{00000000-0008-0000-1300-00008F040000}"/>
            </a:ext>
          </a:extLst>
        </xdr:cNvPr>
        <xdr:cNvCxnSpPr/>
      </xdr:nvCxnSpPr>
      <xdr:spPr>
        <a:xfrm>
          <a:off x="6413500" y="57319334"/>
          <a:ext cx="571500" cy="1576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571500</xdr:colOff>
      <xdr:row>1208</xdr:row>
      <xdr:rowOff>158750</xdr:rowOff>
    </xdr:from>
    <xdr:to>
      <xdr:col>11</xdr:col>
      <xdr:colOff>571500</xdr:colOff>
      <xdr:row>1211</xdr:row>
      <xdr:rowOff>0</xdr:rowOff>
    </xdr:to>
    <xdr:cxnSp macro="">
      <xdr:nvCxnSpPr>
        <xdr:cNvPr id="1168" name="Straight Arrow Connector 1167">
          <a:extLst>
            <a:ext uri="{FF2B5EF4-FFF2-40B4-BE49-F238E27FC236}">
              <a16:creationId xmlns:a16="http://schemas.microsoft.com/office/drawing/2014/main" id="{00000000-0008-0000-1300-000090040000}"/>
            </a:ext>
          </a:extLst>
        </xdr:cNvPr>
        <xdr:cNvCxnSpPr/>
      </xdr:nvCxnSpPr>
      <xdr:spPr>
        <a:xfrm flipV="1">
          <a:off x="7556500" y="58451750"/>
          <a:ext cx="603250" cy="412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1166</xdr:row>
      <xdr:rowOff>0</xdr:rowOff>
    </xdr:from>
    <xdr:to>
      <xdr:col>15</xdr:col>
      <xdr:colOff>603250</xdr:colOff>
      <xdr:row>1168</xdr:row>
      <xdr:rowOff>1</xdr:rowOff>
    </xdr:to>
    <xdr:cxnSp macro="">
      <xdr:nvCxnSpPr>
        <xdr:cNvPr id="1169" name="Straight Arrow Connector 1168">
          <a:extLst>
            <a:ext uri="{FF2B5EF4-FFF2-40B4-BE49-F238E27FC236}">
              <a16:creationId xmlns:a16="http://schemas.microsoft.com/office/drawing/2014/main" id="{00000000-0008-0000-1300-000091040000}"/>
            </a:ext>
          </a:extLst>
        </xdr:cNvPr>
        <xdr:cNvCxnSpPr/>
      </xdr:nvCxnSpPr>
      <xdr:spPr>
        <a:xfrm flipV="1">
          <a:off x="10530417" y="502920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1168</xdr:row>
      <xdr:rowOff>10584</xdr:rowOff>
    </xdr:from>
    <xdr:to>
      <xdr:col>15</xdr:col>
      <xdr:colOff>592666</xdr:colOff>
      <xdr:row>1169</xdr:row>
      <xdr:rowOff>95250</xdr:rowOff>
    </xdr:to>
    <xdr:cxnSp macro="">
      <xdr:nvCxnSpPr>
        <xdr:cNvPr id="1170" name="Straight Arrow Connector 1169">
          <a:extLst>
            <a:ext uri="{FF2B5EF4-FFF2-40B4-BE49-F238E27FC236}">
              <a16:creationId xmlns:a16="http://schemas.microsoft.com/office/drawing/2014/main" id="{00000000-0008-0000-1300-000092040000}"/>
            </a:ext>
          </a:extLst>
        </xdr:cNvPr>
        <xdr:cNvCxnSpPr/>
      </xdr:nvCxnSpPr>
      <xdr:spPr>
        <a:xfrm>
          <a:off x="10572750" y="506835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1168</xdr:row>
      <xdr:rowOff>10584</xdr:rowOff>
    </xdr:from>
    <xdr:to>
      <xdr:col>15</xdr:col>
      <xdr:colOff>560916</xdr:colOff>
      <xdr:row>1172</xdr:row>
      <xdr:rowOff>52917</xdr:rowOff>
    </xdr:to>
    <xdr:cxnSp macro="">
      <xdr:nvCxnSpPr>
        <xdr:cNvPr id="1171" name="Straight Arrow Connector 1170">
          <a:extLst>
            <a:ext uri="{FF2B5EF4-FFF2-40B4-BE49-F238E27FC236}">
              <a16:creationId xmlns:a16="http://schemas.microsoft.com/office/drawing/2014/main" id="{00000000-0008-0000-1300-000093040000}"/>
            </a:ext>
          </a:extLst>
        </xdr:cNvPr>
        <xdr:cNvCxnSpPr/>
      </xdr:nvCxnSpPr>
      <xdr:spPr>
        <a:xfrm>
          <a:off x="10551583" y="506835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1168</xdr:row>
      <xdr:rowOff>31750</xdr:rowOff>
    </xdr:from>
    <xdr:to>
      <xdr:col>16</xdr:col>
      <xdr:colOff>21167</xdr:colOff>
      <xdr:row>1175</xdr:row>
      <xdr:rowOff>95250</xdr:rowOff>
    </xdr:to>
    <xdr:cxnSp macro="">
      <xdr:nvCxnSpPr>
        <xdr:cNvPr id="1172" name="Straight Arrow Connector 1171">
          <a:extLst>
            <a:ext uri="{FF2B5EF4-FFF2-40B4-BE49-F238E27FC236}">
              <a16:creationId xmlns:a16="http://schemas.microsoft.com/office/drawing/2014/main" id="{00000000-0008-0000-1300-000094040000}"/>
            </a:ext>
          </a:extLst>
        </xdr:cNvPr>
        <xdr:cNvCxnSpPr/>
      </xdr:nvCxnSpPr>
      <xdr:spPr>
        <a:xfrm>
          <a:off x="10583333" y="507047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1182</xdr:row>
      <xdr:rowOff>0</xdr:rowOff>
    </xdr:from>
    <xdr:to>
      <xdr:col>16</xdr:col>
      <xdr:colOff>0</xdr:colOff>
      <xdr:row>1182</xdr:row>
      <xdr:rowOff>42334</xdr:rowOff>
    </xdr:to>
    <xdr:cxnSp macro="">
      <xdr:nvCxnSpPr>
        <xdr:cNvPr id="1173" name="Straight Arrow Connector 1172">
          <a:extLst>
            <a:ext uri="{FF2B5EF4-FFF2-40B4-BE49-F238E27FC236}">
              <a16:creationId xmlns:a16="http://schemas.microsoft.com/office/drawing/2014/main" id="{00000000-0008-0000-1300-000095040000}"/>
            </a:ext>
          </a:extLst>
        </xdr:cNvPr>
        <xdr:cNvCxnSpPr/>
      </xdr:nvCxnSpPr>
      <xdr:spPr>
        <a:xfrm>
          <a:off x="10562166" y="533400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1182</xdr:row>
      <xdr:rowOff>21166</xdr:rowOff>
    </xdr:from>
    <xdr:to>
      <xdr:col>15</xdr:col>
      <xdr:colOff>560916</xdr:colOff>
      <xdr:row>1185</xdr:row>
      <xdr:rowOff>84667</xdr:rowOff>
    </xdr:to>
    <xdr:cxnSp macro="">
      <xdr:nvCxnSpPr>
        <xdr:cNvPr id="1174" name="Straight Arrow Connector 1173">
          <a:extLst>
            <a:ext uri="{FF2B5EF4-FFF2-40B4-BE49-F238E27FC236}">
              <a16:creationId xmlns:a16="http://schemas.microsoft.com/office/drawing/2014/main" id="{00000000-0008-0000-1300-000096040000}"/>
            </a:ext>
          </a:extLst>
        </xdr:cNvPr>
        <xdr:cNvCxnSpPr/>
      </xdr:nvCxnSpPr>
      <xdr:spPr>
        <a:xfrm>
          <a:off x="10615083" y="533611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1182</xdr:row>
      <xdr:rowOff>52916</xdr:rowOff>
    </xdr:from>
    <xdr:to>
      <xdr:col>15</xdr:col>
      <xdr:colOff>592666</xdr:colOff>
      <xdr:row>1188</xdr:row>
      <xdr:rowOff>63501</xdr:rowOff>
    </xdr:to>
    <xdr:cxnSp macro="">
      <xdr:nvCxnSpPr>
        <xdr:cNvPr id="1175" name="Straight Arrow Connector 1174">
          <a:extLst>
            <a:ext uri="{FF2B5EF4-FFF2-40B4-BE49-F238E27FC236}">
              <a16:creationId xmlns:a16="http://schemas.microsoft.com/office/drawing/2014/main" id="{00000000-0008-0000-1300-000097040000}"/>
            </a:ext>
          </a:extLst>
        </xdr:cNvPr>
        <xdr:cNvCxnSpPr/>
      </xdr:nvCxnSpPr>
      <xdr:spPr>
        <a:xfrm>
          <a:off x="10572750" y="533929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1196</xdr:row>
      <xdr:rowOff>116416</xdr:rowOff>
    </xdr:from>
    <xdr:to>
      <xdr:col>15</xdr:col>
      <xdr:colOff>592666</xdr:colOff>
      <xdr:row>1199</xdr:row>
      <xdr:rowOff>158750</xdr:rowOff>
    </xdr:to>
    <xdr:cxnSp macro="">
      <xdr:nvCxnSpPr>
        <xdr:cNvPr id="1176" name="Straight Arrow Connector 1175">
          <a:extLst>
            <a:ext uri="{FF2B5EF4-FFF2-40B4-BE49-F238E27FC236}">
              <a16:creationId xmlns:a16="http://schemas.microsoft.com/office/drawing/2014/main" id="{00000000-0008-0000-1300-000098040000}"/>
            </a:ext>
          </a:extLst>
        </xdr:cNvPr>
        <xdr:cNvCxnSpPr/>
      </xdr:nvCxnSpPr>
      <xdr:spPr>
        <a:xfrm flipV="1">
          <a:off x="10562166" y="56123416"/>
          <a:ext cx="571500" cy="613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1198</xdr:row>
      <xdr:rowOff>95250</xdr:rowOff>
    </xdr:from>
    <xdr:to>
      <xdr:col>15</xdr:col>
      <xdr:colOff>582083</xdr:colOff>
      <xdr:row>1200</xdr:row>
      <xdr:rowOff>52917</xdr:rowOff>
    </xdr:to>
    <xdr:cxnSp macro="">
      <xdr:nvCxnSpPr>
        <xdr:cNvPr id="1177" name="Straight Arrow Connector 1176">
          <a:extLst>
            <a:ext uri="{FF2B5EF4-FFF2-40B4-BE49-F238E27FC236}">
              <a16:creationId xmlns:a16="http://schemas.microsoft.com/office/drawing/2014/main" id="{00000000-0008-0000-1300-000099040000}"/>
            </a:ext>
          </a:extLst>
        </xdr:cNvPr>
        <xdr:cNvCxnSpPr/>
      </xdr:nvCxnSpPr>
      <xdr:spPr>
        <a:xfrm flipV="1">
          <a:off x="10604500" y="56483250"/>
          <a:ext cx="518583" cy="338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1200</xdr:row>
      <xdr:rowOff>116417</xdr:rowOff>
    </xdr:from>
    <xdr:to>
      <xdr:col>15</xdr:col>
      <xdr:colOff>592666</xdr:colOff>
      <xdr:row>1204</xdr:row>
      <xdr:rowOff>95250</xdr:rowOff>
    </xdr:to>
    <xdr:cxnSp macro="">
      <xdr:nvCxnSpPr>
        <xdr:cNvPr id="1178" name="Straight Arrow Connector 1177">
          <a:extLst>
            <a:ext uri="{FF2B5EF4-FFF2-40B4-BE49-F238E27FC236}">
              <a16:creationId xmlns:a16="http://schemas.microsoft.com/office/drawing/2014/main" id="{00000000-0008-0000-1300-00009A040000}"/>
            </a:ext>
          </a:extLst>
        </xdr:cNvPr>
        <xdr:cNvCxnSpPr/>
      </xdr:nvCxnSpPr>
      <xdr:spPr>
        <a:xfrm>
          <a:off x="10593916" y="56885417"/>
          <a:ext cx="53975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1211</xdr:row>
      <xdr:rowOff>116416</xdr:rowOff>
    </xdr:from>
    <xdr:to>
      <xdr:col>16</xdr:col>
      <xdr:colOff>0</xdr:colOff>
      <xdr:row>1218</xdr:row>
      <xdr:rowOff>74084</xdr:rowOff>
    </xdr:to>
    <xdr:cxnSp macro="">
      <xdr:nvCxnSpPr>
        <xdr:cNvPr id="1179" name="Straight Arrow Connector 1178">
          <a:extLst>
            <a:ext uri="{FF2B5EF4-FFF2-40B4-BE49-F238E27FC236}">
              <a16:creationId xmlns:a16="http://schemas.microsoft.com/office/drawing/2014/main" id="{00000000-0008-0000-1300-00009B040000}"/>
            </a:ext>
          </a:extLst>
        </xdr:cNvPr>
        <xdr:cNvCxnSpPr/>
      </xdr:nvCxnSpPr>
      <xdr:spPr>
        <a:xfrm>
          <a:off x="10572750" y="58980916"/>
          <a:ext cx="571500" cy="12911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1179</xdr:row>
      <xdr:rowOff>52917</xdr:rowOff>
    </xdr:from>
    <xdr:to>
      <xdr:col>15</xdr:col>
      <xdr:colOff>603250</xdr:colOff>
      <xdr:row>1181</xdr:row>
      <xdr:rowOff>148167</xdr:rowOff>
    </xdr:to>
    <xdr:cxnSp macro="">
      <xdr:nvCxnSpPr>
        <xdr:cNvPr id="1180" name="Straight Arrow Connector 1179">
          <a:extLst>
            <a:ext uri="{FF2B5EF4-FFF2-40B4-BE49-F238E27FC236}">
              <a16:creationId xmlns:a16="http://schemas.microsoft.com/office/drawing/2014/main" id="{00000000-0008-0000-1300-00009C040000}"/>
            </a:ext>
          </a:extLst>
        </xdr:cNvPr>
        <xdr:cNvCxnSpPr/>
      </xdr:nvCxnSpPr>
      <xdr:spPr>
        <a:xfrm flipV="1">
          <a:off x="10583333" y="528214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1214</xdr:row>
      <xdr:rowOff>42333</xdr:rowOff>
    </xdr:from>
    <xdr:to>
      <xdr:col>11</xdr:col>
      <xdr:colOff>603250</xdr:colOff>
      <xdr:row>1226</xdr:row>
      <xdr:rowOff>10583</xdr:rowOff>
    </xdr:to>
    <xdr:cxnSp macro="">
      <xdr:nvCxnSpPr>
        <xdr:cNvPr id="1181" name="Straight Arrow Connector 1180">
          <a:extLst>
            <a:ext uri="{FF2B5EF4-FFF2-40B4-BE49-F238E27FC236}">
              <a16:creationId xmlns:a16="http://schemas.microsoft.com/office/drawing/2014/main" id="{00000000-0008-0000-1300-00009D040000}"/>
            </a:ext>
          </a:extLst>
        </xdr:cNvPr>
        <xdr:cNvCxnSpPr/>
      </xdr:nvCxnSpPr>
      <xdr:spPr>
        <a:xfrm>
          <a:off x="7598834" y="594783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1204</xdr:row>
      <xdr:rowOff>21167</xdr:rowOff>
    </xdr:from>
    <xdr:to>
      <xdr:col>13</xdr:col>
      <xdr:colOff>592667</xdr:colOff>
      <xdr:row>1206</xdr:row>
      <xdr:rowOff>0</xdr:rowOff>
    </xdr:to>
    <xdr:cxnSp macro="">
      <xdr:nvCxnSpPr>
        <xdr:cNvPr id="1182" name="Straight Arrow Connector 1181">
          <a:extLst>
            <a:ext uri="{FF2B5EF4-FFF2-40B4-BE49-F238E27FC236}">
              <a16:creationId xmlns:a16="http://schemas.microsoft.com/office/drawing/2014/main" id="{00000000-0008-0000-1300-00009E040000}"/>
            </a:ext>
          </a:extLst>
        </xdr:cNvPr>
        <xdr:cNvCxnSpPr/>
      </xdr:nvCxnSpPr>
      <xdr:spPr>
        <a:xfrm flipV="1">
          <a:off x="8794750" y="575521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1209</xdr:row>
      <xdr:rowOff>21166</xdr:rowOff>
    </xdr:from>
    <xdr:to>
      <xdr:col>13</xdr:col>
      <xdr:colOff>592667</xdr:colOff>
      <xdr:row>1210</xdr:row>
      <xdr:rowOff>169334</xdr:rowOff>
    </xdr:to>
    <xdr:cxnSp macro="">
      <xdr:nvCxnSpPr>
        <xdr:cNvPr id="1183" name="Straight Arrow Connector 1182">
          <a:extLst>
            <a:ext uri="{FF2B5EF4-FFF2-40B4-BE49-F238E27FC236}">
              <a16:creationId xmlns:a16="http://schemas.microsoft.com/office/drawing/2014/main" id="{00000000-0008-0000-1300-00009F040000}"/>
            </a:ext>
          </a:extLst>
        </xdr:cNvPr>
        <xdr:cNvCxnSpPr/>
      </xdr:nvCxnSpPr>
      <xdr:spPr>
        <a:xfrm>
          <a:off x="8784166" y="585046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1224</xdr:row>
      <xdr:rowOff>21167</xdr:rowOff>
    </xdr:from>
    <xdr:to>
      <xdr:col>13</xdr:col>
      <xdr:colOff>592667</xdr:colOff>
      <xdr:row>1226</xdr:row>
      <xdr:rowOff>63500</xdr:rowOff>
    </xdr:to>
    <xdr:cxnSp macro="">
      <xdr:nvCxnSpPr>
        <xdr:cNvPr id="1184" name="Straight Arrow Connector 1183">
          <a:extLst>
            <a:ext uri="{FF2B5EF4-FFF2-40B4-BE49-F238E27FC236}">
              <a16:creationId xmlns:a16="http://schemas.microsoft.com/office/drawing/2014/main" id="{00000000-0008-0000-1300-0000A0040000}"/>
            </a:ext>
          </a:extLst>
        </xdr:cNvPr>
        <xdr:cNvCxnSpPr/>
      </xdr:nvCxnSpPr>
      <xdr:spPr>
        <a:xfrm flipV="1">
          <a:off x="8794750" y="615526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1229</xdr:row>
      <xdr:rowOff>0</xdr:rowOff>
    </xdr:from>
    <xdr:to>
      <xdr:col>14</xdr:col>
      <xdr:colOff>10584</xdr:colOff>
      <xdr:row>1237</xdr:row>
      <xdr:rowOff>148167</xdr:rowOff>
    </xdr:to>
    <xdr:cxnSp macro="">
      <xdr:nvCxnSpPr>
        <xdr:cNvPr id="1185" name="Straight Arrow Connector 1184">
          <a:extLst>
            <a:ext uri="{FF2B5EF4-FFF2-40B4-BE49-F238E27FC236}">
              <a16:creationId xmlns:a16="http://schemas.microsoft.com/office/drawing/2014/main" id="{00000000-0008-0000-1300-0000A1040000}"/>
            </a:ext>
          </a:extLst>
        </xdr:cNvPr>
        <xdr:cNvCxnSpPr/>
      </xdr:nvCxnSpPr>
      <xdr:spPr>
        <a:xfrm>
          <a:off x="8805333" y="624840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1200</xdr:row>
      <xdr:rowOff>95250</xdr:rowOff>
    </xdr:from>
    <xdr:to>
      <xdr:col>15</xdr:col>
      <xdr:colOff>582083</xdr:colOff>
      <xdr:row>1202</xdr:row>
      <xdr:rowOff>137583</xdr:rowOff>
    </xdr:to>
    <xdr:cxnSp macro="">
      <xdr:nvCxnSpPr>
        <xdr:cNvPr id="1186" name="Straight Arrow Connector 1185">
          <a:extLst>
            <a:ext uri="{FF2B5EF4-FFF2-40B4-BE49-F238E27FC236}">
              <a16:creationId xmlns:a16="http://schemas.microsoft.com/office/drawing/2014/main" id="{00000000-0008-0000-1300-0000A2040000}"/>
            </a:ext>
          </a:extLst>
        </xdr:cNvPr>
        <xdr:cNvCxnSpPr/>
      </xdr:nvCxnSpPr>
      <xdr:spPr>
        <a:xfrm>
          <a:off x="10593916" y="56864250"/>
          <a:ext cx="5291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1209</xdr:row>
      <xdr:rowOff>52916</xdr:rowOff>
    </xdr:from>
    <xdr:to>
      <xdr:col>16</xdr:col>
      <xdr:colOff>0</xdr:colOff>
      <xdr:row>1211</xdr:row>
      <xdr:rowOff>0</xdr:rowOff>
    </xdr:to>
    <xdr:cxnSp macro="">
      <xdr:nvCxnSpPr>
        <xdr:cNvPr id="1187" name="Straight Arrow Connector 1186">
          <a:extLst>
            <a:ext uri="{FF2B5EF4-FFF2-40B4-BE49-F238E27FC236}">
              <a16:creationId xmlns:a16="http://schemas.microsoft.com/office/drawing/2014/main" id="{00000000-0008-0000-1300-0000A3040000}"/>
            </a:ext>
          </a:extLst>
        </xdr:cNvPr>
        <xdr:cNvCxnSpPr/>
      </xdr:nvCxnSpPr>
      <xdr:spPr>
        <a:xfrm flipV="1">
          <a:off x="10541000" y="585364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1211</xdr:row>
      <xdr:rowOff>21167</xdr:rowOff>
    </xdr:from>
    <xdr:to>
      <xdr:col>15</xdr:col>
      <xdr:colOff>592666</xdr:colOff>
      <xdr:row>1212</xdr:row>
      <xdr:rowOff>84667</xdr:rowOff>
    </xdr:to>
    <xdr:cxnSp macro="">
      <xdr:nvCxnSpPr>
        <xdr:cNvPr id="1188" name="Straight Arrow Connector 1187">
          <a:extLst>
            <a:ext uri="{FF2B5EF4-FFF2-40B4-BE49-F238E27FC236}">
              <a16:creationId xmlns:a16="http://schemas.microsoft.com/office/drawing/2014/main" id="{00000000-0008-0000-1300-0000A4040000}"/>
            </a:ext>
          </a:extLst>
        </xdr:cNvPr>
        <xdr:cNvCxnSpPr/>
      </xdr:nvCxnSpPr>
      <xdr:spPr>
        <a:xfrm>
          <a:off x="10530417" y="58885667"/>
          <a:ext cx="603249" cy="25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1211</xdr:row>
      <xdr:rowOff>0</xdr:rowOff>
    </xdr:from>
    <xdr:to>
      <xdr:col>16</xdr:col>
      <xdr:colOff>0</xdr:colOff>
      <xdr:row>1215</xdr:row>
      <xdr:rowOff>42334</xdr:rowOff>
    </xdr:to>
    <xdr:cxnSp macro="">
      <xdr:nvCxnSpPr>
        <xdr:cNvPr id="1189" name="Straight Arrow Connector 1188">
          <a:extLst>
            <a:ext uri="{FF2B5EF4-FFF2-40B4-BE49-F238E27FC236}">
              <a16:creationId xmlns:a16="http://schemas.microsoft.com/office/drawing/2014/main" id="{00000000-0008-0000-1300-0000A5040000}"/>
            </a:ext>
          </a:extLst>
        </xdr:cNvPr>
        <xdr:cNvCxnSpPr/>
      </xdr:nvCxnSpPr>
      <xdr:spPr>
        <a:xfrm>
          <a:off x="10530417" y="58864500"/>
          <a:ext cx="613833" cy="804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1222</xdr:row>
      <xdr:rowOff>0</xdr:rowOff>
    </xdr:from>
    <xdr:to>
      <xdr:col>15</xdr:col>
      <xdr:colOff>603250</xdr:colOff>
      <xdr:row>1224</xdr:row>
      <xdr:rowOff>1</xdr:rowOff>
    </xdr:to>
    <xdr:cxnSp macro="">
      <xdr:nvCxnSpPr>
        <xdr:cNvPr id="1190" name="Straight Arrow Connector 1189">
          <a:extLst>
            <a:ext uri="{FF2B5EF4-FFF2-40B4-BE49-F238E27FC236}">
              <a16:creationId xmlns:a16="http://schemas.microsoft.com/office/drawing/2014/main" id="{00000000-0008-0000-1300-0000A6040000}"/>
            </a:ext>
          </a:extLst>
        </xdr:cNvPr>
        <xdr:cNvCxnSpPr/>
      </xdr:nvCxnSpPr>
      <xdr:spPr>
        <a:xfrm flipV="1">
          <a:off x="10530417" y="611505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1224</xdr:row>
      <xdr:rowOff>10584</xdr:rowOff>
    </xdr:from>
    <xdr:to>
      <xdr:col>15</xdr:col>
      <xdr:colOff>592666</xdr:colOff>
      <xdr:row>1225</xdr:row>
      <xdr:rowOff>95250</xdr:rowOff>
    </xdr:to>
    <xdr:cxnSp macro="">
      <xdr:nvCxnSpPr>
        <xdr:cNvPr id="1191" name="Straight Arrow Connector 1190">
          <a:extLst>
            <a:ext uri="{FF2B5EF4-FFF2-40B4-BE49-F238E27FC236}">
              <a16:creationId xmlns:a16="http://schemas.microsoft.com/office/drawing/2014/main" id="{00000000-0008-0000-1300-0000A7040000}"/>
            </a:ext>
          </a:extLst>
        </xdr:cNvPr>
        <xdr:cNvCxnSpPr/>
      </xdr:nvCxnSpPr>
      <xdr:spPr>
        <a:xfrm>
          <a:off x="10572750" y="615420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1224</xdr:row>
      <xdr:rowOff>10584</xdr:rowOff>
    </xdr:from>
    <xdr:to>
      <xdr:col>15</xdr:col>
      <xdr:colOff>560916</xdr:colOff>
      <xdr:row>1228</xdr:row>
      <xdr:rowOff>52917</xdr:rowOff>
    </xdr:to>
    <xdr:cxnSp macro="">
      <xdr:nvCxnSpPr>
        <xdr:cNvPr id="1192" name="Straight Arrow Connector 1191">
          <a:extLst>
            <a:ext uri="{FF2B5EF4-FFF2-40B4-BE49-F238E27FC236}">
              <a16:creationId xmlns:a16="http://schemas.microsoft.com/office/drawing/2014/main" id="{00000000-0008-0000-1300-0000A8040000}"/>
            </a:ext>
          </a:extLst>
        </xdr:cNvPr>
        <xdr:cNvCxnSpPr/>
      </xdr:nvCxnSpPr>
      <xdr:spPr>
        <a:xfrm>
          <a:off x="10551583" y="615420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1224</xdr:row>
      <xdr:rowOff>31750</xdr:rowOff>
    </xdr:from>
    <xdr:to>
      <xdr:col>16</xdr:col>
      <xdr:colOff>21167</xdr:colOff>
      <xdr:row>1231</xdr:row>
      <xdr:rowOff>95250</xdr:rowOff>
    </xdr:to>
    <xdr:cxnSp macro="">
      <xdr:nvCxnSpPr>
        <xdr:cNvPr id="1193" name="Straight Arrow Connector 1192">
          <a:extLst>
            <a:ext uri="{FF2B5EF4-FFF2-40B4-BE49-F238E27FC236}">
              <a16:creationId xmlns:a16="http://schemas.microsoft.com/office/drawing/2014/main" id="{00000000-0008-0000-1300-0000A9040000}"/>
            </a:ext>
          </a:extLst>
        </xdr:cNvPr>
        <xdr:cNvCxnSpPr/>
      </xdr:nvCxnSpPr>
      <xdr:spPr>
        <a:xfrm>
          <a:off x="10583333" y="615632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1238</xdr:row>
      <xdr:rowOff>0</xdr:rowOff>
    </xdr:from>
    <xdr:to>
      <xdr:col>16</xdr:col>
      <xdr:colOff>0</xdr:colOff>
      <xdr:row>1238</xdr:row>
      <xdr:rowOff>42334</xdr:rowOff>
    </xdr:to>
    <xdr:cxnSp macro="">
      <xdr:nvCxnSpPr>
        <xdr:cNvPr id="1194" name="Straight Arrow Connector 1193">
          <a:extLst>
            <a:ext uri="{FF2B5EF4-FFF2-40B4-BE49-F238E27FC236}">
              <a16:creationId xmlns:a16="http://schemas.microsoft.com/office/drawing/2014/main" id="{00000000-0008-0000-1300-0000AA040000}"/>
            </a:ext>
          </a:extLst>
        </xdr:cNvPr>
        <xdr:cNvCxnSpPr/>
      </xdr:nvCxnSpPr>
      <xdr:spPr>
        <a:xfrm>
          <a:off x="10562166" y="641985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1238</xdr:row>
      <xdr:rowOff>21166</xdr:rowOff>
    </xdr:from>
    <xdr:to>
      <xdr:col>15</xdr:col>
      <xdr:colOff>560916</xdr:colOff>
      <xdr:row>1241</xdr:row>
      <xdr:rowOff>84667</xdr:rowOff>
    </xdr:to>
    <xdr:cxnSp macro="">
      <xdr:nvCxnSpPr>
        <xdr:cNvPr id="1195" name="Straight Arrow Connector 1194">
          <a:extLst>
            <a:ext uri="{FF2B5EF4-FFF2-40B4-BE49-F238E27FC236}">
              <a16:creationId xmlns:a16="http://schemas.microsoft.com/office/drawing/2014/main" id="{00000000-0008-0000-1300-0000AB040000}"/>
            </a:ext>
          </a:extLst>
        </xdr:cNvPr>
        <xdr:cNvCxnSpPr/>
      </xdr:nvCxnSpPr>
      <xdr:spPr>
        <a:xfrm>
          <a:off x="10615083" y="642196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1238</xdr:row>
      <xdr:rowOff>52916</xdr:rowOff>
    </xdr:from>
    <xdr:to>
      <xdr:col>15</xdr:col>
      <xdr:colOff>592666</xdr:colOff>
      <xdr:row>1244</xdr:row>
      <xdr:rowOff>63501</xdr:rowOff>
    </xdr:to>
    <xdr:cxnSp macro="">
      <xdr:nvCxnSpPr>
        <xdr:cNvPr id="1196" name="Straight Arrow Connector 1195">
          <a:extLst>
            <a:ext uri="{FF2B5EF4-FFF2-40B4-BE49-F238E27FC236}">
              <a16:creationId xmlns:a16="http://schemas.microsoft.com/office/drawing/2014/main" id="{00000000-0008-0000-1300-0000AC040000}"/>
            </a:ext>
          </a:extLst>
        </xdr:cNvPr>
        <xdr:cNvCxnSpPr/>
      </xdr:nvCxnSpPr>
      <xdr:spPr>
        <a:xfrm>
          <a:off x="10572750" y="642514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1235</xdr:row>
      <xdr:rowOff>52917</xdr:rowOff>
    </xdr:from>
    <xdr:to>
      <xdr:col>15</xdr:col>
      <xdr:colOff>603250</xdr:colOff>
      <xdr:row>1237</xdr:row>
      <xdr:rowOff>148167</xdr:rowOff>
    </xdr:to>
    <xdr:cxnSp macro="">
      <xdr:nvCxnSpPr>
        <xdr:cNvPr id="1197" name="Straight Arrow Connector 1196">
          <a:extLst>
            <a:ext uri="{FF2B5EF4-FFF2-40B4-BE49-F238E27FC236}">
              <a16:creationId xmlns:a16="http://schemas.microsoft.com/office/drawing/2014/main" id="{00000000-0008-0000-1300-0000AD040000}"/>
            </a:ext>
          </a:extLst>
        </xdr:cNvPr>
        <xdr:cNvCxnSpPr/>
      </xdr:nvCxnSpPr>
      <xdr:spPr>
        <a:xfrm flipV="1">
          <a:off x="10583333" y="636799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698500</xdr:colOff>
      <xdr:row>1279</xdr:row>
      <xdr:rowOff>95250</xdr:rowOff>
    </xdr:from>
    <xdr:to>
      <xdr:col>8</xdr:col>
      <xdr:colOff>21167</xdr:colOff>
      <xdr:row>1311</xdr:row>
      <xdr:rowOff>148166</xdr:rowOff>
    </xdr:to>
    <xdr:cxnSp macro="">
      <xdr:nvCxnSpPr>
        <xdr:cNvPr id="1198" name="Straight Arrow Connector 1197">
          <a:extLst>
            <a:ext uri="{FF2B5EF4-FFF2-40B4-BE49-F238E27FC236}">
              <a16:creationId xmlns:a16="http://schemas.microsoft.com/office/drawing/2014/main" id="{00000000-0008-0000-1300-0000AE040000}"/>
            </a:ext>
          </a:extLst>
        </xdr:cNvPr>
        <xdr:cNvCxnSpPr/>
      </xdr:nvCxnSpPr>
      <xdr:spPr>
        <a:xfrm>
          <a:off x="5080000" y="72294750"/>
          <a:ext cx="719667" cy="6148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1250</xdr:row>
      <xdr:rowOff>137583</xdr:rowOff>
    </xdr:from>
    <xdr:to>
      <xdr:col>9</xdr:col>
      <xdr:colOff>603250</xdr:colOff>
      <xdr:row>1256</xdr:row>
      <xdr:rowOff>21166</xdr:rowOff>
    </xdr:to>
    <xdr:cxnSp macro="">
      <xdr:nvCxnSpPr>
        <xdr:cNvPr id="1199" name="Straight Arrow Connector 1198">
          <a:extLst>
            <a:ext uri="{FF2B5EF4-FFF2-40B4-BE49-F238E27FC236}">
              <a16:creationId xmlns:a16="http://schemas.microsoft.com/office/drawing/2014/main" id="{00000000-0008-0000-1300-0000AF040000}"/>
            </a:ext>
          </a:extLst>
        </xdr:cNvPr>
        <xdr:cNvCxnSpPr/>
      </xdr:nvCxnSpPr>
      <xdr:spPr>
        <a:xfrm flipV="1">
          <a:off x="6381750" y="66622083"/>
          <a:ext cx="603250" cy="1026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1259</xdr:row>
      <xdr:rowOff>0</xdr:rowOff>
    </xdr:from>
    <xdr:to>
      <xdr:col>9</xdr:col>
      <xdr:colOff>582083</xdr:colOff>
      <xdr:row>1267</xdr:row>
      <xdr:rowOff>10583</xdr:rowOff>
    </xdr:to>
    <xdr:cxnSp macro="">
      <xdr:nvCxnSpPr>
        <xdr:cNvPr id="1200" name="Straight Arrow Connector 1199">
          <a:extLst>
            <a:ext uri="{FF2B5EF4-FFF2-40B4-BE49-F238E27FC236}">
              <a16:creationId xmlns:a16="http://schemas.microsoft.com/office/drawing/2014/main" id="{00000000-0008-0000-1300-0000B0040000}"/>
            </a:ext>
          </a:extLst>
        </xdr:cNvPr>
        <xdr:cNvCxnSpPr/>
      </xdr:nvCxnSpPr>
      <xdr:spPr>
        <a:xfrm>
          <a:off x="6413500" y="68199000"/>
          <a:ext cx="550333" cy="1534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21167</xdr:colOff>
      <xdr:row>1264</xdr:row>
      <xdr:rowOff>169333</xdr:rowOff>
    </xdr:from>
    <xdr:to>
      <xdr:col>11</xdr:col>
      <xdr:colOff>603250</xdr:colOff>
      <xdr:row>1267</xdr:row>
      <xdr:rowOff>21167</xdr:rowOff>
    </xdr:to>
    <xdr:cxnSp macro="">
      <xdr:nvCxnSpPr>
        <xdr:cNvPr id="1201" name="Straight Arrow Connector 1200">
          <a:extLst>
            <a:ext uri="{FF2B5EF4-FFF2-40B4-BE49-F238E27FC236}">
              <a16:creationId xmlns:a16="http://schemas.microsoft.com/office/drawing/2014/main" id="{00000000-0008-0000-1300-0000B1040000}"/>
            </a:ext>
          </a:extLst>
        </xdr:cNvPr>
        <xdr:cNvCxnSpPr/>
      </xdr:nvCxnSpPr>
      <xdr:spPr>
        <a:xfrm flipV="1">
          <a:off x="7609417" y="69320833"/>
          <a:ext cx="582083" cy="423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1270</xdr:row>
      <xdr:rowOff>42333</xdr:rowOff>
    </xdr:from>
    <xdr:to>
      <xdr:col>11</xdr:col>
      <xdr:colOff>603250</xdr:colOff>
      <xdr:row>1282</xdr:row>
      <xdr:rowOff>10583</xdr:rowOff>
    </xdr:to>
    <xdr:cxnSp macro="">
      <xdr:nvCxnSpPr>
        <xdr:cNvPr id="1202" name="Straight Arrow Connector 1201">
          <a:extLst>
            <a:ext uri="{FF2B5EF4-FFF2-40B4-BE49-F238E27FC236}">
              <a16:creationId xmlns:a16="http://schemas.microsoft.com/office/drawing/2014/main" id="{00000000-0008-0000-1300-0000B2040000}"/>
            </a:ext>
          </a:extLst>
        </xdr:cNvPr>
        <xdr:cNvCxnSpPr/>
      </xdr:nvCxnSpPr>
      <xdr:spPr>
        <a:xfrm>
          <a:off x="7598834" y="703368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1260</xdr:row>
      <xdr:rowOff>21167</xdr:rowOff>
    </xdr:from>
    <xdr:to>
      <xdr:col>13</xdr:col>
      <xdr:colOff>592667</xdr:colOff>
      <xdr:row>1262</xdr:row>
      <xdr:rowOff>0</xdr:rowOff>
    </xdr:to>
    <xdr:cxnSp macro="">
      <xdr:nvCxnSpPr>
        <xdr:cNvPr id="1203" name="Straight Arrow Connector 1202">
          <a:extLst>
            <a:ext uri="{FF2B5EF4-FFF2-40B4-BE49-F238E27FC236}">
              <a16:creationId xmlns:a16="http://schemas.microsoft.com/office/drawing/2014/main" id="{00000000-0008-0000-1300-0000B3040000}"/>
            </a:ext>
          </a:extLst>
        </xdr:cNvPr>
        <xdr:cNvCxnSpPr/>
      </xdr:nvCxnSpPr>
      <xdr:spPr>
        <a:xfrm flipV="1">
          <a:off x="8794750" y="684106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1265</xdr:row>
      <xdr:rowOff>21166</xdr:rowOff>
    </xdr:from>
    <xdr:to>
      <xdr:col>13</xdr:col>
      <xdr:colOff>592667</xdr:colOff>
      <xdr:row>1266</xdr:row>
      <xdr:rowOff>169334</xdr:rowOff>
    </xdr:to>
    <xdr:cxnSp macro="">
      <xdr:nvCxnSpPr>
        <xdr:cNvPr id="1204" name="Straight Arrow Connector 1203">
          <a:extLst>
            <a:ext uri="{FF2B5EF4-FFF2-40B4-BE49-F238E27FC236}">
              <a16:creationId xmlns:a16="http://schemas.microsoft.com/office/drawing/2014/main" id="{00000000-0008-0000-1300-0000B4040000}"/>
            </a:ext>
          </a:extLst>
        </xdr:cNvPr>
        <xdr:cNvCxnSpPr/>
      </xdr:nvCxnSpPr>
      <xdr:spPr>
        <a:xfrm>
          <a:off x="8784166" y="693631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1280</xdr:row>
      <xdr:rowOff>21167</xdr:rowOff>
    </xdr:from>
    <xdr:to>
      <xdr:col>13</xdr:col>
      <xdr:colOff>592667</xdr:colOff>
      <xdr:row>1282</xdr:row>
      <xdr:rowOff>63500</xdr:rowOff>
    </xdr:to>
    <xdr:cxnSp macro="">
      <xdr:nvCxnSpPr>
        <xdr:cNvPr id="1205" name="Straight Arrow Connector 1204">
          <a:extLst>
            <a:ext uri="{FF2B5EF4-FFF2-40B4-BE49-F238E27FC236}">
              <a16:creationId xmlns:a16="http://schemas.microsoft.com/office/drawing/2014/main" id="{00000000-0008-0000-1300-0000B5040000}"/>
            </a:ext>
          </a:extLst>
        </xdr:cNvPr>
        <xdr:cNvCxnSpPr/>
      </xdr:nvCxnSpPr>
      <xdr:spPr>
        <a:xfrm flipV="1">
          <a:off x="8794750" y="724111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1285</xdr:row>
      <xdr:rowOff>0</xdr:rowOff>
    </xdr:from>
    <xdr:to>
      <xdr:col>14</xdr:col>
      <xdr:colOff>10584</xdr:colOff>
      <xdr:row>1293</xdr:row>
      <xdr:rowOff>148167</xdr:rowOff>
    </xdr:to>
    <xdr:cxnSp macro="">
      <xdr:nvCxnSpPr>
        <xdr:cNvPr id="1206" name="Straight Arrow Connector 1205">
          <a:extLst>
            <a:ext uri="{FF2B5EF4-FFF2-40B4-BE49-F238E27FC236}">
              <a16:creationId xmlns:a16="http://schemas.microsoft.com/office/drawing/2014/main" id="{00000000-0008-0000-1300-0000B6040000}"/>
            </a:ext>
          </a:extLst>
        </xdr:cNvPr>
        <xdr:cNvCxnSpPr/>
      </xdr:nvCxnSpPr>
      <xdr:spPr>
        <a:xfrm>
          <a:off x="8805333" y="733425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1252</xdr:row>
      <xdr:rowOff>0</xdr:rowOff>
    </xdr:from>
    <xdr:to>
      <xdr:col>15</xdr:col>
      <xdr:colOff>603250</xdr:colOff>
      <xdr:row>1257</xdr:row>
      <xdr:rowOff>31750</xdr:rowOff>
    </xdr:to>
    <xdr:cxnSp macro="">
      <xdr:nvCxnSpPr>
        <xdr:cNvPr id="1207" name="Straight Arrow Connector 1206">
          <a:extLst>
            <a:ext uri="{FF2B5EF4-FFF2-40B4-BE49-F238E27FC236}">
              <a16:creationId xmlns:a16="http://schemas.microsoft.com/office/drawing/2014/main" id="{00000000-0008-0000-1300-0000B7040000}"/>
            </a:ext>
          </a:extLst>
        </xdr:cNvPr>
        <xdr:cNvCxnSpPr/>
      </xdr:nvCxnSpPr>
      <xdr:spPr>
        <a:xfrm flipV="1">
          <a:off x="10541000" y="66865500"/>
          <a:ext cx="603250" cy="984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1255</xdr:row>
      <xdr:rowOff>52917</xdr:rowOff>
    </xdr:from>
    <xdr:to>
      <xdr:col>15</xdr:col>
      <xdr:colOff>603250</xdr:colOff>
      <xdr:row>1257</xdr:row>
      <xdr:rowOff>95250</xdr:rowOff>
    </xdr:to>
    <xdr:cxnSp macro="">
      <xdr:nvCxnSpPr>
        <xdr:cNvPr id="1208" name="Straight Arrow Connector 1207">
          <a:extLst>
            <a:ext uri="{FF2B5EF4-FFF2-40B4-BE49-F238E27FC236}">
              <a16:creationId xmlns:a16="http://schemas.microsoft.com/office/drawing/2014/main" id="{00000000-0008-0000-1300-0000B8040000}"/>
            </a:ext>
          </a:extLst>
        </xdr:cNvPr>
        <xdr:cNvCxnSpPr/>
      </xdr:nvCxnSpPr>
      <xdr:spPr>
        <a:xfrm flipV="1">
          <a:off x="10583333" y="67489917"/>
          <a:ext cx="56091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1257</xdr:row>
      <xdr:rowOff>158750</xdr:rowOff>
    </xdr:from>
    <xdr:to>
      <xdr:col>15</xdr:col>
      <xdr:colOff>582083</xdr:colOff>
      <xdr:row>1258</xdr:row>
      <xdr:rowOff>137583</xdr:rowOff>
    </xdr:to>
    <xdr:cxnSp macro="">
      <xdr:nvCxnSpPr>
        <xdr:cNvPr id="1209" name="Straight Arrow Connector 1208">
          <a:extLst>
            <a:ext uri="{FF2B5EF4-FFF2-40B4-BE49-F238E27FC236}">
              <a16:creationId xmlns:a16="http://schemas.microsoft.com/office/drawing/2014/main" id="{00000000-0008-0000-1300-0000B9040000}"/>
            </a:ext>
          </a:extLst>
        </xdr:cNvPr>
        <xdr:cNvCxnSpPr/>
      </xdr:nvCxnSpPr>
      <xdr:spPr>
        <a:xfrm>
          <a:off x="10604500" y="67976750"/>
          <a:ext cx="518583" cy="169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1121834</xdr:colOff>
      <xdr:row>1257</xdr:row>
      <xdr:rowOff>105834</xdr:rowOff>
    </xdr:from>
    <xdr:to>
      <xdr:col>16</xdr:col>
      <xdr:colOff>0</xdr:colOff>
      <xdr:row>1261</xdr:row>
      <xdr:rowOff>84667</xdr:rowOff>
    </xdr:to>
    <xdr:cxnSp macro="">
      <xdr:nvCxnSpPr>
        <xdr:cNvPr id="1210" name="Straight Arrow Connector 1209">
          <a:extLst>
            <a:ext uri="{FF2B5EF4-FFF2-40B4-BE49-F238E27FC236}">
              <a16:creationId xmlns:a16="http://schemas.microsoft.com/office/drawing/2014/main" id="{00000000-0008-0000-1300-0000BA040000}"/>
            </a:ext>
          </a:extLst>
        </xdr:cNvPr>
        <xdr:cNvCxnSpPr/>
      </xdr:nvCxnSpPr>
      <xdr:spPr>
        <a:xfrm>
          <a:off x="10519834" y="67923834"/>
          <a:ext cx="624416"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1265</xdr:row>
      <xdr:rowOff>52916</xdr:rowOff>
    </xdr:from>
    <xdr:to>
      <xdr:col>16</xdr:col>
      <xdr:colOff>0</xdr:colOff>
      <xdr:row>1267</xdr:row>
      <xdr:rowOff>0</xdr:rowOff>
    </xdr:to>
    <xdr:cxnSp macro="">
      <xdr:nvCxnSpPr>
        <xdr:cNvPr id="1211" name="Straight Arrow Connector 1210">
          <a:extLst>
            <a:ext uri="{FF2B5EF4-FFF2-40B4-BE49-F238E27FC236}">
              <a16:creationId xmlns:a16="http://schemas.microsoft.com/office/drawing/2014/main" id="{00000000-0008-0000-1300-0000BB040000}"/>
            </a:ext>
          </a:extLst>
        </xdr:cNvPr>
        <xdr:cNvCxnSpPr/>
      </xdr:nvCxnSpPr>
      <xdr:spPr>
        <a:xfrm flipV="1">
          <a:off x="10541000" y="693949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1267</xdr:row>
      <xdr:rowOff>21167</xdr:rowOff>
    </xdr:from>
    <xdr:to>
      <xdr:col>15</xdr:col>
      <xdr:colOff>582083</xdr:colOff>
      <xdr:row>1268</xdr:row>
      <xdr:rowOff>42333</xdr:rowOff>
    </xdr:to>
    <xdr:cxnSp macro="">
      <xdr:nvCxnSpPr>
        <xdr:cNvPr id="1212" name="Straight Arrow Connector 1211">
          <a:extLst>
            <a:ext uri="{FF2B5EF4-FFF2-40B4-BE49-F238E27FC236}">
              <a16:creationId xmlns:a16="http://schemas.microsoft.com/office/drawing/2014/main" id="{00000000-0008-0000-1300-0000BC040000}"/>
            </a:ext>
          </a:extLst>
        </xdr:cNvPr>
        <xdr:cNvCxnSpPr/>
      </xdr:nvCxnSpPr>
      <xdr:spPr>
        <a:xfrm>
          <a:off x="10551583" y="69744167"/>
          <a:ext cx="571500" cy="211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1267</xdr:row>
      <xdr:rowOff>21167</xdr:rowOff>
    </xdr:from>
    <xdr:to>
      <xdr:col>16</xdr:col>
      <xdr:colOff>42333</xdr:colOff>
      <xdr:row>1272</xdr:row>
      <xdr:rowOff>21168</xdr:rowOff>
    </xdr:to>
    <xdr:cxnSp macro="">
      <xdr:nvCxnSpPr>
        <xdr:cNvPr id="1213" name="Straight Arrow Connector 1212">
          <a:extLst>
            <a:ext uri="{FF2B5EF4-FFF2-40B4-BE49-F238E27FC236}">
              <a16:creationId xmlns:a16="http://schemas.microsoft.com/office/drawing/2014/main" id="{00000000-0008-0000-1300-0000BD040000}"/>
            </a:ext>
          </a:extLst>
        </xdr:cNvPr>
        <xdr:cNvCxnSpPr/>
      </xdr:nvCxnSpPr>
      <xdr:spPr>
        <a:xfrm>
          <a:off x="10530417" y="69744167"/>
          <a:ext cx="656166" cy="9525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1267</xdr:row>
      <xdr:rowOff>31750</xdr:rowOff>
    </xdr:from>
    <xdr:to>
      <xdr:col>16</xdr:col>
      <xdr:colOff>42334</xdr:colOff>
      <xdr:row>1274</xdr:row>
      <xdr:rowOff>63501</xdr:rowOff>
    </xdr:to>
    <xdr:cxnSp macro="">
      <xdr:nvCxnSpPr>
        <xdr:cNvPr id="1214" name="Straight Arrow Connector 1213">
          <a:extLst>
            <a:ext uri="{FF2B5EF4-FFF2-40B4-BE49-F238E27FC236}">
              <a16:creationId xmlns:a16="http://schemas.microsoft.com/office/drawing/2014/main" id="{00000000-0008-0000-1300-0000BE040000}"/>
            </a:ext>
          </a:extLst>
        </xdr:cNvPr>
        <xdr:cNvCxnSpPr/>
      </xdr:nvCxnSpPr>
      <xdr:spPr>
        <a:xfrm>
          <a:off x="10541000" y="69754750"/>
          <a:ext cx="645584"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10583</xdr:colOff>
      <xdr:row>1304</xdr:row>
      <xdr:rowOff>42333</xdr:rowOff>
    </xdr:from>
    <xdr:to>
      <xdr:col>9</xdr:col>
      <xdr:colOff>592666</xdr:colOff>
      <xdr:row>1312</xdr:row>
      <xdr:rowOff>42333</xdr:rowOff>
    </xdr:to>
    <xdr:cxnSp macro="">
      <xdr:nvCxnSpPr>
        <xdr:cNvPr id="1215" name="Straight Arrow Connector 1214">
          <a:extLst>
            <a:ext uri="{FF2B5EF4-FFF2-40B4-BE49-F238E27FC236}">
              <a16:creationId xmlns:a16="http://schemas.microsoft.com/office/drawing/2014/main" id="{00000000-0008-0000-1300-0000BF040000}"/>
            </a:ext>
          </a:extLst>
        </xdr:cNvPr>
        <xdr:cNvCxnSpPr/>
      </xdr:nvCxnSpPr>
      <xdr:spPr>
        <a:xfrm flipV="1">
          <a:off x="6392333" y="77004333"/>
          <a:ext cx="582083" cy="152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1314</xdr:row>
      <xdr:rowOff>169334</xdr:rowOff>
    </xdr:from>
    <xdr:to>
      <xdr:col>9</xdr:col>
      <xdr:colOff>603250</xdr:colOff>
      <xdr:row>1323</xdr:row>
      <xdr:rowOff>31750</xdr:rowOff>
    </xdr:to>
    <xdr:cxnSp macro="">
      <xdr:nvCxnSpPr>
        <xdr:cNvPr id="1216" name="Straight Arrow Connector 1215">
          <a:extLst>
            <a:ext uri="{FF2B5EF4-FFF2-40B4-BE49-F238E27FC236}">
              <a16:creationId xmlns:a16="http://schemas.microsoft.com/office/drawing/2014/main" id="{00000000-0008-0000-1300-0000C0040000}"/>
            </a:ext>
          </a:extLst>
        </xdr:cNvPr>
        <xdr:cNvCxnSpPr/>
      </xdr:nvCxnSpPr>
      <xdr:spPr>
        <a:xfrm>
          <a:off x="6413500" y="79036334"/>
          <a:ext cx="571500" cy="1576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571500</xdr:colOff>
      <xdr:row>1320</xdr:row>
      <xdr:rowOff>158750</xdr:rowOff>
    </xdr:from>
    <xdr:to>
      <xdr:col>11</xdr:col>
      <xdr:colOff>571500</xdr:colOff>
      <xdr:row>1323</xdr:row>
      <xdr:rowOff>0</xdr:rowOff>
    </xdr:to>
    <xdr:cxnSp macro="">
      <xdr:nvCxnSpPr>
        <xdr:cNvPr id="1217" name="Straight Arrow Connector 1216">
          <a:extLst>
            <a:ext uri="{FF2B5EF4-FFF2-40B4-BE49-F238E27FC236}">
              <a16:creationId xmlns:a16="http://schemas.microsoft.com/office/drawing/2014/main" id="{00000000-0008-0000-1300-0000C1040000}"/>
            </a:ext>
          </a:extLst>
        </xdr:cNvPr>
        <xdr:cNvCxnSpPr/>
      </xdr:nvCxnSpPr>
      <xdr:spPr>
        <a:xfrm flipV="1">
          <a:off x="7556500" y="80168750"/>
          <a:ext cx="603250" cy="412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1278</xdr:row>
      <xdr:rowOff>0</xdr:rowOff>
    </xdr:from>
    <xdr:to>
      <xdr:col>15</xdr:col>
      <xdr:colOff>603250</xdr:colOff>
      <xdr:row>1280</xdr:row>
      <xdr:rowOff>1</xdr:rowOff>
    </xdr:to>
    <xdr:cxnSp macro="">
      <xdr:nvCxnSpPr>
        <xdr:cNvPr id="1218" name="Straight Arrow Connector 1217">
          <a:extLst>
            <a:ext uri="{FF2B5EF4-FFF2-40B4-BE49-F238E27FC236}">
              <a16:creationId xmlns:a16="http://schemas.microsoft.com/office/drawing/2014/main" id="{00000000-0008-0000-1300-0000C2040000}"/>
            </a:ext>
          </a:extLst>
        </xdr:cNvPr>
        <xdr:cNvCxnSpPr/>
      </xdr:nvCxnSpPr>
      <xdr:spPr>
        <a:xfrm flipV="1">
          <a:off x="10530417" y="720090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1280</xdr:row>
      <xdr:rowOff>10584</xdr:rowOff>
    </xdr:from>
    <xdr:to>
      <xdr:col>15</xdr:col>
      <xdr:colOff>592666</xdr:colOff>
      <xdr:row>1281</xdr:row>
      <xdr:rowOff>95250</xdr:rowOff>
    </xdr:to>
    <xdr:cxnSp macro="">
      <xdr:nvCxnSpPr>
        <xdr:cNvPr id="1219" name="Straight Arrow Connector 1218">
          <a:extLst>
            <a:ext uri="{FF2B5EF4-FFF2-40B4-BE49-F238E27FC236}">
              <a16:creationId xmlns:a16="http://schemas.microsoft.com/office/drawing/2014/main" id="{00000000-0008-0000-1300-0000C3040000}"/>
            </a:ext>
          </a:extLst>
        </xdr:cNvPr>
        <xdr:cNvCxnSpPr/>
      </xdr:nvCxnSpPr>
      <xdr:spPr>
        <a:xfrm>
          <a:off x="10572750" y="724005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1280</xdr:row>
      <xdr:rowOff>10584</xdr:rowOff>
    </xdr:from>
    <xdr:to>
      <xdr:col>15</xdr:col>
      <xdr:colOff>560916</xdr:colOff>
      <xdr:row>1284</xdr:row>
      <xdr:rowOff>52917</xdr:rowOff>
    </xdr:to>
    <xdr:cxnSp macro="">
      <xdr:nvCxnSpPr>
        <xdr:cNvPr id="1220" name="Straight Arrow Connector 1219">
          <a:extLst>
            <a:ext uri="{FF2B5EF4-FFF2-40B4-BE49-F238E27FC236}">
              <a16:creationId xmlns:a16="http://schemas.microsoft.com/office/drawing/2014/main" id="{00000000-0008-0000-1300-0000C4040000}"/>
            </a:ext>
          </a:extLst>
        </xdr:cNvPr>
        <xdr:cNvCxnSpPr/>
      </xdr:nvCxnSpPr>
      <xdr:spPr>
        <a:xfrm>
          <a:off x="10551583" y="724005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1280</xdr:row>
      <xdr:rowOff>31750</xdr:rowOff>
    </xdr:from>
    <xdr:to>
      <xdr:col>16</xdr:col>
      <xdr:colOff>21167</xdr:colOff>
      <xdr:row>1287</xdr:row>
      <xdr:rowOff>95250</xdr:rowOff>
    </xdr:to>
    <xdr:cxnSp macro="">
      <xdr:nvCxnSpPr>
        <xdr:cNvPr id="1221" name="Straight Arrow Connector 1220">
          <a:extLst>
            <a:ext uri="{FF2B5EF4-FFF2-40B4-BE49-F238E27FC236}">
              <a16:creationId xmlns:a16="http://schemas.microsoft.com/office/drawing/2014/main" id="{00000000-0008-0000-1300-0000C5040000}"/>
            </a:ext>
          </a:extLst>
        </xdr:cNvPr>
        <xdr:cNvCxnSpPr/>
      </xdr:nvCxnSpPr>
      <xdr:spPr>
        <a:xfrm>
          <a:off x="10583333" y="724217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1294</xdr:row>
      <xdr:rowOff>0</xdr:rowOff>
    </xdr:from>
    <xdr:to>
      <xdr:col>16</xdr:col>
      <xdr:colOff>0</xdr:colOff>
      <xdr:row>1294</xdr:row>
      <xdr:rowOff>42334</xdr:rowOff>
    </xdr:to>
    <xdr:cxnSp macro="">
      <xdr:nvCxnSpPr>
        <xdr:cNvPr id="1222" name="Straight Arrow Connector 1221">
          <a:extLst>
            <a:ext uri="{FF2B5EF4-FFF2-40B4-BE49-F238E27FC236}">
              <a16:creationId xmlns:a16="http://schemas.microsoft.com/office/drawing/2014/main" id="{00000000-0008-0000-1300-0000C6040000}"/>
            </a:ext>
          </a:extLst>
        </xdr:cNvPr>
        <xdr:cNvCxnSpPr/>
      </xdr:nvCxnSpPr>
      <xdr:spPr>
        <a:xfrm>
          <a:off x="10562166" y="750570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1294</xdr:row>
      <xdr:rowOff>21166</xdr:rowOff>
    </xdr:from>
    <xdr:to>
      <xdr:col>15</xdr:col>
      <xdr:colOff>560916</xdr:colOff>
      <xdr:row>1297</xdr:row>
      <xdr:rowOff>84667</xdr:rowOff>
    </xdr:to>
    <xdr:cxnSp macro="">
      <xdr:nvCxnSpPr>
        <xdr:cNvPr id="1223" name="Straight Arrow Connector 1222">
          <a:extLst>
            <a:ext uri="{FF2B5EF4-FFF2-40B4-BE49-F238E27FC236}">
              <a16:creationId xmlns:a16="http://schemas.microsoft.com/office/drawing/2014/main" id="{00000000-0008-0000-1300-0000C7040000}"/>
            </a:ext>
          </a:extLst>
        </xdr:cNvPr>
        <xdr:cNvCxnSpPr/>
      </xdr:nvCxnSpPr>
      <xdr:spPr>
        <a:xfrm>
          <a:off x="10615083" y="750781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1294</xdr:row>
      <xdr:rowOff>52916</xdr:rowOff>
    </xdr:from>
    <xdr:to>
      <xdr:col>15</xdr:col>
      <xdr:colOff>592666</xdr:colOff>
      <xdr:row>1300</xdr:row>
      <xdr:rowOff>63501</xdr:rowOff>
    </xdr:to>
    <xdr:cxnSp macro="">
      <xdr:nvCxnSpPr>
        <xdr:cNvPr id="1224" name="Straight Arrow Connector 1223">
          <a:extLst>
            <a:ext uri="{FF2B5EF4-FFF2-40B4-BE49-F238E27FC236}">
              <a16:creationId xmlns:a16="http://schemas.microsoft.com/office/drawing/2014/main" id="{00000000-0008-0000-1300-0000C8040000}"/>
            </a:ext>
          </a:extLst>
        </xdr:cNvPr>
        <xdr:cNvCxnSpPr/>
      </xdr:nvCxnSpPr>
      <xdr:spPr>
        <a:xfrm>
          <a:off x="10572750" y="751099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1308</xdr:row>
      <xdr:rowOff>116416</xdr:rowOff>
    </xdr:from>
    <xdr:to>
      <xdr:col>15</xdr:col>
      <xdr:colOff>592666</xdr:colOff>
      <xdr:row>1311</xdr:row>
      <xdr:rowOff>158750</xdr:rowOff>
    </xdr:to>
    <xdr:cxnSp macro="">
      <xdr:nvCxnSpPr>
        <xdr:cNvPr id="1225" name="Straight Arrow Connector 1224">
          <a:extLst>
            <a:ext uri="{FF2B5EF4-FFF2-40B4-BE49-F238E27FC236}">
              <a16:creationId xmlns:a16="http://schemas.microsoft.com/office/drawing/2014/main" id="{00000000-0008-0000-1300-0000C9040000}"/>
            </a:ext>
          </a:extLst>
        </xdr:cNvPr>
        <xdr:cNvCxnSpPr/>
      </xdr:nvCxnSpPr>
      <xdr:spPr>
        <a:xfrm flipV="1">
          <a:off x="10562166" y="77840416"/>
          <a:ext cx="571500" cy="613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1310</xdr:row>
      <xdr:rowOff>95250</xdr:rowOff>
    </xdr:from>
    <xdr:to>
      <xdr:col>15</xdr:col>
      <xdr:colOff>582083</xdr:colOff>
      <xdr:row>1312</xdr:row>
      <xdr:rowOff>52917</xdr:rowOff>
    </xdr:to>
    <xdr:cxnSp macro="">
      <xdr:nvCxnSpPr>
        <xdr:cNvPr id="1226" name="Straight Arrow Connector 1225">
          <a:extLst>
            <a:ext uri="{FF2B5EF4-FFF2-40B4-BE49-F238E27FC236}">
              <a16:creationId xmlns:a16="http://schemas.microsoft.com/office/drawing/2014/main" id="{00000000-0008-0000-1300-0000CA040000}"/>
            </a:ext>
          </a:extLst>
        </xdr:cNvPr>
        <xdr:cNvCxnSpPr/>
      </xdr:nvCxnSpPr>
      <xdr:spPr>
        <a:xfrm flipV="1">
          <a:off x="10604500" y="78200250"/>
          <a:ext cx="518583" cy="338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1312</xdr:row>
      <xdr:rowOff>116417</xdr:rowOff>
    </xdr:from>
    <xdr:to>
      <xdr:col>15</xdr:col>
      <xdr:colOff>592666</xdr:colOff>
      <xdr:row>1316</xdr:row>
      <xdr:rowOff>95250</xdr:rowOff>
    </xdr:to>
    <xdr:cxnSp macro="">
      <xdr:nvCxnSpPr>
        <xdr:cNvPr id="1227" name="Straight Arrow Connector 1226">
          <a:extLst>
            <a:ext uri="{FF2B5EF4-FFF2-40B4-BE49-F238E27FC236}">
              <a16:creationId xmlns:a16="http://schemas.microsoft.com/office/drawing/2014/main" id="{00000000-0008-0000-1300-0000CB040000}"/>
            </a:ext>
          </a:extLst>
        </xdr:cNvPr>
        <xdr:cNvCxnSpPr/>
      </xdr:nvCxnSpPr>
      <xdr:spPr>
        <a:xfrm>
          <a:off x="10593916" y="78602417"/>
          <a:ext cx="53975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1323</xdr:row>
      <xdr:rowOff>116416</xdr:rowOff>
    </xdr:from>
    <xdr:to>
      <xdr:col>16</xdr:col>
      <xdr:colOff>0</xdr:colOff>
      <xdr:row>1330</xdr:row>
      <xdr:rowOff>74084</xdr:rowOff>
    </xdr:to>
    <xdr:cxnSp macro="">
      <xdr:nvCxnSpPr>
        <xdr:cNvPr id="1228" name="Straight Arrow Connector 1227">
          <a:extLst>
            <a:ext uri="{FF2B5EF4-FFF2-40B4-BE49-F238E27FC236}">
              <a16:creationId xmlns:a16="http://schemas.microsoft.com/office/drawing/2014/main" id="{00000000-0008-0000-1300-0000CC040000}"/>
            </a:ext>
          </a:extLst>
        </xdr:cNvPr>
        <xdr:cNvCxnSpPr/>
      </xdr:nvCxnSpPr>
      <xdr:spPr>
        <a:xfrm>
          <a:off x="10572750" y="80697916"/>
          <a:ext cx="571500" cy="12911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1291</xdr:row>
      <xdr:rowOff>52917</xdr:rowOff>
    </xdr:from>
    <xdr:to>
      <xdr:col>15</xdr:col>
      <xdr:colOff>603250</xdr:colOff>
      <xdr:row>1293</xdr:row>
      <xdr:rowOff>148167</xdr:rowOff>
    </xdr:to>
    <xdr:cxnSp macro="">
      <xdr:nvCxnSpPr>
        <xdr:cNvPr id="1229" name="Straight Arrow Connector 1228">
          <a:extLst>
            <a:ext uri="{FF2B5EF4-FFF2-40B4-BE49-F238E27FC236}">
              <a16:creationId xmlns:a16="http://schemas.microsoft.com/office/drawing/2014/main" id="{00000000-0008-0000-1300-0000CD040000}"/>
            </a:ext>
          </a:extLst>
        </xdr:cNvPr>
        <xdr:cNvCxnSpPr/>
      </xdr:nvCxnSpPr>
      <xdr:spPr>
        <a:xfrm flipV="1">
          <a:off x="10583333" y="745384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1326</xdr:row>
      <xdr:rowOff>42333</xdr:rowOff>
    </xdr:from>
    <xdr:to>
      <xdr:col>11</xdr:col>
      <xdr:colOff>603250</xdr:colOff>
      <xdr:row>1338</xdr:row>
      <xdr:rowOff>10583</xdr:rowOff>
    </xdr:to>
    <xdr:cxnSp macro="">
      <xdr:nvCxnSpPr>
        <xdr:cNvPr id="1230" name="Straight Arrow Connector 1229">
          <a:extLst>
            <a:ext uri="{FF2B5EF4-FFF2-40B4-BE49-F238E27FC236}">
              <a16:creationId xmlns:a16="http://schemas.microsoft.com/office/drawing/2014/main" id="{00000000-0008-0000-1300-0000CE040000}"/>
            </a:ext>
          </a:extLst>
        </xdr:cNvPr>
        <xdr:cNvCxnSpPr/>
      </xdr:nvCxnSpPr>
      <xdr:spPr>
        <a:xfrm>
          <a:off x="7598834" y="811953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1316</xdr:row>
      <xdr:rowOff>21167</xdr:rowOff>
    </xdr:from>
    <xdr:to>
      <xdr:col>13</xdr:col>
      <xdr:colOff>592667</xdr:colOff>
      <xdr:row>1318</xdr:row>
      <xdr:rowOff>0</xdr:rowOff>
    </xdr:to>
    <xdr:cxnSp macro="">
      <xdr:nvCxnSpPr>
        <xdr:cNvPr id="1231" name="Straight Arrow Connector 1230">
          <a:extLst>
            <a:ext uri="{FF2B5EF4-FFF2-40B4-BE49-F238E27FC236}">
              <a16:creationId xmlns:a16="http://schemas.microsoft.com/office/drawing/2014/main" id="{00000000-0008-0000-1300-0000CF040000}"/>
            </a:ext>
          </a:extLst>
        </xdr:cNvPr>
        <xdr:cNvCxnSpPr/>
      </xdr:nvCxnSpPr>
      <xdr:spPr>
        <a:xfrm flipV="1">
          <a:off x="8794750" y="792691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1321</xdr:row>
      <xdr:rowOff>21166</xdr:rowOff>
    </xdr:from>
    <xdr:to>
      <xdr:col>13</xdr:col>
      <xdr:colOff>592667</xdr:colOff>
      <xdr:row>1322</xdr:row>
      <xdr:rowOff>169334</xdr:rowOff>
    </xdr:to>
    <xdr:cxnSp macro="">
      <xdr:nvCxnSpPr>
        <xdr:cNvPr id="1232" name="Straight Arrow Connector 1231">
          <a:extLst>
            <a:ext uri="{FF2B5EF4-FFF2-40B4-BE49-F238E27FC236}">
              <a16:creationId xmlns:a16="http://schemas.microsoft.com/office/drawing/2014/main" id="{00000000-0008-0000-1300-0000D0040000}"/>
            </a:ext>
          </a:extLst>
        </xdr:cNvPr>
        <xdr:cNvCxnSpPr/>
      </xdr:nvCxnSpPr>
      <xdr:spPr>
        <a:xfrm>
          <a:off x="8784166" y="802216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1336</xdr:row>
      <xdr:rowOff>21167</xdr:rowOff>
    </xdr:from>
    <xdr:to>
      <xdr:col>13</xdr:col>
      <xdr:colOff>592667</xdr:colOff>
      <xdr:row>1338</xdr:row>
      <xdr:rowOff>63500</xdr:rowOff>
    </xdr:to>
    <xdr:cxnSp macro="">
      <xdr:nvCxnSpPr>
        <xdr:cNvPr id="1233" name="Straight Arrow Connector 1232">
          <a:extLst>
            <a:ext uri="{FF2B5EF4-FFF2-40B4-BE49-F238E27FC236}">
              <a16:creationId xmlns:a16="http://schemas.microsoft.com/office/drawing/2014/main" id="{00000000-0008-0000-1300-0000D1040000}"/>
            </a:ext>
          </a:extLst>
        </xdr:cNvPr>
        <xdr:cNvCxnSpPr/>
      </xdr:nvCxnSpPr>
      <xdr:spPr>
        <a:xfrm flipV="1">
          <a:off x="8794750" y="832696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1341</xdr:row>
      <xdr:rowOff>0</xdr:rowOff>
    </xdr:from>
    <xdr:to>
      <xdr:col>14</xdr:col>
      <xdr:colOff>10584</xdr:colOff>
      <xdr:row>1349</xdr:row>
      <xdr:rowOff>148167</xdr:rowOff>
    </xdr:to>
    <xdr:cxnSp macro="">
      <xdr:nvCxnSpPr>
        <xdr:cNvPr id="1234" name="Straight Arrow Connector 1233">
          <a:extLst>
            <a:ext uri="{FF2B5EF4-FFF2-40B4-BE49-F238E27FC236}">
              <a16:creationId xmlns:a16="http://schemas.microsoft.com/office/drawing/2014/main" id="{00000000-0008-0000-1300-0000D2040000}"/>
            </a:ext>
          </a:extLst>
        </xdr:cNvPr>
        <xdr:cNvCxnSpPr/>
      </xdr:nvCxnSpPr>
      <xdr:spPr>
        <a:xfrm>
          <a:off x="8805333" y="842010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1312</xdr:row>
      <xdr:rowOff>95250</xdr:rowOff>
    </xdr:from>
    <xdr:to>
      <xdr:col>15</xdr:col>
      <xdr:colOff>582083</xdr:colOff>
      <xdr:row>1314</xdr:row>
      <xdr:rowOff>137583</xdr:rowOff>
    </xdr:to>
    <xdr:cxnSp macro="">
      <xdr:nvCxnSpPr>
        <xdr:cNvPr id="1235" name="Straight Arrow Connector 1234">
          <a:extLst>
            <a:ext uri="{FF2B5EF4-FFF2-40B4-BE49-F238E27FC236}">
              <a16:creationId xmlns:a16="http://schemas.microsoft.com/office/drawing/2014/main" id="{00000000-0008-0000-1300-0000D3040000}"/>
            </a:ext>
          </a:extLst>
        </xdr:cNvPr>
        <xdr:cNvCxnSpPr/>
      </xdr:nvCxnSpPr>
      <xdr:spPr>
        <a:xfrm>
          <a:off x="10593916" y="78581250"/>
          <a:ext cx="5291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1321</xdr:row>
      <xdr:rowOff>52916</xdr:rowOff>
    </xdr:from>
    <xdr:to>
      <xdr:col>16</xdr:col>
      <xdr:colOff>0</xdr:colOff>
      <xdr:row>1323</xdr:row>
      <xdr:rowOff>0</xdr:rowOff>
    </xdr:to>
    <xdr:cxnSp macro="">
      <xdr:nvCxnSpPr>
        <xdr:cNvPr id="1236" name="Straight Arrow Connector 1235">
          <a:extLst>
            <a:ext uri="{FF2B5EF4-FFF2-40B4-BE49-F238E27FC236}">
              <a16:creationId xmlns:a16="http://schemas.microsoft.com/office/drawing/2014/main" id="{00000000-0008-0000-1300-0000D4040000}"/>
            </a:ext>
          </a:extLst>
        </xdr:cNvPr>
        <xdr:cNvCxnSpPr/>
      </xdr:nvCxnSpPr>
      <xdr:spPr>
        <a:xfrm flipV="1">
          <a:off x="10541000" y="802534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1323</xdr:row>
      <xdr:rowOff>21167</xdr:rowOff>
    </xdr:from>
    <xdr:to>
      <xdr:col>15</xdr:col>
      <xdr:colOff>592666</xdr:colOff>
      <xdr:row>1324</xdr:row>
      <xdr:rowOff>84667</xdr:rowOff>
    </xdr:to>
    <xdr:cxnSp macro="">
      <xdr:nvCxnSpPr>
        <xdr:cNvPr id="1237" name="Straight Arrow Connector 1236">
          <a:extLst>
            <a:ext uri="{FF2B5EF4-FFF2-40B4-BE49-F238E27FC236}">
              <a16:creationId xmlns:a16="http://schemas.microsoft.com/office/drawing/2014/main" id="{00000000-0008-0000-1300-0000D5040000}"/>
            </a:ext>
          </a:extLst>
        </xdr:cNvPr>
        <xdr:cNvCxnSpPr/>
      </xdr:nvCxnSpPr>
      <xdr:spPr>
        <a:xfrm>
          <a:off x="10530417" y="80602667"/>
          <a:ext cx="603249" cy="25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1323</xdr:row>
      <xdr:rowOff>0</xdr:rowOff>
    </xdr:from>
    <xdr:to>
      <xdr:col>16</xdr:col>
      <xdr:colOff>0</xdr:colOff>
      <xdr:row>1327</xdr:row>
      <xdr:rowOff>42334</xdr:rowOff>
    </xdr:to>
    <xdr:cxnSp macro="">
      <xdr:nvCxnSpPr>
        <xdr:cNvPr id="1238" name="Straight Arrow Connector 1237">
          <a:extLst>
            <a:ext uri="{FF2B5EF4-FFF2-40B4-BE49-F238E27FC236}">
              <a16:creationId xmlns:a16="http://schemas.microsoft.com/office/drawing/2014/main" id="{00000000-0008-0000-1300-0000D6040000}"/>
            </a:ext>
          </a:extLst>
        </xdr:cNvPr>
        <xdr:cNvCxnSpPr/>
      </xdr:nvCxnSpPr>
      <xdr:spPr>
        <a:xfrm>
          <a:off x="10530417" y="80581500"/>
          <a:ext cx="613833" cy="804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1334</xdr:row>
      <xdr:rowOff>0</xdr:rowOff>
    </xdr:from>
    <xdr:to>
      <xdr:col>15</xdr:col>
      <xdr:colOff>603250</xdr:colOff>
      <xdr:row>1336</xdr:row>
      <xdr:rowOff>1</xdr:rowOff>
    </xdr:to>
    <xdr:cxnSp macro="">
      <xdr:nvCxnSpPr>
        <xdr:cNvPr id="1239" name="Straight Arrow Connector 1238">
          <a:extLst>
            <a:ext uri="{FF2B5EF4-FFF2-40B4-BE49-F238E27FC236}">
              <a16:creationId xmlns:a16="http://schemas.microsoft.com/office/drawing/2014/main" id="{00000000-0008-0000-1300-0000D7040000}"/>
            </a:ext>
          </a:extLst>
        </xdr:cNvPr>
        <xdr:cNvCxnSpPr/>
      </xdr:nvCxnSpPr>
      <xdr:spPr>
        <a:xfrm flipV="1">
          <a:off x="10530417" y="828675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1336</xdr:row>
      <xdr:rowOff>10584</xdr:rowOff>
    </xdr:from>
    <xdr:to>
      <xdr:col>15</xdr:col>
      <xdr:colOff>592666</xdr:colOff>
      <xdr:row>1337</xdr:row>
      <xdr:rowOff>95250</xdr:rowOff>
    </xdr:to>
    <xdr:cxnSp macro="">
      <xdr:nvCxnSpPr>
        <xdr:cNvPr id="1240" name="Straight Arrow Connector 1239">
          <a:extLst>
            <a:ext uri="{FF2B5EF4-FFF2-40B4-BE49-F238E27FC236}">
              <a16:creationId xmlns:a16="http://schemas.microsoft.com/office/drawing/2014/main" id="{00000000-0008-0000-1300-0000D8040000}"/>
            </a:ext>
          </a:extLst>
        </xdr:cNvPr>
        <xdr:cNvCxnSpPr/>
      </xdr:nvCxnSpPr>
      <xdr:spPr>
        <a:xfrm>
          <a:off x="10572750" y="832590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1336</xdr:row>
      <xdr:rowOff>10584</xdr:rowOff>
    </xdr:from>
    <xdr:to>
      <xdr:col>15</xdr:col>
      <xdr:colOff>560916</xdr:colOff>
      <xdr:row>1340</xdr:row>
      <xdr:rowOff>52917</xdr:rowOff>
    </xdr:to>
    <xdr:cxnSp macro="">
      <xdr:nvCxnSpPr>
        <xdr:cNvPr id="1241" name="Straight Arrow Connector 1240">
          <a:extLst>
            <a:ext uri="{FF2B5EF4-FFF2-40B4-BE49-F238E27FC236}">
              <a16:creationId xmlns:a16="http://schemas.microsoft.com/office/drawing/2014/main" id="{00000000-0008-0000-1300-0000D9040000}"/>
            </a:ext>
          </a:extLst>
        </xdr:cNvPr>
        <xdr:cNvCxnSpPr/>
      </xdr:nvCxnSpPr>
      <xdr:spPr>
        <a:xfrm>
          <a:off x="10551583" y="832590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1336</xdr:row>
      <xdr:rowOff>31750</xdr:rowOff>
    </xdr:from>
    <xdr:to>
      <xdr:col>16</xdr:col>
      <xdr:colOff>21167</xdr:colOff>
      <xdr:row>1343</xdr:row>
      <xdr:rowOff>95250</xdr:rowOff>
    </xdr:to>
    <xdr:cxnSp macro="">
      <xdr:nvCxnSpPr>
        <xdr:cNvPr id="1242" name="Straight Arrow Connector 1241">
          <a:extLst>
            <a:ext uri="{FF2B5EF4-FFF2-40B4-BE49-F238E27FC236}">
              <a16:creationId xmlns:a16="http://schemas.microsoft.com/office/drawing/2014/main" id="{00000000-0008-0000-1300-0000DA040000}"/>
            </a:ext>
          </a:extLst>
        </xdr:cNvPr>
        <xdr:cNvCxnSpPr/>
      </xdr:nvCxnSpPr>
      <xdr:spPr>
        <a:xfrm>
          <a:off x="10583333" y="832802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1350</xdr:row>
      <xdr:rowOff>0</xdr:rowOff>
    </xdr:from>
    <xdr:to>
      <xdr:col>16</xdr:col>
      <xdr:colOff>0</xdr:colOff>
      <xdr:row>1350</xdr:row>
      <xdr:rowOff>42334</xdr:rowOff>
    </xdr:to>
    <xdr:cxnSp macro="">
      <xdr:nvCxnSpPr>
        <xdr:cNvPr id="1243" name="Straight Arrow Connector 1242">
          <a:extLst>
            <a:ext uri="{FF2B5EF4-FFF2-40B4-BE49-F238E27FC236}">
              <a16:creationId xmlns:a16="http://schemas.microsoft.com/office/drawing/2014/main" id="{00000000-0008-0000-1300-0000DB040000}"/>
            </a:ext>
          </a:extLst>
        </xdr:cNvPr>
        <xdr:cNvCxnSpPr/>
      </xdr:nvCxnSpPr>
      <xdr:spPr>
        <a:xfrm>
          <a:off x="10562166" y="859155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1350</xdr:row>
      <xdr:rowOff>21166</xdr:rowOff>
    </xdr:from>
    <xdr:to>
      <xdr:col>15</xdr:col>
      <xdr:colOff>560916</xdr:colOff>
      <xdr:row>1353</xdr:row>
      <xdr:rowOff>84667</xdr:rowOff>
    </xdr:to>
    <xdr:cxnSp macro="">
      <xdr:nvCxnSpPr>
        <xdr:cNvPr id="1244" name="Straight Arrow Connector 1243">
          <a:extLst>
            <a:ext uri="{FF2B5EF4-FFF2-40B4-BE49-F238E27FC236}">
              <a16:creationId xmlns:a16="http://schemas.microsoft.com/office/drawing/2014/main" id="{00000000-0008-0000-1300-0000DC040000}"/>
            </a:ext>
          </a:extLst>
        </xdr:cNvPr>
        <xdr:cNvCxnSpPr/>
      </xdr:nvCxnSpPr>
      <xdr:spPr>
        <a:xfrm>
          <a:off x="10615083" y="859366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1350</xdr:row>
      <xdr:rowOff>52916</xdr:rowOff>
    </xdr:from>
    <xdr:to>
      <xdr:col>15</xdr:col>
      <xdr:colOff>592666</xdr:colOff>
      <xdr:row>1356</xdr:row>
      <xdr:rowOff>63501</xdr:rowOff>
    </xdr:to>
    <xdr:cxnSp macro="">
      <xdr:nvCxnSpPr>
        <xdr:cNvPr id="1245" name="Straight Arrow Connector 1244">
          <a:extLst>
            <a:ext uri="{FF2B5EF4-FFF2-40B4-BE49-F238E27FC236}">
              <a16:creationId xmlns:a16="http://schemas.microsoft.com/office/drawing/2014/main" id="{00000000-0008-0000-1300-0000DD040000}"/>
            </a:ext>
          </a:extLst>
        </xdr:cNvPr>
        <xdr:cNvCxnSpPr/>
      </xdr:nvCxnSpPr>
      <xdr:spPr>
        <a:xfrm>
          <a:off x="10572750" y="859684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1347</xdr:row>
      <xdr:rowOff>52917</xdr:rowOff>
    </xdr:from>
    <xdr:to>
      <xdr:col>15</xdr:col>
      <xdr:colOff>603250</xdr:colOff>
      <xdr:row>1349</xdr:row>
      <xdr:rowOff>148167</xdr:rowOff>
    </xdr:to>
    <xdr:cxnSp macro="">
      <xdr:nvCxnSpPr>
        <xdr:cNvPr id="1246" name="Straight Arrow Connector 1245">
          <a:extLst>
            <a:ext uri="{FF2B5EF4-FFF2-40B4-BE49-F238E27FC236}">
              <a16:creationId xmlns:a16="http://schemas.microsoft.com/office/drawing/2014/main" id="{00000000-0008-0000-1300-0000DE040000}"/>
            </a:ext>
          </a:extLst>
        </xdr:cNvPr>
        <xdr:cNvCxnSpPr/>
      </xdr:nvCxnSpPr>
      <xdr:spPr>
        <a:xfrm flipV="1">
          <a:off x="10583333" y="853969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31750</xdr:colOff>
      <xdr:row>1258</xdr:row>
      <xdr:rowOff>127000</xdr:rowOff>
    </xdr:from>
    <xdr:to>
      <xdr:col>8</xdr:col>
      <xdr:colOff>63500</xdr:colOff>
      <xdr:row>1277</xdr:row>
      <xdr:rowOff>0</xdr:rowOff>
    </xdr:to>
    <xdr:cxnSp macro="">
      <xdr:nvCxnSpPr>
        <xdr:cNvPr id="1247" name="Straight Arrow Connector 1246">
          <a:extLst>
            <a:ext uri="{FF2B5EF4-FFF2-40B4-BE49-F238E27FC236}">
              <a16:creationId xmlns:a16="http://schemas.microsoft.com/office/drawing/2014/main" id="{00000000-0008-0000-1300-0000DF040000}"/>
            </a:ext>
          </a:extLst>
        </xdr:cNvPr>
        <xdr:cNvCxnSpPr/>
      </xdr:nvCxnSpPr>
      <xdr:spPr>
        <a:xfrm flipV="1">
          <a:off x="5207000" y="68135500"/>
          <a:ext cx="635000" cy="3587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603250</xdr:colOff>
      <xdr:row>1364</xdr:row>
      <xdr:rowOff>10584</xdr:rowOff>
    </xdr:from>
    <xdr:to>
      <xdr:col>1</xdr:col>
      <xdr:colOff>603250</xdr:colOff>
      <xdr:row>1457</xdr:row>
      <xdr:rowOff>158750</xdr:rowOff>
    </xdr:to>
    <xdr:cxnSp macro="">
      <xdr:nvCxnSpPr>
        <xdr:cNvPr id="1248" name="Straight Arrow Connector 1247">
          <a:extLst>
            <a:ext uri="{FF2B5EF4-FFF2-40B4-BE49-F238E27FC236}">
              <a16:creationId xmlns:a16="http://schemas.microsoft.com/office/drawing/2014/main" id="{00000000-0008-0000-1300-0000E0040000}"/>
            </a:ext>
          </a:extLst>
        </xdr:cNvPr>
        <xdr:cNvCxnSpPr/>
      </xdr:nvCxnSpPr>
      <xdr:spPr>
        <a:xfrm flipV="1">
          <a:off x="603250" y="88402584"/>
          <a:ext cx="603250" cy="18245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603250</xdr:colOff>
      <xdr:row>1460</xdr:row>
      <xdr:rowOff>169333</xdr:rowOff>
    </xdr:from>
    <xdr:to>
      <xdr:col>1</xdr:col>
      <xdr:colOff>603250</xdr:colOff>
      <xdr:row>1502</xdr:row>
      <xdr:rowOff>148167</xdr:rowOff>
    </xdr:to>
    <xdr:cxnSp macro="">
      <xdr:nvCxnSpPr>
        <xdr:cNvPr id="1249" name="Straight Arrow Connector 1248">
          <a:extLst>
            <a:ext uri="{FF2B5EF4-FFF2-40B4-BE49-F238E27FC236}">
              <a16:creationId xmlns:a16="http://schemas.microsoft.com/office/drawing/2014/main" id="{00000000-0008-0000-1300-0000E1040000}"/>
            </a:ext>
          </a:extLst>
        </xdr:cNvPr>
        <xdr:cNvCxnSpPr/>
      </xdr:nvCxnSpPr>
      <xdr:spPr>
        <a:xfrm>
          <a:off x="603250" y="107230333"/>
          <a:ext cx="603250" cy="7979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10584</xdr:colOff>
      <xdr:row>1436</xdr:row>
      <xdr:rowOff>158750</xdr:rowOff>
    </xdr:from>
    <xdr:to>
      <xdr:col>3</xdr:col>
      <xdr:colOff>603250</xdr:colOff>
      <xdr:row>1503</xdr:row>
      <xdr:rowOff>10583</xdr:rowOff>
    </xdr:to>
    <xdr:cxnSp macro="">
      <xdr:nvCxnSpPr>
        <xdr:cNvPr id="1250" name="Straight Arrow Connector 1249">
          <a:extLst>
            <a:ext uri="{FF2B5EF4-FFF2-40B4-BE49-F238E27FC236}">
              <a16:creationId xmlns:a16="http://schemas.microsoft.com/office/drawing/2014/main" id="{00000000-0008-0000-1300-0000E2040000}"/>
            </a:ext>
          </a:extLst>
        </xdr:cNvPr>
        <xdr:cNvCxnSpPr/>
      </xdr:nvCxnSpPr>
      <xdr:spPr>
        <a:xfrm flipV="1">
          <a:off x="2296584" y="102457250"/>
          <a:ext cx="592666" cy="12805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21167</xdr:colOff>
      <xdr:row>1505</xdr:row>
      <xdr:rowOff>10583</xdr:rowOff>
    </xdr:from>
    <xdr:to>
      <xdr:col>4</xdr:col>
      <xdr:colOff>63500</xdr:colOff>
      <xdr:row>1656</xdr:row>
      <xdr:rowOff>158750</xdr:rowOff>
    </xdr:to>
    <xdr:cxnSp macro="">
      <xdr:nvCxnSpPr>
        <xdr:cNvPr id="1251" name="Straight Arrow Connector 1250">
          <a:extLst>
            <a:ext uri="{FF2B5EF4-FFF2-40B4-BE49-F238E27FC236}">
              <a16:creationId xmlns:a16="http://schemas.microsoft.com/office/drawing/2014/main" id="{00000000-0008-0000-1300-0000E3040000}"/>
            </a:ext>
          </a:extLst>
        </xdr:cNvPr>
        <xdr:cNvCxnSpPr/>
      </xdr:nvCxnSpPr>
      <xdr:spPr>
        <a:xfrm>
          <a:off x="2307167" y="115834583"/>
          <a:ext cx="645583" cy="29294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825500</xdr:colOff>
      <xdr:row>1399</xdr:row>
      <xdr:rowOff>1</xdr:rowOff>
    </xdr:from>
    <xdr:to>
      <xdr:col>6</xdr:col>
      <xdr:colOff>0</xdr:colOff>
      <xdr:row>1433</xdr:row>
      <xdr:rowOff>116417</xdr:rowOff>
    </xdr:to>
    <xdr:cxnSp macro="">
      <xdr:nvCxnSpPr>
        <xdr:cNvPr id="1252" name="Straight Arrow Connector 1251">
          <a:extLst>
            <a:ext uri="{FF2B5EF4-FFF2-40B4-BE49-F238E27FC236}">
              <a16:creationId xmlns:a16="http://schemas.microsoft.com/office/drawing/2014/main" id="{00000000-0008-0000-1300-0000E4040000}"/>
            </a:ext>
          </a:extLst>
        </xdr:cNvPr>
        <xdr:cNvCxnSpPr/>
      </xdr:nvCxnSpPr>
      <xdr:spPr>
        <a:xfrm flipV="1">
          <a:off x="3714750" y="95250001"/>
          <a:ext cx="666750" cy="65934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21167</xdr:colOff>
      <xdr:row>1436</xdr:row>
      <xdr:rowOff>169334</xdr:rowOff>
    </xdr:from>
    <xdr:to>
      <xdr:col>5</xdr:col>
      <xdr:colOff>571500</xdr:colOff>
      <xdr:row>1505</xdr:row>
      <xdr:rowOff>0</xdr:rowOff>
    </xdr:to>
    <xdr:cxnSp macro="">
      <xdr:nvCxnSpPr>
        <xdr:cNvPr id="1253" name="Straight Arrow Connector 1252">
          <a:extLst>
            <a:ext uri="{FF2B5EF4-FFF2-40B4-BE49-F238E27FC236}">
              <a16:creationId xmlns:a16="http://schemas.microsoft.com/office/drawing/2014/main" id="{00000000-0008-0000-1300-0000E5040000}"/>
            </a:ext>
          </a:extLst>
        </xdr:cNvPr>
        <xdr:cNvCxnSpPr/>
      </xdr:nvCxnSpPr>
      <xdr:spPr>
        <a:xfrm>
          <a:off x="3799417" y="102467834"/>
          <a:ext cx="550333" cy="133244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1374</xdr:row>
      <xdr:rowOff>148167</xdr:rowOff>
    </xdr:from>
    <xdr:to>
      <xdr:col>7</xdr:col>
      <xdr:colOff>603250</xdr:colOff>
      <xdr:row>1396</xdr:row>
      <xdr:rowOff>31750</xdr:rowOff>
    </xdr:to>
    <xdr:cxnSp macro="">
      <xdr:nvCxnSpPr>
        <xdr:cNvPr id="1254" name="Straight Arrow Connector 1253">
          <a:extLst>
            <a:ext uri="{FF2B5EF4-FFF2-40B4-BE49-F238E27FC236}">
              <a16:creationId xmlns:a16="http://schemas.microsoft.com/office/drawing/2014/main" id="{00000000-0008-0000-1300-0000E6040000}"/>
            </a:ext>
          </a:extLst>
        </xdr:cNvPr>
        <xdr:cNvCxnSpPr/>
      </xdr:nvCxnSpPr>
      <xdr:spPr>
        <a:xfrm flipV="1">
          <a:off x="5175250" y="90445167"/>
          <a:ext cx="603250" cy="42650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1399</xdr:row>
      <xdr:rowOff>10584</xdr:rowOff>
    </xdr:from>
    <xdr:to>
      <xdr:col>8</xdr:col>
      <xdr:colOff>21167</xdr:colOff>
      <xdr:row>1427</xdr:row>
      <xdr:rowOff>148166</xdr:rowOff>
    </xdr:to>
    <xdr:cxnSp macro="">
      <xdr:nvCxnSpPr>
        <xdr:cNvPr id="1255" name="Straight Arrow Connector 1254">
          <a:extLst>
            <a:ext uri="{FF2B5EF4-FFF2-40B4-BE49-F238E27FC236}">
              <a16:creationId xmlns:a16="http://schemas.microsoft.com/office/drawing/2014/main" id="{00000000-0008-0000-1300-0000E7040000}"/>
            </a:ext>
          </a:extLst>
        </xdr:cNvPr>
        <xdr:cNvCxnSpPr/>
      </xdr:nvCxnSpPr>
      <xdr:spPr>
        <a:xfrm>
          <a:off x="5175250" y="95260584"/>
          <a:ext cx="624417" cy="547158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1366</xdr:row>
      <xdr:rowOff>137583</xdr:rowOff>
    </xdr:from>
    <xdr:to>
      <xdr:col>9</xdr:col>
      <xdr:colOff>603250</xdr:colOff>
      <xdr:row>1372</xdr:row>
      <xdr:rowOff>21166</xdr:rowOff>
    </xdr:to>
    <xdr:cxnSp macro="">
      <xdr:nvCxnSpPr>
        <xdr:cNvPr id="1256" name="Straight Arrow Connector 1255">
          <a:extLst>
            <a:ext uri="{FF2B5EF4-FFF2-40B4-BE49-F238E27FC236}">
              <a16:creationId xmlns:a16="http://schemas.microsoft.com/office/drawing/2014/main" id="{00000000-0008-0000-1300-0000E8040000}"/>
            </a:ext>
          </a:extLst>
        </xdr:cNvPr>
        <xdr:cNvCxnSpPr/>
      </xdr:nvCxnSpPr>
      <xdr:spPr>
        <a:xfrm flipV="1">
          <a:off x="6381750" y="88910583"/>
          <a:ext cx="603250" cy="1026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1375</xdr:row>
      <xdr:rowOff>0</xdr:rowOff>
    </xdr:from>
    <xdr:to>
      <xdr:col>9</xdr:col>
      <xdr:colOff>582083</xdr:colOff>
      <xdr:row>1383</xdr:row>
      <xdr:rowOff>10583</xdr:rowOff>
    </xdr:to>
    <xdr:cxnSp macro="">
      <xdr:nvCxnSpPr>
        <xdr:cNvPr id="1257" name="Straight Arrow Connector 1256">
          <a:extLst>
            <a:ext uri="{FF2B5EF4-FFF2-40B4-BE49-F238E27FC236}">
              <a16:creationId xmlns:a16="http://schemas.microsoft.com/office/drawing/2014/main" id="{00000000-0008-0000-1300-0000E9040000}"/>
            </a:ext>
          </a:extLst>
        </xdr:cNvPr>
        <xdr:cNvCxnSpPr/>
      </xdr:nvCxnSpPr>
      <xdr:spPr>
        <a:xfrm>
          <a:off x="6413500" y="90487500"/>
          <a:ext cx="550333" cy="1534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21167</xdr:colOff>
      <xdr:row>1380</xdr:row>
      <xdr:rowOff>169333</xdr:rowOff>
    </xdr:from>
    <xdr:to>
      <xdr:col>11</xdr:col>
      <xdr:colOff>603250</xdr:colOff>
      <xdr:row>1383</xdr:row>
      <xdr:rowOff>21167</xdr:rowOff>
    </xdr:to>
    <xdr:cxnSp macro="">
      <xdr:nvCxnSpPr>
        <xdr:cNvPr id="1258" name="Straight Arrow Connector 1257">
          <a:extLst>
            <a:ext uri="{FF2B5EF4-FFF2-40B4-BE49-F238E27FC236}">
              <a16:creationId xmlns:a16="http://schemas.microsoft.com/office/drawing/2014/main" id="{00000000-0008-0000-1300-0000EA040000}"/>
            </a:ext>
          </a:extLst>
        </xdr:cNvPr>
        <xdr:cNvCxnSpPr/>
      </xdr:nvCxnSpPr>
      <xdr:spPr>
        <a:xfrm flipV="1">
          <a:off x="7609417" y="91609333"/>
          <a:ext cx="582083" cy="423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1386</xdr:row>
      <xdr:rowOff>42333</xdr:rowOff>
    </xdr:from>
    <xdr:to>
      <xdr:col>11</xdr:col>
      <xdr:colOff>603250</xdr:colOff>
      <xdr:row>1398</xdr:row>
      <xdr:rowOff>10583</xdr:rowOff>
    </xdr:to>
    <xdr:cxnSp macro="">
      <xdr:nvCxnSpPr>
        <xdr:cNvPr id="1259" name="Straight Arrow Connector 1258">
          <a:extLst>
            <a:ext uri="{FF2B5EF4-FFF2-40B4-BE49-F238E27FC236}">
              <a16:creationId xmlns:a16="http://schemas.microsoft.com/office/drawing/2014/main" id="{00000000-0008-0000-1300-0000EB040000}"/>
            </a:ext>
          </a:extLst>
        </xdr:cNvPr>
        <xdr:cNvCxnSpPr/>
      </xdr:nvCxnSpPr>
      <xdr:spPr>
        <a:xfrm>
          <a:off x="7598834" y="926253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1376</xdr:row>
      <xdr:rowOff>21167</xdr:rowOff>
    </xdr:from>
    <xdr:to>
      <xdr:col>13</xdr:col>
      <xdr:colOff>592667</xdr:colOff>
      <xdr:row>1378</xdr:row>
      <xdr:rowOff>0</xdr:rowOff>
    </xdr:to>
    <xdr:cxnSp macro="">
      <xdr:nvCxnSpPr>
        <xdr:cNvPr id="1260" name="Straight Arrow Connector 1259">
          <a:extLst>
            <a:ext uri="{FF2B5EF4-FFF2-40B4-BE49-F238E27FC236}">
              <a16:creationId xmlns:a16="http://schemas.microsoft.com/office/drawing/2014/main" id="{00000000-0008-0000-1300-0000EC040000}"/>
            </a:ext>
          </a:extLst>
        </xdr:cNvPr>
        <xdr:cNvCxnSpPr/>
      </xdr:nvCxnSpPr>
      <xdr:spPr>
        <a:xfrm flipV="1">
          <a:off x="8794750" y="906991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1381</xdr:row>
      <xdr:rowOff>21166</xdr:rowOff>
    </xdr:from>
    <xdr:to>
      <xdr:col>13</xdr:col>
      <xdr:colOff>592667</xdr:colOff>
      <xdr:row>1382</xdr:row>
      <xdr:rowOff>169334</xdr:rowOff>
    </xdr:to>
    <xdr:cxnSp macro="">
      <xdr:nvCxnSpPr>
        <xdr:cNvPr id="1261" name="Straight Arrow Connector 1260">
          <a:extLst>
            <a:ext uri="{FF2B5EF4-FFF2-40B4-BE49-F238E27FC236}">
              <a16:creationId xmlns:a16="http://schemas.microsoft.com/office/drawing/2014/main" id="{00000000-0008-0000-1300-0000ED040000}"/>
            </a:ext>
          </a:extLst>
        </xdr:cNvPr>
        <xdr:cNvCxnSpPr/>
      </xdr:nvCxnSpPr>
      <xdr:spPr>
        <a:xfrm>
          <a:off x="8784166" y="916516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1396</xdr:row>
      <xdr:rowOff>21167</xdr:rowOff>
    </xdr:from>
    <xdr:to>
      <xdr:col>13</xdr:col>
      <xdr:colOff>592667</xdr:colOff>
      <xdr:row>1398</xdr:row>
      <xdr:rowOff>63500</xdr:rowOff>
    </xdr:to>
    <xdr:cxnSp macro="">
      <xdr:nvCxnSpPr>
        <xdr:cNvPr id="1262" name="Straight Arrow Connector 1261">
          <a:extLst>
            <a:ext uri="{FF2B5EF4-FFF2-40B4-BE49-F238E27FC236}">
              <a16:creationId xmlns:a16="http://schemas.microsoft.com/office/drawing/2014/main" id="{00000000-0008-0000-1300-0000EE040000}"/>
            </a:ext>
          </a:extLst>
        </xdr:cNvPr>
        <xdr:cNvCxnSpPr/>
      </xdr:nvCxnSpPr>
      <xdr:spPr>
        <a:xfrm flipV="1">
          <a:off x="8794750" y="946996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1401</xdr:row>
      <xdr:rowOff>0</xdr:rowOff>
    </xdr:from>
    <xdr:to>
      <xdr:col>14</xdr:col>
      <xdr:colOff>10584</xdr:colOff>
      <xdr:row>1409</xdr:row>
      <xdr:rowOff>148167</xdr:rowOff>
    </xdr:to>
    <xdr:cxnSp macro="">
      <xdr:nvCxnSpPr>
        <xdr:cNvPr id="1263" name="Straight Arrow Connector 1262">
          <a:extLst>
            <a:ext uri="{FF2B5EF4-FFF2-40B4-BE49-F238E27FC236}">
              <a16:creationId xmlns:a16="http://schemas.microsoft.com/office/drawing/2014/main" id="{00000000-0008-0000-1300-0000EF040000}"/>
            </a:ext>
          </a:extLst>
        </xdr:cNvPr>
        <xdr:cNvCxnSpPr/>
      </xdr:nvCxnSpPr>
      <xdr:spPr>
        <a:xfrm>
          <a:off x="8805333" y="956310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1368</xdr:row>
      <xdr:rowOff>0</xdr:rowOff>
    </xdr:from>
    <xdr:to>
      <xdr:col>15</xdr:col>
      <xdr:colOff>603250</xdr:colOff>
      <xdr:row>1373</xdr:row>
      <xdr:rowOff>31750</xdr:rowOff>
    </xdr:to>
    <xdr:cxnSp macro="">
      <xdr:nvCxnSpPr>
        <xdr:cNvPr id="1264" name="Straight Arrow Connector 1263">
          <a:extLst>
            <a:ext uri="{FF2B5EF4-FFF2-40B4-BE49-F238E27FC236}">
              <a16:creationId xmlns:a16="http://schemas.microsoft.com/office/drawing/2014/main" id="{00000000-0008-0000-1300-0000F0040000}"/>
            </a:ext>
          </a:extLst>
        </xdr:cNvPr>
        <xdr:cNvCxnSpPr/>
      </xdr:nvCxnSpPr>
      <xdr:spPr>
        <a:xfrm flipV="1">
          <a:off x="10541000" y="89154000"/>
          <a:ext cx="603250" cy="984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1371</xdr:row>
      <xdr:rowOff>52917</xdr:rowOff>
    </xdr:from>
    <xdr:to>
      <xdr:col>15</xdr:col>
      <xdr:colOff>603250</xdr:colOff>
      <xdr:row>1373</xdr:row>
      <xdr:rowOff>95250</xdr:rowOff>
    </xdr:to>
    <xdr:cxnSp macro="">
      <xdr:nvCxnSpPr>
        <xdr:cNvPr id="1265" name="Straight Arrow Connector 1264">
          <a:extLst>
            <a:ext uri="{FF2B5EF4-FFF2-40B4-BE49-F238E27FC236}">
              <a16:creationId xmlns:a16="http://schemas.microsoft.com/office/drawing/2014/main" id="{00000000-0008-0000-1300-0000F1040000}"/>
            </a:ext>
          </a:extLst>
        </xdr:cNvPr>
        <xdr:cNvCxnSpPr/>
      </xdr:nvCxnSpPr>
      <xdr:spPr>
        <a:xfrm flipV="1">
          <a:off x="10583333" y="89778417"/>
          <a:ext cx="56091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1373</xdr:row>
      <xdr:rowOff>158750</xdr:rowOff>
    </xdr:from>
    <xdr:to>
      <xdr:col>15</xdr:col>
      <xdr:colOff>582083</xdr:colOff>
      <xdr:row>1374</xdr:row>
      <xdr:rowOff>137583</xdr:rowOff>
    </xdr:to>
    <xdr:cxnSp macro="">
      <xdr:nvCxnSpPr>
        <xdr:cNvPr id="1266" name="Straight Arrow Connector 1265">
          <a:extLst>
            <a:ext uri="{FF2B5EF4-FFF2-40B4-BE49-F238E27FC236}">
              <a16:creationId xmlns:a16="http://schemas.microsoft.com/office/drawing/2014/main" id="{00000000-0008-0000-1300-0000F2040000}"/>
            </a:ext>
          </a:extLst>
        </xdr:cNvPr>
        <xdr:cNvCxnSpPr/>
      </xdr:nvCxnSpPr>
      <xdr:spPr>
        <a:xfrm>
          <a:off x="10604500" y="90265250"/>
          <a:ext cx="518583" cy="169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1121834</xdr:colOff>
      <xdr:row>1373</xdr:row>
      <xdr:rowOff>105834</xdr:rowOff>
    </xdr:from>
    <xdr:to>
      <xdr:col>16</xdr:col>
      <xdr:colOff>0</xdr:colOff>
      <xdr:row>1377</xdr:row>
      <xdr:rowOff>84667</xdr:rowOff>
    </xdr:to>
    <xdr:cxnSp macro="">
      <xdr:nvCxnSpPr>
        <xdr:cNvPr id="1267" name="Straight Arrow Connector 1266">
          <a:extLst>
            <a:ext uri="{FF2B5EF4-FFF2-40B4-BE49-F238E27FC236}">
              <a16:creationId xmlns:a16="http://schemas.microsoft.com/office/drawing/2014/main" id="{00000000-0008-0000-1300-0000F3040000}"/>
            </a:ext>
          </a:extLst>
        </xdr:cNvPr>
        <xdr:cNvCxnSpPr/>
      </xdr:nvCxnSpPr>
      <xdr:spPr>
        <a:xfrm>
          <a:off x="10519834" y="90212334"/>
          <a:ext cx="624416"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1381</xdr:row>
      <xdr:rowOff>52916</xdr:rowOff>
    </xdr:from>
    <xdr:to>
      <xdr:col>16</xdr:col>
      <xdr:colOff>0</xdr:colOff>
      <xdr:row>1383</xdr:row>
      <xdr:rowOff>0</xdr:rowOff>
    </xdr:to>
    <xdr:cxnSp macro="">
      <xdr:nvCxnSpPr>
        <xdr:cNvPr id="1268" name="Straight Arrow Connector 1267">
          <a:extLst>
            <a:ext uri="{FF2B5EF4-FFF2-40B4-BE49-F238E27FC236}">
              <a16:creationId xmlns:a16="http://schemas.microsoft.com/office/drawing/2014/main" id="{00000000-0008-0000-1300-0000F4040000}"/>
            </a:ext>
          </a:extLst>
        </xdr:cNvPr>
        <xdr:cNvCxnSpPr/>
      </xdr:nvCxnSpPr>
      <xdr:spPr>
        <a:xfrm flipV="1">
          <a:off x="10541000" y="916834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1383</xdr:row>
      <xdr:rowOff>21167</xdr:rowOff>
    </xdr:from>
    <xdr:to>
      <xdr:col>15</xdr:col>
      <xdr:colOff>582083</xdr:colOff>
      <xdr:row>1384</xdr:row>
      <xdr:rowOff>42333</xdr:rowOff>
    </xdr:to>
    <xdr:cxnSp macro="">
      <xdr:nvCxnSpPr>
        <xdr:cNvPr id="1269" name="Straight Arrow Connector 1268">
          <a:extLst>
            <a:ext uri="{FF2B5EF4-FFF2-40B4-BE49-F238E27FC236}">
              <a16:creationId xmlns:a16="http://schemas.microsoft.com/office/drawing/2014/main" id="{00000000-0008-0000-1300-0000F5040000}"/>
            </a:ext>
          </a:extLst>
        </xdr:cNvPr>
        <xdr:cNvCxnSpPr/>
      </xdr:nvCxnSpPr>
      <xdr:spPr>
        <a:xfrm>
          <a:off x="10551583" y="92032667"/>
          <a:ext cx="571500" cy="211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1383</xdr:row>
      <xdr:rowOff>21167</xdr:rowOff>
    </xdr:from>
    <xdr:to>
      <xdr:col>16</xdr:col>
      <xdr:colOff>42333</xdr:colOff>
      <xdr:row>1388</xdr:row>
      <xdr:rowOff>21168</xdr:rowOff>
    </xdr:to>
    <xdr:cxnSp macro="">
      <xdr:nvCxnSpPr>
        <xdr:cNvPr id="1270" name="Straight Arrow Connector 1269">
          <a:extLst>
            <a:ext uri="{FF2B5EF4-FFF2-40B4-BE49-F238E27FC236}">
              <a16:creationId xmlns:a16="http://schemas.microsoft.com/office/drawing/2014/main" id="{00000000-0008-0000-1300-0000F6040000}"/>
            </a:ext>
          </a:extLst>
        </xdr:cNvPr>
        <xdr:cNvCxnSpPr/>
      </xdr:nvCxnSpPr>
      <xdr:spPr>
        <a:xfrm>
          <a:off x="10530417" y="92032667"/>
          <a:ext cx="656166" cy="9525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1383</xdr:row>
      <xdr:rowOff>31750</xdr:rowOff>
    </xdr:from>
    <xdr:to>
      <xdr:col>16</xdr:col>
      <xdr:colOff>42334</xdr:colOff>
      <xdr:row>1390</xdr:row>
      <xdr:rowOff>63501</xdr:rowOff>
    </xdr:to>
    <xdr:cxnSp macro="">
      <xdr:nvCxnSpPr>
        <xdr:cNvPr id="1271" name="Straight Arrow Connector 1270">
          <a:extLst>
            <a:ext uri="{FF2B5EF4-FFF2-40B4-BE49-F238E27FC236}">
              <a16:creationId xmlns:a16="http://schemas.microsoft.com/office/drawing/2014/main" id="{00000000-0008-0000-1300-0000F7040000}"/>
            </a:ext>
          </a:extLst>
        </xdr:cNvPr>
        <xdr:cNvCxnSpPr/>
      </xdr:nvCxnSpPr>
      <xdr:spPr>
        <a:xfrm>
          <a:off x="10541000" y="92043250"/>
          <a:ext cx="645584"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10583</xdr:colOff>
      <xdr:row>1420</xdr:row>
      <xdr:rowOff>42333</xdr:rowOff>
    </xdr:from>
    <xdr:to>
      <xdr:col>9</xdr:col>
      <xdr:colOff>592666</xdr:colOff>
      <xdr:row>1428</xdr:row>
      <xdr:rowOff>42333</xdr:rowOff>
    </xdr:to>
    <xdr:cxnSp macro="">
      <xdr:nvCxnSpPr>
        <xdr:cNvPr id="1272" name="Straight Arrow Connector 1271">
          <a:extLst>
            <a:ext uri="{FF2B5EF4-FFF2-40B4-BE49-F238E27FC236}">
              <a16:creationId xmlns:a16="http://schemas.microsoft.com/office/drawing/2014/main" id="{00000000-0008-0000-1300-0000F8040000}"/>
            </a:ext>
          </a:extLst>
        </xdr:cNvPr>
        <xdr:cNvCxnSpPr/>
      </xdr:nvCxnSpPr>
      <xdr:spPr>
        <a:xfrm flipV="1">
          <a:off x="6392333" y="99292833"/>
          <a:ext cx="582083" cy="152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1430</xdr:row>
      <xdr:rowOff>169334</xdr:rowOff>
    </xdr:from>
    <xdr:to>
      <xdr:col>9</xdr:col>
      <xdr:colOff>603250</xdr:colOff>
      <xdr:row>1439</xdr:row>
      <xdr:rowOff>31750</xdr:rowOff>
    </xdr:to>
    <xdr:cxnSp macro="">
      <xdr:nvCxnSpPr>
        <xdr:cNvPr id="1273" name="Straight Arrow Connector 1272">
          <a:extLst>
            <a:ext uri="{FF2B5EF4-FFF2-40B4-BE49-F238E27FC236}">
              <a16:creationId xmlns:a16="http://schemas.microsoft.com/office/drawing/2014/main" id="{00000000-0008-0000-1300-0000F9040000}"/>
            </a:ext>
          </a:extLst>
        </xdr:cNvPr>
        <xdr:cNvCxnSpPr/>
      </xdr:nvCxnSpPr>
      <xdr:spPr>
        <a:xfrm>
          <a:off x="6413500" y="101324834"/>
          <a:ext cx="571500" cy="1576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571500</xdr:colOff>
      <xdr:row>1436</xdr:row>
      <xdr:rowOff>158750</xdr:rowOff>
    </xdr:from>
    <xdr:to>
      <xdr:col>11</xdr:col>
      <xdr:colOff>571500</xdr:colOff>
      <xdr:row>1439</xdr:row>
      <xdr:rowOff>0</xdr:rowOff>
    </xdr:to>
    <xdr:cxnSp macro="">
      <xdr:nvCxnSpPr>
        <xdr:cNvPr id="1274" name="Straight Arrow Connector 1273">
          <a:extLst>
            <a:ext uri="{FF2B5EF4-FFF2-40B4-BE49-F238E27FC236}">
              <a16:creationId xmlns:a16="http://schemas.microsoft.com/office/drawing/2014/main" id="{00000000-0008-0000-1300-0000FA040000}"/>
            </a:ext>
          </a:extLst>
        </xdr:cNvPr>
        <xdr:cNvCxnSpPr/>
      </xdr:nvCxnSpPr>
      <xdr:spPr>
        <a:xfrm flipV="1">
          <a:off x="7556500" y="102457250"/>
          <a:ext cx="603250" cy="412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1394</xdr:row>
      <xdr:rowOff>0</xdr:rowOff>
    </xdr:from>
    <xdr:to>
      <xdr:col>15</xdr:col>
      <xdr:colOff>603250</xdr:colOff>
      <xdr:row>1396</xdr:row>
      <xdr:rowOff>1</xdr:rowOff>
    </xdr:to>
    <xdr:cxnSp macro="">
      <xdr:nvCxnSpPr>
        <xdr:cNvPr id="1275" name="Straight Arrow Connector 1274">
          <a:extLst>
            <a:ext uri="{FF2B5EF4-FFF2-40B4-BE49-F238E27FC236}">
              <a16:creationId xmlns:a16="http://schemas.microsoft.com/office/drawing/2014/main" id="{00000000-0008-0000-1300-0000FB040000}"/>
            </a:ext>
          </a:extLst>
        </xdr:cNvPr>
        <xdr:cNvCxnSpPr/>
      </xdr:nvCxnSpPr>
      <xdr:spPr>
        <a:xfrm flipV="1">
          <a:off x="10530417" y="942975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1396</xdr:row>
      <xdr:rowOff>10584</xdr:rowOff>
    </xdr:from>
    <xdr:to>
      <xdr:col>15</xdr:col>
      <xdr:colOff>592666</xdr:colOff>
      <xdr:row>1397</xdr:row>
      <xdr:rowOff>95250</xdr:rowOff>
    </xdr:to>
    <xdr:cxnSp macro="">
      <xdr:nvCxnSpPr>
        <xdr:cNvPr id="1276" name="Straight Arrow Connector 1275">
          <a:extLst>
            <a:ext uri="{FF2B5EF4-FFF2-40B4-BE49-F238E27FC236}">
              <a16:creationId xmlns:a16="http://schemas.microsoft.com/office/drawing/2014/main" id="{00000000-0008-0000-1300-0000FC040000}"/>
            </a:ext>
          </a:extLst>
        </xdr:cNvPr>
        <xdr:cNvCxnSpPr/>
      </xdr:nvCxnSpPr>
      <xdr:spPr>
        <a:xfrm>
          <a:off x="10572750" y="946890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1396</xdr:row>
      <xdr:rowOff>10584</xdr:rowOff>
    </xdr:from>
    <xdr:to>
      <xdr:col>15</xdr:col>
      <xdr:colOff>560916</xdr:colOff>
      <xdr:row>1400</xdr:row>
      <xdr:rowOff>52917</xdr:rowOff>
    </xdr:to>
    <xdr:cxnSp macro="">
      <xdr:nvCxnSpPr>
        <xdr:cNvPr id="1277" name="Straight Arrow Connector 1276">
          <a:extLst>
            <a:ext uri="{FF2B5EF4-FFF2-40B4-BE49-F238E27FC236}">
              <a16:creationId xmlns:a16="http://schemas.microsoft.com/office/drawing/2014/main" id="{00000000-0008-0000-1300-0000FD040000}"/>
            </a:ext>
          </a:extLst>
        </xdr:cNvPr>
        <xdr:cNvCxnSpPr/>
      </xdr:nvCxnSpPr>
      <xdr:spPr>
        <a:xfrm>
          <a:off x="10551583" y="946890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1396</xdr:row>
      <xdr:rowOff>31750</xdr:rowOff>
    </xdr:from>
    <xdr:to>
      <xdr:col>16</xdr:col>
      <xdr:colOff>21167</xdr:colOff>
      <xdr:row>1403</xdr:row>
      <xdr:rowOff>95250</xdr:rowOff>
    </xdr:to>
    <xdr:cxnSp macro="">
      <xdr:nvCxnSpPr>
        <xdr:cNvPr id="1278" name="Straight Arrow Connector 1277">
          <a:extLst>
            <a:ext uri="{FF2B5EF4-FFF2-40B4-BE49-F238E27FC236}">
              <a16:creationId xmlns:a16="http://schemas.microsoft.com/office/drawing/2014/main" id="{00000000-0008-0000-1300-0000FE040000}"/>
            </a:ext>
          </a:extLst>
        </xdr:cNvPr>
        <xdr:cNvCxnSpPr/>
      </xdr:nvCxnSpPr>
      <xdr:spPr>
        <a:xfrm>
          <a:off x="10583333" y="947102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1410</xdr:row>
      <xdr:rowOff>0</xdr:rowOff>
    </xdr:from>
    <xdr:to>
      <xdr:col>16</xdr:col>
      <xdr:colOff>0</xdr:colOff>
      <xdr:row>1410</xdr:row>
      <xdr:rowOff>42334</xdr:rowOff>
    </xdr:to>
    <xdr:cxnSp macro="">
      <xdr:nvCxnSpPr>
        <xdr:cNvPr id="1279" name="Straight Arrow Connector 1278">
          <a:extLst>
            <a:ext uri="{FF2B5EF4-FFF2-40B4-BE49-F238E27FC236}">
              <a16:creationId xmlns:a16="http://schemas.microsoft.com/office/drawing/2014/main" id="{00000000-0008-0000-1300-0000FF040000}"/>
            </a:ext>
          </a:extLst>
        </xdr:cNvPr>
        <xdr:cNvCxnSpPr/>
      </xdr:nvCxnSpPr>
      <xdr:spPr>
        <a:xfrm>
          <a:off x="10562166" y="973455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1410</xdr:row>
      <xdr:rowOff>21166</xdr:rowOff>
    </xdr:from>
    <xdr:to>
      <xdr:col>15</xdr:col>
      <xdr:colOff>560916</xdr:colOff>
      <xdr:row>1413</xdr:row>
      <xdr:rowOff>84667</xdr:rowOff>
    </xdr:to>
    <xdr:cxnSp macro="">
      <xdr:nvCxnSpPr>
        <xdr:cNvPr id="1280" name="Straight Arrow Connector 1279">
          <a:extLst>
            <a:ext uri="{FF2B5EF4-FFF2-40B4-BE49-F238E27FC236}">
              <a16:creationId xmlns:a16="http://schemas.microsoft.com/office/drawing/2014/main" id="{00000000-0008-0000-1300-000000050000}"/>
            </a:ext>
          </a:extLst>
        </xdr:cNvPr>
        <xdr:cNvCxnSpPr/>
      </xdr:nvCxnSpPr>
      <xdr:spPr>
        <a:xfrm>
          <a:off x="10615083" y="973666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1410</xdr:row>
      <xdr:rowOff>52916</xdr:rowOff>
    </xdr:from>
    <xdr:to>
      <xdr:col>15</xdr:col>
      <xdr:colOff>592666</xdr:colOff>
      <xdr:row>1416</xdr:row>
      <xdr:rowOff>63501</xdr:rowOff>
    </xdr:to>
    <xdr:cxnSp macro="">
      <xdr:nvCxnSpPr>
        <xdr:cNvPr id="1281" name="Straight Arrow Connector 1280">
          <a:extLst>
            <a:ext uri="{FF2B5EF4-FFF2-40B4-BE49-F238E27FC236}">
              <a16:creationId xmlns:a16="http://schemas.microsoft.com/office/drawing/2014/main" id="{00000000-0008-0000-1300-000001050000}"/>
            </a:ext>
          </a:extLst>
        </xdr:cNvPr>
        <xdr:cNvCxnSpPr/>
      </xdr:nvCxnSpPr>
      <xdr:spPr>
        <a:xfrm>
          <a:off x="10572750" y="973984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1424</xdr:row>
      <xdr:rowOff>116416</xdr:rowOff>
    </xdr:from>
    <xdr:to>
      <xdr:col>15</xdr:col>
      <xdr:colOff>592666</xdr:colOff>
      <xdr:row>1427</xdr:row>
      <xdr:rowOff>158750</xdr:rowOff>
    </xdr:to>
    <xdr:cxnSp macro="">
      <xdr:nvCxnSpPr>
        <xdr:cNvPr id="1282" name="Straight Arrow Connector 1281">
          <a:extLst>
            <a:ext uri="{FF2B5EF4-FFF2-40B4-BE49-F238E27FC236}">
              <a16:creationId xmlns:a16="http://schemas.microsoft.com/office/drawing/2014/main" id="{00000000-0008-0000-1300-000002050000}"/>
            </a:ext>
          </a:extLst>
        </xdr:cNvPr>
        <xdr:cNvCxnSpPr/>
      </xdr:nvCxnSpPr>
      <xdr:spPr>
        <a:xfrm flipV="1">
          <a:off x="10562166" y="100128916"/>
          <a:ext cx="571500" cy="613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1426</xdr:row>
      <xdr:rowOff>95250</xdr:rowOff>
    </xdr:from>
    <xdr:to>
      <xdr:col>15</xdr:col>
      <xdr:colOff>582083</xdr:colOff>
      <xdr:row>1428</xdr:row>
      <xdr:rowOff>52917</xdr:rowOff>
    </xdr:to>
    <xdr:cxnSp macro="">
      <xdr:nvCxnSpPr>
        <xdr:cNvPr id="1283" name="Straight Arrow Connector 1282">
          <a:extLst>
            <a:ext uri="{FF2B5EF4-FFF2-40B4-BE49-F238E27FC236}">
              <a16:creationId xmlns:a16="http://schemas.microsoft.com/office/drawing/2014/main" id="{00000000-0008-0000-1300-000003050000}"/>
            </a:ext>
          </a:extLst>
        </xdr:cNvPr>
        <xdr:cNvCxnSpPr/>
      </xdr:nvCxnSpPr>
      <xdr:spPr>
        <a:xfrm flipV="1">
          <a:off x="10604500" y="100488750"/>
          <a:ext cx="518583" cy="338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1428</xdr:row>
      <xdr:rowOff>116417</xdr:rowOff>
    </xdr:from>
    <xdr:to>
      <xdr:col>15</xdr:col>
      <xdr:colOff>592666</xdr:colOff>
      <xdr:row>1432</xdr:row>
      <xdr:rowOff>95250</xdr:rowOff>
    </xdr:to>
    <xdr:cxnSp macro="">
      <xdr:nvCxnSpPr>
        <xdr:cNvPr id="1284" name="Straight Arrow Connector 1283">
          <a:extLst>
            <a:ext uri="{FF2B5EF4-FFF2-40B4-BE49-F238E27FC236}">
              <a16:creationId xmlns:a16="http://schemas.microsoft.com/office/drawing/2014/main" id="{00000000-0008-0000-1300-000004050000}"/>
            </a:ext>
          </a:extLst>
        </xdr:cNvPr>
        <xdr:cNvCxnSpPr/>
      </xdr:nvCxnSpPr>
      <xdr:spPr>
        <a:xfrm>
          <a:off x="10593916" y="100890917"/>
          <a:ext cx="53975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1439</xdr:row>
      <xdr:rowOff>116416</xdr:rowOff>
    </xdr:from>
    <xdr:to>
      <xdr:col>16</xdr:col>
      <xdr:colOff>0</xdr:colOff>
      <xdr:row>1446</xdr:row>
      <xdr:rowOff>74084</xdr:rowOff>
    </xdr:to>
    <xdr:cxnSp macro="">
      <xdr:nvCxnSpPr>
        <xdr:cNvPr id="1285" name="Straight Arrow Connector 1284">
          <a:extLst>
            <a:ext uri="{FF2B5EF4-FFF2-40B4-BE49-F238E27FC236}">
              <a16:creationId xmlns:a16="http://schemas.microsoft.com/office/drawing/2014/main" id="{00000000-0008-0000-1300-000005050000}"/>
            </a:ext>
          </a:extLst>
        </xdr:cNvPr>
        <xdr:cNvCxnSpPr/>
      </xdr:nvCxnSpPr>
      <xdr:spPr>
        <a:xfrm>
          <a:off x="10572750" y="102986416"/>
          <a:ext cx="571500" cy="12911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1407</xdr:row>
      <xdr:rowOff>52917</xdr:rowOff>
    </xdr:from>
    <xdr:to>
      <xdr:col>15</xdr:col>
      <xdr:colOff>603250</xdr:colOff>
      <xdr:row>1409</xdr:row>
      <xdr:rowOff>148167</xdr:rowOff>
    </xdr:to>
    <xdr:cxnSp macro="">
      <xdr:nvCxnSpPr>
        <xdr:cNvPr id="1286" name="Straight Arrow Connector 1285">
          <a:extLst>
            <a:ext uri="{FF2B5EF4-FFF2-40B4-BE49-F238E27FC236}">
              <a16:creationId xmlns:a16="http://schemas.microsoft.com/office/drawing/2014/main" id="{00000000-0008-0000-1300-000006050000}"/>
            </a:ext>
          </a:extLst>
        </xdr:cNvPr>
        <xdr:cNvCxnSpPr/>
      </xdr:nvCxnSpPr>
      <xdr:spPr>
        <a:xfrm flipV="1">
          <a:off x="10583333" y="968269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1442</xdr:row>
      <xdr:rowOff>42333</xdr:rowOff>
    </xdr:from>
    <xdr:to>
      <xdr:col>11</xdr:col>
      <xdr:colOff>603250</xdr:colOff>
      <xdr:row>1454</xdr:row>
      <xdr:rowOff>10583</xdr:rowOff>
    </xdr:to>
    <xdr:cxnSp macro="">
      <xdr:nvCxnSpPr>
        <xdr:cNvPr id="1287" name="Straight Arrow Connector 1286">
          <a:extLst>
            <a:ext uri="{FF2B5EF4-FFF2-40B4-BE49-F238E27FC236}">
              <a16:creationId xmlns:a16="http://schemas.microsoft.com/office/drawing/2014/main" id="{00000000-0008-0000-1300-000007050000}"/>
            </a:ext>
          </a:extLst>
        </xdr:cNvPr>
        <xdr:cNvCxnSpPr/>
      </xdr:nvCxnSpPr>
      <xdr:spPr>
        <a:xfrm>
          <a:off x="7598834" y="1034838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1432</xdr:row>
      <xdr:rowOff>21167</xdr:rowOff>
    </xdr:from>
    <xdr:to>
      <xdr:col>13</xdr:col>
      <xdr:colOff>592667</xdr:colOff>
      <xdr:row>1434</xdr:row>
      <xdr:rowOff>0</xdr:rowOff>
    </xdr:to>
    <xdr:cxnSp macro="">
      <xdr:nvCxnSpPr>
        <xdr:cNvPr id="1288" name="Straight Arrow Connector 1287">
          <a:extLst>
            <a:ext uri="{FF2B5EF4-FFF2-40B4-BE49-F238E27FC236}">
              <a16:creationId xmlns:a16="http://schemas.microsoft.com/office/drawing/2014/main" id="{00000000-0008-0000-1300-000008050000}"/>
            </a:ext>
          </a:extLst>
        </xdr:cNvPr>
        <xdr:cNvCxnSpPr/>
      </xdr:nvCxnSpPr>
      <xdr:spPr>
        <a:xfrm flipV="1">
          <a:off x="8794750" y="1015576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1437</xdr:row>
      <xdr:rowOff>21166</xdr:rowOff>
    </xdr:from>
    <xdr:to>
      <xdr:col>13</xdr:col>
      <xdr:colOff>592667</xdr:colOff>
      <xdr:row>1438</xdr:row>
      <xdr:rowOff>169334</xdr:rowOff>
    </xdr:to>
    <xdr:cxnSp macro="">
      <xdr:nvCxnSpPr>
        <xdr:cNvPr id="1289" name="Straight Arrow Connector 1288">
          <a:extLst>
            <a:ext uri="{FF2B5EF4-FFF2-40B4-BE49-F238E27FC236}">
              <a16:creationId xmlns:a16="http://schemas.microsoft.com/office/drawing/2014/main" id="{00000000-0008-0000-1300-000009050000}"/>
            </a:ext>
          </a:extLst>
        </xdr:cNvPr>
        <xdr:cNvCxnSpPr/>
      </xdr:nvCxnSpPr>
      <xdr:spPr>
        <a:xfrm>
          <a:off x="8784166" y="1025101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1452</xdr:row>
      <xdr:rowOff>21167</xdr:rowOff>
    </xdr:from>
    <xdr:to>
      <xdr:col>13</xdr:col>
      <xdr:colOff>592667</xdr:colOff>
      <xdr:row>1454</xdr:row>
      <xdr:rowOff>63500</xdr:rowOff>
    </xdr:to>
    <xdr:cxnSp macro="">
      <xdr:nvCxnSpPr>
        <xdr:cNvPr id="1290" name="Straight Arrow Connector 1289">
          <a:extLst>
            <a:ext uri="{FF2B5EF4-FFF2-40B4-BE49-F238E27FC236}">
              <a16:creationId xmlns:a16="http://schemas.microsoft.com/office/drawing/2014/main" id="{00000000-0008-0000-1300-00000A050000}"/>
            </a:ext>
          </a:extLst>
        </xdr:cNvPr>
        <xdr:cNvCxnSpPr/>
      </xdr:nvCxnSpPr>
      <xdr:spPr>
        <a:xfrm flipV="1">
          <a:off x="8794750" y="1055581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1457</xdr:row>
      <xdr:rowOff>0</xdr:rowOff>
    </xdr:from>
    <xdr:to>
      <xdr:col>14</xdr:col>
      <xdr:colOff>10584</xdr:colOff>
      <xdr:row>1465</xdr:row>
      <xdr:rowOff>148167</xdr:rowOff>
    </xdr:to>
    <xdr:cxnSp macro="">
      <xdr:nvCxnSpPr>
        <xdr:cNvPr id="1291" name="Straight Arrow Connector 1290">
          <a:extLst>
            <a:ext uri="{FF2B5EF4-FFF2-40B4-BE49-F238E27FC236}">
              <a16:creationId xmlns:a16="http://schemas.microsoft.com/office/drawing/2014/main" id="{00000000-0008-0000-1300-00000B050000}"/>
            </a:ext>
          </a:extLst>
        </xdr:cNvPr>
        <xdr:cNvCxnSpPr/>
      </xdr:nvCxnSpPr>
      <xdr:spPr>
        <a:xfrm>
          <a:off x="8805333" y="1064895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1428</xdr:row>
      <xdr:rowOff>95250</xdr:rowOff>
    </xdr:from>
    <xdr:to>
      <xdr:col>15</xdr:col>
      <xdr:colOff>582083</xdr:colOff>
      <xdr:row>1430</xdr:row>
      <xdr:rowOff>137583</xdr:rowOff>
    </xdr:to>
    <xdr:cxnSp macro="">
      <xdr:nvCxnSpPr>
        <xdr:cNvPr id="1292" name="Straight Arrow Connector 1291">
          <a:extLst>
            <a:ext uri="{FF2B5EF4-FFF2-40B4-BE49-F238E27FC236}">
              <a16:creationId xmlns:a16="http://schemas.microsoft.com/office/drawing/2014/main" id="{00000000-0008-0000-1300-00000C050000}"/>
            </a:ext>
          </a:extLst>
        </xdr:cNvPr>
        <xdr:cNvCxnSpPr/>
      </xdr:nvCxnSpPr>
      <xdr:spPr>
        <a:xfrm>
          <a:off x="10593916" y="100869750"/>
          <a:ext cx="5291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1437</xdr:row>
      <xdr:rowOff>52916</xdr:rowOff>
    </xdr:from>
    <xdr:to>
      <xdr:col>16</xdr:col>
      <xdr:colOff>0</xdr:colOff>
      <xdr:row>1439</xdr:row>
      <xdr:rowOff>0</xdr:rowOff>
    </xdr:to>
    <xdr:cxnSp macro="">
      <xdr:nvCxnSpPr>
        <xdr:cNvPr id="1293" name="Straight Arrow Connector 1292">
          <a:extLst>
            <a:ext uri="{FF2B5EF4-FFF2-40B4-BE49-F238E27FC236}">
              <a16:creationId xmlns:a16="http://schemas.microsoft.com/office/drawing/2014/main" id="{00000000-0008-0000-1300-00000D050000}"/>
            </a:ext>
          </a:extLst>
        </xdr:cNvPr>
        <xdr:cNvCxnSpPr/>
      </xdr:nvCxnSpPr>
      <xdr:spPr>
        <a:xfrm flipV="1">
          <a:off x="10541000" y="1025419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1439</xdr:row>
      <xdr:rowOff>21167</xdr:rowOff>
    </xdr:from>
    <xdr:to>
      <xdr:col>15</xdr:col>
      <xdr:colOff>592666</xdr:colOff>
      <xdr:row>1440</xdr:row>
      <xdr:rowOff>84667</xdr:rowOff>
    </xdr:to>
    <xdr:cxnSp macro="">
      <xdr:nvCxnSpPr>
        <xdr:cNvPr id="1294" name="Straight Arrow Connector 1293">
          <a:extLst>
            <a:ext uri="{FF2B5EF4-FFF2-40B4-BE49-F238E27FC236}">
              <a16:creationId xmlns:a16="http://schemas.microsoft.com/office/drawing/2014/main" id="{00000000-0008-0000-1300-00000E050000}"/>
            </a:ext>
          </a:extLst>
        </xdr:cNvPr>
        <xdr:cNvCxnSpPr/>
      </xdr:nvCxnSpPr>
      <xdr:spPr>
        <a:xfrm>
          <a:off x="10530417" y="102891167"/>
          <a:ext cx="603249" cy="25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1439</xdr:row>
      <xdr:rowOff>0</xdr:rowOff>
    </xdr:from>
    <xdr:to>
      <xdr:col>16</xdr:col>
      <xdr:colOff>0</xdr:colOff>
      <xdr:row>1443</xdr:row>
      <xdr:rowOff>42334</xdr:rowOff>
    </xdr:to>
    <xdr:cxnSp macro="">
      <xdr:nvCxnSpPr>
        <xdr:cNvPr id="1295" name="Straight Arrow Connector 1294">
          <a:extLst>
            <a:ext uri="{FF2B5EF4-FFF2-40B4-BE49-F238E27FC236}">
              <a16:creationId xmlns:a16="http://schemas.microsoft.com/office/drawing/2014/main" id="{00000000-0008-0000-1300-00000F050000}"/>
            </a:ext>
          </a:extLst>
        </xdr:cNvPr>
        <xdr:cNvCxnSpPr/>
      </xdr:nvCxnSpPr>
      <xdr:spPr>
        <a:xfrm>
          <a:off x="10530417" y="102870000"/>
          <a:ext cx="613833" cy="804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1450</xdr:row>
      <xdr:rowOff>0</xdr:rowOff>
    </xdr:from>
    <xdr:to>
      <xdr:col>15</xdr:col>
      <xdr:colOff>603250</xdr:colOff>
      <xdr:row>1452</xdr:row>
      <xdr:rowOff>1</xdr:rowOff>
    </xdr:to>
    <xdr:cxnSp macro="">
      <xdr:nvCxnSpPr>
        <xdr:cNvPr id="1296" name="Straight Arrow Connector 1295">
          <a:extLst>
            <a:ext uri="{FF2B5EF4-FFF2-40B4-BE49-F238E27FC236}">
              <a16:creationId xmlns:a16="http://schemas.microsoft.com/office/drawing/2014/main" id="{00000000-0008-0000-1300-000010050000}"/>
            </a:ext>
          </a:extLst>
        </xdr:cNvPr>
        <xdr:cNvCxnSpPr/>
      </xdr:nvCxnSpPr>
      <xdr:spPr>
        <a:xfrm flipV="1">
          <a:off x="10530417" y="1051560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1452</xdr:row>
      <xdr:rowOff>10584</xdr:rowOff>
    </xdr:from>
    <xdr:to>
      <xdr:col>15</xdr:col>
      <xdr:colOff>592666</xdr:colOff>
      <xdr:row>1453</xdr:row>
      <xdr:rowOff>95250</xdr:rowOff>
    </xdr:to>
    <xdr:cxnSp macro="">
      <xdr:nvCxnSpPr>
        <xdr:cNvPr id="1297" name="Straight Arrow Connector 1296">
          <a:extLst>
            <a:ext uri="{FF2B5EF4-FFF2-40B4-BE49-F238E27FC236}">
              <a16:creationId xmlns:a16="http://schemas.microsoft.com/office/drawing/2014/main" id="{00000000-0008-0000-1300-000011050000}"/>
            </a:ext>
          </a:extLst>
        </xdr:cNvPr>
        <xdr:cNvCxnSpPr/>
      </xdr:nvCxnSpPr>
      <xdr:spPr>
        <a:xfrm>
          <a:off x="10572750" y="1055475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1452</xdr:row>
      <xdr:rowOff>10584</xdr:rowOff>
    </xdr:from>
    <xdr:to>
      <xdr:col>15</xdr:col>
      <xdr:colOff>560916</xdr:colOff>
      <xdr:row>1456</xdr:row>
      <xdr:rowOff>52917</xdr:rowOff>
    </xdr:to>
    <xdr:cxnSp macro="">
      <xdr:nvCxnSpPr>
        <xdr:cNvPr id="1298" name="Straight Arrow Connector 1297">
          <a:extLst>
            <a:ext uri="{FF2B5EF4-FFF2-40B4-BE49-F238E27FC236}">
              <a16:creationId xmlns:a16="http://schemas.microsoft.com/office/drawing/2014/main" id="{00000000-0008-0000-1300-000012050000}"/>
            </a:ext>
          </a:extLst>
        </xdr:cNvPr>
        <xdr:cNvCxnSpPr/>
      </xdr:nvCxnSpPr>
      <xdr:spPr>
        <a:xfrm>
          <a:off x="10551583" y="1055475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1452</xdr:row>
      <xdr:rowOff>31750</xdr:rowOff>
    </xdr:from>
    <xdr:to>
      <xdr:col>16</xdr:col>
      <xdr:colOff>21167</xdr:colOff>
      <xdr:row>1459</xdr:row>
      <xdr:rowOff>95250</xdr:rowOff>
    </xdr:to>
    <xdr:cxnSp macro="">
      <xdr:nvCxnSpPr>
        <xdr:cNvPr id="1299" name="Straight Arrow Connector 1298">
          <a:extLst>
            <a:ext uri="{FF2B5EF4-FFF2-40B4-BE49-F238E27FC236}">
              <a16:creationId xmlns:a16="http://schemas.microsoft.com/office/drawing/2014/main" id="{00000000-0008-0000-1300-000013050000}"/>
            </a:ext>
          </a:extLst>
        </xdr:cNvPr>
        <xdr:cNvCxnSpPr/>
      </xdr:nvCxnSpPr>
      <xdr:spPr>
        <a:xfrm>
          <a:off x="10583333" y="1055687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698500</xdr:colOff>
      <xdr:row>1507</xdr:row>
      <xdr:rowOff>95250</xdr:rowOff>
    </xdr:from>
    <xdr:to>
      <xdr:col>8</xdr:col>
      <xdr:colOff>21167</xdr:colOff>
      <xdr:row>1539</xdr:row>
      <xdr:rowOff>148166</xdr:rowOff>
    </xdr:to>
    <xdr:cxnSp macro="">
      <xdr:nvCxnSpPr>
        <xdr:cNvPr id="1304" name="Straight Arrow Connector 1303">
          <a:extLst>
            <a:ext uri="{FF2B5EF4-FFF2-40B4-BE49-F238E27FC236}">
              <a16:creationId xmlns:a16="http://schemas.microsoft.com/office/drawing/2014/main" id="{00000000-0008-0000-1300-000018050000}"/>
            </a:ext>
          </a:extLst>
        </xdr:cNvPr>
        <xdr:cNvCxnSpPr/>
      </xdr:nvCxnSpPr>
      <xdr:spPr>
        <a:xfrm>
          <a:off x="5080000" y="116300250"/>
          <a:ext cx="719667" cy="6148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1478</xdr:row>
      <xdr:rowOff>137583</xdr:rowOff>
    </xdr:from>
    <xdr:to>
      <xdr:col>9</xdr:col>
      <xdr:colOff>603250</xdr:colOff>
      <xdr:row>1484</xdr:row>
      <xdr:rowOff>21166</xdr:rowOff>
    </xdr:to>
    <xdr:cxnSp macro="">
      <xdr:nvCxnSpPr>
        <xdr:cNvPr id="1305" name="Straight Arrow Connector 1304">
          <a:extLst>
            <a:ext uri="{FF2B5EF4-FFF2-40B4-BE49-F238E27FC236}">
              <a16:creationId xmlns:a16="http://schemas.microsoft.com/office/drawing/2014/main" id="{00000000-0008-0000-1300-000019050000}"/>
            </a:ext>
          </a:extLst>
        </xdr:cNvPr>
        <xdr:cNvCxnSpPr/>
      </xdr:nvCxnSpPr>
      <xdr:spPr>
        <a:xfrm flipV="1">
          <a:off x="6381750" y="110627583"/>
          <a:ext cx="603250" cy="1026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1487</xdr:row>
      <xdr:rowOff>0</xdr:rowOff>
    </xdr:from>
    <xdr:to>
      <xdr:col>9</xdr:col>
      <xdr:colOff>582083</xdr:colOff>
      <xdr:row>1495</xdr:row>
      <xdr:rowOff>10583</xdr:rowOff>
    </xdr:to>
    <xdr:cxnSp macro="">
      <xdr:nvCxnSpPr>
        <xdr:cNvPr id="1306" name="Straight Arrow Connector 1305">
          <a:extLst>
            <a:ext uri="{FF2B5EF4-FFF2-40B4-BE49-F238E27FC236}">
              <a16:creationId xmlns:a16="http://schemas.microsoft.com/office/drawing/2014/main" id="{00000000-0008-0000-1300-00001A050000}"/>
            </a:ext>
          </a:extLst>
        </xdr:cNvPr>
        <xdr:cNvCxnSpPr/>
      </xdr:nvCxnSpPr>
      <xdr:spPr>
        <a:xfrm>
          <a:off x="6413500" y="112204500"/>
          <a:ext cx="550333" cy="1534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21167</xdr:colOff>
      <xdr:row>1492</xdr:row>
      <xdr:rowOff>169333</xdr:rowOff>
    </xdr:from>
    <xdr:to>
      <xdr:col>11</xdr:col>
      <xdr:colOff>603250</xdr:colOff>
      <xdr:row>1495</xdr:row>
      <xdr:rowOff>21167</xdr:rowOff>
    </xdr:to>
    <xdr:cxnSp macro="">
      <xdr:nvCxnSpPr>
        <xdr:cNvPr id="1307" name="Straight Arrow Connector 1306">
          <a:extLst>
            <a:ext uri="{FF2B5EF4-FFF2-40B4-BE49-F238E27FC236}">
              <a16:creationId xmlns:a16="http://schemas.microsoft.com/office/drawing/2014/main" id="{00000000-0008-0000-1300-00001B050000}"/>
            </a:ext>
          </a:extLst>
        </xdr:cNvPr>
        <xdr:cNvCxnSpPr/>
      </xdr:nvCxnSpPr>
      <xdr:spPr>
        <a:xfrm flipV="1">
          <a:off x="7609417" y="113326333"/>
          <a:ext cx="582083" cy="423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1498</xdr:row>
      <xdr:rowOff>42333</xdr:rowOff>
    </xdr:from>
    <xdr:to>
      <xdr:col>11</xdr:col>
      <xdr:colOff>603250</xdr:colOff>
      <xdr:row>1510</xdr:row>
      <xdr:rowOff>10583</xdr:rowOff>
    </xdr:to>
    <xdr:cxnSp macro="">
      <xdr:nvCxnSpPr>
        <xdr:cNvPr id="1308" name="Straight Arrow Connector 1307">
          <a:extLst>
            <a:ext uri="{FF2B5EF4-FFF2-40B4-BE49-F238E27FC236}">
              <a16:creationId xmlns:a16="http://schemas.microsoft.com/office/drawing/2014/main" id="{00000000-0008-0000-1300-00001C050000}"/>
            </a:ext>
          </a:extLst>
        </xdr:cNvPr>
        <xdr:cNvCxnSpPr/>
      </xdr:nvCxnSpPr>
      <xdr:spPr>
        <a:xfrm>
          <a:off x="7598834" y="1143423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1488</xdr:row>
      <xdr:rowOff>21167</xdr:rowOff>
    </xdr:from>
    <xdr:to>
      <xdr:col>13</xdr:col>
      <xdr:colOff>592667</xdr:colOff>
      <xdr:row>1490</xdr:row>
      <xdr:rowOff>0</xdr:rowOff>
    </xdr:to>
    <xdr:cxnSp macro="">
      <xdr:nvCxnSpPr>
        <xdr:cNvPr id="1309" name="Straight Arrow Connector 1308">
          <a:extLst>
            <a:ext uri="{FF2B5EF4-FFF2-40B4-BE49-F238E27FC236}">
              <a16:creationId xmlns:a16="http://schemas.microsoft.com/office/drawing/2014/main" id="{00000000-0008-0000-1300-00001D050000}"/>
            </a:ext>
          </a:extLst>
        </xdr:cNvPr>
        <xdr:cNvCxnSpPr/>
      </xdr:nvCxnSpPr>
      <xdr:spPr>
        <a:xfrm flipV="1">
          <a:off x="8794750" y="1124161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1493</xdr:row>
      <xdr:rowOff>21166</xdr:rowOff>
    </xdr:from>
    <xdr:to>
      <xdr:col>13</xdr:col>
      <xdr:colOff>592667</xdr:colOff>
      <xdr:row>1494</xdr:row>
      <xdr:rowOff>169334</xdr:rowOff>
    </xdr:to>
    <xdr:cxnSp macro="">
      <xdr:nvCxnSpPr>
        <xdr:cNvPr id="1310" name="Straight Arrow Connector 1309">
          <a:extLst>
            <a:ext uri="{FF2B5EF4-FFF2-40B4-BE49-F238E27FC236}">
              <a16:creationId xmlns:a16="http://schemas.microsoft.com/office/drawing/2014/main" id="{00000000-0008-0000-1300-00001E050000}"/>
            </a:ext>
          </a:extLst>
        </xdr:cNvPr>
        <xdr:cNvCxnSpPr/>
      </xdr:nvCxnSpPr>
      <xdr:spPr>
        <a:xfrm>
          <a:off x="8784166" y="1133686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1508</xdr:row>
      <xdr:rowOff>21167</xdr:rowOff>
    </xdr:from>
    <xdr:to>
      <xdr:col>13</xdr:col>
      <xdr:colOff>592667</xdr:colOff>
      <xdr:row>1510</xdr:row>
      <xdr:rowOff>63500</xdr:rowOff>
    </xdr:to>
    <xdr:cxnSp macro="">
      <xdr:nvCxnSpPr>
        <xdr:cNvPr id="1311" name="Straight Arrow Connector 1310">
          <a:extLst>
            <a:ext uri="{FF2B5EF4-FFF2-40B4-BE49-F238E27FC236}">
              <a16:creationId xmlns:a16="http://schemas.microsoft.com/office/drawing/2014/main" id="{00000000-0008-0000-1300-00001F050000}"/>
            </a:ext>
          </a:extLst>
        </xdr:cNvPr>
        <xdr:cNvCxnSpPr/>
      </xdr:nvCxnSpPr>
      <xdr:spPr>
        <a:xfrm flipV="1">
          <a:off x="8794750" y="1164166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1513</xdr:row>
      <xdr:rowOff>0</xdr:rowOff>
    </xdr:from>
    <xdr:to>
      <xdr:col>14</xdr:col>
      <xdr:colOff>10584</xdr:colOff>
      <xdr:row>1521</xdr:row>
      <xdr:rowOff>148167</xdr:rowOff>
    </xdr:to>
    <xdr:cxnSp macro="">
      <xdr:nvCxnSpPr>
        <xdr:cNvPr id="1312" name="Straight Arrow Connector 1311">
          <a:extLst>
            <a:ext uri="{FF2B5EF4-FFF2-40B4-BE49-F238E27FC236}">
              <a16:creationId xmlns:a16="http://schemas.microsoft.com/office/drawing/2014/main" id="{00000000-0008-0000-1300-000020050000}"/>
            </a:ext>
          </a:extLst>
        </xdr:cNvPr>
        <xdr:cNvCxnSpPr/>
      </xdr:nvCxnSpPr>
      <xdr:spPr>
        <a:xfrm>
          <a:off x="8805333" y="1173480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1480</xdr:row>
      <xdr:rowOff>0</xdr:rowOff>
    </xdr:from>
    <xdr:to>
      <xdr:col>15</xdr:col>
      <xdr:colOff>603250</xdr:colOff>
      <xdr:row>1485</xdr:row>
      <xdr:rowOff>31750</xdr:rowOff>
    </xdr:to>
    <xdr:cxnSp macro="">
      <xdr:nvCxnSpPr>
        <xdr:cNvPr id="1313" name="Straight Arrow Connector 1312">
          <a:extLst>
            <a:ext uri="{FF2B5EF4-FFF2-40B4-BE49-F238E27FC236}">
              <a16:creationId xmlns:a16="http://schemas.microsoft.com/office/drawing/2014/main" id="{00000000-0008-0000-1300-000021050000}"/>
            </a:ext>
          </a:extLst>
        </xdr:cNvPr>
        <xdr:cNvCxnSpPr/>
      </xdr:nvCxnSpPr>
      <xdr:spPr>
        <a:xfrm flipV="1">
          <a:off x="10541000" y="110871000"/>
          <a:ext cx="603250" cy="984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1483</xdr:row>
      <xdr:rowOff>52917</xdr:rowOff>
    </xdr:from>
    <xdr:to>
      <xdr:col>15</xdr:col>
      <xdr:colOff>603250</xdr:colOff>
      <xdr:row>1485</xdr:row>
      <xdr:rowOff>95250</xdr:rowOff>
    </xdr:to>
    <xdr:cxnSp macro="">
      <xdr:nvCxnSpPr>
        <xdr:cNvPr id="1314" name="Straight Arrow Connector 1313">
          <a:extLst>
            <a:ext uri="{FF2B5EF4-FFF2-40B4-BE49-F238E27FC236}">
              <a16:creationId xmlns:a16="http://schemas.microsoft.com/office/drawing/2014/main" id="{00000000-0008-0000-1300-000022050000}"/>
            </a:ext>
          </a:extLst>
        </xdr:cNvPr>
        <xdr:cNvCxnSpPr/>
      </xdr:nvCxnSpPr>
      <xdr:spPr>
        <a:xfrm flipV="1">
          <a:off x="10583333" y="111495417"/>
          <a:ext cx="56091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1485</xdr:row>
      <xdr:rowOff>158750</xdr:rowOff>
    </xdr:from>
    <xdr:to>
      <xdr:col>15</xdr:col>
      <xdr:colOff>582083</xdr:colOff>
      <xdr:row>1486</xdr:row>
      <xdr:rowOff>137583</xdr:rowOff>
    </xdr:to>
    <xdr:cxnSp macro="">
      <xdr:nvCxnSpPr>
        <xdr:cNvPr id="1315" name="Straight Arrow Connector 1314">
          <a:extLst>
            <a:ext uri="{FF2B5EF4-FFF2-40B4-BE49-F238E27FC236}">
              <a16:creationId xmlns:a16="http://schemas.microsoft.com/office/drawing/2014/main" id="{00000000-0008-0000-1300-000023050000}"/>
            </a:ext>
          </a:extLst>
        </xdr:cNvPr>
        <xdr:cNvCxnSpPr/>
      </xdr:nvCxnSpPr>
      <xdr:spPr>
        <a:xfrm>
          <a:off x="10604500" y="111982250"/>
          <a:ext cx="518583" cy="169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1121834</xdr:colOff>
      <xdr:row>1485</xdr:row>
      <xdr:rowOff>105834</xdr:rowOff>
    </xdr:from>
    <xdr:to>
      <xdr:col>16</xdr:col>
      <xdr:colOff>0</xdr:colOff>
      <xdr:row>1489</xdr:row>
      <xdr:rowOff>84667</xdr:rowOff>
    </xdr:to>
    <xdr:cxnSp macro="">
      <xdr:nvCxnSpPr>
        <xdr:cNvPr id="1316" name="Straight Arrow Connector 1315">
          <a:extLst>
            <a:ext uri="{FF2B5EF4-FFF2-40B4-BE49-F238E27FC236}">
              <a16:creationId xmlns:a16="http://schemas.microsoft.com/office/drawing/2014/main" id="{00000000-0008-0000-1300-000024050000}"/>
            </a:ext>
          </a:extLst>
        </xdr:cNvPr>
        <xdr:cNvCxnSpPr/>
      </xdr:nvCxnSpPr>
      <xdr:spPr>
        <a:xfrm>
          <a:off x="10519834" y="111929334"/>
          <a:ext cx="624416"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1493</xdr:row>
      <xdr:rowOff>52916</xdr:rowOff>
    </xdr:from>
    <xdr:to>
      <xdr:col>16</xdr:col>
      <xdr:colOff>0</xdr:colOff>
      <xdr:row>1495</xdr:row>
      <xdr:rowOff>0</xdr:rowOff>
    </xdr:to>
    <xdr:cxnSp macro="">
      <xdr:nvCxnSpPr>
        <xdr:cNvPr id="1317" name="Straight Arrow Connector 1316">
          <a:extLst>
            <a:ext uri="{FF2B5EF4-FFF2-40B4-BE49-F238E27FC236}">
              <a16:creationId xmlns:a16="http://schemas.microsoft.com/office/drawing/2014/main" id="{00000000-0008-0000-1300-000025050000}"/>
            </a:ext>
          </a:extLst>
        </xdr:cNvPr>
        <xdr:cNvCxnSpPr/>
      </xdr:nvCxnSpPr>
      <xdr:spPr>
        <a:xfrm flipV="1">
          <a:off x="10541000" y="1134004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1495</xdr:row>
      <xdr:rowOff>21167</xdr:rowOff>
    </xdr:from>
    <xdr:to>
      <xdr:col>15</xdr:col>
      <xdr:colOff>582083</xdr:colOff>
      <xdr:row>1496</xdr:row>
      <xdr:rowOff>42333</xdr:rowOff>
    </xdr:to>
    <xdr:cxnSp macro="">
      <xdr:nvCxnSpPr>
        <xdr:cNvPr id="1318" name="Straight Arrow Connector 1317">
          <a:extLst>
            <a:ext uri="{FF2B5EF4-FFF2-40B4-BE49-F238E27FC236}">
              <a16:creationId xmlns:a16="http://schemas.microsoft.com/office/drawing/2014/main" id="{00000000-0008-0000-1300-000026050000}"/>
            </a:ext>
          </a:extLst>
        </xdr:cNvPr>
        <xdr:cNvCxnSpPr/>
      </xdr:nvCxnSpPr>
      <xdr:spPr>
        <a:xfrm>
          <a:off x="10551583" y="113749667"/>
          <a:ext cx="571500" cy="211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1495</xdr:row>
      <xdr:rowOff>21167</xdr:rowOff>
    </xdr:from>
    <xdr:to>
      <xdr:col>16</xdr:col>
      <xdr:colOff>42333</xdr:colOff>
      <xdr:row>1500</xdr:row>
      <xdr:rowOff>21168</xdr:rowOff>
    </xdr:to>
    <xdr:cxnSp macro="">
      <xdr:nvCxnSpPr>
        <xdr:cNvPr id="1319" name="Straight Arrow Connector 1318">
          <a:extLst>
            <a:ext uri="{FF2B5EF4-FFF2-40B4-BE49-F238E27FC236}">
              <a16:creationId xmlns:a16="http://schemas.microsoft.com/office/drawing/2014/main" id="{00000000-0008-0000-1300-000027050000}"/>
            </a:ext>
          </a:extLst>
        </xdr:cNvPr>
        <xdr:cNvCxnSpPr/>
      </xdr:nvCxnSpPr>
      <xdr:spPr>
        <a:xfrm>
          <a:off x="10530417" y="113749667"/>
          <a:ext cx="656166" cy="9525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1495</xdr:row>
      <xdr:rowOff>31750</xdr:rowOff>
    </xdr:from>
    <xdr:to>
      <xdr:col>16</xdr:col>
      <xdr:colOff>42334</xdr:colOff>
      <xdr:row>1502</xdr:row>
      <xdr:rowOff>63501</xdr:rowOff>
    </xdr:to>
    <xdr:cxnSp macro="">
      <xdr:nvCxnSpPr>
        <xdr:cNvPr id="1320" name="Straight Arrow Connector 1319">
          <a:extLst>
            <a:ext uri="{FF2B5EF4-FFF2-40B4-BE49-F238E27FC236}">
              <a16:creationId xmlns:a16="http://schemas.microsoft.com/office/drawing/2014/main" id="{00000000-0008-0000-1300-000028050000}"/>
            </a:ext>
          </a:extLst>
        </xdr:cNvPr>
        <xdr:cNvCxnSpPr/>
      </xdr:nvCxnSpPr>
      <xdr:spPr>
        <a:xfrm>
          <a:off x="10541000" y="113760250"/>
          <a:ext cx="645584"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10583</xdr:colOff>
      <xdr:row>1532</xdr:row>
      <xdr:rowOff>42333</xdr:rowOff>
    </xdr:from>
    <xdr:to>
      <xdr:col>9</xdr:col>
      <xdr:colOff>592666</xdr:colOff>
      <xdr:row>1540</xdr:row>
      <xdr:rowOff>42333</xdr:rowOff>
    </xdr:to>
    <xdr:cxnSp macro="">
      <xdr:nvCxnSpPr>
        <xdr:cNvPr id="1321" name="Straight Arrow Connector 1320">
          <a:extLst>
            <a:ext uri="{FF2B5EF4-FFF2-40B4-BE49-F238E27FC236}">
              <a16:creationId xmlns:a16="http://schemas.microsoft.com/office/drawing/2014/main" id="{00000000-0008-0000-1300-000029050000}"/>
            </a:ext>
          </a:extLst>
        </xdr:cNvPr>
        <xdr:cNvCxnSpPr/>
      </xdr:nvCxnSpPr>
      <xdr:spPr>
        <a:xfrm flipV="1">
          <a:off x="6392333" y="121009833"/>
          <a:ext cx="582083" cy="152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1542</xdr:row>
      <xdr:rowOff>169334</xdr:rowOff>
    </xdr:from>
    <xdr:to>
      <xdr:col>9</xdr:col>
      <xdr:colOff>603250</xdr:colOff>
      <xdr:row>1551</xdr:row>
      <xdr:rowOff>31750</xdr:rowOff>
    </xdr:to>
    <xdr:cxnSp macro="">
      <xdr:nvCxnSpPr>
        <xdr:cNvPr id="1322" name="Straight Arrow Connector 1321">
          <a:extLst>
            <a:ext uri="{FF2B5EF4-FFF2-40B4-BE49-F238E27FC236}">
              <a16:creationId xmlns:a16="http://schemas.microsoft.com/office/drawing/2014/main" id="{00000000-0008-0000-1300-00002A050000}"/>
            </a:ext>
          </a:extLst>
        </xdr:cNvPr>
        <xdr:cNvCxnSpPr/>
      </xdr:nvCxnSpPr>
      <xdr:spPr>
        <a:xfrm>
          <a:off x="6413500" y="123041834"/>
          <a:ext cx="571500" cy="1576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571500</xdr:colOff>
      <xdr:row>1548</xdr:row>
      <xdr:rowOff>158750</xdr:rowOff>
    </xdr:from>
    <xdr:to>
      <xdr:col>11</xdr:col>
      <xdr:colOff>571500</xdr:colOff>
      <xdr:row>1551</xdr:row>
      <xdr:rowOff>0</xdr:rowOff>
    </xdr:to>
    <xdr:cxnSp macro="">
      <xdr:nvCxnSpPr>
        <xdr:cNvPr id="1323" name="Straight Arrow Connector 1322">
          <a:extLst>
            <a:ext uri="{FF2B5EF4-FFF2-40B4-BE49-F238E27FC236}">
              <a16:creationId xmlns:a16="http://schemas.microsoft.com/office/drawing/2014/main" id="{00000000-0008-0000-1300-00002B050000}"/>
            </a:ext>
          </a:extLst>
        </xdr:cNvPr>
        <xdr:cNvCxnSpPr/>
      </xdr:nvCxnSpPr>
      <xdr:spPr>
        <a:xfrm flipV="1">
          <a:off x="7556500" y="124174250"/>
          <a:ext cx="603250" cy="412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1506</xdr:row>
      <xdr:rowOff>0</xdr:rowOff>
    </xdr:from>
    <xdr:to>
      <xdr:col>15</xdr:col>
      <xdr:colOff>603250</xdr:colOff>
      <xdr:row>1508</xdr:row>
      <xdr:rowOff>1</xdr:rowOff>
    </xdr:to>
    <xdr:cxnSp macro="">
      <xdr:nvCxnSpPr>
        <xdr:cNvPr id="1324" name="Straight Arrow Connector 1323">
          <a:extLst>
            <a:ext uri="{FF2B5EF4-FFF2-40B4-BE49-F238E27FC236}">
              <a16:creationId xmlns:a16="http://schemas.microsoft.com/office/drawing/2014/main" id="{00000000-0008-0000-1300-00002C050000}"/>
            </a:ext>
          </a:extLst>
        </xdr:cNvPr>
        <xdr:cNvCxnSpPr/>
      </xdr:nvCxnSpPr>
      <xdr:spPr>
        <a:xfrm flipV="1">
          <a:off x="10530417" y="1160145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1508</xdr:row>
      <xdr:rowOff>10584</xdr:rowOff>
    </xdr:from>
    <xdr:to>
      <xdr:col>15</xdr:col>
      <xdr:colOff>592666</xdr:colOff>
      <xdr:row>1509</xdr:row>
      <xdr:rowOff>95250</xdr:rowOff>
    </xdr:to>
    <xdr:cxnSp macro="">
      <xdr:nvCxnSpPr>
        <xdr:cNvPr id="1325" name="Straight Arrow Connector 1324">
          <a:extLst>
            <a:ext uri="{FF2B5EF4-FFF2-40B4-BE49-F238E27FC236}">
              <a16:creationId xmlns:a16="http://schemas.microsoft.com/office/drawing/2014/main" id="{00000000-0008-0000-1300-00002D050000}"/>
            </a:ext>
          </a:extLst>
        </xdr:cNvPr>
        <xdr:cNvCxnSpPr/>
      </xdr:nvCxnSpPr>
      <xdr:spPr>
        <a:xfrm>
          <a:off x="10572750" y="1164060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1508</xdr:row>
      <xdr:rowOff>10584</xdr:rowOff>
    </xdr:from>
    <xdr:to>
      <xdr:col>15</xdr:col>
      <xdr:colOff>560916</xdr:colOff>
      <xdr:row>1512</xdr:row>
      <xdr:rowOff>52917</xdr:rowOff>
    </xdr:to>
    <xdr:cxnSp macro="">
      <xdr:nvCxnSpPr>
        <xdr:cNvPr id="1326" name="Straight Arrow Connector 1325">
          <a:extLst>
            <a:ext uri="{FF2B5EF4-FFF2-40B4-BE49-F238E27FC236}">
              <a16:creationId xmlns:a16="http://schemas.microsoft.com/office/drawing/2014/main" id="{00000000-0008-0000-1300-00002E050000}"/>
            </a:ext>
          </a:extLst>
        </xdr:cNvPr>
        <xdr:cNvCxnSpPr/>
      </xdr:nvCxnSpPr>
      <xdr:spPr>
        <a:xfrm>
          <a:off x="10551583" y="1164060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1508</xdr:row>
      <xdr:rowOff>31750</xdr:rowOff>
    </xdr:from>
    <xdr:to>
      <xdr:col>16</xdr:col>
      <xdr:colOff>21167</xdr:colOff>
      <xdr:row>1515</xdr:row>
      <xdr:rowOff>95250</xdr:rowOff>
    </xdr:to>
    <xdr:cxnSp macro="">
      <xdr:nvCxnSpPr>
        <xdr:cNvPr id="1327" name="Straight Arrow Connector 1326">
          <a:extLst>
            <a:ext uri="{FF2B5EF4-FFF2-40B4-BE49-F238E27FC236}">
              <a16:creationId xmlns:a16="http://schemas.microsoft.com/office/drawing/2014/main" id="{00000000-0008-0000-1300-00002F050000}"/>
            </a:ext>
          </a:extLst>
        </xdr:cNvPr>
        <xdr:cNvCxnSpPr/>
      </xdr:nvCxnSpPr>
      <xdr:spPr>
        <a:xfrm>
          <a:off x="10583333" y="1164272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1522</xdr:row>
      <xdr:rowOff>0</xdr:rowOff>
    </xdr:from>
    <xdr:to>
      <xdr:col>16</xdr:col>
      <xdr:colOff>0</xdr:colOff>
      <xdr:row>1522</xdr:row>
      <xdr:rowOff>42334</xdr:rowOff>
    </xdr:to>
    <xdr:cxnSp macro="">
      <xdr:nvCxnSpPr>
        <xdr:cNvPr id="1328" name="Straight Arrow Connector 1327">
          <a:extLst>
            <a:ext uri="{FF2B5EF4-FFF2-40B4-BE49-F238E27FC236}">
              <a16:creationId xmlns:a16="http://schemas.microsoft.com/office/drawing/2014/main" id="{00000000-0008-0000-1300-000030050000}"/>
            </a:ext>
          </a:extLst>
        </xdr:cNvPr>
        <xdr:cNvCxnSpPr/>
      </xdr:nvCxnSpPr>
      <xdr:spPr>
        <a:xfrm>
          <a:off x="10562166" y="1190625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1522</xdr:row>
      <xdr:rowOff>21166</xdr:rowOff>
    </xdr:from>
    <xdr:to>
      <xdr:col>15</xdr:col>
      <xdr:colOff>560916</xdr:colOff>
      <xdr:row>1525</xdr:row>
      <xdr:rowOff>84667</xdr:rowOff>
    </xdr:to>
    <xdr:cxnSp macro="">
      <xdr:nvCxnSpPr>
        <xdr:cNvPr id="1329" name="Straight Arrow Connector 1328">
          <a:extLst>
            <a:ext uri="{FF2B5EF4-FFF2-40B4-BE49-F238E27FC236}">
              <a16:creationId xmlns:a16="http://schemas.microsoft.com/office/drawing/2014/main" id="{00000000-0008-0000-1300-000031050000}"/>
            </a:ext>
          </a:extLst>
        </xdr:cNvPr>
        <xdr:cNvCxnSpPr/>
      </xdr:nvCxnSpPr>
      <xdr:spPr>
        <a:xfrm>
          <a:off x="10615083" y="1190836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1522</xdr:row>
      <xdr:rowOff>52916</xdr:rowOff>
    </xdr:from>
    <xdr:to>
      <xdr:col>15</xdr:col>
      <xdr:colOff>592666</xdr:colOff>
      <xdr:row>1528</xdr:row>
      <xdr:rowOff>63501</xdr:rowOff>
    </xdr:to>
    <xdr:cxnSp macro="">
      <xdr:nvCxnSpPr>
        <xdr:cNvPr id="1330" name="Straight Arrow Connector 1329">
          <a:extLst>
            <a:ext uri="{FF2B5EF4-FFF2-40B4-BE49-F238E27FC236}">
              <a16:creationId xmlns:a16="http://schemas.microsoft.com/office/drawing/2014/main" id="{00000000-0008-0000-1300-000032050000}"/>
            </a:ext>
          </a:extLst>
        </xdr:cNvPr>
        <xdr:cNvCxnSpPr/>
      </xdr:nvCxnSpPr>
      <xdr:spPr>
        <a:xfrm>
          <a:off x="10572750" y="1191154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1536</xdr:row>
      <xdr:rowOff>116416</xdr:rowOff>
    </xdr:from>
    <xdr:to>
      <xdr:col>15</xdr:col>
      <xdr:colOff>592666</xdr:colOff>
      <xdr:row>1539</xdr:row>
      <xdr:rowOff>158750</xdr:rowOff>
    </xdr:to>
    <xdr:cxnSp macro="">
      <xdr:nvCxnSpPr>
        <xdr:cNvPr id="1331" name="Straight Arrow Connector 1330">
          <a:extLst>
            <a:ext uri="{FF2B5EF4-FFF2-40B4-BE49-F238E27FC236}">
              <a16:creationId xmlns:a16="http://schemas.microsoft.com/office/drawing/2014/main" id="{00000000-0008-0000-1300-000033050000}"/>
            </a:ext>
          </a:extLst>
        </xdr:cNvPr>
        <xdr:cNvCxnSpPr/>
      </xdr:nvCxnSpPr>
      <xdr:spPr>
        <a:xfrm flipV="1">
          <a:off x="10562166" y="121845916"/>
          <a:ext cx="571500" cy="613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1538</xdr:row>
      <xdr:rowOff>95250</xdr:rowOff>
    </xdr:from>
    <xdr:to>
      <xdr:col>15</xdr:col>
      <xdr:colOff>582083</xdr:colOff>
      <xdr:row>1540</xdr:row>
      <xdr:rowOff>52917</xdr:rowOff>
    </xdr:to>
    <xdr:cxnSp macro="">
      <xdr:nvCxnSpPr>
        <xdr:cNvPr id="1332" name="Straight Arrow Connector 1331">
          <a:extLst>
            <a:ext uri="{FF2B5EF4-FFF2-40B4-BE49-F238E27FC236}">
              <a16:creationId xmlns:a16="http://schemas.microsoft.com/office/drawing/2014/main" id="{00000000-0008-0000-1300-000034050000}"/>
            </a:ext>
          </a:extLst>
        </xdr:cNvPr>
        <xdr:cNvCxnSpPr/>
      </xdr:nvCxnSpPr>
      <xdr:spPr>
        <a:xfrm flipV="1">
          <a:off x="10604500" y="122205750"/>
          <a:ext cx="518583" cy="338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1540</xdr:row>
      <xdr:rowOff>116417</xdr:rowOff>
    </xdr:from>
    <xdr:to>
      <xdr:col>15</xdr:col>
      <xdr:colOff>592666</xdr:colOff>
      <xdr:row>1544</xdr:row>
      <xdr:rowOff>95250</xdr:rowOff>
    </xdr:to>
    <xdr:cxnSp macro="">
      <xdr:nvCxnSpPr>
        <xdr:cNvPr id="1333" name="Straight Arrow Connector 1332">
          <a:extLst>
            <a:ext uri="{FF2B5EF4-FFF2-40B4-BE49-F238E27FC236}">
              <a16:creationId xmlns:a16="http://schemas.microsoft.com/office/drawing/2014/main" id="{00000000-0008-0000-1300-000035050000}"/>
            </a:ext>
          </a:extLst>
        </xdr:cNvPr>
        <xdr:cNvCxnSpPr/>
      </xdr:nvCxnSpPr>
      <xdr:spPr>
        <a:xfrm>
          <a:off x="10593916" y="122607917"/>
          <a:ext cx="53975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1551</xdr:row>
      <xdr:rowOff>116416</xdr:rowOff>
    </xdr:from>
    <xdr:to>
      <xdr:col>16</xdr:col>
      <xdr:colOff>0</xdr:colOff>
      <xdr:row>1558</xdr:row>
      <xdr:rowOff>74084</xdr:rowOff>
    </xdr:to>
    <xdr:cxnSp macro="">
      <xdr:nvCxnSpPr>
        <xdr:cNvPr id="1334" name="Straight Arrow Connector 1333">
          <a:extLst>
            <a:ext uri="{FF2B5EF4-FFF2-40B4-BE49-F238E27FC236}">
              <a16:creationId xmlns:a16="http://schemas.microsoft.com/office/drawing/2014/main" id="{00000000-0008-0000-1300-000036050000}"/>
            </a:ext>
          </a:extLst>
        </xdr:cNvPr>
        <xdr:cNvCxnSpPr/>
      </xdr:nvCxnSpPr>
      <xdr:spPr>
        <a:xfrm>
          <a:off x="10572750" y="124703416"/>
          <a:ext cx="571500" cy="12911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1519</xdr:row>
      <xdr:rowOff>52917</xdr:rowOff>
    </xdr:from>
    <xdr:to>
      <xdr:col>15</xdr:col>
      <xdr:colOff>603250</xdr:colOff>
      <xdr:row>1521</xdr:row>
      <xdr:rowOff>148167</xdr:rowOff>
    </xdr:to>
    <xdr:cxnSp macro="">
      <xdr:nvCxnSpPr>
        <xdr:cNvPr id="1335" name="Straight Arrow Connector 1334">
          <a:extLst>
            <a:ext uri="{FF2B5EF4-FFF2-40B4-BE49-F238E27FC236}">
              <a16:creationId xmlns:a16="http://schemas.microsoft.com/office/drawing/2014/main" id="{00000000-0008-0000-1300-000037050000}"/>
            </a:ext>
          </a:extLst>
        </xdr:cNvPr>
        <xdr:cNvCxnSpPr/>
      </xdr:nvCxnSpPr>
      <xdr:spPr>
        <a:xfrm flipV="1">
          <a:off x="10583333" y="1185439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1554</xdr:row>
      <xdr:rowOff>42333</xdr:rowOff>
    </xdr:from>
    <xdr:to>
      <xdr:col>11</xdr:col>
      <xdr:colOff>603250</xdr:colOff>
      <xdr:row>1566</xdr:row>
      <xdr:rowOff>10583</xdr:rowOff>
    </xdr:to>
    <xdr:cxnSp macro="">
      <xdr:nvCxnSpPr>
        <xdr:cNvPr id="1336" name="Straight Arrow Connector 1335">
          <a:extLst>
            <a:ext uri="{FF2B5EF4-FFF2-40B4-BE49-F238E27FC236}">
              <a16:creationId xmlns:a16="http://schemas.microsoft.com/office/drawing/2014/main" id="{00000000-0008-0000-1300-000038050000}"/>
            </a:ext>
          </a:extLst>
        </xdr:cNvPr>
        <xdr:cNvCxnSpPr/>
      </xdr:nvCxnSpPr>
      <xdr:spPr>
        <a:xfrm>
          <a:off x="7598834" y="1252008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1544</xdr:row>
      <xdr:rowOff>21167</xdr:rowOff>
    </xdr:from>
    <xdr:to>
      <xdr:col>13</xdr:col>
      <xdr:colOff>592667</xdr:colOff>
      <xdr:row>1546</xdr:row>
      <xdr:rowOff>0</xdr:rowOff>
    </xdr:to>
    <xdr:cxnSp macro="">
      <xdr:nvCxnSpPr>
        <xdr:cNvPr id="1337" name="Straight Arrow Connector 1336">
          <a:extLst>
            <a:ext uri="{FF2B5EF4-FFF2-40B4-BE49-F238E27FC236}">
              <a16:creationId xmlns:a16="http://schemas.microsoft.com/office/drawing/2014/main" id="{00000000-0008-0000-1300-000039050000}"/>
            </a:ext>
          </a:extLst>
        </xdr:cNvPr>
        <xdr:cNvCxnSpPr/>
      </xdr:nvCxnSpPr>
      <xdr:spPr>
        <a:xfrm flipV="1">
          <a:off x="8794750" y="1232746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1549</xdr:row>
      <xdr:rowOff>21166</xdr:rowOff>
    </xdr:from>
    <xdr:to>
      <xdr:col>13</xdr:col>
      <xdr:colOff>592667</xdr:colOff>
      <xdr:row>1550</xdr:row>
      <xdr:rowOff>169334</xdr:rowOff>
    </xdr:to>
    <xdr:cxnSp macro="">
      <xdr:nvCxnSpPr>
        <xdr:cNvPr id="1338" name="Straight Arrow Connector 1337">
          <a:extLst>
            <a:ext uri="{FF2B5EF4-FFF2-40B4-BE49-F238E27FC236}">
              <a16:creationId xmlns:a16="http://schemas.microsoft.com/office/drawing/2014/main" id="{00000000-0008-0000-1300-00003A050000}"/>
            </a:ext>
          </a:extLst>
        </xdr:cNvPr>
        <xdr:cNvCxnSpPr/>
      </xdr:nvCxnSpPr>
      <xdr:spPr>
        <a:xfrm>
          <a:off x="8784166" y="1242271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1564</xdr:row>
      <xdr:rowOff>21167</xdr:rowOff>
    </xdr:from>
    <xdr:to>
      <xdr:col>13</xdr:col>
      <xdr:colOff>592667</xdr:colOff>
      <xdr:row>1566</xdr:row>
      <xdr:rowOff>63500</xdr:rowOff>
    </xdr:to>
    <xdr:cxnSp macro="">
      <xdr:nvCxnSpPr>
        <xdr:cNvPr id="1339" name="Straight Arrow Connector 1338">
          <a:extLst>
            <a:ext uri="{FF2B5EF4-FFF2-40B4-BE49-F238E27FC236}">
              <a16:creationId xmlns:a16="http://schemas.microsoft.com/office/drawing/2014/main" id="{00000000-0008-0000-1300-00003B050000}"/>
            </a:ext>
          </a:extLst>
        </xdr:cNvPr>
        <xdr:cNvCxnSpPr/>
      </xdr:nvCxnSpPr>
      <xdr:spPr>
        <a:xfrm flipV="1">
          <a:off x="8794750" y="1272751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1569</xdr:row>
      <xdr:rowOff>0</xdr:rowOff>
    </xdr:from>
    <xdr:to>
      <xdr:col>14</xdr:col>
      <xdr:colOff>10584</xdr:colOff>
      <xdr:row>1577</xdr:row>
      <xdr:rowOff>148167</xdr:rowOff>
    </xdr:to>
    <xdr:cxnSp macro="">
      <xdr:nvCxnSpPr>
        <xdr:cNvPr id="1340" name="Straight Arrow Connector 1339">
          <a:extLst>
            <a:ext uri="{FF2B5EF4-FFF2-40B4-BE49-F238E27FC236}">
              <a16:creationId xmlns:a16="http://schemas.microsoft.com/office/drawing/2014/main" id="{00000000-0008-0000-1300-00003C050000}"/>
            </a:ext>
          </a:extLst>
        </xdr:cNvPr>
        <xdr:cNvCxnSpPr/>
      </xdr:nvCxnSpPr>
      <xdr:spPr>
        <a:xfrm>
          <a:off x="8805333" y="1282065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1540</xdr:row>
      <xdr:rowOff>95250</xdr:rowOff>
    </xdr:from>
    <xdr:to>
      <xdr:col>15</xdr:col>
      <xdr:colOff>582083</xdr:colOff>
      <xdr:row>1542</xdr:row>
      <xdr:rowOff>137583</xdr:rowOff>
    </xdr:to>
    <xdr:cxnSp macro="">
      <xdr:nvCxnSpPr>
        <xdr:cNvPr id="1341" name="Straight Arrow Connector 1340">
          <a:extLst>
            <a:ext uri="{FF2B5EF4-FFF2-40B4-BE49-F238E27FC236}">
              <a16:creationId xmlns:a16="http://schemas.microsoft.com/office/drawing/2014/main" id="{00000000-0008-0000-1300-00003D050000}"/>
            </a:ext>
          </a:extLst>
        </xdr:cNvPr>
        <xdr:cNvCxnSpPr/>
      </xdr:nvCxnSpPr>
      <xdr:spPr>
        <a:xfrm>
          <a:off x="10593916" y="122586750"/>
          <a:ext cx="5291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1549</xdr:row>
      <xdr:rowOff>52916</xdr:rowOff>
    </xdr:from>
    <xdr:to>
      <xdr:col>16</xdr:col>
      <xdr:colOff>0</xdr:colOff>
      <xdr:row>1551</xdr:row>
      <xdr:rowOff>0</xdr:rowOff>
    </xdr:to>
    <xdr:cxnSp macro="">
      <xdr:nvCxnSpPr>
        <xdr:cNvPr id="1342" name="Straight Arrow Connector 1341">
          <a:extLst>
            <a:ext uri="{FF2B5EF4-FFF2-40B4-BE49-F238E27FC236}">
              <a16:creationId xmlns:a16="http://schemas.microsoft.com/office/drawing/2014/main" id="{00000000-0008-0000-1300-00003E050000}"/>
            </a:ext>
          </a:extLst>
        </xdr:cNvPr>
        <xdr:cNvCxnSpPr/>
      </xdr:nvCxnSpPr>
      <xdr:spPr>
        <a:xfrm flipV="1">
          <a:off x="10541000" y="1242589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1551</xdr:row>
      <xdr:rowOff>21167</xdr:rowOff>
    </xdr:from>
    <xdr:to>
      <xdr:col>15</xdr:col>
      <xdr:colOff>592666</xdr:colOff>
      <xdr:row>1552</xdr:row>
      <xdr:rowOff>84667</xdr:rowOff>
    </xdr:to>
    <xdr:cxnSp macro="">
      <xdr:nvCxnSpPr>
        <xdr:cNvPr id="1343" name="Straight Arrow Connector 1342">
          <a:extLst>
            <a:ext uri="{FF2B5EF4-FFF2-40B4-BE49-F238E27FC236}">
              <a16:creationId xmlns:a16="http://schemas.microsoft.com/office/drawing/2014/main" id="{00000000-0008-0000-1300-00003F050000}"/>
            </a:ext>
          </a:extLst>
        </xdr:cNvPr>
        <xdr:cNvCxnSpPr/>
      </xdr:nvCxnSpPr>
      <xdr:spPr>
        <a:xfrm>
          <a:off x="10530417" y="124608167"/>
          <a:ext cx="603249" cy="25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1551</xdr:row>
      <xdr:rowOff>0</xdr:rowOff>
    </xdr:from>
    <xdr:to>
      <xdr:col>16</xdr:col>
      <xdr:colOff>0</xdr:colOff>
      <xdr:row>1555</xdr:row>
      <xdr:rowOff>42334</xdr:rowOff>
    </xdr:to>
    <xdr:cxnSp macro="">
      <xdr:nvCxnSpPr>
        <xdr:cNvPr id="1344" name="Straight Arrow Connector 1343">
          <a:extLst>
            <a:ext uri="{FF2B5EF4-FFF2-40B4-BE49-F238E27FC236}">
              <a16:creationId xmlns:a16="http://schemas.microsoft.com/office/drawing/2014/main" id="{00000000-0008-0000-1300-000040050000}"/>
            </a:ext>
          </a:extLst>
        </xdr:cNvPr>
        <xdr:cNvCxnSpPr/>
      </xdr:nvCxnSpPr>
      <xdr:spPr>
        <a:xfrm>
          <a:off x="10530417" y="124587000"/>
          <a:ext cx="613833" cy="804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1562</xdr:row>
      <xdr:rowOff>0</xdr:rowOff>
    </xdr:from>
    <xdr:to>
      <xdr:col>15</xdr:col>
      <xdr:colOff>603250</xdr:colOff>
      <xdr:row>1564</xdr:row>
      <xdr:rowOff>1</xdr:rowOff>
    </xdr:to>
    <xdr:cxnSp macro="">
      <xdr:nvCxnSpPr>
        <xdr:cNvPr id="1345" name="Straight Arrow Connector 1344">
          <a:extLst>
            <a:ext uri="{FF2B5EF4-FFF2-40B4-BE49-F238E27FC236}">
              <a16:creationId xmlns:a16="http://schemas.microsoft.com/office/drawing/2014/main" id="{00000000-0008-0000-1300-000041050000}"/>
            </a:ext>
          </a:extLst>
        </xdr:cNvPr>
        <xdr:cNvCxnSpPr/>
      </xdr:nvCxnSpPr>
      <xdr:spPr>
        <a:xfrm flipV="1">
          <a:off x="10530417" y="1268730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1564</xdr:row>
      <xdr:rowOff>10584</xdr:rowOff>
    </xdr:from>
    <xdr:to>
      <xdr:col>15</xdr:col>
      <xdr:colOff>592666</xdr:colOff>
      <xdr:row>1565</xdr:row>
      <xdr:rowOff>95250</xdr:rowOff>
    </xdr:to>
    <xdr:cxnSp macro="">
      <xdr:nvCxnSpPr>
        <xdr:cNvPr id="1346" name="Straight Arrow Connector 1345">
          <a:extLst>
            <a:ext uri="{FF2B5EF4-FFF2-40B4-BE49-F238E27FC236}">
              <a16:creationId xmlns:a16="http://schemas.microsoft.com/office/drawing/2014/main" id="{00000000-0008-0000-1300-000042050000}"/>
            </a:ext>
          </a:extLst>
        </xdr:cNvPr>
        <xdr:cNvCxnSpPr/>
      </xdr:nvCxnSpPr>
      <xdr:spPr>
        <a:xfrm>
          <a:off x="10572750" y="1272645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1564</xdr:row>
      <xdr:rowOff>10584</xdr:rowOff>
    </xdr:from>
    <xdr:to>
      <xdr:col>15</xdr:col>
      <xdr:colOff>560916</xdr:colOff>
      <xdr:row>1568</xdr:row>
      <xdr:rowOff>52917</xdr:rowOff>
    </xdr:to>
    <xdr:cxnSp macro="">
      <xdr:nvCxnSpPr>
        <xdr:cNvPr id="1347" name="Straight Arrow Connector 1346">
          <a:extLst>
            <a:ext uri="{FF2B5EF4-FFF2-40B4-BE49-F238E27FC236}">
              <a16:creationId xmlns:a16="http://schemas.microsoft.com/office/drawing/2014/main" id="{00000000-0008-0000-1300-000043050000}"/>
            </a:ext>
          </a:extLst>
        </xdr:cNvPr>
        <xdr:cNvCxnSpPr/>
      </xdr:nvCxnSpPr>
      <xdr:spPr>
        <a:xfrm>
          <a:off x="10551583" y="1272645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1564</xdr:row>
      <xdr:rowOff>31750</xdr:rowOff>
    </xdr:from>
    <xdr:to>
      <xdr:col>16</xdr:col>
      <xdr:colOff>21167</xdr:colOff>
      <xdr:row>1571</xdr:row>
      <xdr:rowOff>95250</xdr:rowOff>
    </xdr:to>
    <xdr:cxnSp macro="">
      <xdr:nvCxnSpPr>
        <xdr:cNvPr id="1348" name="Straight Arrow Connector 1347">
          <a:extLst>
            <a:ext uri="{FF2B5EF4-FFF2-40B4-BE49-F238E27FC236}">
              <a16:creationId xmlns:a16="http://schemas.microsoft.com/office/drawing/2014/main" id="{00000000-0008-0000-1300-000044050000}"/>
            </a:ext>
          </a:extLst>
        </xdr:cNvPr>
        <xdr:cNvCxnSpPr/>
      </xdr:nvCxnSpPr>
      <xdr:spPr>
        <a:xfrm>
          <a:off x="10583333" y="1272857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1578</xdr:row>
      <xdr:rowOff>0</xdr:rowOff>
    </xdr:from>
    <xdr:to>
      <xdr:col>16</xdr:col>
      <xdr:colOff>0</xdr:colOff>
      <xdr:row>1578</xdr:row>
      <xdr:rowOff>42334</xdr:rowOff>
    </xdr:to>
    <xdr:cxnSp macro="">
      <xdr:nvCxnSpPr>
        <xdr:cNvPr id="1349" name="Straight Arrow Connector 1348">
          <a:extLst>
            <a:ext uri="{FF2B5EF4-FFF2-40B4-BE49-F238E27FC236}">
              <a16:creationId xmlns:a16="http://schemas.microsoft.com/office/drawing/2014/main" id="{00000000-0008-0000-1300-000045050000}"/>
            </a:ext>
          </a:extLst>
        </xdr:cNvPr>
        <xdr:cNvCxnSpPr/>
      </xdr:nvCxnSpPr>
      <xdr:spPr>
        <a:xfrm>
          <a:off x="10562166" y="1299210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1578</xdr:row>
      <xdr:rowOff>21166</xdr:rowOff>
    </xdr:from>
    <xdr:to>
      <xdr:col>15</xdr:col>
      <xdr:colOff>560916</xdr:colOff>
      <xdr:row>1581</xdr:row>
      <xdr:rowOff>84667</xdr:rowOff>
    </xdr:to>
    <xdr:cxnSp macro="">
      <xdr:nvCxnSpPr>
        <xdr:cNvPr id="1350" name="Straight Arrow Connector 1349">
          <a:extLst>
            <a:ext uri="{FF2B5EF4-FFF2-40B4-BE49-F238E27FC236}">
              <a16:creationId xmlns:a16="http://schemas.microsoft.com/office/drawing/2014/main" id="{00000000-0008-0000-1300-000046050000}"/>
            </a:ext>
          </a:extLst>
        </xdr:cNvPr>
        <xdr:cNvCxnSpPr/>
      </xdr:nvCxnSpPr>
      <xdr:spPr>
        <a:xfrm>
          <a:off x="10615083" y="1299421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1578</xdr:row>
      <xdr:rowOff>52916</xdr:rowOff>
    </xdr:from>
    <xdr:to>
      <xdr:col>15</xdr:col>
      <xdr:colOff>592666</xdr:colOff>
      <xdr:row>1584</xdr:row>
      <xdr:rowOff>63501</xdr:rowOff>
    </xdr:to>
    <xdr:cxnSp macro="">
      <xdr:nvCxnSpPr>
        <xdr:cNvPr id="1351" name="Straight Arrow Connector 1350">
          <a:extLst>
            <a:ext uri="{FF2B5EF4-FFF2-40B4-BE49-F238E27FC236}">
              <a16:creationId xmlns:a16="http://schemas.microsoft.com/office/drawing/2014/main" id="{00000000-0008-0000-1300-000047050000}"/>
            </a:ext>
          </a:extLst>
        </xdr:cNvPr>
        <xdr:cNvCxnSpPr/>
      </xdr:nvCxnSpPr>
      <xdr:spPr>
        <a:xfrm>
          <a:off x="10572750" y="1299739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1575</xdr:row>
      <xdr:rowOff>52917</xdr:rowOff>
    </xdr:from>
    <xdr:to>
      <xdr:col>15</xdr:col>
      <xdr:colOff>603250</xdr:colOff>
      <xdr:row>1577</xdr:row>
      <xdr:rowOff>148167</xdr:rowOff>
    </xdr:to>
    <xdr:cxnSp macro="">
      <xdr:nvCxnSpPr>
        <xdr:cNvPr id="1352" name="Straight Arrow Connector 1351">
          <a:extLst>
            <a:ext uri="{FF2B5EF4-FFF2-40B4-BE49-F238E27FC236}">
              <a16:creationId xmlns:a16="http://schemas.microsoft.com/office/drawing/2014/main" id="{00000000-0008-0000-1300-000048050000}"/>
            </a:ext>
          </a:extLst>
        </xdr:cNvPr>
        <xdr:cNvCxnSpPr/>
      </xdr:nvCxnSpPr>
      <xdr:spPr>
        <a:xfrm flipV="1">
          <a:off x="10583333" y="1294024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31750</xdr:colOff>
      <xdr:row>1486</xdr:row>
      <xdr:rowOff>127000</xdr:rowOff>
    </xdr:from>
    <xdr:to>
      <xdr:col>8</xdr:col>
      <xdr:colOff>63500</xdr:colOff>
      <xdr:row>1505</xdr:row>
      <xdr:rowOff>0</xdr:rowOff>
    </xdr:to>
    <xdr:cxnSp macro="">
      <xdr:nvCxnSpPr>
        <xdr:cNvPr id="1353" name="Straight Arrow Connector 1352">
          <a:extLst>
            <a:ext uri="{FF2B5EF4-FFF2-40B4-BE49-F238E27FC236}">
              <a16:creationId xmlns:a16="http://schemas.microsoft.com/office/drawing/2014/main" id="{00000000-0008-0000-1300-000049050000}"/>
            </a:ext>
          </a:extLst>
        </xdr:cNvPr>
        <xdr:cNvCxnSpPr/>
      </xdr:nvCxnSpPr>
      <xdr:spPr>
        <a:xfrm flipV="1">
          <a:off x="5207000" y="112141000"/>
          <a:ext cx="635000" cy="3587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825500</xdr:colOff>
      <xdr:row>1623</xdr:row>
      <xdr:rowOff>1</xdr:rowOff>
    </xdr:from>
    <xdr:to>
      <xdr:col>6</xdr:col>
      <xdr:colOff>0</xdr:colOff>
      <xdr:row>1657</xdr:row>
      <xdr:rowOff>116417</xdr:rowOff>
    </xdr:to>
    <xdr:cxnSp macro="">
      <xdr:nvCxnSpPr>
        <xdr:cNvPr id="1354" name="Straight Arrow Connector 1353">
          <a:extLst>
            <a:ext uri="{FF2B5EF4-FFF2-40B4-BE49-F238E27FC236}">
              <a16:creationId xmlns:a16="http://schemas.microsoft.com/office/drawing/2014/main" id="{00000000-0008-0000-1300-00004A050000}"/>
            </a:ext>
          </a:extLst>
        </xdr:cNvPr>
        <xdr:cNvCxnSpPr/>
      </xdr:nvCxnSpPr>
      <xdr:spPr>
        <a:xfrm flipV="1">
          <a:off x="3714750" y="138684001"/>
          <a:ext cx="666750" cy="65934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21167</xdr:colOff>
      <xdr:row>1660</xdr:row>
      <xdr:rowOff>169334</xdr:rowOff>
    </xdr:from>
    <xdr:to>
      <xdr:col>5</xdr:col>
      <xdr:colOff>571500</xdr:colOff>
      <xdr:row>1729</xdr:row>
      <xdr:rowOff>0</xdr:rowOff>
    </xdr:to>
    <xdr:cxnSp macro="">
      <xdr:nvCxnSpPr>
        <xdr:cNvPr id="1355" name="Straight Arrow Connector 1354">
          <a:extLst>
            <a:ext uri="{FF2B5EF4-FFF2-40B4-BE49-F238E27FC236}">
              <a16:creationId xmlns:a16="http://schemas.microsoft.com/office/drawing/2014/main" id="{00000000-0008-0000-1300-00004B050000}"/>
            </a:ext>
          </a:extLst>
        </xdr:cNvPr>
        <xdr:cNvCxnSpPr/>
      </xdr:nvCxnSpPr>
      <xdr:spPr>
        <a:xfrm>
          <a:off x="3799417" y="145901834"/>
          <a:ext cx="550333" cy="133244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1598</xdr:row>
      <xdr:rowOff>148167</xdr:rowOff>
    </xdr:from>
    <xdr:to>
      <xdr:col>7</xdr:col>
      <xdr:colOff>603250</xdr:colOff>
      <xdr:row>1620</xdr:row>
      <xdr:rowOff>31750</xdr:rowOff>
    </xdr:to>
    <xdr:cxnSp macro="">
      <xdr:nvCxnSpPr>
        <xdr:cNvPr id="1356" name="Straight Arrow Connector 1355">
          <a:extLst>
            <a:ext uri="{FF2B5EF4-FFF2-40B4-BE49-F238E27FC236}">
              <a16:creationId xmlns:a16="http://schemas.microsoft.com/office/drawing/2014/main" id="{00000000-0008-0000-1300-00004C050000}"/>
            </a:ext>
          </a:extLst>
        </xdr:cNvPr>
        <xdr:cNvCxnSpPr/>
      </xdr:nvCxnSpPr>
      <xdr:spPr>
        <a:xfrm flipV="1">
          <a:off x="5175250" y="133879167"/>
          <a:ext cx="603250" cy="42650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1623</xdr:row>
      <xdr:rowOff>10584</xdr:rowOff>
    </xdr:from>
    <xdr:to>
      <xdr:col>8</xdr:col>
      <xdr:colOff>21167</xdr:colOff>
      <xdr:row>1651</xdr:row>
      <xdr:rowOff>148166</xdr:rowOff>
    </xdr:to>
    <xdr:cxnSp macro="">
      <xdr:nvCxnSpPr>
        <xdr:cNvPr id="1357" name="Straight Arrow Connector 1356">
          <a:extLst>
            <a:ext uri="{FF2B5EF4-FFF2-40B4-BE49-F238E27FC236}">
              <a16:creationId xmlns:a16="http://schemas.microsoft.com/office/drawing/2014/main" id="{00000000-0008-0000-1300-00004D050000}"/>
            </a:ext>
          </a:extLst>
        </xdr:cNvPr>
        <xdr:cNvCxnSpPr/>
      </xdr:nvCxnSpPr>
      <xdr:spPr>
        <a:xfrm>
          <a:off x="5175250" y="138694584"/>
          <a:ext cx="624417" cy="547158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1590</xdr:row>
      <xdr:rowOff>137583</xdr:rowOff>
    </xdr:from>
    <xdr:to>
      <xdr:col>9</xdr:col>
      <xdr:colOff>603250</xdr:colOff>
      <xdr:row>1596</xdr:row>
      <xdr:rowOff>21166</xdr:rowOff>
    </xdr:to>
    <xdr:cxnSp macro="">
      <xdr:nvCxnSpPr>
        <xdr:cNvPr id="1358" name="Straight Arrow Connector 1357">
          <a:extLst>
            <a:ext uri="{FF2B5EF4-FFF2-40B4-BE49-F238E27FC236}">
              <a16:creationId xmlns:a16="http://schemas.microsoft.com/office/drawing/2014/main" id="{00000000-0008-0000-1300-00004E050000}"/>
            </a:ext>
          </a:extLst>
        </xdr:cNvPr>
        <xdr:cNvCxnSpPr/>
      </xdr:nvCxnSpPr>
      <xdr:spPr>
        <a:xfrm flipV="1">
          <a:off x="6381750" y="132344583"/>
          <a:ext cx="603250" cy="1026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1599</xdr:row>
      <xdr:rowOff>0</xdr:rowOff>
    </xdr:from>
    <xdr:to>
      <xdr:col>9</xdr:col>
      <xdr:colOff>582083</xdr:colOff>
      <xdr:row>1607</xdr:row>
      <xdr:rowOff>10583</xdr:rowOff>
    </xdr:to>
    <xdr:cxnSp macro="">
      <xdr:nvCxnSpPr>
        <xdr:cNvPr id="1359" name="Straight Arrow Connector 1358">
          <a:extLst>
            <a:ext uri="{FF2B5EF4-FFF2-40B4-BE49-F238E27FC236}">
              <a16:creationId xmlns:a16="http://schemas.microsoft.com/office/drawing/2014/main" id="{00000000-0008-0000-1300-00004F050000}"/>
            </a:ext>
          </a:extLst>
        </xdr:cNvPr>
        <xdr:cNvCxnSpPr/>
      </xdr:nvCxnSpPr>
      <xdr:spPr>
        <a:xfrm>
          <a:off x="6413500" y="133921500"/>
          <a:ext cx="550333" cy="1534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21167</xdr:colOff>
      <xdr:row>1604</xdr:row>
      <xdr:rowOff>169333</xdr:rowOff>
    </xdr:from>
    <xdr:to>
      <xdr:col>11</xdr:col>
      <xdr:colOff>603250</xdr:colOff>
      <xdr:row>1607</xdr:row>
      <xdr:rowOff>21167</xdr:rowOff>
    </xdr:to>
    <xdr:cxnSp macro="">
      <xdr:nvCxnSpPr>
        <xdr:cNvPr id="1360" name="Straight Arrow Connector 1359">
          <a:extLst>
            <a:ext uri="{FF2B5EF4-FFF2-40B4-BE49-F238E27FC236}">
              <a16:creationId xmlns:a16="http://schemas.microsoft.com/office/drawing/2014/main" id="{00000000-0008-0000-1300-000050050000}"/>
            </a:ext>
          </a:extLst>
        </xdr:cNvPr>
        <xdr:cNvCxnSpPr/>
      </xdr:nvCxnSpPr>
      <xdr:spPr>
        <a:xfrm flipV="1">
          <a:off x="7609417" y="135043333"/>
          <a:ext cx="582083" cy="423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1610</xdr:row>
      <xdr:rowOff>42333</xdr:rowOff>
    </xdr:from>
    <xdr:to>
      <xdr:col>11</xdr:col>
      <xdr:colOff>603250</xdr:colOff>
      <xdr:row>1622</xdr:row>
      <xdr:rowOff>10583</xdr:rowOff>
    </xdr:to>
    <xdr:cxnSp macro="">
      <xdr:nvCxnSpPr>
        <xdr:cNvPr id="1361" name="Straight Arrow Connector 1360">
          <a:extLst>
            <a:ext uri="{FF2B5EF4-FFF2-40B4-BE49-F238E27FC236}">
              <a16:creationId xmlns:a16="http://schemas.microsoft.com/office/drawing/2014/main" id="{00000000-0008-0000-1300-000051050000}"/>
            </a:ext>
          </a:extLst>
        </xdr:cNvPr>
        <xdr:cNvCxnSpPr/>
      </xdr:nvCxnSpPr>
      <xdr:spPr>
        <a:xfrm>
          <a:off x="7598834" y="1360593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1600</xdr:row>
      <xdr:rowOff>21167</xdr:rowOff>
    </xdr:from>
    <xdr:to>
      <xdr:col>13</xdr:col>
      <xdr:colOff>592667</xdr:colOff>
      <xdr:row>1602</xdr:row>
      <xdr:rowOff>0</xdr:rowOff>
    </xdr:to>
    <xdr:cxnSp macro="">
      <xdr:nvCxnSpPr>
        <xdr:cNvPr id="1362" name="Straight Arrow Connector 1361">
          <a:extLst>
            <a:ext uri="{FF2B5EF4-FFF2-40B4-BE49-F238E27FC236}">
              <a16:creationId xmlns:a16="http://schemas.microsoft.com/office/drawing/2014/main" id="{00000000-0008-0000-1300-000052050000}"/>
            </a:ext>
          </a:extLst>
        </xdr:cNvPr>
        <xdr:cNvCxnSpPr/>
      </xdr:nvCxnSpPr>
      <xdr:spPr>
        <a:xfrm flipV="1">
          <a:off x="8794750" y="1341331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1605</xdr:row>
      <xdr:rowOff>21166</xdr:rowOff>
    </xdr:from>
    <xdr:to>
      <xdr:col>13</xdr:col>
      <xdr:colOff>592667</xdr:colOff>
      <xdr:row>1606</xdr:row>
      <xdr:rowOff>169334</xdr:rowOff>
    </xdr:to>
    <xdr:cxnSp macro="">
      <xdr:nvCxnSpPr>
        <xdr:cNvPr id="1363" name="Straight Arrow Connector 1362">
          <a:extLst>
            <a:ext uri="{FF2B5EF4-FFF2-40B4-BE49-F238E27FC236}">
              <a16:creationId xmlns:a16="http://schemas.microsoft.com/office/drawing/2014/main" id="{00000000-0008-0000-1300-000053050000}"/>
            </a:ext>
          </a:extLst>
        </xdr:cNvPr>
        <xdr:cNvCxnSpPr/>
      </xdr:nvCxnSpPr>
      <xdr:spPr>
        <a:xfrm>
          <a:off x="8784166" y="1350856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1620</xdr:row>
      <xdr:rowOff>21167</xdr:rowOff>
    </xdr:from>
    <xdr:to>
      <xdr:col>13</xdr:col>
      <xdr:colOff>592667</xdr:colOff>
      <xdr:row>1622</xdr:row>
      <xdr:rowOff>63500</xdr:rowOff>
    </xdr:to>
    <xdr:cxnSp macro="">
      <xdr:nvCxnSpPr>
        <xdr:cNvPr id="1364" name="Straight Arrow Connector 1363">
          <a:extLst>
            <a:ext uri="{FF2B5EF4-FFF2-40B4-BE49-F238E27FC236}">
              <a16:creationId xmlns:a16="http://schemas.microsoft.com/office/drawing/2014/main" id="{00000000-0008-0000-1300-000054050000}"/>
            </a:ext>
          </a:extLst>
        </xdr:cNvPr>
        <xdr:cNvCxnSpPr/>
      </xdr:nvCxnSpPr>
      <xdr:spPr>
        <a:xfrm flipV="1">
          <a:off x="8794750" y="1381336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1625</xdr:row>
      <xdr:rowOff>0</xdr:rowOff>
    </xdr:from>
    <xdr:to>
      <xdr:col>14</xdr:col>
      <xdr:colOff>10584</xdr:colOff>
      <xdr:row>1633</xdr:row>
      <xdr:rowOff>148167</xdr:rowOff>
    </xdr:to>
    <xdr:cxnSp macro="">
      <xdr:nvCxnSpPr>
        <xdr:cNvPr id="1365" name="Straight Arrow Connector 1364">
          <a:extLst>
            <a:ext uri="{FF2B5EF4-FFF2-40B4-BE49-F238E27FC236}">
              <a16:creationId xmlns:a16="http://schemas.microsoft.com/office/drawing/2014/main" id="{00000000-0008-0000-1300-000055050000}"/>
            </a:ext>
          </a:extLst>
        </xdr:cNvPr>
        <xdr:cNvCxnSpPr/>
      </xdr:nvCxnSpPr>
      <xdr:spPr>
        <a:xfrm>
          <a:off x="8805333" y="1390650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1592</xdr:row>
      <xdr:rowOff>0</xdr:rowOff>
    </xdr:from>
    <xdr:to>
      <xdr:col>15</xdr:col>
      <xdr:colOff>603250</xdr:colOff>
      <xdr:row>1597</xdr:row>
      <xdr:rowOff>31750</xdr:rowOff>
    </xdr:to>
    <xdr:cxnSp macro="">
      <xdr:nvCxnSpPr>
        <xdr:cNvPr id="1366" name="Straight Arrow Connector 1365">
          <a:extLst>
            <a:ext uri="{FF2B5EF4-FFF2-40B4-BE49-F238E27FC236}">
              <a16:creationId xmlns:a16="http://schemas.microsoft.com/office/drawing/2014/main" id="{00000000-0008-0000-1300-000056050000}"/>
            </a:ext>
          </a:extLst>
        </xdr:cNvPr>
        <xdr:cNvCxnSpPr/>
      </xdr:nvCxnSpPr>
      <xdr:spPr>
        <a:xfrm flipV="1">
          <a:off x="10541000" y="132588000"/>
          <a:ext cx="603250" cy="984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1595</xdr:row>
      <xdr:rowOff>52917</xdr:rowOff>
    </xdr:from>
    <xdr:to>
      <xdr:col>15</xdr:col>
      <xdr:colOff>603250</xdr:colOff>
      <xdr:row>1597</xdr:row>
      <xdr:rowOff>95250</xdr:rowOff>
    </xdr:to>
    <xdr:cxnSp macro="">
      <xdr:nvCxnSpPr>
        <xdr:cNvPr id="1367" name="Straight Arrow Connector 1366">
          <a:extLst>
            <a:ext uri="{FF2B5EF4-FFF2-40B4-BE49-F238E27FC236}">
              <a16:creationId xmlns:a16="http://schemas.microsoft.com/office/drawing/2014/main" id="{00000000-0008-0000-1300-000057050000}"/>
            </a:ext>
          </a:extLst>
        </xdr:cNvPr>
        <xdr:cNvCxnSpPr/>
      </xdr:nvCxnSpPr>
      <xdr:spPr>
        <a:xfrm flipV="1">
          <a:off x="10583333" y="133212417"/>
          <a:ext cx="56091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1597</xdr:row>
      <xdr:rowOff>158750</xdr:rowOff>
    </xdr:from>
    <xdr:to>
      <xdr:col>15</xdr:col>
      <xdr:colOff>582083</xdr:colOff>
      <xdr:row>1598</xdr:row>
      <xdr:rowOff>137583</xdr:rowOff>
    </xdr:to>
    <xdr:cxnSp macro="">
      <xdr:nvCxnSpPr>
        <xdr:cNvPr id="1368" name="Straight Arrow Connector 1367">
          <a:extLst>
            <a:ext uri="{FF2B5EF4-FFF2-40B4-BE49-F238E27FC236}">
              <a16:creationId xmlns:a16="http://schemas.microsoft.com/office/drawing/2014/main" id="{00000000-0008-0000-1300-000058050000}"/>
            </a:ext>
          </a:extLst>
        </xdr:cNvPr>
        <xdr:cNvCxnSpPr/>
      </xdr:nvCxnSpPr>
      <xdr:spPr>
        <a:xfrm>
          <a:off x="10604500" y="133699250"/>
          <a:ext cx="518583" cy="169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1121834</xdr:colOff>
      <xdr:row>1597</xdr:row>
      <xdr:rowOff>105834</xdr:rowOff>
    </xdr:from>
    <xdr:to>
      <xdr:col>16</xdr:col>
      <xdr:colOff>0</xdr:colOff>
      <xdr:row>1601</xdr:row>
      <xdr:rowOff>84667</xdr:rowOff>
    </xdr:to>
    <xdr:cxnSp macro="">
      <xdr:nvCxnSpPr>
        <xdr:cNvPr id="1369" name="Straight Arrow Connector 1368">
          <a:extLst>
            <a:ext uri="{FF2B5EF4-FFF2-40B4-BE49-F238E27FC236}">
              <a16:creationId xmlns:a16="http://schemas.microsoft.com/office/drawing/2014/main" id="{00000000-0008-0000-1300-000059050000}"/>
            </a:ext>
          </a:extLst>
        </xdr:cNvPr>
        <xdr:cNvCxnSpPr/>
      </xdr:nvCxnSpPr>
      <xdr:spPr>
        <a:xfrm>
          <a:off x="10519834" y="133646334"/>
          <a:ext cx="624416"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1605</xdr:row>
      <xdr:rowOff>52916</xdr:rowOff>
    </xdr:from>
    <xdr:to>
      <xdr:col>16</xdr:col>
      <xdr:colOff>0</xdr:colOff>
      <xdr:row>1607</xdr:row>
      <xdr:rowOff>0</xdr:rowOff>
    </xdr:to>
    <xdr:cxnSp macro="">
      <xdr:nvCxnSpPr>
        <xdr:cNvPr id="1370" name="Straight Arrow Connector 1369">
          <a:extLst>
            <a:ext uri="{FF2B5EF4-FFF2-40B4-BE49-F238E27FC236}">
              <a16:creationId xmlns:a16="http://schemas.microsoft.com/office/drawing/2014/main" id="{00000000-0008-0000-1300-00005A050000}"/>
            </a:ext>
          </a:extLst>
        </xdr:cNvPr>
        <xdr:cNvCxnSpPr/>
      </xdr:nvCxnSpPr>
      <xdr:spPr>
        <a:xfrm flipV="1">
          <a:off x="10541000" y="1351174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1607</xdr:row>
      <xdr:rowOff>21167</xdr:rowOff>
    </xdr:from>
    <xdr:to>
      <xdr:col>15</xdr:col>
      <xdr:colOff>582083</xdr:colOff>
      <xdr:row>1608</xdr:row>
      <xdr:rowOff>42333</xdr:rowOff>
    </xdr:to>
    <xdr:cxnSp macro="">
      <xdr:nvCxnSpPr>
        <xdr:cNvPr id="1371" name="Straight Arrow Connector 1370">
          <a:extLst>
            <a:ext uri="{FF2B5EF4-FFF2-40B4-BE49-F238E27FC236}">
              <a16:creationId xmlns:a16="http://schemas.microsoft.com/office/drawing/2014/main" id="{00000000-0008-0000-1300-00005B050000}"/>
            </a:ext>
          </a:extLst>
        </xdr:cNvPr>
        <xdr:cNvCxnSpPr/>
      </xdr:nvCxnSpPr>
      <xdr:spPr>
        <a:xfrm>
          <a:off x="10551583" y="135466667"/>
          <a:ext cx="571500" cy="211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1607</xdr:row>
      <xdr:rowOff>21167</xdr:rowOff>
    </xdr:from>
    <xdr:to>
      <xdr:col>16</xdr:col>
      <xdr:colOff>42333</xdr:colOff>
      <xdr:row>1612</xdr:row>
      <xdr:rowOff>21168</xdr:rowOff>
    </xdr:to>
    <xdr:cxnSp macro="">
      <xdr:nvCxnSpPr>
        <xdr:cNvPr id="1372" name="Straight Arrow Connector 1371">
          <a:extLst>
            <a:ext uri="{FF2B5EF4-FFF2-40B4-BE49-F238E27FC236}">
              <a16:creationId xmlns:a16="http://schemas.microsoft.com/office/drawing/2014/main" id="{00000000-0008-0000-1300-00005C050000}"/>
            </a:ext>
          </a:extLst>
        </xdr:cNvPr>
        <xdr:cNvCxnSpPr/>
      </xdr:nvCxnSpPr>
      <xdr:spPr>
        <a:xfrm>
          <a:off x="10530417" y="135466667"/>
          <a:ext cx="656166" cy="9525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1607</xdr:row>
      <xdr:rowOff>31750</xdr:rowOff>
    </xdr:from>
    <xdr:to>
      <xdr:col>16</xdr:col>
      <xdr:colOff>42334</xdr:colOff>
      <xdr:row>1614</xdr:row>
      <xdr:rowOff>63501</xdr:rowOff>
    </xdr:to>
    <xdr:cxnSp macro="">
      <xdr:nvCxnSpPr>
        <xdr:cNvPr id="1373" name="Straight Arrow Connector 1372">
          <a:extLst>
            <a:ext uri="{FF2B5EF4-FFF2-40B4-BE49-F238E27FC236}">
              <a16:creationId xmlns:a16="http://schemas.microsoft.com/office/drawing/2014/main" id="{00000000-0008-0000-1300-00005D050000}"/>
            </a:ext>
          </a:extLst>
        </xdr:cNvPr>
        <xdr:cNvCxnSpPr/>
      </xdr:nvCxnSpPr>
      <xdr:spPr>
        <a:xfrm>
          <a:off x="10541000" y="135477250"/>
          <a:ext cx="645584"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10583</xdr:colOff>
      <xdr:row>1644</xdr:row>
      <xdr:rowOff>42333</xdr:rowOff>
    </xdr:from>
    <xdr:to>
      <xdr:col>9</xdr:col>
      <xdr:colOff>592666</xdr:colOff>
      <xdr:row>1652</xdr:row>
      <xdr:rowOff>42333</xdr:rowOff>
    </xdr:to>
    <xdr:cxnSp macro="">
      <xdr:nvCxnSpPr>
        <xdr:cNvPr id="1374" name="Straight Arrow Connector 1373">
          <a:extLst>
            <a:ext uri="{FF2B5EF4-FFF2-40B4-BE49-F238E27FC236}">
              <a16:creationId xmlns:a16="http://schemas.microsoft.com/office/drawing/2014/main" id="{00000000-0008-0000-1300-00005E050000}"/>
            </a:ext>
          </a:extLst>
        </xdr:cNvPr>
        <xdr:cNvCxnSpPr/>
      </xdr:nvCxnSpPr>
      <xdr:spPr>
        <a:xfrm flipV="1">
          <a:off x="6392333" y="142726833"/>
          <a:ext cx="582083" cy="152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1654</xdr:row>
      <xdr:rowOff>169334</xdr:rowOff>
    </xdr:from>
    <xdr:to>
      <xdr:col>9</xdr:col>
      <xdr:colOff>603250</xdr:colOff>
      <xdr:row>1663</xdr:row>
      <xdr:rowOff>31750</xdr:rowOff>
    </xdr:to>
    <xdr:cxnSp macro="">
      <xdr:nvCxnSpPr>
        <xdr:cNvPr id="1375" name="Straight Arrow Connector 1374">
          <a:extLst>
            <a:ext uri="{FF2B5EF4-FFF2-40B4-BE49-F238E27FC236}">
              <a16:creationId xmlns:a16="http://schemas.microsoft.com/office/drawing/2014/main" id="{00000000-0008-0000-1300-00005F050000}"/>
            </a:ext>
          </a:extLst>
        </xdr:cNvPr>
        <xdr:cNvCxnSpPr/>
      </xdr:nvCxnSpPr>
      <xdr:spPr>
        <a:xfrm>
          <a:off x="6413500" y="144758834"/>
          <a:ext cx="571500" cy="1576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571500</xdr:colOff>
      <xdr:row>1660</xdr:row>
      <xdr:rowOff>158750</xdr:rowOff>
    </xdr:from>
    <xdr:to>
      <xdr:col>11</xdr:col>
      <xdr:colOff>571500</xdr:colOff>
      <xdr:row>1663</xdr:row>
      <xdr:rowOff>0</xdr:rowOff>
    </xdr:to>
    <xdr:cxnSp macro="">
      <xdr:nvCxnSpPr>
        <xdr:cNvPr id="1376" name="Straight Arrow Connector 1375">
          <a:extLst>
            <a:ext uri="{FF2B5EF4-FFF2-40B4-BE49-F238E27FC236}">
              <a16:creationId xmlns:a16="http://schemas.microsoft.com/office/drawing/2014/main" id="{00000000-0008-0000-1300-000060050000}"/>
            </a:ext>
          </a:extLst>
        </xdr:cNvPr>
        <xdr:cNvCxnSpPr/>
      </xdr:nvCxnSpPr>
      <xdr:spPr>
        <a:xfrm flipV="1">
          <a:off x="7556500" y="145891250"/>
          <a:ext cx="603250" cy="412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1618</xdr:row>
      <xdr:rowOff>0</xdr:rowOff>
    </xdr:from>
    <xdr:to>
      <xdr:col>15</xdr:col>
      <xdr:colOff>603250</xdr:colOff>
      <xdr:row>1620</xdr:row>
      <xdr:rowOff>1</xdr:rowOff>
    </xdr:to>
    <xdr:cxnSp macro="">
      <xdr:nvCxnSpPr>
        <xdr:cNvPr id="1377" name="Straight Arrow Connector 1376">
          <a:extLst>
            <a:ext uri="{FF2B5EF4-FFF2-40B4-BE49-F238E27FC236}">
              <a16:creationId xmlns:a16="http://schemas.microsoft.com/office/drawing/2014/main" id="{00000000-0008-0000-1300-000061050000}"/>
            </a:ext>
          </a:extLst>
        </xdr:cNvPr>
        <xdr:cNvCxnSpPr/>
      </xdr:nvCxnSpPr>
      <xdr:spPr>
        <a:xfrm flipV="1">
          <a:off x="10530417" y="1377315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1620</xdr:row>
      <xdr:rowOff>10584</xdr:rowOff>
    </xdr:from>
    <xdr:to>
      <xdr:col>15</xdr:col>
      <xdr:colOff>592666</xdr:colOff>
      <xdr:row>1621</xdr:row>
      <xdr:rowOff>95250</xdr:rowOff>
    </xdr:to>
    <xdr:cxnSp macro="">
      <xdr:nvCxnSpPr>
        <xdr:cNvPr id="1378" name="Straight Arrow Connector 1377">
          <a:extLst>
            <a:ext uri="{FF2B5EF4-FFF2-40B4-BE49-F238E27FC236}">
              <a16:creationId xmlns:a16="http://schemas.microsoft.com/office/drawing/2014/main" id="{00000000-0008-0000-1300-000062050000}"/>
            </a:ext>
          </a:extLst>
        </xdr:cNvPr>
        <xdr:cNvCxnSpPr/>
      </xdr:nvCxnSpPr>
      <xdr:spPr>
        <a:xfrm>
          <a:off x="10572750" y="1381230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1620</xdr:row>
      <xdr:rowOff>10584</xdr:rowOff>
    </xdr:from>
    <xdr:to>
      <xdr:col>15</xdr:col>
      <xdr:colOff>560916</xdr:colOff>
      <xdr:row>1624</xdr:row>
      <xdr:rowOff>52917</xdr:rowOff>
    </xdr:to>
    <xdr:cxnSp macro="">
      <xdr:nvCxnSpPr>
        <xdr:cNvPr id="1379" name="Straight Arrow Connector 1378">
          <a:extLst>
            <a:ext uri="{FF2B5EF4-FFF2-40B4-BE49-F238E27FC236}">
              <a16:creationId xmlns:a16="http://schemas.microsoft.com/office/drawing/2014/main" id="{00000000-0008-0000-1300-000063050000}"/>
            </a:ext>
          </a:extLst>
        </xdr:cNvPr>
        <xdr:cNvCxnSpPr/>
      </xdr:nvCxnSpPr>
      <xdr:spPr>
        <a:xfrm>
          <a:off x="10551583" y="1381230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1620</xdr:row>
      <xdr:rowOff>31750</xdr:rowOff>
    </xdr:from>
    <xdr:to>
      <xdr:col>16</xdr:col>
      <xdr:colOff>21167</xdr:colOff>
      <xdr:row>1627</xdr:row>
      <xdr:rowOff>95250</xdr:rowOff>
    </xdr:to>
    <xdr:cxnSp macro="">
      <xdr:nvCxnSpPr>
        <xdr:cNvPr id="1380" name="Straight Arrow Connector 1379">
          <a:extLst>
            <a:ext uri="{FF2B5EF4-FFF2-40B4-BE49-F238E27FC236}">
              <a16:creationId xmlns:a16="http://schemas.microsoft.com/office/drawing/2014/main" id="{00000000-0008-0000-1300-000064050000}"/>
            </a:ext>
          </a:extLst>
        </xdr:cNvPr>
        <xdr:cNvCxnSpPr/>
      </xdr:nvCxnSpPr>
      <xdr:spPr>
        <a:xfrm>
          <a:off x="10583333" y="1381442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1634</xdr:row>
      <xdr:rowOff>0</xdr:rowOff>
    </xdr:from>
    <xdr:to>
      <xdr:col>16</xdr:col>
      <xdr:colOff>0</xdr:colOff>
      <xdr:row>1634</xdr:row>
      <xdr:rowOff>42334</xdr:rowOff>
    </xdr:to>
    <xdr:cxnSp macro="">
      <xdr:nvCxnSpPr>
        <xdr:cNvPr id="1381" name="Straight Arrow Connector 1380">
          <a:extLst>
            <a:ext uri="{FF2B5EF4-FFF2-40B4-BE49-F238E27FC236}">
              <a16:creationId xmlns:a16="http://schemas.microsoft.com/office/drawing/2014/main" id="{00000000-0008-0000-1300-000065050000}"/>
            </a:ext>
          </a:extLst>
        </xdr:cNvPr>
        <xdr:cNvCxnSpPr/>
      </xdr:nvCxnSpPr>
      <xdr:spPr>
        <a:xfrm>
          <a:off x="10562166" y="1407795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1634</xdr:row>
      <xdr:rowOff>21166</xdr:rowOff>
    </xdr:from>
    <xdr:to>
      <xdr:col>15</xdr:col>
      <xdr:colOff>560916</xdr:colOff>
      <xdr:row>1637</xdr:row>
      <xdr:rowOff>84667</xdr:rowOff>
    </xdr:to>
    <xdr:cxnSp macro="">
      <xdr:nvCxnSpPr>
        <xdr:cNvPr id="1382" name="Straight Arrow Connector 1381">
          <a:extLst>
            <a:ext uri="{FF2B5EF4-FFF2-40B4-BE49-F238E27FC236}">
              <a16:creationId xmlns:a16="http://schemas.microsoft.com/office/drawing/2014/main" id="{00000000-0008-0000-1300-000066050000}"/>
            </a:ext>
          </a:extLst>
        </xdr:cNvPr>
        <xdr:cNvCxnSpPr/>
      </xdr:nvCxnSpPr>
      <xdr:spPr>
        <a:xfrm>
          <a:off x="10615083" y="1408006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1634</xdr:row>
      <xdr:rowOff>52916</xdr:rowOff>
    </xdr:from>
    <xdr:to>
      <xdr:col>15</xdr:col>
      <xdr:colOff>592666</xdr:colOff>
      <xdr:row>1640</xdr:row>
      <xdr:rowOff>63501</xdr:rowOff>
    </xdr:to>
    <xdr:cxnSp macro="">
      <xdr:nvCxnSpPr>
        <xdr:cNvPr id="1383" name="Straight Arrow Connector 1382">
          <a:extLst>
            <a:ext uri="{FF2B5EF4-FFF2-40B4-BE49-F238E27FC236}">
              <a16:creationId xmlns:a16="http://schemas.microsoft.com/office/drawing/2014/main" id="{00000000-0008-0000-1300-000067050000}"/>
            </a:ext>
          </a:extLst>
        </xdr:cNvPr>
        <xdr:cNvCxnSpPr/>
      </xdr:nvCxnSpPr>
      <xdr:spPr>
        <a:xfrm>
          <a:off x="10572750" y="1408324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1648</xdr:row>
      <xdr:rowOff>116416</xdr:rowOff>
    </xdr:from>
    <xdr:to>
      <xdr:col>15</xdr:col>
      <xdr:colOff>592666</xdr:colOff>
      <xdr:row>1651</xdr:row>
      <xdr:rowOff>158750</xdr:rowOff>
    </xdr:to>
    <xdr:cxnSp macro="">
      <xdr:nvCxnSpPr>
        <xdr:cNvPr id="1384" name="Straight Arrow Connector 1383">
          <a:extLst>
            <a:ext uri="{FF2B5EF4-FFF2-40B4-BE49-F238E27FC236}">
              <a16:creationId xmlns:a16="http://schemas.microsoft.com/office/drawing/2014/main" id="{00000000-0008-0000-1300-000068050000}"/>
            </a:ext>
          </a:extLst>
        </xdr:cNvPr>
        <xdr:cNvCxnSpPr/>
      </xdr:nvCxnSpPr>
      <xdr:spPr>
        <a:xfrm flipV="1">
          <a:off x="10562166" y="143562916"/>
          <a:ext cx="571500" cy="613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1650</xdr:row>
      <xdr:rowOff>95250</xdr:rowOff>
    </xdr:from>
    <xdr:to>
      <xdr:col>15</xdr:col>
      <xdr:colOff>582083</xdr:colOff>
      <xdr:row>1652</xdr:row>
      <xdr:rowOff>52917</xdr:rowOff>
    </xdr:to>
    <xdr:cxnSp macro="">
      <xdr:nvCxnSpPr>
        <xdr:cNvPr id="1385" name="Straight Arrow Connector 1384">
          <a:extLst>
            <a:ext uri="{FF2B5EF4-FFF2-40B4-BE49-F238E27FC236}">
              <a16:creationId xmlns:a16="http://schemas.microsoft.com/office/drawing/2014/main" id="{00000000-0008-0000-1300-000069050000}"/>
            </a:ext>
          </a:extLst>
        </xdr:cNvPr>
        <xdr:cNvCxnSpPr/>
      </xdr:nvCxnSpPr>
      <xdr:spPr>
        <a:xfrm flipV="1">
          <a:off x="10604500" y="143922750"/>
          <a:ext cx="518583" cy="338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1652</xdr:row>
      <xdr:rowOff>116417</xdr:rowOff>
    </xdr:from>
    <xdr:to>
      <xdr:col>15</xdr:col>
      <xdr:colOff>592666</xdr:colOff>
      <xdr:row>1656</xdr:row>
      <xdr:rowOff>95250</xdr:rowOff>
    </xdr:to>
    <xdr:cxnSp macro="">
      <xdr:nvCxnSpPr>
        <xdr:cNvPr id="1386" name="Straight Arrow Connector 1385">
          <a:extLst>
            <a:ext uri="{FF2B5EF4-FFF2-40B4-BE49-F238E27FC236}">
              <a16:creationId xmlns:a16="http://schemas.microsoft.com/office/drawing/2014/main" id="{00000000-0008-0000-1300-00006A050000}"/>
            </a:ext>
          </a:extLst>
        </xdr:cNvPr>
        <xdr:cNvCxnSpPr/>
      </xdr:nvCxnSpPr>
      <xdr:spPr>
        <a:xfrm>
          <a:off x="10593916" y="144324917"/>
          <a:ext cx="53975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1663</xdr:row>
      <xdr:rowOff>116416</xdr:rowOff>
    </xdr:from>
    <xdr:to>
      <xdr:col>16</xdr:col>
      <xdr:colOff>0</xdr:colOff>
      <xdr:row>1670</xdr:row>
      <xdr:rowOff>74084</xdr:rowOff>
    </xdr:to>
    <xdr:cxnSp macro="">
      <xdr:nvCxnSpPr>
        <xdr:cNvPr id="1387" name="Straight Arrow Connector 1386">
          <a:extLst>
            <a:ext uri="{FF2B5EF4-FFF2-40B4-BE49-F238E27FC236}">
              <a16:creationId xmlns:a16="http://schemas.microsoft.com/office/drawing/2014/main" id="{00000000-0008-0000-1300-00006B050000}"/>
            </a:ext>
          </a:extLst>
        </xdr:cNvPr>
        <xdr:cNvCxnSpPr/>
      </xdr:nvCxnSpPr>
      <xdr:spPr>
        <a:xfrm>
          <a:off x="10572750" y="146420416"/>
          <a:ext cx="571500" cy="12911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1631</xdr:row>
      <xdr:rowOff>52917</xdr:rowOff>
    </xdr:from>
    <xdr:to>
      <xdr:col>15</xdr:col>
      <xdr:colOff>603250</xdr:colOff>
      <xdr:row>1633</xdr:row>
      <xdr:rowOff>148167</xdr:rowOff>
    </xdr:to>
    <xdr:cxnSp macro="">
      <xdr:nvCxnSpPr>
        <xdr:cNvPr id="1388" name="Straight Arrow Connector 1387">
          <a:extLst>
            <a:ext uri="{FF2B5EF4-FFF2-40B4-BE49-F238E27FC236}">
              <a16:creationId xmlns:a16="http://schemas.microsoft.com/office/drawing/2014/main" id="{00000000-0008-0000-1300-00006C050000}"/>
            </a:ext>
          </a:extLst>
        </xdr:cNvPr>
        <xdr:cNvCxnSpPr/>
      </xdr:nvCxnSpPr>
      <xdr:spPr>
        <a:xfrm flipV="1">
          <a:off x="10583333" y="1402609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1666</xdr:row>
      <xdr:rowOff>42333</xdr:rowOff>
    </xdr:from>
    <xdr:to>
      <xdr:col>11</xdr:col>
      <xdr:colOff>603250</xdr:colOff>
      <xdr:row>1678</xdr:row>
      <xdr:rowOff>10583</xdr:rowOff>
    </xdr:to>
    <xdr:cxnSp macro="">
      <xdr:nvCxnSpPr>
        <xdr:cNvPr id="1389" name="Straight Arrow Connector 1388">
          <a:extLst>
            <a:ext uri="{FF2B5EF4-FFF2-40B4-BE49-F238E27FC236}">
              <a16:creationId xmlns:a16="http://schemas.microsoft.com/office/drawing/2014/main" id="{00000000-0008-0000-1300-00006D050000}"/>
            </a:ext>
          </a:extLst>
        </xdr:cNvPr>
        <xdr:cNvCxnSpPr/>
      </xdr:nvCxnSpPr>
      <xdr:spPr>
        <a:xfrm>
          <a:off x="7598834" y="1469178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1656</xdr:row>
      <xdr:rowOff>21167</xdr:rowOff>
    </xdr:from>
    <xdr:to>
      <xdr:col>13</xdr:col>
      <xdr:colOff>592667</xdr:colOff>
      <xdr:row>1658</xdr:row>
      <xdr:rowOff>0</xdr:rowOff>
    </xdr:to>
    <xdr:cxnSp macro="">
      <xdr:nvCxnSpPr>
        <xdr:cNvPr id="1390" name="Straight Arrow Connector 1389">
          <a:extLst>
            <a:ext uri="{FF2B5EF4-FFF2-40B4-BE49-F238E27FC236}">
              <a16:creationId xmlns:a16="http://schemas.microsoft.com/office/drawing/2014/main" id="{00000000-0008-0000-1300-00006E050000}"/>
            </a:ext>
          </a:extLst>
        </xdr:cNvPr>
        <xdr:cNvCxnSpPr/>
      </xdr:nvCxnSpPr>
      <xdr:spPr>
        <a:xfrm flipV="1">
          <a:off x="8794750" y="1449916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1661</xdr:row>
      <xdr:rowOff>21166</xdr:rowOff>
    </xdr:from>
    <xdr:to>
      <xdr:col>13</xdr:col>
      <xdr:colOff>592667</xdr:colOff>
      <xdr:row>1662</xdr:row>
      <xdr:rowOff>169334</xdr:rowOff>
    </xdr:to>
    <xdr:cxnSp macro="">
      <xdr:nvCxnSpPr>
        <xdr:cNvPr id="1391" name="Straight Arrow Connector 1390">
          <a:extLst>
            <a:ext uri="{FF2B5EF4-FFF2-40B4-BE49-F238E27FC236}">
              <a16:creationId xmlns:a16="http://schemas.microsoft.com/office/drawing/2014/main" id="{00000000-0008-0000-1300-00006F050000}"/>
            </a:ext>
          </a:extLst>
        </xdr:cNvPr>
        <xdr:cNvCxnSpPr/>
      </xdr:nvCxnSpPr>
      <xdr:spPr>
        <a:xfrm>
          <a:off x="8784166" y="1459441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1676</xdr:row>
      <xdr:rowOff>21167</xdr:rowOff>
    </xdr:from>
    <xdr:to>
      <xdr:col>13</xdr:col>
      <xdr:colOff>592667</xdr:colOff>
      <xdr:row>1678</xdr:row>
      <xdr:rowOff>63500</xdr:rowOff>
    </xdr:to>
    <xdr:cxnSp macro="">
      <xdr:nvCxnSpPr>
        <xdr:cNvPr id="1392" name="Straight Arrow Connector 1391">
          <a:extLst>
            <a:ext uri="{FF2B5EF4-FFF2-40B4-BE49-F238E27FC236}">
              <a16:creationId xmlns:a16="http://schemas.microsoft.com/office/drawing/2014/main" id="{00000000-0008-0000-1300-000070050000}"/>
            </a:ext>
          </a:extLst>
        </xdr:cNvPr>
        <xdr:cNvCxnSpPr/>
      </xdr:nvCxnSpPr>
      <xdr:spPr>
        <a:xfrm flipV="1">
          <a:off x="8794750" y="1489921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1681</xdr:row>
      <xdr:rowOff>0</xdr:rowOff>
    </xdr:from>
    <xdr:to>
      <xdr:col>14</xdr:col>
      <xdr:colOff>10584</xdr:colOff>
      <xdr:row>1689</xdr:row>
      <xdr:rowOff>148167</xdr:rowOff>
    </xdr:to>
    <xdr:cxnSp macro="">
      <xdr:nvCxnSpPr>
        <xdr:cNvPr id="1393" name="Straight Arrow Connector 1392">
          <a:extLst>
            <a:ext uri="{FF2B5EF4-FFF2-40B4-BE49-F238E27FC236}">
              <a16:creationId xmlns:a16="http://schemas.microsoft.com/office/drawing/2014/main" id="{00000000-0008-0000-1300-000071050000}"/>
            </a:ext>
          </a:extLst>
        </xdr:cNvPr>
        <xdr:cNvCxnSpPr/>
      </xdr:nvCxnSpPr>
      <xdr:spPr>
        <a:xfrm>
          <a:off x="8805333" y="1499235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1652</xdr:row>
      <xdr:rowOff>95250</xdr:rowOff>
    </xdr:from>
    <xdr:to>
      <xdr:col>15</xdr:col>
      <xdr:colOff>582083</xdr:colOff>
      <xdr:row>1654</xdr:row>
      <xdr:rowOff>137583</xdr:rowOff>
    </xdr:to>
    <xdr:cxnSp macro="">
      <xdr:nvCxnSpPr>
        <xdr:cNvPr id="1394" name="Straight Arrow Connector 1393">
          <a:extLst>
            <a:ext uri="{FF2B5EF4-FFF2-40B4-BE49-F238E27FC236}">
              <a16:creationId xmlns:a16="http://schemas.microsoft.com/office/drawing/2014/main" id="{00000000-0008-0000-1300-000072050000}"/>
            </a:ext>
          </a:extLst>
        </xdr:cNvPr>
        <xdr:cNvCxnSpPr/>
      </xdr:nvCxnSpPr>
      <xdr:spPr>
        <a:xfrm>
          <a:off x="10593916" y="144303750"/>
          <a:ext cx="5291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1661</xdr:row>
      <xdr:rowOff>52916</xdr:rowOff>
    </xdr:from>
    <xdr:to>
      <xdr:col>16</xdr:col>
      <xdr:colOff>0</xdr:colOff>
      <xdr:row>1663</xdr:row>
      <xdr:rowOff>0</xdr:rowOff>
    </xdr:to>
    <xdr:cxnSp macro="">
      <xdr:nvCxnSpPr>
        <xdr:cNvPr id="1395" name="Straight Arrow Connector 1394">
          <a:extLst>
            <a:ext uri="{FF2B5EF4-FFF2-40B4-BE49-F238E27FC236}">
              <a16:creationId xmlns:a16="http://schemas.microsoft.com/office/drawing/2014/main" id="{00000000-0008-0000-1300-000073050000}"/>
            </a:ext>
          </a:extLst>
        </xdr:cNvPr>
        <xdr:cNvCxnSpPr/>
      </xdr:nvCxnSpPr>
      <xdr:spPr>
        <a:xfrm flipV="1">
          <a:off x="10541000" y="1459759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1663</xdr:row>
      <xdr:rowOff>21167</xdr:rowOff>
    </xdr:from>
    <xdr:to>
      <xdr:col>15</xdr:col>
      <xdr:colOff>592666</xdr:colOff>
      <xdr:row>1664</xdr:row>
      <xdr:rowOff>84667</xdr:rowOff>
    </xdr:to>
    <xdr:cxnSp macro="">
      <xdr:nvCxnSpPr>
        <xdr:cNvPr id="1396" name="Straight Arrow Connector 1395">
          <a:extLst>
            <a:ext uri="{FF2B5EF4-FFF2-40B4-BE49-F238E27FC236}">
              <a16:creationId xmlns:a16="http://schemas.microsoft.com/office/drawing/2014/main" id="{00000000-0008-0000-1300-000074050000}"/>
            </a:ext>
          </a:extLst>
        </xdr:cNvPr>
        <xdr:cNvCxnSpPr/>
      </xdr:nvCxnSpPr>
      <xdr:spPr>
        <a:xfrm>
          <a:off x="10530417" y="146325167"/>
          <a:ext cx="603249" cy="25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1663</xdr:row>
      <xdr:rowOff>0</xdr:rowOff>
    </xdr:from>
    <xdr:to>
      <xdr:col>16</xdr:col>
      <xdr:colOff>0</xdr:colOff>
      <xdr:row>1667</xdr:row>
      <xdr:rowOff>42334</xdr:rowOff>
    </xdr:to>
    <xdr:cxnSp macro="">
      <xdr:nvCxnSpPr>
        <xdr:cNvPr id="1397" name="Straight Arrow Connector 1396">
          <a:extLst>
            <a:ext uri="{FF2B5EF4-FFF2-40B4-BE49-F238E27FC236}">
              <a16:creationId xmlns:a16="http://schemas.microsoft.com/office/drawing/2014/main" id="{00000000-0008-0000-1300-000075050000}"/>
            </a:ext>
          </a:extLst>
        </xdr:cNvPr>
        <xdr:cNvCxnSpPr/>
      </xdr:nvCxnSpPr>
      <xdr:spPr>
        <a:xfrm>
          <a:off x="10530417" y="146304000"/>
          <a:ext cx="613833" cy="804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1674</xdr:row>
      <xdr:rowOff>0</xdr:rowOff>
    </xdr:from>
    <xdr:to>
      <xdr:col>15</xdr:col>
      <xdr:colOff>603250</xdr:colOff>
      <xdr:row>1676</xdr:row>
      <xdr:rowOff>1</xdr:rowOff>
    </xdr:to>
    <xdr:cxnSp macro="">
      <xdr:nvCxnSpPr>
        <xdr:cNvPr id="1398" name="Straight Arrow Connector 1397">
          <a:extLst>
            <a:ext uri="{FF2B5EF4-FFF2-40B4-BE49-F238E27FC236}">
              <a16:creationId xmlns:a16="http://schemas.microsoft.com/office/drawing/2014/main" id="{00000000-0008-0000-1300-000076050000}"/>
            </a:ext>
          </a:extLst>
        </xdr:cNvPr>
        <xdr:cNvCxnSpPr/>
      </xdr:nvCxnSpPr>
      <xdr:spPr>
        <a:xfrm flipV="1">
          <a:off x="10530417" y="1485900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1676</xdr:row>
      <xdr:rowOff>10584</xdr:rowOff>
    </xdr:from>
    <xdr:to>
      <xdr:col>15</xdr:col>
      <xdr:colOff>592666</xdr:colOff>
      <xdr:row>1677</xdr:row>
      <xdr:rowOff>95250</xdr:rowOff>
    </xdr:to>
    <xdr:cxnSp macro="">
      <xdr:nvCxnSpPr>
        <xdr:cNvPr id="1399" name="Straight Arrow Connector 1398">
          <a:extLst>
            <a:ext uri="{FF2B5EF4-FFF2-40B4-BE49-F238E27FC236}">
              <a16:creationId xmlns:a16="http://schemas.microsoft.com/office/drawing/2014/main" id="{00000000-0008-0000-1300-000077050000}"/>
            </a:ext>
          </a:extLst>
        </xdr:cNvPr>
        <xdr:cNvCxnSpPr/>
      </xdr:nvCxnSpPr>
      <xdr:spPr>
        <a:xfrm>
          <a:off x="10572750" y="1489815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1676</xdr:row>
      <xdr:rowOff>10584</xdr:rowOff>
    </xdr:from>
    <xdr:to>
      <xdr:col>15</xdr:col>
      <xdr:colOff>560916</xdr:colOff>
      <xdr:row>1680</xdr:row>
      <xdr:rowOff>52917</xdr:rowOff>
    </xdr:to>
    <xdr:cxnSp macro="">
      <xdr:nvCxnSpPr>
        <xdr:cNvPr id="1400" name="Straight Arrow Connector 1399">
          <a:extLst>
            <a:ext uri="{FF2B5EF4-FFF2-40B4-BE49-F238E27FC236}">
              <a16:creationId xmlns:a16="http://schemas.microsoft.com/office/drawing/2014/main" id="{00000000-0008-0000-1300-000078050000}"/>
            </a:ext>
          </a:extLst>
        </xdr:cNvPr>
        <xdr:cNvCxnSpPr/>
      </xdr:nvCxnSpPr>
      <xdr:spPr>
        <a:xfrm>
          <a:off x="10551583" y="1489815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1401" name="Straight Arrow Connector 1400">
          <a:extLst>
            <a:ext uri="{FF2B5EF4-FFF2-40B4-BE49-F238E27FC236}">
              <a16:creationId xmlns:a16="http://schemas.microsoft.com/office/drawing/2014/main" id="{00000000-0008-0000-1300-000079050000}"/>
            </a:ext>
          </a:extLst>
        </xdr:cNvPr>
        <xdr:cNvCxnSpPr/>
      </xdr:nvCxnSpPr>
      <xdr:spPr>
        <a:xfrm>
          <a:off x="10583333" y="1490027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1690</xdr:row>
      <xdr:rowOff>0</xdr:rowOff>
    </xdr:from>
    <xdr:to>
      <xdr:col>16</xdr:col>
      <xdr:colOff>0</xdr:colOff>
      <xdr:row>1690</xdr:row>
      <xdr:rowOff>42334</xdr:rowOff>
    </xdr:to>
    <xdr:cxnSp macro="">
      <xdr:nvCxnSpPr>
        <xdr:cNvPr id="1402" name="Straight Arrow Connector 1401">
          <a:extLst>
            <a:ext uri="{FF2B5EF4-FFF2-40B4-BE49-F238E27FC236}">
              <a16:creationId xmlns:a16="http://schemas.microsoft.com/office/drawing/2014/main" id="{00000000-0008-0000-1300-00007A050000}"/>
            </a:ext>
          </a:extLst>
        </xdr:cNvPr>
        <xdr:cNvCxnSpPr/>
      </xdr:nvCxnSpPr>
      <xdr:spPr>
        <a:xfrm>
          <a:off x="10562166" y="1516380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1690</xdr:row>
      <xdr:rowOff>21166</xdr:rowOff>
    </xdr:from>
    <xdr:to>
      <xdr:col>15</xdr:col>
      <xdr:colOff>560916</xdr:colOff>
      <xdr:row>1693</xdr:row>
      <xdr:rowOff>84667</xdr:rowOff>
    </xdr:to>
    <xdr:cxnSp macro="">
      <xdr:nvCxnSpPr>
        <xdr:cNvPr id="1403" name="Straight Arrow Connector 1402">
          <a:extLst>
            <a:ext uri="{FF2B5EF4-FFF2-40B4-BE49-F238E27FC236}">
              <a16:creationId xmlns:a16="http://schemas.microsoft.com/office/drawing/2014/main" id="{00000000-0008-0000-1300-00007B050000}"/>
            </a:ext>
          </a:extLst>
        </xdr:cNvPr>
        <xdr:cNvCxnSpPr/>
      </xdr:nvCxnSpPr>
      <xdr:spPr>
        <a:xfrm>
          <a:off x="10615083" y="1516591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1690</xdr:row>
      <xdr:rowOff>52916</xdr:rowOff>
    </xdr:from>
    <xdr:to>
      <xdr:col>15</xdr:col>
      <xdr:colOff>592666</xdr:colOff>
      <xdr:row>1696</xdr:row>
      <xdr:rowOff>63501</xdr:rowOff>
    </xdr:to>
    <xdr:cxnSp macro="">
      <xdr:nvCxnSpPr>
        <xdr:cNvPr id="1404" name="Straight Arrow Connector 1403">
          <a:extLst>
            <a:ext uri="{FF2B5EF4-FFF2-40B4-BE49-F238E27FC236}">
              <a16:creationId xmlns:a16="http://schemas.microsoft.com/office/drawing/2014/main" id="{00000000-0008-0000-1300-00007C050000}"/>
            </a:ext>
          </a:extLst>
        </xdr:cNvPr>
        <xdr:cNvCxnSpPr/>
      </xdr:nvCxnSpPr>
      <xdr:spPr>
        <a:xfrm>
          <a:off x="10572750" y="1516909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1687</xdr:row>
      <xdr:rowOff>52917</xdr:rowOff>
    </xdr:from>
    <xdr:to>
      <xdr:col>15</xdr:col>
      <xdr:colOff>603250</xdr:colOff>
      <xdr:row>1689</xdr:row>
      <xdr:rowOff>148167</xdr:rowOff>
    </xdr:to>
    <xdr:cxnSp macro="">
      <xdr:nvCxnSpPr>
        <xdr:cNvPr id="1405" name="Straight Arrow Connector 1404">
          <a:extLst>
            <a:ext uri="{FF2B5EF4-FFF2-40B4-BE49-F238E27FC236}">
              <a16:creationId xmlns:a16="http://schemas.microsoft.com/office/drawing/2014/main" id="{00000000-0008-0000-1300-00007D050000}"/>
            </a:ext>
          </a:extLst>
        </xdr:cNvPr>
        <xdr:cNvCxnSpPr/>
      </xdr:nvCxnSpPr>
      <xdr:spPr>
        <a:xfrm flipV="1">
          <a:off x="10583333" y="1511194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698500</xdr:colOff>
      <xdr:row>1731</xdr:row>
      <xdr:rowOff>95250</xdr:rowOff>
    </xdr:from>
    <xdr:to>
      <xdr:col>8</xdr:col>
      <xdr:colOff>21167</xdr:colOff>
      <xdr:row>1763</xdr:row>
      <xdr:rowOff>148166</xdr:rowOff>
    </xdr:to>
    <xdr:cxnSp macro="">
      <xdr:nvCxnSpPr>
        <xdr:cNvPr id="1406" name="Straight Arrow Connector 1405">
          <a:extLst>
            <a:ext uri="{FF2B5EF4-FFF2-40B4-BE49-F238E27FC236}">
              <a16:creationId xmlns:a16="http://schemas.microsoft.com/office/drawing/2014/main" id="{00000000-0008-0000-1300-00007E050000}"/>
            </a:ext>
          </a:extLst>
        </xdr:cNvPr>
        <xdr:cNvCxnSpPr/>
      </xdr:nvCxnSpPr>
      <xdr:spPr>
        <a:xfrm>
          <a:off x="5080000" y="159734250"/>
          <a:ext cx="719667" cy="6148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1702</xdr:row>
      <xdr:rowOff>137583</xdr:rowOff>
    </xdr:from>
    <xdr:to>
      <xdr:col>9</xdr:col>
      <xdr:colOff>603250</xdr:colOff>
      <xdr:row>1708</xdr:row>
      <xdr:rowOff>21166</xdr:rowOff>
    </xdr:to>
    <xdr:cxnSp macro="">
      <xdr:nvCxnSpPr>
        <xdr:cNvPr id="1407" name="Straight Arrow Connector 1406">
          <a:extLst>
            <a:ext uri="{FF2B5EF4-FFF2-40B4-BE49-F238E27FC236}">
              <a16:creationId xmlns:a16="http://schemas.microsoft.com/office/drawing/2014/main" id="{00000000-0008-0000-1300-00007F050000}"/>
            </a:ext>
          </a:extLst>
        </xdr:cNvPr>
        <xdr:cNvCxnSpPr/>
      </xdr:nvCxnSpPr>
      <xdr:spPr>
        <a:xfrm flipV="1">
          <a:off x="6381750" y="154061583"/>
          <a:ext cx="603250" cy="1026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1711</xdr:row>
      <xdr:rowOff>0</xdr:rowOff>
    </xdr:from>
    <xdr:to>
      <xdr:col>9</xdr:col>
      <xdr:colOff>582083</xdr:colOff>
      <xdr:row>1719</xdr:row>
      <xdr:rowOff>10583</xdr:rowOff>
    </xdr:to>
    <xdr:cxnSp macro="">
      <xdr:nvCxnSpPr>
        <xdr:cNvPr id="1408" name="Straight Arrow Connector 1407">
          <a:extLst>
            <a:ext uri="{FF2B5EF4-FFF2-40B4-BE49-F238E27FC236}">
              <a16:creationId xmlns:a16="http://schemas.microsoft.com/office/drawing/2014/main" id="{00000000-0008-0000-1300-000080050000}"/>
            </a:ext>
          </a:extLst>
        </xdr:cNvPr>
        <xdr:cNvCxnSpPr/>
      </xdr:nvCxnSpPr>
      <xdr:spPr>
        <a:xfrm>
          <a:off x="6413500" y="155638500"/>
          <a:ext cx="550333" cy="1534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21167</xdr:colOff>
      <xdr:row>1716</xdr:row>
      <xdr:rowOff>169333</xdr:rowOff>
    </xdr:from>
    <xdr:to>
      <xdr:col>11</xdr:col>
      <xdr:colOff>603250</xdr:colOff>
      <xdr:row>1719</xdr:row>
      <xdr:rowOff>21167</xdr:rowOff>
    </xdr:to>
    <xdr:cxnSp macro="">
      <xdr:nvCxnSpPr>
        <xdr:cNvPr id="1409" name="Straight Arrow Connector 1408">
          <a:extLst>
            <a:ext uri="{FF2B5EF4-FFF2-40B4-BE49-F238E27FC236}">
              <a16:creationId xmlns:a16="http://schemas.microsoft.com/office/drawing/2014/main" id="{00000000-0008-0000-1300-000081050000}"/>
            </a:ext>
          </a:extLst>
        </xdr:cNvPr>
        <xdr:cNvCxnSpPr/>
      </xdr:nvCxnSpPr>
      <xdr:spPr>
        <a:xfrm flipV="1">
          <a:off x="7609417" y="156760333"/>
          <a:ext cx="582083" cy="423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1722</xdr:row>
      <xdr:rowOff>42333</xdr:rowOff>
    </xdr:from>
    <xdr:to>
      <xdr:col>11</xdr:col>
      <xdr:colOff>603250</xdr:colOff>
      <xdr:row>1734</xdr:row>
      <xdr:rowOff>10583</xdr:rowOff>
    </xdr:to>
    <xdr:cxnSp macro="">
      <xdr:nvCxnSpPr>
        <xdr:cNvPr id="1410" name="Straight Arrow Connector 1409">
          <a:extLst>
            <a:ext uri="{FF2B5EF4-FFF2-40B4-BE49-F238E27FC236}">
              <a16:creationId xmlns:a16="http://schemas.microsoft.com/office/drawing/2014/main" id="{00000000-0008-0000-1300-000082050000}"/>
            </a:ext>
          </a:extLst>
        </xdr:cNvPr>
        <xdr:cNvCxnSpPr/>
      </xdr:nvCxnSpPr>
      <xdr:spPr>
        <a:xfrm>
          <a:off x="7598834" y="1577763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1712</xdr:row>
      <xdr:rowOff>21167</xdr:rowOff>
    </xdr:from>
    <xdr:to>
      <xdr:col>13</xdr:col>
      <xdr:colOff>592667</xdr:colOff>
      <xdr:row>1714</xdr:row>
      <xdr:rowOff>0</xdr:rowOff>
    </xdr:to>
    <xdr:cxnSp macro="">
      <xdr:nvCxnSpPr>
        <xdr:cNvPr id="1411" name="Straight Arrow Connector 1410">
          <a:extLst>
            <a:ext uri="{FF2B5EF4-FFF2-40B4-BE49-F238E27FC236}">
              <a16:creationId xmlns:a16="http://schemas.microsoft.com/office/drawing/2014/main" id="{00000000-0008-0000-1300-000083050000}"/>
            </a:ext>
          </a:extLst>
        </xdr:cNvPr>
        <xdr:cNvCxnSpPr/>
      </xdr:nvCxnSpPr>
      <xdr:spPr>
        <a:xfrm flipV="1">
          <a:off x="8794750" y="1558501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1717</xdr:row>
      <xdr:rowOff>21166</xdr:rowOff>
    </xdr:from>
    <xdr:to>
      <xdr:col>13</xdr:col>
      <xdr:colOff>592667</xdr:colOff>
      <xdr:row>1718</xdr:row>
      <xdr:rowOff>169334</xdr:rowOff>
    </xdr:to>
    <xdr:cxnSp macro="">
      <xdr:nvCxnSpPr>
        <xdr:cNvPr id="1412" name="Straight Arrow Connector 1411">
          <a:extLst>
            <a:ext uri="{FF2B5EF4-FFF2-40B4-BE49-F238E27FC236}">
              <a16:creationId xmlns:a16="http://schemas.microsoft.com/office/drawing/2014/main" id="{00000000-0008-0000-1300-000084050000}"/>
            </a:ext>
          </a:extLst>
        </xdr:cNvPr>
        <xdr:cNvCxnSpPr/>
      </xdr:nvCxnSpPr>
      <xdr:spPr>
        <a:xfrm>
          <a:off x="8784166" y="1568026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1732</xdr:row>
      <xdr:rowOff>21167</xdr:rowOff>
    </xdr:from>
    <xdr:to>
      <xdr:col>13</xdr:col>
      <xdr:colOff>592667</xdr:colOff>
      <xdr:row>1734</xdr:row>
      <xdr:rowOff>63500</xdr:rowOff>
    </xdr:to>
    <xdr:cxnSp macro="">
      <xdr:nvCxnSpPr>
        <xdr:cNvPr id="1413" name="Straight Arrow Connector 1412">
          <a:extLst>
            <a:ext uri="{FF2B5EF4-FFF2-40B4-BE49-F238E27FC236}">
              <a16:creationId xmlns:a16="http://schemas.microsoft.com/office/drawing/2014/main" id="{00000000-0008-0000-1300-000085050000}"/>
            </a:ext>
          </a:extLst>
        </xdr:cNvPr>
        <xdr:cNvCxnSpPr/>
      </xdr:nvCxnSpPr>
      <xdr:spPr>
        <a:xfrm flipV="1">
          <a:off x="8794750" y="1598506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1737</xdr:row>
      <xdr:rowOff>0</xdr:rowOff>
    </xdr:from>
    <xdr:to>
      <xdr:col>14</xdr:col>
      <xdr:colOff>10584</xdr:colOff>
      <xdr:row>1745</xdr:row>
      <xdr:rowOff>148167</xdr:rowOff>
    </xdr:to>
    <xdr:cxnSp macro="">
      <xdr:nvCxnSpPr>
        <xdr:cNvPr id="1414" name="Straight Arrow Connector 1413">
          <a:extLst>
            <a:ext uri="{FF2B5EF4-FFF2-40B4-BE49-F238E27FC236}">
              <a16:creationId xmlns:a16="http://schemas.microsoft.com/office/drawing/2014/main" id="{00000000-0008-0000-1300-000086050000}"/>
            </a:ext>
          </a:extLst>
        </xdr:cNvPr>
        <xdr:cNvCxnSpPr/>
      </xdr:nvCxnSpPr>
      <xdr:spPr>
        <a:xfrm>
          <a:off x="8805333" y="1607820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1704</xdr:row>
      <xdr:rowOff>0</xdr:rowOff>
    </xdr:from>
    <xdr:to>
      <xdr:col>15</xdr:col>
      <xdr:colOff>603250</xdr:colOff>
      <xdr:row>1709</xdr:row>
      <xdr:rowOff>31750</xdr:rowOff>
    </xdr:to>
    <xdr:cxnSp macro="">
      <xdr:nvCxnSpPr>
        <xdr:cNvPr id="1415" name="Straight Arrow Connector 1414">
          <a:extLst>
            <a:ext uri="{FF2B5EF4-FFF2-40B4-BE49-F238E27FC236}">
              <a16:creationId xmlns:a16="http://schemas.microsoft.com/office/drawing/2014/main" id="{00000000-0008-0000-1300-000087050000}"/>
            </a:ext>
          </a:extLst>
        </xdr:cNvPr>
        <xdr:cNvCxnSpPr/>
      </xdr:nvCxnSpPr>
      <xdr:spPr>
        <a:xfrm flipV="1">
          <a:off x="10541000" y="154305000"/>
          <a:ext cx="603250" cy="984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1707</xdr:row>
      <xdr:rowOff>52917</xdr:rowOff>
    </xdr:from>
    <xdr:to>
      <xdr:col>15</xdr:col>
      <xdr:colOff>603250</xdr:colOff>
      <xdr:row>1709</xdr:row>
      <xdr:rowOff>95250</xdr:rowOff>
    </xdr:to>
    <xdr:cxnSp macro="">
      <xdr:nvCxnSpPr>
        <xdr:cNvPr id="1416" name="Straight Arrow Connector 1415">
          <a:extLst>
            <a:ext uri="{FF2B5EF4-FFF2-40B4-BE49-F238E27FC236}">
              <a16:creationId xmlns:a16="http://schemas.microsoft.com/office/drawing/2014/main" id="{00000000-0008-0000-1300-000088050000}"/>
            </a:ext>
          </a:extLst>
        </xdr:cNvPr>
        <xdr:cNvCxnSpPr/>
      </xdr:nvCxnSpPr>
      <xdr:spPr>
        <a:xfrm flipV="1">
          <a:off x="10583333" y="154929417"/>
          <a:ext cx="56091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1709</xdr:row>
      <xdr:rowOff>158750</xdr:rowOff>
    </xdr:from>
    <xdr:to>
      <xdr:col>15</xdr:col>
      <xdr:colOff>582083</xdr:colOff>
      <xdr:row>1710</xdr:row>
      <xdr:rowOff>137583</xdr:rowOff>
    </xdr:to>
    <xdr:cxnSp macro="">
      <xdr:nvCxnSpPr>
        <xdr:cNvPr id="1417" name="Straight Arrow Connector 1416">
          <a:extLst>
            <a:ext uri="{FF2B5EF4-FFF2-40B4-BE49-F238E27FC236}">
              <a16:creationId xmlns:a16="http://schemas.microsoft.com/office/drawing/2014/main" id="{00000000-0008-0000-1300-000089050000}"/>
            </a:ext>
          </a:extLst>
        </xdr:cNvPr>
        <xdr:cNvCxnSpPr/>
      </xdr:nvCxnSpPr>
      <xdr:spPr>
        <a:xfrm>
          <a:off x="10604500" y="155416250"/>
          <a:ext cx="518583" cy="169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1121834</xdr:colOff>
      <xdr:row>1709</xdr:row>
      <xdr:rowOff>105834</xdr:rowOff>
    </xdr:from>
    <xdr:to>
      <xdr:col>16</xdr:col>
      <xdr:colOff>0</xdr:colOff>
      <xdr:row>1713</xdr:row>
      <xdr:rowOff>84667</xdr:rowOff>
    </xdr:to>
    <xdr:cxnSp macro="">
      <xdr:nvCxnSpPr>
        <xdr:cNvPr id="1418" name="Straight Arrow Connector 1417">
          <a:extLst>
            <a:ext uri="{FF2B5EF4-FFF2-40B4-BE49-F238E27FC236}">
              <a16:creationId xmlns:a16="http://schemas.microsoft.com/office/drawing/2014/main" id="{00000000-0008-0000-1300-00008A050000}"/>
            </a:ext>
          </a:extLst>
        </xdr:cNvPr>
        <xdr:cNvCxnSpPr/>
      </xdr:nvCxnSpPr>
      <xdr:spPr>
        <a:xfrm>
          <a:off x="10519834" y="155363334"/>
          <a:ext cx="624416"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1717</xdr:row>
      <xdr:rowOff>52916</xdr:rowOff>
    </xdr:from>
    <xdr:to>
      <xdr:col>16</xdr:col>
      <xdr:colOff>0</xdr:colOff>
      <xdr:row>1719</xdr:row>
      <xdr:rowOff>0</xdr:rowOff>
    </xdr:to>
    <xdr:cxnSp macro="">
      <xdr:nvCxnSpPr>
        <xdr:cNvPr id="1419" name="Straight Arrow Connector 1418">
          <a:extLst>
            <a:ext uri="{FF2B5EF4-FFF2-40B4-BE49-F238E27FC236}">
              <a16:creationId xmlns:a16="http://schemas.microsoft.com/office/drawing/2014/main" id="{00000000-0008-0000-1300-00008B050000}"/>
            </a:ext>
          </a:extLst>
        </xdr:cNvPr>
        <xdr:cNvCxnSpPr/>
      </xdr:nvCxnSpPr>
      <xdr:spPr>
        <a:xfrm flipV="1">
          <a:off x="10541000" y="1568344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1719</xdr:row>
      <xdr:rowOff>21167</xdr:rowOff>
    </xdr:from>
    <xdr:to>
      <xdr:col>15</xdr:col>
      <xdr:colOff>582083</xdr:colOff>
      <xdr:row>1720</xdr:row>
      <xdr:rowOff>42333</xdr:rowOff>
    </xdr:to>
    <xdr:cxnSp macro="">
      <xdr:nvCxnSpPr>
        <xdr:cNvPr id="1420" name="Straight Arrow Connector 1419">
          <a:extLst>
            <a:ext uri="{FF2B5EF4-FFF2-40B4-BE49-F238E27FC236}">
              <a16:creationId xmlns:a16="http://schemas.microsoft.com/office/drawing/2014/main" id="{00000000-0008-0000-1300-00008C050000}"/>
            </a:ext>
          </a:extLst>
        </xdr:cNvPr>
        <xdr:cNvCxnSpPr/>
      </xdr:nvCxnSpPr>
      <xdr:spPr>
        <a:xfrm>
          <a:off x="10551583" y="157183667"/>
          <a:ext cx="571500" cy="211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1719</xdr:row>
      <xdr:rowOff>21167</xdr:rowOff>
    </xdr:from>
    <xdr:to>
      <xdr:col>16</xdr:col>
      <xdr:colOff>42333</xdr:colOff>
      <xdr:row>1724</xdr:row>
      <xdr:rowOff>21168</xdr:rowOff>
    </xdr:to>
    <xdr:cxnSp macro="">
      <xdr:nvCxnSpPr>
        <xdr:cNvPr id="1421" name="Straight Arrow Connector 1420">
          <a:extLst>
            <a:ext uri="{FF2B5EF4-FFF2-40B4-BE49-F238E27FC236}">
              <a16:creationId xmlns:a16="http://schemas.microsoft.com/office/drawing/2014/main" id="{00000000-0008-0000-1300-00008D050000}"/>
            </a:ext>
          </a:extLst>
        </xdr:cNvPr>
        <xdr:cNvCxnSpPr/>
      </xdr:nvCxnSpPr>
      <xdr:spPr>
        <a:xfrm>
          <a:off x="10530417" y="157183667"/>
          <a:ext cx="656166" cy="9525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1719</xdr:row>
      <xdr:rowOff>31750</xdr:rowOff>
    </xdr:from>
    <xdr:to>
      <xdr:col>16</xdr:col>
      <xdr:colOff>42334</xdr:colOff>
      <xdr:row>1726</xdr:row>
      <xdr:rowOff>63501</xdr:rowOff>
    </xdr:to>
    <xdr:cxnSp macro="">
      <xdr:nvCxnSpPr>
        <xdr:cNvPr id="1422" name="Straight Arrow Connector 1421">
          <a:extLst>
            <a:ext uri="{FF2B5EF4-FFF2-40B4-BE49-F238E27FC236}">
              <a16:creationId xmlns:a16="http://schemas.microsoft.com/office/drawing/2014/main" id="{00000000-0008-0000-1300-00008E050000}"/>
            </a:ext>
          </a:extLst>
        </xdr:cNvPr>
        <xdr:cNvCxnSpPr/>
      </xdr:nvCxnSpPr>
      <xdr:spPr>
        <a:xfrm>
          <a:off x="10541000" y="157194250"/>
          <a:ext cx="645584"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10583</xdr:colOff>
      <xdr:row>1756</xdr:row>
      <xdr:rowOff>42333</xdr:rowOff>
    </xdr:from>
    <xdr:to>
      <xdr:col>9</xdr:col>
      <xdr:colOff>592666</xdr:colOff>
      <xdr:row>1764</xdr:row>
      <xdr:rowOff>42333</xdr:rowOff>
    </xdr:to>
    <xdr:cxnSp macro="">
      <xdr:nvCxnSpPr>
        <xdr:cNvPr id="1423" name="Straight Arrow Connector 1422">
          <a:extLst>
            <a:ext uri="{FF2B5EF4-FFF2-40B4-BE49-F238E27FC236}">
              <a16:creationId xmlns:a16="http://schemas.microsoft.com/office/drawing/2014/main" id="{00000000-0008-0000-1300-00008F050000}"/>
            </a:ext>
          </a:extLst>
        </xdr:cNvPr>
        <xdr:cNvCxnSpPr/>
      </xdr:nvCxnSpPr>
      <xdr:spPr>
        <a:xfrm flipV="1">
          <a:off x="6392333" y="164443833"/>
          <a:ext cx="582083" cy="152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1766</xdr:row>
      <xdr:rowOff>169334</xdr:rowOff>
    </xdr:from>
    <xdr:to>
      <xdr:col>9</xdr:col>
      <xdr:colOff>603250</xdr:colOff>
      <xdr:row>1775</xdr:row>
      <xdr:rowOff>31750</xdr:rowOff>
    </xdr:to>
    <xdr:cxnSp macro="">
      <xdr:nvCxnSpPr>
        <xdr:cNvPr id="1424" name="Straight Arrow Connector 1423">
          <a:extLst>
            <a:ext uri="{FF2B5EF4-FFF2-40B4-BE49-F238E27FC236}">
              <a16:creationId xmlns:a16="http://schemas.microsoft.com/office/drawing/2014/main" id="{00000000-0008-0000-1300-000090050000}"/>
            </a:ext>
          </a:extLst>
        </xdr:cNvPr>
        <xdr:cNvCxnSpPr/>
      </xdr:nvCxnSpPr>
      <xdr:spPr>
        <a:xfrm>
          <a:off x="6413500" y="166475834"/>
          <a:ext cx="571500" cy="1576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571500</xdr:colOff>
      <xdr:row>1772</xdr:row>
      <xdr:rowOff>158750</xdr:rowOff>
    </xdr:from>
    <xdr:to>
      <xdr:col>11</xdr:col>
      <xdr:colOff>571500</xdr:colOff>
      <xdr:row>1775</xdr:row>
      <xdr:rowOff>0</xdr:rowOff>
    </xdr:to>
    <xdr:cxnSp macro="">
      <xdr:nvCxnSpPr>
        <xdr:cNvPr id="1425" name="Straight Arrow Connector 1424">
          <a:extLst>
            <a:ext uri="{FF2B5EF4-FFF2-40B4-BE49-F238E27FC236}">
              <a16:creationId xmlns:a16="http://schemas.microsoft.com/office/drawing/2014/main" id="{00000000-0008-0000-1300-000091050000}"/>
            </a:ext>
          </a:extLst>
        </xdr:cNvPr>
        <xdr:cNvCxnSpPr/>
      </xdr:nvCxnSpPr>
      <xdr:spPr>
        <a:xfrm flipV="1">
          <a:off x="7556500" y="167608250"/>
          <a:ext cx="603250" cy="412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1730</xdr:row>
      <xdr:rowOff>0</xdr:rowOff>
    </xdr:from>
    <xdr:to>
      <xdr:col>15</xdr:col>
      <xdr:colOff>603250</xdr:colOff>
      <xdr:row>1732</xdr:row>
      <xdr:rowOff>1</xdr:rowOff>
    </xdr:to>
    <xdr:cxnSp macro="">
      <xdr:nvCxnSpPr>
        <xdr:cNvPr id="1426" name="Straight Arrow Connector 1425">
          <a:extLst>
            <a:ext uri="{FF2B5EF4-FFF2-40B4-BE49-F238E27FC236}">
              <a16:creationId xmlns:a16="http://schemas.microsoft.com/office/drawing/2014/main" id="{00000000-0008-0000-1300-000092050000}"/>
            </a:ext>
          </a:extLst>
        </xdr:cNvPr>
        <xdr:cNvCxnSpPr/>
      </xdr:nvCxnSpPr>
      <xdr:spPr>
        <a:xfrm flipV="1">
          <a:off x="10530417" y="1594485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1732</xdr:row>
      <xdr:rowOff>10584</xdr:rowOff>
    </xdr:from>
    <xdr:to>
      <xdr:col>15</xdr:col>
      <xdr:colOff>592666</xdr:colOff>
      <xdr:row>1733</xdr:row>
      <xdr:rowOff>95250</xdr:rowOff>
    </xdr:to>
    <xdr:cxnSp macro="">
      <xdr:nvCxnSpPr>
        <xdr:cNvPr id="1427" name="Straight Arrow Connector 1426">
          <a:extLst>
            <a:ext uri="{FF2B5EF4-FFF2-40B4-BE49-F238E27FC236}">
              <a16:creationId xmlns:a16="http://schemas.microsoft.com/office/drawing/2014/main" id="{00000000-0008-0000-1300-000093050000}"/>
            </a:ext>
          </a:extLst>
        </xdr:cNvPr>
        <xdr:cNvCxnSpPr/>
      </xdr:nvCxnSpPr>
      <xdr:spPr>
        <a:xfrm>
          <a:off x="10572750" y="1598400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1732</xdr:row>
      <xdr:rowOff>10584</xdr:rowOff>
    </xdr:from>
    <xdr:to>
      <xdr:col>15</xdr:col>
      <xdr:colOff>560916</xdr:colOff>
      <xdr:row>1736</xdr:row>
      <xdr:rowOff>52917</xdr:rowOff>
    </xdr:to>
    <xdr:cxnSp macro="">
      <xdr:nvCxnSpPr>
        <xdr:cNvPr id="1428" name="Straight Arrow Connector 1427">
          <a:extLst>
            <a:ext uri="{FF2B5EF4-FFF2-40B4-BE49-F238E27FC236}">
              <a16:creationId xmlns:a16="http://schemas.microsoft.com/office/drawing/2014/main" id="{00000000-0008-0000-1300-000094050000}"/>
            </a:ext>
          </a:extLst>
        </xdr:cNvPr>
        <xdr:cNvCxnSpPr/>
      </xdr:nvCxnSpPr>
      <xdr:spPr>
        <a:xfrm>
          <a:off x="10551583" y="1598400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1429" name="Straight Arrow Connector 1428">
          <a:extLst>
            <a:ext uri="{FF2B5EF4-FFF2-40B4-BE49-F238E27FC236}">
              <a16:creationId xmlns:a16="http://schemas.microsoft.com/office/drawing/2014/main" id="{00000000-0008-0000-1300-000095050000}"/>
            </a:ext>
          </a:extLst>
        </xdr:cNvPr>
        <xdr:cNvCxnSpPr/>
      </xdr:nvCxnSpPr>
      <xdr:spPr>
        <a:xfrm>
          <a:off x="10583333" y="1598612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1746</xdr:row>
      <xdr:rowOff>0</xdr:rowOff>
    </xdr:from>
    <xdr:to>
      <xdr:col>16</xdr:col>
      <xdr:colOff>0</xdr:colOff>
      <xdr:row>1746</xdr:row>
      <xdr:rowOff>42334</xdr:rowOff>
    </xdr:to>
    <xdr:cxnSp macro="">
      <xdr:nvCxnSpPr>
        <xdr:cNvPr id="1430" name="Straight Arrow Connector 1429">
          <a:extLst>
            <a:ext uri="{FF2B5EF4-FFF2-40B4-BE49-F238E27FC236}">
              <a16:creationId xmlns:a16="http://schemas.microsoft.com/office/drawing/2014/main" id="{00000000-0008-0000-1300-000096050000}"/>
            </a:ext>
          </a:extLst>
        </xdr:cNvPr>
        <xdr:cNvCxnSpPr/>
      </xdr:nvCxnSpPr>
      <xdr:spPr>
        <a:xfrm>
          <a:off x="10562166" y="1624965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1746</xdr:row>
      <xdr:rowOff>21166</xdr:rowOff>
    </xdr:from>
    <xdr:to>
      <xdr:col>15</xdr:col>
      <xdr:colOff>560916</xdr:colOff>
      <xdr:row>1749</xdr:row>
      <xdr:rowOff>84667</xdr:rowOff>
    </xdr:to>
    <xdr:cxnSp macro="">
      <xdr:nvCxnSpPr>
        <xdr:cNvPr id="1431" name="Straight Arrow Connector 1430">
          <a:extLst>
            <a:ext uri="{FF2B5EF4-FFF2-40B4-BE49-F238E27FC236}">
              <a16:creationId xmlns:a16="http://schemas.microsoft.com/office/drawing/2014/main" id="{00000000-0008-0000-1300-000097050000}"/>
            </a:ext>
          </a:extLst>
        </xdr:cNvPr>
        <xdr:cNvCxnSpPr/>
      </xdr:nvCxnSpPr>
      <xdr:spPr>
        <a:xfrm>
          <a:off x="10615083" y="1625176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1746</xdr:row>
      <xdr:rowOff>52916</xdr:rowOff>
    </xdr:from>
    <xdr:to>
      <xdr:col>15</xdr:col>
      <xdr:colOff>592666</xdr:colOff>
      <xdr:row>1752</xdr:row>
      <xdr:rowOff>63501</xdr:rowOff>
    </xdr:to>
    <xdr:cxnSp macro="">
      <xdr:nvCxnSpPr>
        <xdr:cNvPr id="1432" name="Straight Arrow Connector 1431">
          <a:extLst>
            <a:ext uri="{FF2B5EF4-FFF2-40B4-BE49-F238E27FC236}">
              <a16:creationId xmlns:a16="http://schemas.microsoft.com/office/drawing/2014/main" id="{00000000-0008-0000-1300-000098050000}"/>
            </a:ext>
          </a:extLst>
        </xdr:cNvPr>
        <xdr:cNvCxnSpPr/>
      </xdr:nvCxnSpPr>
      <xdr:spPr>
        <a:xfrm>
          <a:off x="10572750" y="1625494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1760</xdr:row>
      <xdr:rowOff>116416</xdr:rowOff>
    </xdr:from>
    <xdr:to>
      <xdr:col>15</xdr:col>
      <xdr:colOff>592666</xdr:colOff>
      <xdr:row>1763</xdr:row>
      <xdr:rowOff>158750</xdr:rowOff>
    </xdr:to>
    <xdr:cxnSp macro="">
      <xdr:nvCxnSpPr>
        <xdr:cNvPr id="1433" name="Straight Arrow Connector 1432">
          <a:extLst>
            <a:ext uri="{FF2B5EF4-FFF2-40B4-BE49-F238E27FC236}">
              <a16:creationId xmlns:a16="http://schemas.microsoft.com/office/drawing/2014/main" id="{00000000-0008-0000-1300-000099050000}"/>
            </a:ext>
          </a:extLst>
        </xdr:cNvPr>
        <xdr:cNvCxnSpPr/>
      </xdr:nvCxnSpPr>
      <xdr:spPr>
        <a:xfrm flipV="1">
          <a:off x="10562166" y="165279916"/>
          <a:ext cx="571500" cy="613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1762</xdr:row>
      <xdr:rowOff>95250</xdr:rowOff>
    </xdr:from>
    <xdr:to>
      <xdr:col>15</xdr:col>
      <xdr:colOff>582083</xdr:colOff>
      <xdr:row>1764</xdr:row>
      <xdr:rowOff>52917</xdr:rowOff>
    </xdr:to>
    <xdr:cxnSp macro="">
      <xdr:nvCxnSpPr>
        <xdr:cNvPr id="1434" name="Straight Arrow Connector 1433">
          <a:extLst>
            <a:ext uri="{FF2B5EF4-FFF2-40B4-BE49-F238E27FC236}">
              <a16:creationId xmlns:a16="http://schemas.microsoft.com/office/drawing/2014/main" id="{00000000-0008-0000-1300-00009A050000}"/>
            </a:ext>
          </a:extLst>
        </xdr:cNvPr>
        <xdr:cNvCxnSpPr/>
      </xdr:nvCxnSpPr>
      <xdr:spPr>
        <a:xfrm flipV="1">
          <a:off x="10604500" y="165639750"/>
          <a:ext cx="518583" cy="338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1764</xdr:row>
      <xdr:rowOff>116417</xdr:rowOff>
    </xdr:from>
    <xdr:to>
      <xdr:col>15</xdr:col>
      <xdr:colOff>592666</xdr:colOff>
      <xdr:row>1768</xdr:row>
      <xdr:rowOff>95250</xdr:rowOff>
    </xdr:to>
    <xdr:cxnSp macro="">
      <xdr:nvCxnSpPr>
        <xdr:cNvPr id="1435" name="Straight Arrow Connector 1434">
          <a:extLst>
            <a:ext uri="{FF2B5EF4-FFF2-40B4-BE49-F238E27FC236}">
              <a16:creationId xmlns:a16="http://schemas.microsoft.com/office/drawing/2014/main" id="{00000000-0008-0000-1300-00009B050000}"/>
            </a:ext>
          </a:extLst>
        </xdr:cNvPr>
        <xdr:cNvCxnSpPr/>
      </xdr:nvCxnSpPr>
      <xdr:spPr>
        <a:xfrm>
          <a:off x="10593916" y="166041917"/>
          <a:ext cx="53975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1775</xdr:row>
      <xdr:rowOff>116416</xdr:rowOff>
    </xdr:from>
    <xdr:to>
      <xdr:col>16</xdr:col>
      <xdr:colOff>0</xdr:colOff>
      <xdr:row>1782</xdr:row>
      <xdr:rowOff>74084</xdr:rowOff>
    </xdr:to>
    <xdr:cxnSp macro="">
      <xdr:nvCxnSpPr>
        <xdr:cNvPr id="1436" name="Straight Arrow Connector 1435">
          <a:extLst>
            <a:ext uri="{FF2B5EF4-FFF2-40B4-BE49-F238E27FC236}">
              <a16:creationId xmlns:a16="http://schemas.microsoft.com/office/drawing/2014/main" id="{00000000-0008-0000-1300-00009C050000}"/>
            </a:ext>
          </a:extLst>
        </xdr:cNvPr>
        <xdr:cNvCxnSpPr/>
      </xdr:nvCxnSpPr>
      <xdr:spPr>
        <a:xfrm>
          <a:off x="10572750" y="168137416"/>
          <a:ext cx="571500" cy="12911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1743</xdr:row>
      <xdr:rowOff>52917</xdr:rowOff>
    </xdr:from>
    <xdr:to>
      <xdr:col>15</xdr:col>
      <xdr:colOff>603250</xdr:colOff>
      <xdr:row>1745</xdr:row>
      <xdr:rowOff>148167</xdr:rowOff>
    </xdr:to>
    <xdr:cxnSp macro="">
      <xdr:nvCxnSpPr>
        <xdr:cNvPr id="1437" name="Straight Arrow Connector 1436">
          <a:extLst>
            <a:ext uri="{FF2B5EF4-FFF2-40B4-BE49-F238E27FC236}">
              <a16:creationId xmlns:a16="http://schemas.microsoft.com/office/drawing/2014/main" id="{00000000-0008-0000-1300-00009D050000}"/>
            </a:ext>
          </a:extLst>
        </xdr:cNvPr>
        <xdr:cNvCxnSpPr/>
      </xdr:nvCxnSpPr>
      <xdr:spPr>
        <a:xfrm flipV="1">
          <a:off x="10583333" y="1619779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1778</xdr:row>
      <xdr:rowOff>42333</xdr:rowOff>
    </xdr:from>
    <xdr:to>
      <xdr:col>11</xdr:col>
      <xdr:colOff>603250</xdr:colOff>
      <xdr:row>1790</xdr:row>
      <xdr:rowOff>10583</xdr:rowOff>
    </xdr:to>
    <xdr:cxnSp macro="">
      <xdr:nvCxnSpPr>
        <xdr:cNvPr id="1438" name="Straight Arrow Connector 1437">
          <a:extLst>
            <a:ext uri="{FF2B5EF4-FFF2-40B4-BE49-F238E27FC236}">
              <a16:creationId xmlns:a16="http://schemas.microsoft.com/office/drawing/2014/main" id="{00000000-0008-0000-1300-00009E050000}"/>
            </a:ext>
          </a:extLst>
        </xdr:cNvPr>
        <xdr:cNvCxnSpPr/>
      </xdr:nvCxnSpPr>
      <xdr:spPr>
        <a:xfrm>
          <a:off x="7598834" y="1686348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1768</xdr:row>
      <xdr:rowOff>21167</xdr:rowOff>
    </xdr:from>
    <xdr:to>
      <xdr:col>13</xdr:col>
      <xdr:colOff>592667</xdr:colOff>
      <xdr:row>1770</xdr:row>
      <xdr:rowOff>0</xdr:rowOff>
    </xdr:to>
    <xdr:cxnSp macro="">
      <xdr:nvCxnSpPr>
        <xdr:cNvPr id="1439" name="Straight Arrow Connector 1438">
          <a:extLst>
            <a:ext uri="{FF2B5EF4-FFF2-40B4-BE49-F238E27FC236}">
              <a16:creationId xmlns:a16="http://schemas.microsoft.com/office/drawing/2014/main" id="{00000000-0008-0000-1300-00009F050000}"/>
            </a:ext>
          </a:extLst>
        </xdr:cNvPr>
        <xdr:cNvCxnSpPr/>
      </xdr:nvCxnSpPr>
      <xdr:spPr>
        <a:xfrm flipV="1">
          <a:off x="8794750" y="1667086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1773</xdr:row>
      <xdr:rowOff>21166</xdr:rowOff>
    </xdr:from>
    <xdr:to>
      <xdr:col>13</xdr:col>
      <xdr:colOff>592667</xdr:colOff>
      <xdr:row>1774</xdr:row>
      <xdr:rowOff>169334</xdr:rowOff>
    </xdr:to>
    <xdr:cxnSp macro="">
      <xdr:nvCxnSpPr>
        <xdr:cNvPr id="1440" name="Straight Arrow Connector 1439">
          <a:extLst>
            <a:ext uri="{FF2B5EF4-FFF2-40B4-BE49-F238E27FC236}">
              <a16:creationId xmlns:a16="http://schemas.microsoft.com/office/drawing/2014/main" id="{00000000-0008-0000-1300-0000A0050000}"/>
            </a:ext>
          </a:extLst>
        </xdr:cNvPr>
        <xdr:cNvCxnSpPr/>
      </xdr:nvCxnSpPr>
      <xdr:spPr>
        <a:xfrm>
          <a:off x="8784166" y="1676611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1788</xdr:row>
      <xdr:rowOff>21167</xdr:rowOff>
    </xdr:from>
    <xdr:to>
      <xdr:col>13</xdr:col>
      <xdr:colOff>592667</xdr:colOff>
      <xdr:row>1790</xdr:row>
      <xdr:rowOff>63500</xdr:rowOff>
    </xdr:to>
    <xdr:cxnSp macro="">
      <xdr:nvCxnSpPr>
        <xdr:cNvPr id="1441" name="Straight Arrow Connector 1440">
          <a:extLst>
            <a:ext uri="{FF2B5EF4-FFF2-40B4-BE49-F238E27FC236}">
              <a16:creationId xmlns:a16="http://schemas.microsoft.com/office/drawing/2014/main" id="{00000000-0008-0000-1300-0000A1050000}"/>
            </a:ext>
          </a:extLst>
        </xdr:cNvPr>
        <xdr:cNvCxnSpPr/>
      </xdr:nvCxnSpPr>
      <xdr:spPr>
        <a:xfrm flipV="1">
          <a:off x="8794750" y="1707091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1793</xdr:row>
      <xdr:rowOff>0</xdr:rowOff>
    </xdr:from>
    <xdr:to>
      <xdr:col>14</xdr:col>
      <xdr:colOff>10584</xdr:colOff>
      <xdr:row>1801</xdr:row>
      <xdr:rowOff>148167</xdr:rowOff>
    </xdr:to>
    <xdr:cxnSp macro="">
      <xdr:nvCxnSpPr>
        <xdr:cNvPr id="1442" name="Straight Arrow Connector 1441">
          <a:extLst>
            <a:ext uri="{FF2B5EF4-FFF2-40B4-BE49-F238E27FC236}">
              <a16:creationId xmlns:a16="http://schemas.microsoft.com/office/drawing/2014/main" id="{00000000-0008-0000-1300-0000A2050000}"/>
            </a:ext>
          </a:extLst>
        </xdr:cNvPr>
        <xdr:cNvCxnSpPr/>
      </xdr:nvCxnSpPr>
      <xdr:spPr>
        <a:xfrm>
          <a:off x="8805333" y="1716405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1764</xdr:row>
      <xdr:rowOff>95250</xdr:rowOff>
    </xdr:from>
    <xdr:to>
      <xdr:col>15</xdr:col>
      <xdr:colOff>582083</xdr:colOff>
      <xdr:row>1766</xdr:row>
      <xdr:rowOff>137583</xdr:rowOff>
    </xdr:to>
    <xdr:cxnSp macro="">
      <xdr:nvCxnSpPr>
        <xdr:cNvPr id="1443" name="Straight Arrow Connector 1442">
          <a:extLst>
            <a:ext uri="{FF2B5EF4-FFF2-40B4-BE49-F238E27FC236}">
              <a16:creationId xmlns:a16="http://schemas.microsoft.com/office/drawing/2014/main" id="{00000000-0008-0000-1300-0000A3050000}"/>
            </a:ext>
          </a:extLst>
        </xdr:cNvPr>
        <xdr:cNvCxnSpPr/>
      </xdr:nvCxnSpPr>
      <xdr:spPr>
        <a:xfrm>
          <a:off x="10593916" y="166020750"/>
          <a:ext cx="5291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1773</xdr:row>
      <xdr:rowOff>52916</xdr:rowOff>
    </xdr:from>
    <xdr:to>
      <xdr:col>16</xdr:col>
      <xdr:colOff>0</xdr:colOff>
      <xdr:row>1775</xdr:row>
      <xdr:rowOff>0</xdr:rowOff>
    </xdr:to>
    <xdr:cxnSp macro="">
      <xdr:nvCxnSpPr>
        <xdr:cNvPr id="1444" name="Straight Arrow Connector 1443">
          <a:extLst>
            <a:ext uri="{FF2B5EF4-FFF2-40B4-BE49-F238E27FC236}">
              <a16:creationId xmlns:a16="http://schemas.microsoft.com/office/drawing/2014/main" id="{00000000-0008-0000-1300-0000A4050000}"/>
            </a:ext>
          </a:extLst>
        </xdr:cNvPr>
        <xdr:cNvCxnSpPr/>
      </xdr:nvCxnSpPr>
      <xdr:spPr>
        <a:xfrm flipV="1">
          <a:off x="10541000" y="1676929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1775</xdr:row>
      <xdr:rowOff>21167</xdr:rowOff>
    </xdr:from>
    <xdr:to>
      <xdr:col>15</xdr:col>
      <xdr:colOff>592666</xdr:colOff>
      <xdr:row>1776</xdr:row>
      <xdr:rowOff>84667</xdr:rowOff>
    </xdr:to>
    <xdr:cxnSp macro="">
      <xdr:nvCxnSpPr>
        <xdr:cNvPr id="1445" name="Straight Arrow Connector 1444">
          <a:extLst>
            <a:ext uri="{FF2B5EF4-FFF2-40B4-BE49-F238E27FC236}">
              <a16:creationId xmlns:a16="http://schemas.microsoft.com/office/drawing/2014/main" id="{00000000-0008-0000-1300-0000A5050000}"/>
            </a:ext>
          </a:extLst>
        </xdr:cNvPr>
        <xdr:cNvCxnSpPr/>
      </xdr:nvCxnSpPr>
      <xdr:spPr>
        <a:xfrm>
          <a:off x="10530417" y="168042167"/>
          <a:ext cx="603249" cy="25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1775</xdr:row>
      <xdr:rowOff>0</xdr:rowOff>
    </xdr:from>
    <xdr:to>
      <xdr:col>16</xdr:col>
      <xdr:colOff>0</xdr:colOff>
      <xdr:row>1779</xdr:row>
      <xdr:rowOff>42334</xdr:rowOff>
    </xdr:to>
    <xdr:cxnSp macro="">
      <xdr:nvCxnSpPr>
        <xdr:cNvPr id="1446" name="Straight Arrow Connector 1445">
          <a:extLst>
            <a:ext uri="{FF2B5EF4-FFF2-40B4-BE49-F238E27FC236}">
              <a16:creationId xmlns:a16="http://schemas.microsoft.com/office/drawing/2014/main" id="{00000000-0008-0000-1300-0000A6050000}"/>
            </a:ext>
          </a:extLst>
        </xdr:cNvPr>
        <xdr:cNvCxnSpPr/>
      </xdr:nvCxnSpPr>
      <xdr:spPr>
        <a:xfrm>
          <a:off x="10530417" y="168021000"/>
          <a:ext cx="613833" cy="804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1786</xdr:row>
      <xdr:rowOff>0</xdr:rowOff>
    </xdr:from>
    <xdr:to>
      <xdr:col>15</xdr:col>
      <xdr:colOff>603250</xdr:colOff>
      <xdr:row>1788</xdr:row>
      <xdr:rowOff>1</xdr:rowOff>
    </xdr:to>
    <xdr:cxnSp macro="">
      <xdr:nvCxnSpPr>
        <xdr:cNvPr id="1447" name="Straight Arrow Connector 1446">
          <a:extLst>
            <a:ext uri="{FF2B5EF4-FFF2-40B4-BE49-F238E27FC236}">
              <a16:creationId xmlns:a16="http://schemas.microsoft.com/office/drawing/2014/main" id="{00000000-0008-0000-1300-0000A7050000}"/>
            </a:ext>
          </a:extLst>
        </xdr:cNvPr>
        <xdr:cNvCxnSpPr/>
      </xdr:nvCxnSpPr>
      <xdr:spPr>
        <a:xfrm flipV="1">
          <a:off x="10530417" y="1703070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1788</xdr:row>
      <xdr:rowOff>10584</xdr:rowOff>
    </xdr:from>
    <xdr:to>
      <xdr:col>15</xdr:col>
      <xdr:colOff>592666</xdr:colOff>
      <xdr:row>1789</xdr:row>
      <xdr:rowOff>95250</xdr:rowOff>
    </xdr:to>
    <xdr:cxnSp macro="">
      <xdr:nvCxnSpPr>
        <xdr:cNvPr id="1448" name="Straight Arrow Connector 1447">
          <a:extLst>
            <a:ext uri="{FF2B5EF4-FFF2-40B4-BE49-F238E27FC236}">
              <a16:creationId xmlns:a16="http://schemas.microsoft.com/office/drawing/2014/main" id="{00000000-0008-0000-1300-0000A8050000}"/>
            </a:ext>
          </a:extLst>
        </xdr:cNvPr>
        <xdr:cNvCxnSpPr/>
      </xdr:nvCxnSpPr>
      <xdr:spPr>
        <a:xfrm>
          <a:off x="10572750" y="1706985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1788</xdr:row>
      <xdr:rowOff>10584</xdr:rowOff>
    </xdr:from>
    <xdr:to>
      <xdr:col>15</xdr:col>
      <xdr:colOff>560916</xdr:colOff>
      <xdr:row>1792</xdr:row>
      <xdr:rowOff>52917</xdr:rowOff>
    </xdr:to>
    <xdr:cxnSp macro="">
      <xdr:nvCxnSpPr>
        <xdr:cNvPr id="1449" name="Straight Arrow Connector 1448">
          <a:extLst>
            <a:ext uri="{FF2B5EF4-FFF2-40B4-BE49-F238E27FC236}">
              <a16:creationId xmlns:a16="http://schemas.microsoft.com/office/drawing/2014/main" id="{00000000-0008-0000-1300-0000A9050000}"/>
            </a:ext>
          </a:extLst>
        </xdr:cNvPr>
        <xdr:cNvCxnSpPr/>
      </xdr:nvCxnSpPr>
      <xdr:spPr>
        <a:xfrm>
          <a:off x="10551583" y="1706985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1450" name="Straight Arrow Connector 1449">
          <a:extLst>
            <a:ext uri="{FF2B5EF4-FFF2-40B4-BE49-F238E27FC236}">
              <a16:creationId xmlns:a16="http://schemas.microsoft.com/office/drawing/2014/main" id="{00000000-0008-0000-1300-0000AA050000}"/>
            </a:ext>
          </a:extLst>
        </xdr:cNvPr>
        <xdr:cNvCxnSpPr/>
      </xdr:nvCxnSpPr>
      <xdr:spPr>
        <a:xfrm>
          <a:off x="10583333" y="1707197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1802</xdr:row>
      <xdr:rowOff>0</xdr:rowOff>
    </xdr:from>
    <xdr:to>
      <xdr:col>16</xdr:col>
      <xdr:colOff>0</xdr:colOff>
      <xdr:row>1802</xdr:row>
      <xdr:rowOff>42334</xdr:rowOff>
    </xdr:to>
    <xdr:cxnSp macro="">
      <xdr:nvCxnSpPr>
        <xdr:cNvPr id="1451" name="Straight Arrow Connector 1450">
          <a:extLst>
            <a:ext uri="{FF2B5EF4-FFF2-40B4-BE49-F238E27FC236}">
              <a16:creationId xmlns:a16="http://schemas.microsoft.com/office/drawing/2014/main" id="{00000000-0008-0000-1300-0000AB050000}"/>
            </a:ext>
          </a:extLst>
        </xdr:cNvPr>
        <xdr:cNvCxnSpPr/>
      </xdr:nvCxnSpPr>
      <xdr:spPr>
        <a:xfrm>
          <a:off x="10562166" y="1733550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1802</xdr:row>
      <xdr:rowOff>21166</xdr:rowOff>
    </xdr:from>
    <xdr:to>
      <xdr:col>15</xdr:col>
      <xdr:colOff>560916</xdr:colOff>
      <xdr:row>1805</xdr:row>
      <xdr:rowOff>84667</xdr:rowOff>
    </xdr:to>
    <xdr:cxnSp macro="">
      <xdr:nvCxnSpPr>
        <xdr:cNvPr id="1452" name="Straight Arrow Connector 1451">
          <a:extLst>
            <a:ext uri="{FF2B5EF4-FFF2-40B4-BE49-F238E27FC236}">
              <a16:creationId xmlns:a16="http://schemas.microsoft.com/office/drawing/2014/main" id="{00000000-0008-0000-1300-0000AC050000}"/>
            </a:ext>
          </a:extLst>
        </xdr:cNvPr>
        <xdr:cNvCxnSpPr/>
      </xdr:nvCxnSpPr>
      <xdr:spPr>
        <a:xfrm>
          <a:off x="10615083" y="1733761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1802</xdr:row>
      <xdr:rowOff>52916</xdr:rowOff>
    </xdr:from>
    <xdr:to>
      <xdr:col>15</xdr:col>
      <xdr:colOff>592666</xdr:colOff>
      <xdr:row>1808</xdr:row>
      <xdr:rowOff>63501</xdr:rowOff>
    </xdr:to>
    <xdr:cxnSp macro="">
      <xdr:nvCxnSpPr>
        <xdr:cNvPr id="1453" name="Straight Arrow Connector 1452">
          <a:extLst>
            <a:ext uri="{FF2B5EF4-FFF2-40B4-BE49-F238E27FC236}">
              <a16:creationId xmlns:a16="http://schemas.microsoft.com/office/drawing/2014/main" id="{00000000-0008-0000-1300-0000AD050000}"/>
            </a:ext>
          </a:extLst>
        </xdr:cNvPr>
        <xdr:cNvCxnSpPr/>
      </xdr:nvCxnSpPr>
      <xdr:spPr>
        <a:xfrm>
          <a:off x="10572750" y="1734079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1799</xdr:row>
      <xdr:rowOff>52917</xdr:rowOff>
    </xdr:from>
    <xdr:to>
      <xdr:col>15</xdr:col>
      <xdr:colOff>603250</xdr:colOff>
      <xdr:row>1801</xdr:row>
      <xdr:rowOff>148167</xdr:rowOff>
    </xdr:to>
    <xdr:cxnSp macro="">
      <xdr:nvCxnSpPr>
        <xdr:cNvPr id="1454" name="Straight Arrow Connector 1453">
          <a:extLst>
            <a:ext uri="{FF2B5EF4-FFF2-40B4-BE49-F238E27FC236}">
              <a16:creationId xmlns:a16="http://schemas.microsoft.com/office/drawing/2014/main" id="{00000000-0008-0000-1300-0000AE050000}"/>
            </a:ext>
          </a:extLst>
        </xdr:cNvPr>
        <xdr:cNvCxnSpPr/>
      </xdr:nvCxnSpPr>
      <xdr:spPr>
        <a:xfrm flipV="1">
          <a:off x="10583333" y="1728364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31750</xdr:colOff>
      <xdr:row>1710</xdr:row>
      <xdr:rowOff>127000</xdr:rowOff>
    </xdr:from>
    <xdr:to>
      <xdr:col>8</xdr:col>
      <xdr:colOff>63500</xdr:colOff>
      <xdr:row>1729</xdr:row>
      <xdr:rowOff>0</xdr:rowOff>
    </xdr:to>
    <xdr:cxnSp macro="">
      <xdr:nvCxnSpPr>
        <xdr:cNvPr id="1455" name="Straight Arrow Connector 1454">
          <a:extLst>
            <a:ext uri="{FF2B5EF4-FFF2-40B4-BE49-F238E27FC236}">
              <a16:creationId xmlns:a16="http://schemas.microsoft.com/office/drawing/2014/main" id="{00000000-0008-0000-1300-0000AF050000}"/>
            </a:ext>
          </a:extLst>
        </xdr:cNvPr>
        <xdr:cNvCxnSpPr/>
      </xdr:nvCxnSpPr>
      <xdr:spPr>
        <a:xfrm flipV="1">
          <a:off x="5207000" y="155575000"/>
          <a:ext cx="635000" cy="3587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603250</xdr:colOff>
      <xdr:row>912</xdr:row>
      <xdr:rowOff>10584</xdr:rowOff>
    </xdr:from>
    <xdr:to>
      <xdr:col>1</xdr:col>
      <xdr:colOff>603250</xdr:colOff>
      <xdr:row>1005</xdr:row>
      <xdr:rowOff>158750</xdr:rowOff>
    </xdr:to>
    <xdr:cxnSp macro="">
      <xdr:nvCxnSpPr>
        <xdr:cNvPr id="1664" name="Straight Arrow Connector 1663">
          <a:extLst>
            <a:ext uri="{FF2B5EF4-FFF2-40B4-BE49-F238E27FC236}">
              <a16:creationId xmlns:a16="http://schemas.microsoft.com/office/drawing/2014/main" id="{00000000-0008-0000-1300-000080060000}"/>
            </a:ext>
          </a:extLst>
        </xdr:cNvPr>
        <xdr:cNvCxnSpPr/>
      </xdr:nvCxnSpPr>
      <xdr:spPr>
        <a:xfrm flipV="1">
          <a:off x="603250" y="88402584"/>
          <a:ext cx="603250" cy="18245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603250</xdr:colOff>
      <xdr:row>1008</xdr:row>
      <xdr:rowOff>169333</xdr:rowOff>
    </xdr:from>
    <xdr:to>
      <xdr:col>1</xdr:col>
      <xdr:colOff>603250</xdr:colOff>
      <xdr:row>1050</xdr:row>
      <xdr:rowOff>148167</xdr:rowOff>
    </xdr:to>
    <xdr:cxnSp macro="">
      <xdr:nvCxnSpPr>
        <xdr:cNvPr id="1665" name="Straight Arrow Connector 1664">
          <a:extLst>
            <a:ext uri="{FF2B5EF4-FFF2-40B4-BE49-F238E27FC236}">
              <a16:creationId xmlns:a16="http://schemas.microsoft.com/office/drawing/2014/main" id="{00000000-0008-0000-1300-000081060000}"/>
            </a:ext>
          </a:extLst>
        </xdr:cNvPr>
        <xdr:cNvCxnSpPr/>
      </xdr:nvCxnSpPr>
      <xdr:spPr>
        <a:xfrm>
          <a:off x="603250" y="107230333"/>
          <a:ext cx="603250" cy="7979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10584</xdr:colOff>
      <xdr:row>984</xdr:row>
      <xdr:rowOff>158750</xdr:rowOff>
    </xdr:from>
    <xdr:to>
      <xdr:col>3</xdr:col>
      <xdr:colOff>603250</xdr:colOff>
      <xdr:row>1051</xdr:row>
      <xdr:rowOff>10583</xdr:rowOff>
    </xdr:to>
    <xdr:cxnSp macro="">
      <xdr:nvCxnSpPr>
        <xdr:cNvPr id="1666" name="Straight Arrow Connector 1665">
          <a:extLst>
            <a:ext uri="{FF2B5EF4-FFF2-40B4-BE49-F238E27FC236}">
              <a16:creationId xmlns:a16="http://schemas.microsoft.com/office/drawing/2014/main" id="{00000000-0008-0000-1300-000082060000}"/>
            </a:ext>
          </a:extLst>
        </xdr:cNvPr>
        <xdr:cNvCxnSpPr/>
      </xdr:nvCxnSpPr>
      <xdr:spPr>
        <a:xfrm flipV="1">
          <a:off x="2296584" y="102457250"/>
          <a:ext cx="592666" cy="12805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21167</xdr:colOff>
      <xdr:row>1053</xdr:row>
      <xdr:rowOff>10583</xdr:rowOff>
    </xdr:from>
    <xdr:to>
      <xdr:col>4</xdr:col>
      <xdr:colOff>63500</xdr:colOff>
      <xdr:row>1204</xdr:row>
      <xdr:rowOff>158750</xdr:rowOff>
    </xdr:to>
    <xdr:cxnSp macro="">
      <xdr:nvCxnSpPr>
        <xdr:cNvPr id="1667" name="Straight Arrow Connector 1666">
          <a:extLst>
            <a:ext uri="{FF2B5EF4-FFF2-40B4-BE49-F238E27FC236}">
              <a16:creationId xmlns:a16="http://schemas.microsoft.com/office/drawing/2014/main" id="{00000000-0008-0000-1300-000083060000}"/>
            </a:ext>
          </a:extLst>
        </xdr:cNvPr>
        <xdr:cNvCxnSpPr/>
      </xdr:nvCxnSpPr>
      <xdr:spPr>
        <a:xfrm>
          <a:off x="2307167" y="115834583"/>
          <a:ext cx="645583" cy="29294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825500</xdr:colOff>
      <xdr:row>947</xdr:row>
      <xdr:rowOff>1</xdr:rowOff>
    </xdr:from>
    <xdr:to>
      <xdr:col>6</xdr:col>
      <xdr:colOff>0</xdr:colOff>
      <xdr:row>981</xdr:row>
      <xdr:rowOff>116417</xdr:rowOff>
    </xdr:to>
    <xdr:cxnSp macro="">
      <xdr:nvCxnSpPr>
        <xdr:cNvPr id="1668" name="Straight Arrow Connector 1667">
          <a:extLst>
            <a:ext uri="{FF2B5EF4-FFF2-40B4-BE49-F238E27FC236}">
              <a16:creationId xmlns:a16="http://schemas.microsoft.com/office/drawing/2014/main" id="{00000000-0008-0000-1300-000084060000}"/>
            </a:ext>
          </a:extLst>
        </xdr:cNvPr>
        <xdr:cNvCxnSpPr/>
      </xdr:nvCxnSpPr>
      <xdr:spPr>
        <a:xfrm flipV="1">
          <a:off x="3714750" y="95250001"/>
          <a:ext cx="666750" cy="65934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21167</xdr:colOff>
      <xdr:row>984</xdr:row>
      <xdr:rowOff>169334</xdr:rowOff>
    </xdr:from>
    <xdr:to>
      <xdr:col>5</xdr:col>
      <xdr:colOff>571500</xdr:colOff>
      <xdr:row>1053</xdr:row>
      <xdr:rowOff>0</xdr:rowOff>
    </xdr:to>
    <xdr:cxnSp macro="">
      <xdr:nvCxnSpPr>
        <xdr:cNvPr id="1669" name="Straight Arrow Connector 1668">
          <a:extLst>
            <a:ext uri="{FF2B5EF4-FFF2-40B4-BE49-F238E27FC236}">
              <a16:creationId xmlns:a16="http://schemas.microsoft.com/office/drawing/2014/main" id="{00000000-0008-0000-1300-000085060000}"/>
            </a:ext>
          </a:extLst>
        </xdr:cNvPr>
        <xdr:cNvCxnSpPr/>
      </xdr:nvCxnSpPr>
      <xdr:spPr>
        <a:xfrm>
          <a:off x="3799417" y="102467834"/>
          <a:ext cx="550333" cy="133244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922</xdr:row>
      <xdr:rowOff>148167</xdr:rowOff>
    </xdr:from>
    <xdr:to>
      <xdr:col>7</xdr:col>
      <xdr:colOff>603250</xdr:colOff>
      <xdr:row>944</xdr:row>
      <xdr:rowOff>31750</xdr:rowOff>
    </xdr:to>
    <xdr:cxnSp macro="">
      <xdr:nvCxnSpPr>
        <xdr:cNvPr id="1670" name="Straight Arrow Connector 1669">
          <a:extLst>
            <a:ext uri="{FF2B5EF4-FFF2-40B4-BE49-F238E27FC236}">
              <a16:creationId xmlns:a16="http://schemas.microsoft.com/office/drawing/2014/main" id="{00000000-0008-0000-1300-000086060000}"/>
            </a:ext>
          </a:extLst>
        </xdr:cNvPr>
        <xdr:cNvCxnSpPr/>
      </xdr:nvCxnSpPr>
      <xdr:spPr>
        <a:xfrm flipV="1">
          <a:off x="5175250" y="90445167"/>
          <a:ext cx="603250" cy="42650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947</xdr:row>
      <xdr:rowOff>10584</xdr:rowOff>
    </xdr:from>
    <xdr:to>
      <xdr:col>8</xdr:col>
      <xdr:colOff>21167</xdr:colOff>
      <xdr:row>975</xdr:row>
      <xdr:rowOff>148166</xdr:rowOff>
    </xdr:to>
    <xdr:cxnSp macro="">
      <xdr:nvCxnSpPr>
        <xdr:cNvPr id="1671" name="Straight Arrow Connector 1670">
          <a:extLst>
            <a:ext uri="{FF2B5EF4-FFF2-40B4-BE49-F238E27FC236}">
              <a16:creationId xmlns:a16="http://schemas.microsoft.com/office/drawing/2014/main" id="{00000000-0008-0000-1300-000087060000}"/>
            </a:ext>
          </a:extLst>
        </xdr:cNvPr>
        <xdr:cNvCxnSpPr/>
      </xdr:nvCxnSpPr>
      <xdr:spPr>
        <a:xfrm>
          <a:off x="5175250" y="95260584"/>
          <a:ext cx="624417" cy="547158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914</xdr:row>
      <xdr:rowOff>137583</xdr:rowOff>
    </xdr:from>
    <xdr:to>
      <xdr:col>9</xdr:col>
      <xdr:colOff>603250</xdr:colOff>
      <xdr:row>920</xdr:row>
      <xdr:rowOff>21166</xdr:rowOff>
    </xdr:to>
    <xdr:cxnSp macro="">
      <xdr:nvCxnSpPr>
        <xdr:cNvPr id="1672" name="Straight Arrow Connector 1671">
          <a:extLst>
            <a:ext uri="{FF2B5EF4-FFF2-40B4-BE49-F238E27FC236}">
              <a16:creationId xmlns:a16="http://schemas.microsoft.com/office/drawing/2014/main" id="{00000000-0008-0000-1300-000088060000}"/>
            </a:ext>
          </a:extLst>
        </xdr:cNvPr>
        <xdr:cNvCxnSpPr/>
      </xdr:nvCxnSpPr>
      <xdr:spPr>
        <a:xfrm flipV="1">
          <a:off x="6381750" y="88910583"/>
          <a:ext cx="603250" cy="1026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923</xdr:row>
      <xdr:rowOff>0</xdr:rowOff>
    </xdr:from>
    <xdr:to>
      <xdr:col>9</xdr:col>
      <xdr:colOff>582083</xdr:colOff>
      <xdr:row>931</xdr:row>
      <xdr:rowOff>10583</xdr:rowOff>
    </xdr:to>
    <xdr:cxnSp macro="">
      <xdr:nvCxnSpPr>
        <xdr:cNvPr id="1673" name="Straight Arrow Connector 1672">
          <a:extLst>
            <a:ext uri="{FF2B5EF4-FFF2-40B4-BE49-F238E27FC236}">
              <a16:creationId xmlns:a16="http://schemas.microsoft.com/office/drawing/2014/main" id="{00000000-0008-0000-1300-000089060000}"/>
            </a:ext>
          </a:extLst>
        </xdr:cNvPr>
        <xdr:cNvCxnSpPr/>
      </xdr:nvCxnSpPr>
      <xdr:spPr>
        <a:xfrm>
          <a:off x="6413500" y="90487500"/>
          <a:ext cx="550333" cy="1534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21167</xdr:colOff>
      <xdr:row>928</xdr:row>
      <xdr:rowOff>169333</xdr:rowOff>
    </xdr:from>
    <xdr:to>
      <xdr:col>11</xdr:col>
      <xdr:colOff>603250</xdr:colOff>
      <xdr:row>931</xdr:row>
      <xdr:rowOff>21167</xdr:rowOff>
    </xdr:to>
    <xdr:cxnSp macro="">
      <xdr:nvCxnSpPr>
        <xdr:cNvPr id="1674" name="Straight Arrow Connector 1673">
          <a:extLst>
            <a:ext uri="{FF2B5EF4-FFF2-40B4-BE49-F238E27FC236}">
              <a16:creationId xmlns:a16="http://schemas.microsoft.com/office/drawing/2014/main" id="{00000000-0008-0000-1300-00008A060000}"/>
            </a:ext>
          </a:extLst>
        </xdr:cNvPr>
        <xdr:cNvCxnSpPr/>
      </xdr:nvCxnSpPr>
      <xdr:spPr>
        <a:xfrm flipV="1">
          <a:off x="7609417" y="91609333"/>
          <a:ext cx="582083" cy="423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934</xdr:row>
      <xdr:rowOff>42333</xdr:rowOff>
    </xdr:from>
    <xdr:to>
      <xdr:col>11</xdr:col>
      <xdr:colOff>603250</xdr:colOff>
      <xdr:row>946</xdr:row>
      <xdr:rowOff>10583</xdr:rowOff>
    </xdr:to>
    <xdr:cxnSp macro="">
      <xdr:nvCxnSpPr>
        <xdr:cNvPr id="1675" name="Straight Arrow Connector 1674">
          <a:extLst>
            <a:ext uri="{FF2B5EF4-FFF2-40B4-BE49-F238E27FC236}">
              <a16:creationId xmlns:a16="http://schemas.microsoft.com/office/drawing/2014/main" id="{00000000-0008-0000-1300-00008B060000}"/>
            </a:ext>
          </a:extLst>
        </xdr:cNvPr>
        <xdr:cNvCxnSpPr/>
      </xdr:nvCxnSpPr>
      <xdr:spPr>
        <a:xfrm>
          <a:off x="7598834" y="926253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924</xdr:row>
      <xdr:rowOff>21167</xdr:rowOff>
    </xdr:from>
    <xdr:to>
      <xdr:col>13</xdr:col>
      <xdr:colOff>592667</xdr:colOff>
      <xdr:row>926</xdr:row>
      <xdr:rowOff>0</xdr:rowOff>
    </xdr:to>
    <xdr:cxnSp macro="">
      <xdr:nvCxnSpPr>
        <xdr:cNvPr id="1676" name="Straight Arrow Connector 1675">
          <a:extLst>
            <a:ext uri="{FF2B5EF4-FFF2-40B4-BE49-F238E27FC236}">
              <a16:creationId xmlns:a16="http://schemas.microsoft.com/office/drawing/2014/main" id="{00000000-0008-0000-1300-00008C060000}"/>
            </a:ext>
          </a:extLst>
        </xdr:cNvPr>
        <xdr:cNvCxnSpPr/>
      </xdr:nvCxnSpPr>
      <xdr:spPr>
        <a:xfrm flipV="1">
          <a:off x="8794750" y="906991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929</xdr:row>
      <xdr:rowOff>21166</xdr:rowOff>
    </xdr:from>
    <xdr:to>
      <xdr:col>13</xdr:col>
      <xdr:colOff>592667</xdr:colOff>
      <xdr:row>930</xdr:row>
      <xdr:rowOff>169334</xdr:rowOff>
    </xdr:to>
    <xdr:cxnSp macro="">
      <xdr:nvCxnSpPr>
        <xdr:cNvPr id="1677" name="Straight Arrow Connector 1676">
          <a:extLst>
            <a:ext uri="{FF2B5EF4-FFF2-40B4-BE49-F238E27FC236}">
              <a16:creationId xmlns:a16="http://schemas.microsoft.com/office/drawing/2014/main" id="{00000000-0008-0000-1300-00008D060000}"/>
            </a:ext>
          </a:extLst>
        </xdr:cNvPr>
        <xdr:cNvCxnSpPr/>
      </xdr:nvCxnSpPr>
      <xdr:spPr>
        <a:xfrm>
          <a:off x="8784166" y="916516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944</xdr:row>
      <xdr:rowOff>21167</xdr:rowOff>
    </xdr:from>
    <xdr:to>
      <xdr:col>13</xdr:col>
      <xdr:colOff>592667</xdr:colOff>
      <xdr:row>946</xdr:row>
      <xdr:rowOff>63500</xdr:rowOff>
    </xdr:to>
    <xdr:cxnSp macro="">
      <xdr:nvCxnSpPr>
        <xdr:cNvPr id="1678" name="Straight Arrow Connector 1677">
          <a:extLst>
            <a:ext uri="{FF2B5EF4-FFF2-40B4-BE49-F238E27FC236}">
              <a16:creationId xmlns:a16="http://schemas.microsoft.com/office/drawing/2014/main" id="{00000000-0008-0000-1300-00008E060000}"/>
            </a:ext>
          </a:extLst>
        </xdr:cNvPr>
        <xdr:cNvCxnSpPr/>
      </xdr:nvCxnSpPr>
      <xdr:spPr>
        <a:xfrm flipV="1">
          <a:off x="8794750" y="946996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949</xdr:row>
      <xdr:rowOff>0</xdr:rowOff>
    </xdr:from>
    <xdr:to>
      <xdr:col>14</xdr:col>
      <xdr:colOff>10584</xdr:colOff>
      <xdr:row>957</xdr:row>
      <xdr:rowOff>148167</xdr:rowOff>
    </xdr:to>
    <xdr:cxnSp macro="">
      <xdr:nvCxnSpPr>
        <xdr:cNvPr id="1679" name="Straight Arrow Connector 1678">
          <a:extLst>
            <a:ext uri="{FF2B5EF4-FFF2-40B4-BE49-F238E27FC236}">
              <a16:creationId xmlns:a16="http://schemas.microsoft.com/office/drawing/2014/main" id="{00000000-0008-0000-1300-00008F060000}"/>
            </a:ext>
          </a:extLst>
        </xdr:cNvPr>
        <xdr:cNvCxnSpPr/>
      </xdr:nvCxnSpPr>
      <xdr:spPr>
        <a:xfrm>
          <a:off x="8805333" y="956310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916</xdr:row>
      <xdr:rowOff>0</xdr:rowOff>
    </xdr:from>
    <xdr:to>
      <xdr:col>15</xdr:col>
      <xdr:colOff>603250</xdr:colOff>
      <xdr:row>921</xdr:row>
      <xdr:rowOff>31750</xdr:rowOff>
    </xdr:to>
    <xdr:cxnSp macro="">
      <xdr:nvCxnSpPr>
        <xdr:cNvPr id="1680" name="Straight Arrow Connector 1679">
          <a:extLst>
            <a:ext uri="{FF2B5EF4-FFF2-40B4-BE49-F238E27FC236}">
              <a16:creationId xmlns:a16="http://schemas.microsoft.com/office/drawing/2014/main" id="{00000000-0008-0000-1300-000090060000}"/>
            </a:ext>
          </a:extLst>
        </xdr:cNvPr>
        <xdr:cNvCxnSpPr/>
      </xdr:nvCxnSpPr>
      <xdr:spPr>
        <a:xfrm flipV="1">
          <a:off x="10541000" y="89154000"/>
          <a:ext cx="603250" cy="984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919</xdr:row>
      <xdr:rowOff>52917</xdr:rowOff>
    </xdr:from>
    <xdr:to>
      <xdr:col>15</xdr:col>
      <xdr:colOff>603250</xdr:colOff>
      <xdr:row>921</xdr:row>
      <xdr:rowOff>95250</xdr:rowOff>
    </xdr:to>
    <xdr:cxnSp macro="">
      <xdr:nvCxnSpPr>
        <xdr:cNvPr id="1681" name="Straight Arrow Connector 1680">
          <a:extLst>
            <a:ext uri="{FF2B5EF4-FFF2-40B4-BE49-F238E27FC236}">
              <a16:creationId xmlns:a16="http://schemas.microsoft.com/office/drawing/2014/main" id="{00000000-0008-0000-1300-000091060000}"/>
            </a:ext>
          </a:extLst>
        </xdr:cNvPr>
        <xdr:cNvCxnSpPr/>
      </xdr:nvCxnSpPr>
      <xdr:spPr>
        <a:xfrm flipV="1">
          <a:off x="10583333" y="89778417"/>
          <a:ext cx="56091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921</xdr:row>
      <xdr:rowOff>158750</xdr:rowOff>
    </xdr:from>
    <xdr:to>
      <xdr:col>15</xdr:col>
      <xdr:colOff>582083</xdr:colOff>
      <xdr:row>922</xdr:row>
      <xdr:rowOff>137583</xdr:rowOff>
    </xdr:to>
    <xdr:cxnSp macro="">
      <xdr:nvCxnSpPr>
        <xdr:cNvPr id="1682" name="Straight Arrow Connector 1681">
          <a:extLst>
            <a:ext uri="{FF2B5EF4-FFF2-40B4-BE49-F238E27FC236}">
              <a16:creationId xmlns:a16="http://schemas.microsoft.com/office/drawing/2014/main" id="{00000000-0008-0000-1300-000092060000}"/>
            </a:ext>
          </a:extLst>
        </xdr:cNvPr>
        <xdr:cNvCxnSpPr/>
      </xdr:nvCxnSpPr>
      <xdr:spPr>
        <a:xfrm>
          <a:off x="10604500" y="90265250"/>
          <a:ext cx="518583" cy="169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1121834</xdr:colOff>
      <xdr:row>921</xdr:row>
      <xdr:rowOff>105834</xdr:rowOff>
    </xdr:from>
    <xdr:to>
      <xdr:col>16</xdr:col>
      <xdr:colOff>0</xdr:colOff>
      <xdr:row>925</xdr:row>
      <xdr:rowOff>84667</xdr:rowOff>
    </xdr:to>
    <xdr:cxnSp macro="">
      <xdr:nvCxnSpPr>
        <xdr:cNvPr id="1683" name="Straight Arrow Connector 1682">
          <a:extLst>
            <a:ext uri="{FF2B5EF4-FFF2-40B4-BE49-F238E27FC236}">
              <a16:creationId xmlns:a16="http://schemas.microsoft.com/office/drawing/2014/main" id="{00000000-0008-0000-1300-000093060000}"/>
            </a:ext>
          </a:extLst>
        </xdr:cNvPr>
        <xdr:cNvCxnSpPr/>
      </xdr:nvCxnSpPr>
      <xdr:spPr>
        <a:xfrm>
          <a:off x="10519834" y="90212334"/>
          <a:ext cx="624416"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929</xdr:row>
      <xdr:rowOff>52916</xdr:rowOff>
    </xdr:from>
    <xdr:to>
      <xdr:col>16</xdr:col>
      <xdr:colOff>0</xdr:colOff>
      <xdr:row>931</xdr:row>
      <xdr:rowOff>0</xdr:rowOff>
    </xdr:to>
    <xdr:cxnSp macro="">
      <xdr:nvCxnSpPr>
        <xdr:cNvPr id="1684" name="Straight Arrow Connector 1683">
          <a:extLst>
            <a:ext uri="{FF2B5EF4-FFF2-40B4-BE49-F238E27FC236}">
              <a16:creationId xmlns:a16="http://schemas.microsoft.com/office/drawing/2014/main" id="{00000000-0008-0000-1300-000094060000}"/>
            </a:ext>
          </a:extLst>
        </xdr:cNvPr>
        <xdr:cNvCxnSpPr/>
      </xdr:nvCxnSpPr>
      <xdr:spPr>
        <a:xfrm flipV="1">
          <a:off x="10541000" y="916834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931</xdr:row>
      <xdr:rowOff>21167</xdr:rowOff>
    </xdr:from>
    <xdr:to>
      <xdr:col>15</xdr:col>
      <xdr:colOff>582083</xdr:colOff>
      <xdr:row>932</xdr:row>
      <xdr:rowOff>42333</xdr:rowOff>
    </xdr:to>
    <xdr:cxnSp macro="">
      <xdr:nvCxnSpPr>
        <xdr:cNvPr id="1685" name="Straight Arrow Connector 1684">
          <a:extLst>
            <a:ext uri="{FF2B5EF4-FFF2-40B4-BE49-F238E27FC236}">
              <a16:creationId xmlns:a16="http://schemas.microsoft.com/office/drawing/2014/main" id="{00000000-0008-0000-1300-000095060000}"/>
            </a:ext>
          </a:extLst>
        </xdr:cNvPr>
        <xdr:cNvCxnSpPr/>
      </xdr:nvCxnSpPr>
      <xdr:spPr>
        <a:xfrm>
          <a:off x="10551583" y="92032667"/>
          <a:ext cx="571500" cy="211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931</xdr:row>
      <xdr:rowOff>21167</xdr:rowOff>
    </xdr:from>
    <xdr:to>
      <xdr:col>16</xdr:col>
      <xdr:colOff>42333</xdr:colOff>
      <xdr:row>936</xdr:row>
      <xdr:rowOff>21168</xdr:rowOff>
    </xdr:to>
    <xdr:cxnSp macro="">
      <xdr:nvCxnSpPr>
        <xdr:cNvPr id="1686" name="Straight Arrow Connector 1685">
          <a:extLst>
            <a:ext uri="{FF2B5EF4-FFF2-40B4-BE49-F238E27FC236}">
              <a16:creationId xmlns:a16="http://schemas.microsoft.com/office/drawing/2014/main" id="{00000000-0008-0000-1300-000096060000}"/>
            </a:ext>
          </a:extLst>
        </xdr:cNvPr>
        <xdr:cNvCxnSpPr/>
      </xdr:nvCxnSpPr>
      <xdr:spPr>
        <a:xfrm>
          <a:off x="10530417" y="92032667"/>
          <a:ext cx="656166" cy="9525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931</xdr:row>
      <xdr:rowOff>31750</xdr:rowOff>
    </xdr:from>
    <xdr:to>
      <xdr:col>16</xdr:col>
      <xdr:colOff>42334</xdr:colOff>
      <xdr:row>938</xdr:row>
      <xdr:rowOff>63501</xdr:rowOff>
    </xdr:to>
    <xdr:cxnSp macro="">
      <xdr:nvCxnSpPr>
        <xdr:cNvPr id="1687" name="Straight Arrow Connector 1686">
          <a:extLst>
            <a:ext uri="{FF2B5EF4-FFF2-40B4-BE49-F238E27FC236}">
              <a16:creationId xmlns:a16="http://schemas.microsoft.com/office/drawing/2014/main" id="{00000000-0008-0000-1300-000097060000}"/>
            </a:ext>
          </a:extLst>
        </xdr:cNvPr>
        <xdr:cNvCxnSpPr/>
      </xdr:nvCxnSpPr>
      <xdr:spPr>
        <a:xfrm>
          <a:off x="10541000" y="92043250"/>
          <a:ext cx="645584"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10583</xdr:colOff>
      <xdr:row>968</xdr:row>
      <xdr:rowOff>42333</xdr:rowOff>
    </xdr:from>
    <xdr:to>
      <xdr:col>9</xdr:col>
      <xdr:colOff>592666</xdr:colOff>
      <xdr:row>976</xdr:row>
      <xdr:rowOff>42333</xdr:rowOff>
    </xdr:to>
    <xdr:cxnSp macro="">
      <xdr:nvCxnSpPr>
        <xdr:cNvPr id="1688" name="Straight Arrow Connector 1687">
          <a:extLst>
            <a:ext uri="{FF2B5EF4-FFF2-40B4-BE49-F238E27FC236}">
              <a16:creationId xmlns:a16="http://schemas.microsoft.com/office/drawing/2014/main" id="{00000000-0008-0000-1300-000098060000}"/>
            </a:ext>
          </a:extLst>
        </xdr:cNvPr>
        <xdr:cNvCxnSpPr/>
      </xdr:nvCxnSpPr>
      <xdr:spPr>
        <a:xfrm flipV="1">
          <a:off x="6392333" y="99292833"/>
          <a:ext cx="582083" cy="152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978</xdr:row>
      <xdr:rowOff>169334</xdr:rowOff>
    </xdr:from>
    <xdr:to>
      <xdr:col>9</xdr:col>
      <xdr:colOff>603250</xdr:colOff>
      <xdr:row>987</xdr:row>
      <xdr:rowOff>31750</xdr:rowOff>
    </xdr:to>
    <xdr:cxnSp macro="">
      <xdr:nvCxnSpPr>
        <xdr:cNvPr id="1689" name="Straight Arrow Connector 1688">
          <a:extLst>
            <a:ext uri="{FF2B5EF4-FFF2-40B4-BE49-F238E27FC236}">
              <a16:creationId xmlns:a16="http://schemas.microsoft.com/office/drawing/2014/main" id="{00000000-0008-0000-1300-000099060000}"/>
            </a:ext>
          </a:extLst>
        </xdr:cNvPr>
        <xdr:cNvCxnSpPr/>
      </xdr:nvCxnSpPr>
      <xdr:spPr>
        <a:xfrm>
          <a:off x="6413500" y="101324834"/>
          <a:ext cx="571500" cy="1576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571500</xdr:colOff>
      <xdr:row>984</xdr:row>
      <xdr:rowOff>158750</xdr:rowOff>
    </xdr:from>
    <xdr:to>
      <xdr:col>11</xdr:col>
      <xdr:colOff>571500</xdr:colOff>
      <xdr:row>987</xdr:row>
      <xdr:rowOff>0</xdr:rowOff>
    </xdr:to>
    <xdr:cxnSp macro="">
      <xdr:nvCxnSpPr>
        <xdr:cNvPr id="1690" name="Straight Arrow Connector 1689">
          <a:extLst>
            <a:ext uri="{FF2B5EF4-FFF2-40B4-BE49-F238E27FC236}">
              <a16:creationId xmlns:a16="http://schemas.microsoft.com/office/drawing/2014/main" id="{00000000-0008-0000-1300-00009A060000}"/>
            </a:ext>
          </a:extLst>
        </xdr:cNvPr>
        <xdr:cNvCxnSpPr/>
      </xdr:nvCxnSpPr>
      <xdr:spPr>
        <a:xfrm flipV="1">
          <a:off x="7556500" y="102457250"/>
          <a:ext cx="603250" cy="412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942</xdr:row>
      <xdr:rowOff>0</xdr:rowOff>
    </xdr:from>
    <xdr:to>
      <xdr:col>15</xdr:col>
      <xdr:colOff>603250</xdr:colOff>
      <xdr:row>944</xdr:row>
      <xdr:rowOff>1</xdr:rowOff>
    </xdr:to>
    <xdr:cxnSp macro="">
      <xdr:nvCxnSpPr>
        <xdr:cNvPr id="1691" name="Straight Arrow Connector 1690">
          <a:extLst>
            <a:ext uri="{FF2B5EF4-FFF2-40B4-BE49-F238E27FC236}">
              <a16:creationId xmlns:a16="http://schemas.microsoft.com/office/drawing/2014/main" id="{00000000-0008-0000-1300-00009B060000}"/>
            </a:ext>
          </a:extLst>
        </xdr:cNvPr>
        <xdr:cNvCxnSpPr/>
      </xdr:nvCxnSpPr>
      <xdr:spPr>
        <a:xfrm flipV="1">
          <a:off x="10530417" y="942975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944</xdr:row>
      <xdr:rowOff>10584</xdr:rowOff>
    </xdr:from>
    <xdr:to>
      <xdr:col>15</xdr:col>
      <xdr:colOff>592666</xdr:colOff>
      <xdr:row>945</xdr:row>
      <xdr:rowOff>95250</xdr:rowOff>
    </xdr:to>
    <xdr:cxnSp macro="">
      <xdr:nvCxnSpPr>
        <xdr:cNvPr id="1692" name="Straight Arrow Connector 1691">
          <a:extLst>
            <a:ext uri="{FF2B5EF4-FFF2-40B4-BE49-F238E27FC236}">
              <a16:creationId xmlns:a16="http://schemas.microsoft.com/office/drawing/2014/main" id="{00000000-0008-0000-1300-00009C060000}"/>
            </a:ext>
          </a:extLst>
        </xdr:cNvPr>
        <xdr:cNvCxnSpPr/>
      </xdr:nvCxnSpPr>
      <xdr:spPr>
        <a:xfrm>
          <a:off x="10572750" y="946890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944</xdr:row>
      <xdr:rowOff>10584</xdr:rowOff>
    </xdr:from>
    <xdr:to>
      <xdr:col>15</xdr:col>
      <xdr:colOff>560916</xdr:colOff>
      <xdr:row>948</xdr:row>
      <xdr:rowOff>52917</xdr:rowOff>
    </xdr:to>
    <xdr:cxnSp macro="">
      <xdr:nvCxnSpPr>
        <xdr:cNvPr id="1693" name="Straight Arrow Connector 1692">
          <a:extLst>
            <a:ext uri="{FF2B5EF4-FFF2-40B4-BE49-F238E27FC236}">
              <a16:creationId xmlns:a16="http://schemas.microsoft.com/office/drawing/2014/main" id="{00000000-0008-0000-1300-00009D060000}"/>
            </a:ext>
          </a:extLst>
        </xdr:cNvPr>
        <xdr:cNvCxnSpPr/>
      </xdr:nvCxnSpPr>
      <xdr:spPr>
        <a:xfrm>
          <a:off x="10551583" y="946890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944</xdr:row>
      <xdr:rowOff>31750</xdr:rowOff>
    </xdr:from>
    <xdr:to>
      <xdr:col>16</xdr:col>
      <xdr:colOff>21167</xdr:colOff>
      <xdr:row>951</xdr:row>
      <xdr:rowOff>95250</xdr:rowOff>
    </xdr:to>
    <xdr:cxnSp macro="">
      <xdr:nvCxnSpPr>
        <xdr:cNvPr id="1694" name="Straight Arrow Connector 1693">
          <a:extLst>
            <a:ext uri="{FF2B5EF4-FFF2-40B4-BE49-F238E27FC236}">
              <a16:creationId xmlns:a16="http://schemas.microsoft.com/office/drawing/2014/main" id="{00000000-0008-0000-1300-00009E060000}"/>
            </a:ext>
          </a:extLst>
        </xdr:cNvPr>
        <xdr:cNvCxnSpPr/>
      </xdr:nvCxnSpPr>
      <xdr:spPr>
        <a:xfrm>
          <a:off x="10583333" y="947102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958</xdr:row>
      <xdr:rowOff>0</xdr:rowOff>
    </xdr:from>
    <xdr:to>
      <xdr:col>16</xdr:col>
      <xdr:colOff>0</xdr:colOff>
      <xdr:row>958</xdr:row>
      <xdr:rowOff>42334</xdr:rowOff>
    </xdr:to>
    <xdr:cxnSp macro="">
      <xdr:nvCxnSpPr>
        <xdr:cNvPr id="1695" name="Straight Arrow Connector 1694">
          <a:extLst>
            <a:ext uri="{FF2B5EF4-FFF2-40B4-BE49-F238E27FC236}">
              <a16:creationId xmlns:a16="http://schemas.microsoft.com/office/drawing/2014/main" id="{00000000-0008-0000-1300-00009F060000}"/>
            </a:ext>
          </a:extLst>
        </xdr:cNvPr>
        <xdr:cNvCxnSpPr/>
      </xdr:nvCxnSpPr>
      <xdr:spPr>
        <a:xfrm>
          <a:off x="10562166" y="973455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958</xdr:row>
      <xdr:rowOff>21166</xdr:rowOff>
    </xdr:from>
    <xdr:to>
      <xdr:col>15</xdr:col>
      <xdr:colOff>560916</xdr:colOff>
      <xdr:row>961</xdr:row>
      <xdr:rowOff>84667</xdr:rowOff>
    </xdr:to>
    <xdr:cxnSp macro="">
      <xdr:nvCxnSpPr>
        <xdr:cNvPr id="1696" name="Straight Arrow Connector 1695">
          <a:extLst>
            <a:ext uri="{FF2B5EF4-FFF2-40B4-BE49-F238E27FC236}">
              <a16:creationId xmlns:a16="http://schemas.microsoft.com/office/drawing/2014/main" id="{00000000-0008-0000-1300-0000A0060000}"/>
            </a:ext>
          </a:extLst>
        </xdr:cNvPr>
        <xdr:cNvCxnSpPr/>
      </xdr:nvCxnSpPr>
      <xdr:spPr>
        <a:xfrm>
          <a:off x="10615083" y="973666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958</xdr:row>
      <xdr:rowOff>52916</xdr:rowOff>
    </xdr:from>
    <xdr:to>
      <xdr:col>15</xdr:col>
      <xdr:colOff>592666</xdr:colOff>
      <xdr:row>964</xdr:row>
      <xdr:rowOff>63501</xdr:rowOff>
    </xdr:to>
    <xdr:cxnSp macro="">
      <xdr:nvCxnSpPr>
        <xdr:cNvPr id="1697" name="Straight Arrow Connector 1696">
          <a:extLst>
            <a:ext uri="{FF2B5EF4-FFF2-40B4-BE49-F238E27FC236}">
              <a16:creationId xmlns:a16="http://schemas.microsoft.com/office/drawing/2014/main" id="{00000000-0008-0000-1300-0000A1060000}"/>
            </a:ext>
          </a:extLst>
        </xdr:cNvPr>
        <xdr:cNvCxnSpPr/>
      </xdr:nvCxnSpPr>
      <xdr:spPr>
        <a:xfrm>
          <a:off x="10572750" y="973984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972</xdr:row>
      <xdr:rowOff>116416</xdr:rowOff>
    </xdr:from>
    <xdr:to>
      <xdr:col>15</xdr:col>
      <xdr:colOff>592666</xdr:colOff>
      <xdr:row>975</xdr:row>
      <xdr:rowOff>158750</xdr:rowOff>
    </xdr:to>
    <xdr:cxnSp macro="">
      <xdr:nvCxnSpPr>
        <xdr:cNvPr id="1698" name="Straight Arrow Connector 1697">
          <a:extLst>
            <a:ext uri="{FF2B5EF4-FFF2-40B4-BE49-F238E27FC236}">
              <a16:creationId xmlns:a16="http://schemas.microsoft.com/office/drawing/2014/main" id="{00000000-0008-0000-1300-0000A2060000}"/>
            </a:ext>
          </a:extLst>
        </xdr:cNvPr>
        <xdr:cNvCxnSpPr/>
      </xdr:nvCxnSpPr>
      <xdr:spPr>
        <a:xfrm flipV="1">
          <a:off x="10562166" y="100128916"/>
          <a:ext cx="571500" cy="613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974</xdr:row>
      <xdr:rowOff>95250</xdr:rowOff>
    </xdr:from>
    <xdr:to>
      <xdr:col>15</xdr:col>
      <xdr:colOff>582083</xdr:colOff>
      <xdr:row>976</xdr:row>
      <xdr:rowOff>52917</xdr:rowOff>
    </xdr:to>
    <xdr:cxnSp macro="">
      <xdr:nvCxnSpPr>
        <xdr:cNvPr id="1699" name="Straight Arrow Connector 1698">
          <a:extLst>
            <a:ext uri="{FF2B5EF4-FFF2-40B4-BE49-F238E27FC236}">
              <a16:creationId xmlns:a16="http://schemas.microsoft.com/office/drawing/2014/main" id="{00000000-0008-0000-1300-0000A3060000}"/>
            </a:ext>
          </a:extLst>
        </xdr:cNvPr>
        <xdr:cNvCxnSpPr/>
      </xdr:nvCxnSpPr>
      <xdr:spPr>
        <a:xfrm flipV="1">
          <a:off x="10604500" y="100488750"/>
          <a:ext cx="518583" cy="338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976</xdr:row>
      <xdr:rowOff>116417</xdr:rowOff>
    </xdr:from>
    <xdr:to>
      <xdr:col>15</xdr:col>
      <xdr:colOff>592666</xdr:colOff>
      <xdr:row>980</xdr:row>
      <xdr:rowOff>95250</xdr:rowOff>
    </xdr:to>
    <xdr:cxnSp macro="">
      <xdr:nvCxnSpPr>
        <xdr:cNvPr id="1700" name="Straight Arrow Connector 1699">
          <a:extLst>
            <a:ext uri="{FF2B5EF4-FFF2-40B4-BE49-F238E27FC236}">
              <a16:creationId xmlns:a16="http://schemas.microsoft.com/office/drawing/2014/main" id="{00000000-0008-0000-1300-0000A4060000}"/>
            </a:ext>
          </a:extLst>
        </xdr:cNvPr>
        <xdr:cNvCxnSpPr/>
      </xdr:nvCxnSpPr>
      <xdr:spPr>
        <a:xfrm>
          <a:off x="10593916" y="100890917"/>
          <a:ext cx="53975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987</xdr:row>
      <xdr:rowOff>116416</xdr:rowOff>
    </xdr:from>
    <xdr:to>
      <xdr:col>16</xdr:col>
      <xdr:colOff>0</xdr:colOff>
      <xdr:row>994</xdr:row>
      <xdr:rowOff>74084</xdr:rowOff>
    </xdr:to>
    <xdr:cxnSp macro="">
      <xdr:nvCxnSpPr>
        <xdr:cNvPr id="1701" name="Straight Arrow Connector 1700">
          <a:extLst>
            <a:ext uri="{FF2B5EF4-FFF2-40B4-BE49-F238E27FC236}">
              <a16:creationId xmlns:a16="http://schemas.microsoft.com/office/drawing/2014/main" id="{00000000-0008-0000-1300-0000A5060000}"/>
            </a:ext>
          </a:extLst>
        </xdr:cNvPr>
        <xdr:cNvCxnSpPr/>
      </xdr:nvCxnSpPr>
      <xdr:spPr>
        <a:xfrm>
          <a:off x="10572750" y="102986416"/>
          <a:ext cx="571500" cy="12911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955</xdr:row>
      <xdr:rowOff>52917</xdr:rowOff>
    </xdr:from>
    <xdr:to>
      <xdr:col>15</xdr:col>
      <xdr:colOff>603250</xdr:colOff>
      <xdr:row>957</xdr:row>
      <xdr:rowOff>148167</xdr:rowOff>
    </xdr:to>
    <xdr:cxnSp macro="">
      <xdr:nvCxnSpPr>
        <xdr:cNvPr id="1702" name="Straight Arrow Connector 1701">
          <a:extLst>
            <a:ext uri="{FF2B5EF4-FFF2-40B4-BE49-F238E27FC236}">
              <a16:creationId xmlns:a16="http://schemas.microsoft.com/office/drawing/2014/main" id="{00000000-0008-0000-1300-0000A6060000}"/>
            </a:ext>
          </a:extLst>
        </xdr:cNvPr>
        <xdr:cNvCxnSpPr/>
      </xdr:nvCxnSpPr>
      <xdr:spPr>
        <a:xfrm flipV="1">
          <a:off x="10583333" y="968269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990</xdr:row>
      <xdr:rowOff>42333</xdr:rowOff>
    </xdr:from>
    <xdr:to>
      <xdr:col>11</xdr:col>
      <xdr:colOff>603250</xdr:colOff>
      <xdr:row>1002</xdr:row>
      <xdr:rowOff>10583</xdr:rowOff>
    </xdr:to>
    <xdr:cxnSp macro="">
      <xdr:nvCxnSpPr>
        <xdr:cNvPr id="1703" name="Straight Arrow Connector 1702">
          <a:extLst>
            <a:ext uri="{FF2B5EF4-FFF2-40B4-BE49-F238E27FC236}">
              <a16:creationId xmlns:a16="http://schemas.microsoft.com/office/drawing/2014/main" id="{00000000-0008-0000-1300-0000A7060000}"/>
            </a:ext>
          </a:extLst>
        </xdr:cNvPr>
        <xdr:cNvCxnSpPr/>
      </xdr:nvCxnSpPr>
      <xdr:spPr>
        <a:xfrm>
          <a:off x="7598834" y="1034838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980</xdr:row>
      <xdr:rowOff>21167</xdr:rowOff>
    </xdr:from>
    <xdr:to>
      <xdr:col>13</xdr:col>
      <xdr:colOff>592667</xdr:colOff>
      <xdr:row>982</xdr:row>
      <xdr:rowOff>0</xdr:rowOff>
    </xdr:to>
    <xdr:cxnSp macro="">
      <xdr:nvCxnSpPr>
        <xdr:cNvPr id="1704" name="Straight Arrow Connector 1703">
          <a:extLst>
            <a:ext uri="{FF2B5EF4-FFF2-40B4-BE49-F238E27FC236}">
              <a16:creationId xmlns:a16="http://schemas.microsoft.com/office/drawing/2014/main" id="{00000000-0008-0000-1300-0000A8060000}"/>
            </a:ext>
          </a:extLst>
        </xdr:cNvPr>
        <xdr:cNvCxnSpPr/>
      </xdr:nvCxnSpPr>
      <xdr:spPr>
        <a:xfrm flipV="1">
          <a:off x="8794750" y="1015576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985</xdr:row>
      <xdr:rowOff>21166</xdr:rowOff>
    </xdr:from>
    <xdr:to>
      <xdr:col>13</xdr:col>
      <xdr:colOff>592667</xdr:colOff>
      <xdr:row>986</xdr:row>
      <xdr:rowOff>169334</xdr:rowOff>
    </xdr:to>
    <xdr:cxnSp macro="">
      <xdr:nvCxnSpPr>
        <xdr:cNvPr id="1705" name="Straight Arrow Connector 1704">
          <a:extLst>
            <a:ext uri="{FF2B5EF4-FFF2-40B4-BE49-F238E27FC236}">
              <a16:creationId xmlns:a16="http://schemas.microsoft.com/office/drawing/2014/main" id="{00000000-0008-0000-1300-0000A9060000}"/>
            </a:ext>
          </a:extLst>
        </xdr:cNvPr>
        <xdr:cNvCxnSpPr/>
      </xdr:nvCxnSpPr>
      <xdr:spPr>
        <a:xfrm>
          <a:off x="8784166" y="1025101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1000</xdr:row>
      <xdr:rowOff>21167</xdr:rowOff>
    </xdr:from>
    <xdr:to>
      <xdr:col>13</xdr:col>
      <xdr:colOff>592667</xdr:colOff>
      <xdr:row>1002</xdr:row>
      <xdr:rowOff>63500</xdr:rowOff>
    </xdr:to>
    <xdr:cxnSp macro="">
      <xdr:nvCxnSpPr>
        <xdr:cNvPr id="1706" name="Straight Arrow Connector 1705">
          <a:extLst>
            <a:ext uri="{FF2B5EF4-FFF2-40B4-BE49-F238E27FC236}">
              <a16:creationId xmlns:a16="http://schemas.microsoft.com/office/drawing/2014/main" id="{00000000-0008-0000-1300-0000AA060000}"/>
            </a:ext>
          </a:extLst>
        </xdr:cNvPr>
        <xdr:cNvCxnSpPr/>
      </xdr:nvCxnSpPr>
      <xdr:spPr>
        <a:xfrm flipV="1">
          <a:off x="8794750" y="1055581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1005</xdr:row>
      <xdr:rowOff>0</xdr:rowOff>
    </xdr:from>
    <xdr:to>
      <xdr:col>14</xdr:col>
      <xdr:colOff>10584</xdr:colOff>
      <xdr:row>1013</xdr:row>
      <xdr:rowOff>148167</xdr:rowOff>
    </xdr:to>
    <xdr:cxnSp macro="">
      <xdr:nvCxnSpPr>
        <xdr:cNvPr id="1707" name="Straight Arrow Connector 1706">
          <a:extLst>
            <a:ext uri="{FF2B5EF4-FFF2-40B4-BE49-F238E27FC236}">
              <a16:creationId xmlns:a16="http://schemas.microsoft.com/office/drawing/2014/main" id="{00000000-0008-0000-1300-0000AB060000}"/>
            </a:ext>
          </a:extLst>
        </xdr:cNvPr>
        <xdr:cNvCxnSpPr/>
      </xdr:nvCxnSpPr>
      <xdr:spPr>
        <a:xfrm>
          <a:off x="8805333" y="1064895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976</xdr:row>
      <xdr:rowOff>95250</xdr:rowOff>
    </xdr:from>
    <xdr:to>
      <xdr:col>15</xdr:col>
      <xdr:colOff>582083</xdr:colOff>
      <xdr:row>978</xdr:row>
      <xdr:rowOff>137583</xdr:rowOff>
    </xdr:to>
    <xdr:cxnSp macro="">
      <xdr:nvCxnSpPr>
        <xdr:cNvPr id="1708" name="Straight Arrow Connector 1707">
          <a:extLst>
            <a:ext uri="{FF2B5EF4-FFF2-40B4-BE49-F238E27FC236}">
              <a16:creationId xmlns:a16="http://schemas.microsoft.com/office/drawing/2014/main" id="{00000000-0008-0000-1300-0000AC060000}"/>
            </a:ext>
          </a:extLst>
        </xdr:cNvPr>
        <xdr:cNvCxnSpPr/>
      </xdr:nvCxnSpPr>
      <xdr:spPr>
        <a:xfrm>
          <a:off x="10593916" y="100869750"/>
          <a:ext cx="5291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985</xdr:row>
      <xdr:rowOff>52916</xdr:rowOff>
    </xdr:from>
    <xdr:to>
      <xdr:col>16</xdr:col>
      <xdr:colOff>0</xdr:colOff>
      <xdr:row>987</xdr:row>
      <xdr:rowOff>0</xdr:rowOff>
    </xdr:to>
    <xdr:cxnSp macro="">
      <xdr:nvCxnSpPr>
        <xdr:cNvPr id="1709" name="Straight Arrow Connector 1708">
          <a:extLst>
            <a:ext uri="{FF2B5EF4-FFF2-40B4-BE49-F238E27FC236}">
              <a16:creationId xmlns:a16="http://schemas.microsoft.com/office/drawing/2014/main" id="{00000000-0008-0000-1300-0000AD060000}"/>
            </a:ext>
          </a:extLst>
        </xdr:cNvPr>
        <xdr:cNvCxnSpPr/>
      </xdr:nvCxnSpPr>
      <xdr:spPr>
        <a:xfrm flipV="1">
          <a:off x="10541000" y="1025419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987</xdr:row>
      <xdr:rowOff>21167</xdr:rowOff>
    </xdr:from>
    <xdr:to>
      <xdr:col>15</xdr:col>
      <xdr:colOff>592666</xdr:colOff>
      <xdr:row>988</xdr:row>
      <xdr:rowOff>84667</xdr:rowOff>
    </xdr:to>
    <xdr:cxnSp macro="">
      <xdr:nvCxnSpPr>
        <xdr:cNvPr id="1710" name="Straight Arrow Connector 1709">
          <a:extLst>
            <a:ext uri="{FF2B5EF4-FFF2-40B4-BE49-F238E27FC236}">
              <a16:creationId xmlns:a16="http://schemas.microsoft.com/office/drawing/2014/main" id="{00000000-0008-0000-1300-0000AE060000}"/>
            </a:ext>
          </a:extLst>
        </xdr:cNvPr>
        <xdr:cNvCxnSpPr/>
      </xdr:nvCxnSpPr>
      <xdr:spPr>
        <a:xfrm>
          <a:off x="10530417" y="102891167"/>
          <a:ext cx="603249" cy="25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987</xdr:row>
      <xdr:rowOff>0</xdr:rowOff>
    </xdr:from>
    <xdr:to>
      <xdr:col>16</xdr:col>
      <xdr:colOff>0</xdr:colOff>
      <xdr:row>991</xdr:row>
      <xdr:rowOff>42334</xdr:rowOff>
    </xdr:to>
    <xdr:cxnSp macro="">
      <xdr:nvCxnSpPr>
        <xdr:cNvPr id="1711" name="Straight Arrow Connector 1710">
          <a:extLst>
            <a:ext uri="{FF2B5EF4-FFF2-40B4-BE49-F238E27FC236}">
              <a16:creationId xmlns:a16="http://schemas.microsoft.com/office/drawing/2014/main" id="{00000000-0008-0000-1300-0000AF060000}"/>
            </a:ext>
          </a:extLst>
        </xdr:cNvPr>
        <xdr:cNvCxnSpPr/>
      </xdr:nvCxnSpPr>
      <xdr:spPr>
        <a:xfrm>
          <a:off x="10530417" y="102870000"/>
          <a:ext cx="613833" cy="804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1000</xdr:row>
      <xdr:rowOff>10584</xdr:rowOff>
    </xdr:from>
    <xdr:to>
      <xdr:col>15</xdr:col>
      <xdr:colOff>592666</xdr:colOff>
      <xdr:row>1001</xdr:row>
      <xdr:rowOff>95250</xdr:rowOff>
    </xdr:to>
    <xdr:cxnSp macro="">
      <xdr:nvCxnSpPr>
        <xdr:cNvPr id="1713" name="Straight Arrow Connector 1712">
          <a:extLst>
            <a:ext uri="{FF2B5EF4-FFF2-40B4-BE49-F238E27FC236}">
              <a16:creationId xmlns:a16="http://schemas.microsoft.com/office/drawing/2014/main" id="{00000000-0008-0000-1300-0000B1060000}"/>
            </a:ext>
          </a:extLst>
        </xdr:cNvPr>
        <xdr:cNvCxnSpPr/>
      </xdr:nvCxnSpPr>
      <xdr:spPr>
        <a:xfrm>
          <a:off x="10572750" y="1055475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1000</xdr:row>
      <xdr:rowOff>10584</xdr:rowOff>
    </xdr:from>
    <xdr:to>
      <xdr:col>15</xdr:col>
      <xdr:colOff>560916</xdr:colOff>
      <xdr:row>1004</xdr:row>
      <xdr:rowOff>52917</xdr:rowOff>
    </xdr:to>
    <xdr:cxnSp macro="">
      <xdr:nvCxnSpPr>
        <xdr:cNvPr id="1714" name="Straight Arrow Connector 1713">
          <a:extLst>
            <a:ext uri="{FF2B5EF4-FFF2-40B4-BE49-F238E27FC236}">
              <a16:creationId xmlns:a16="http://schemas.microsoft.com/office/drawing/2014/main" id="{00000000-0008-0000-1300-0000B2060000}"/>
            </a:ext>
          </a:extLst>
        </xdr:cNvPr>
        <xdr:cNvCxnSpPr/>
      </xdr:nvCxnSpPr>
      <xdr:spPr>
        <a:xfrm>
          <a:off x="10551583" y="1055475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1000</xdr:row>
      <xdr:rowOff>31750</xdr:rowOff>
    </xdr:from>
    <xdr:to>
      <xdr:col>16</xdr:col>
      <xdr:colOff>21167</xdr:colOff>
      <xdr:row>1007</xdr:row>
      <xdr:rowOff>95250</xdr:rowOff>
    </xdr:to>
    <xdr:cxnSp macro="">
      <xdr:nvCxnSpPr>
        <xdr:cNvPr id="1715" name="Straight Arrow Connector 1714">
          <a:extLst>
            <a:ext uri="{FF2B5EF4-FFF2-40B4-BE49-F238E27FC236}">
              <a16:creationId xmlns:a16="http://schemas.microsoft.com/office/drawing/2014/main" id="{00000000-0008-0000-1300-0000B3060000}"/>
            </a:ext>
          </a:extLst>
        </xdr:cNvPr>
        <xdr:cNvCxnSpPr/>
      </xdr:nvCxnSpPr>
      <xdr:spPr>
        <a:xfrm>
          <a:off x="10583333" y="1055687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1014</xdr:row>
      <xdr:rowOff>0</xdr:rowOff>
    </xdr:from>
    <xdr:to>
      <xdr:col>16</xdr:col>
      <xdr:colOff>0</xdr:colOff>
      <xdr:row>1014</xdr:row>
      <xdr:rowOff>42334</xdr:rowOff>
    </xdr:to>
    <xdr:cxnSp macro="">
      <xdr:nvCxnSpPr>
        <xdr:cNvPr id="1716" name="Straight Arrow Connector 1715">
          <a:extLst>
            <a:ext uri="{FF2B5EF4-FFF2-40B4-BE49-F238E27FC236}">
              <a16:creationId xmlns:a16="http://schemas.microsoft.com/office/drawing/2014/main" id="{00000000-0008-0000-1300-0000B4060000}"/>
            </a:ext>
          </a:extLst>
        </xdr:cNvPr>
        <xdr:cNvCxnSpPr/>
      </xdr:nvCxnSpPr>
      <xdr:spPr>
        <a:xfrm>
          <a:off x="10562166" y="1082040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1014</xdr:row>
      <xdr:rowOff>21166</xdr:rowOff>
    </xdr:from>
    <xdr:to>
      <xdr:col>15</xdr:col>
      <xdr:colOff>560916</xdr:colOff>
      <xdr:row>1017</xdr:row>
      <xdr:rowOff>84667</xdr:rowOff>
    </xdr:to>
    <xdr:cxnSp macro="">
      <xdr:nvCxnSpPr>
        <xdr:cNvPr id="1717" name="Straight Arrow Connector 1716">
          <a:extLst>
            <a:ext uri="{FF2B5EF4-FFF2-40B4-BE49-F238E27FC236}">
              <a16:creationId xmlns:a16="http://schemas.microsoft.com/office/drawing/2014/main" id="{00000000-0008-0000-1300-0000B5060000}"/>
            </a:ext>
          </a:extLst>
        </xdr:cNvPr>
        <xdr:cNvCxnSpPr/>
      </xdr:nvCxnSpPr>
      <xdr:spPr>
        <a:xfrm>
          <a:off x="10615083" y="1082251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1014</xdr:row>
      <xdr:rowOff>52916</xdr:rowOff>
    </xdr:from>
    <xdr:to>
      <xdr:col>15</xdr:col>
      <xdr:colOff>592666</xdr:colOff>
      <xdr:row>1020</xdr:row>
      <xdr:rowOff>63501</xdr:rowOff>
    </xdr:to>
    <xdr:cxnSp macro="">
      <xdr:nvCxnSpPr>
        <xdr:cNvPr id="1718" name="Straight Arrow Connector 1717">
          <a:extLst>
            <a:ext uri="{FF2B5EF4-FFF2-40B4-BE49-F238E27FC236}">
              <a16:creationId xmlns:a16="http://schemas.microsoft.com/office/drawing/2014/main" id="{00000000-0008-0000-1300-0000B6060000}"/>
            </a:ext>
          </a:extLst>
        </xdr:cNvPr>
        <xdr:cNvCxnSpPr/>
      </xdr:nvCxnSpPr>
      <xdr:spPr>
        <a:xfrm>
          <a:off x="10572750" y="1082569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1011</xdr:row>
      <xdr:rowOff>52917</xdr:rowOff>
    </xdr:from>
    <xdr:to>
      <xdr:col>15</xdr:col>
      <xdr:colOff>603250</xdr:colOff>
      <xdr:row>1013</xdr:row>
      <xdr:rowOff>148167</xdr:rowOff>
    </xdr:to>
    <xdr:cxnSp macro="">
      <xdr:nvCxnSpPr>
        <xdr:cNvPr id="1719" name="Straight Arrow Connector 1718">
          <a:extLst>
            <a:ext uri="{FF2B5EF4-FFF2-40B4-BE49-F238E27FC236}">
              <a16:creationId xmlns:a16="http://schemas.microsoft.com/office/drawing/2014/main" id="{00000000-0008-0000-1300-0000B7060000}"/>
            </a:ext>
          </a:extLst>
        </xdr:cNvPr>
        <xdr:cNvCxnSpPr/>
      </xdr:nvCxnSpPr>
      <xdr:spPr>
        <a:xfrm flipV="1">
          <a:off x="10583333" y="1076854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698500</xdr:colOff>
      <xdr:row>1055</xdr:row>
      <xdr:rowOff>95250</xdr:rowOff>
    </xdr:from>
    <xdr:to>
      <xdr:col>8</xdr:col>
      <xdr:colOff>21167</xdr:colOff>
      <xdr:row>1087</xdr:row>
      <xdr:rowOff>148166</xdr:rowOff>
    </xdr:to>
    <xdr:cxnSp macro="">
      <xdr:nvCxnSpPr>
        <xdr:cNvPr id="1720" name="Straight Arrow Connector 1719">
          <a:extLst>
            <a:ext uri="{FF2B5EF4-FFF2-40B4-BE49-F238E27FC236}">
              <a16:creationId xmlns:a16="http://schemas.microsoft.com/office/drawing/2014/main" id="{00000000-0008-0000-1300-0000B8060000}"/>
            </a:ext>
          </a:extLst>
        </xdr:cNvPr>
        <xdr:cNvCxnSpPr/>
      </xdr:nvCxnSpPr>
      <xdr:spPr>
        <a:xfrm>
          <a:off x="5080000" y="116300250"/>
          <a:ext cx="719667" cy="6148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1026</xdr:row>
      <xdr:rowOff>137583</xdr:rowOff>
    </xdr:from>
    <xdr:to>
      <xdr:col>9</xdr:col>
      <xdr:colOff>603250</xdr:colOff>
      <xdr:row>1032</xdr:row>
      <xdr:rowOff>21166</xdr:rowOff>
    </xdr:to>
    <xdr:cxnSp macro="">
      <xdr:nvCxnSpPr>
        <xdr:cNvPr id="1721" name="Straight Arrow Connector 1720">
          <a:extLst>
            <a:ext uri="{FF2B5EF4-FFF2-40B4-BE49-F238E27FC236}">
              <a16:creationId xmlns:a16="http://schemas.microsoft.com/office/drawing/2014/main" id="{00000000-0008-0000-1300-0000B9060000}"/>
            </a:ext>
          </a:extLst>
        </xdr:cNvPr>
        <xdr:cNvCxnSpPr/>
      </xdr:nvCxnSpPr>
      <xdr:spPr>
        <a:xfrm flipV="1">
          <a:off x="6381750" y="110627583"/>
          <a:ext cx="603250" cy="1026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1035</xdr:row>
      <xdr:rowOff>0</xdr:rowOff>
    </xdr:from>
    <xdr:to>
      <xdr:col>9</xdr:col>
      <xdr:colOff>582083</xdr:colOff>
      <xdr:row>1043</xdr:row>
      <xdr:rowOff>10583</xdr:rowOff>
    </xdr:to>
    <xdr:cxnSp macro="">
      <xdr:nvCxnSpPr>
        <xdr:cNvPr id="1722" name="Straight Arrow Connector 1721">
          <a:extLst>
            <a:ext uri="{FF2B5EF4-FFF2-40B4-BE49-F238E27FC236}">
              <a16:creationId xmlns:a16="http://schemas.microsoft.com/office/drawing/2014/main" id="{00000000-0008-0000-1300-0000BA060000}"/>
            </a:ext>
          </a:extLst>
        </xdr:cNvPr>
        <xdr:cNvCxnSpPr/>
      </xdr:nvCxnSpPr>
      <xdr:spPr>
        <a:xfrm>
          <a:off x="6413500" y="112204500"/>
          <a:ext cx="550333" cy="1534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21167</xdr:colOff>
      <xdr:row>1040</xdr:row>
      <xdr:rowOff>169333</xdr:rowOff>
    </xdr:from>
    <xdr:to>
      <xdr:col>11</xdr:col>
      <xdr:colOff>603250</xdr:colOff>
      <xdr:row>1043</xdr:row>
      <xdr:rowOff>21167</xdr:rowOff>
    </xdr:to>
    <xdr:cxnSp macro="">
      <xdr:nvCxnSpPr>
        <xdr:cNvPr id="1723" name="Straight Arrow Connector 1722">
          <a:extLst>
            <a:ext uri="{FF2B5EF4-FFF2-40B4-BE49-F238E27FC236}">
              <a16:creationId xmlns:a16="http://schemas.microsoft.com/office/drawing/2014/main" id="{00000000-0008-0000-1300-0000BB060000}"/>
            </a:ext>
          </a:extLst>
        </xdr:cNvPr>
        <xdr:cNvCxnSpPr/>
      </xdr:nvCxnSpPr>
      <xdr:spPr>
        <a:xfrm flipV="1">
          <a:off x="7609417" y="113326333"/>
          <a:ext cx="582083" cy="423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1046</xdr:row>
      <xdr:rowOff>42333</xdr:rowOff>
    </xdr:from>
    <xdr:to>
      <xdr:col>11</xdr:col>
      <xdr:colOff>603250</xdr:colOff>
      <xdr:row>1058</xdr:row>
      <xdr:rowOff>10583</xdr:rowOff>
    </xdr:to>
    <xdr:cxnSp macro="">
      <xdr:nvCxnSpPr>
        <xdr:cNvPr id="1724" name="Straight Arrow Connector 1723">
          <a:extLst>
            <a:ext uri="{FF2B5EF4-FFF2-40B4-BE49-F238E27FC236}">
              <a16:creationId xmlns:a16="http://schemas.microsoft.com/office/drawing/2014/main" id="{00000000-0008-0000-1300-0000BC060000}"/>
            </a:ext>
          </a:extLst>
        </xdr:cNvPr>
        <xdr:cNvCxnSpPr/>
      </xdr:nvCxnSpPr>
      <xdr:spPr>
        <a:xfrm>
          <a:off x="7598834" y="1143423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1036</xdr:row>
      <xdr:rowOff>21167</xdr:rowOff>
    </xdr:from>
    <xdr:to>
      <xdr:col>13</xdr:col>
      <xdr:colOff>592667</xdr:colOff>
      <xdr:row>1038</xdr:row>
      <xdr:rowOff>0</xdr:rowOff>
    </xdr:to>
    <xdr:cxnSp macro="">
      <xdr:nvCxnSpPr>
        <xdr:cNvPr id="1725" name="Straight Arrow Connector 1724">
          <a:extLst>
            <a:ext uri="{FF2B5EF4-FFF2-40B4-BE49-F238E27FC236}">
              <a16:creationId xmlns:a16="http://schemas.microsoft.com/office/drawing/2014/main" id="{00000000-0008-0000-1300-0000BD060000}"/>
            </a:ext>
          </a:extLst>
        </xdr:cNvPr>
        <xdr:cNvCxnSpPr/>
      </xdr:nvCxnSpPr>
      <xdr:spPr>
        <a:xfrm flipV="1">
          <a:off x="8794750" y="1124161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1041</xdr:row>
      <xdr:rowOff>21166</xdr:rowOff>
    </xdr:from>
    <xdr:to>
      <xdr:col>13</xdr:col>
      <xdr:colOff>592667</xdr:colOff>
      <xdr:row>1042</xdr:row>
      <xdr:rowOff>169334</xdr:rowOff>
    </xdr:to>
    <xdr:cxnSp macro="">
      <xdr:nvCxnSpPr>
        <xdr:cNvPr id="1726" name="Straight Arrow Connector 1725">
          <a:extLst>
            <a:ext uri="{FF2B5EF4-FFF2-40B4-BE49-F238E27FC236}">
              <a16:creationId xmlns:a16="http://schemas.microsoft.com/office/drawing/2014/main" id="{00000000-0008-0000-1300-0000BE060000}"/>
            </a:ext>
          </a:extLst>
        </xdr:cNvPr>
        <xdr:cNvCxnSpPr/>
      </xdr:nvCxnSpPr>
      <xdr:spPr>
        <a:xfrm>
          <a:off x="8784166" y="1133686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1056</xdr:row>
      <xdr:rowOff>21167</xdr:rowOff>
    </xdr:from>
    <xdr:to>
      <xdr:col>13</xdr:col>
      <xdr:colOff>592667</xdr:colOff>
      <xdr:row>1058</xdr:row>
      <xdr:rowOff>63500</xdr:rowOff>
    </xdr:to>
    <xdr:cxnSp macro="">
      <xdr:nvCxnSpPr>
        <xdr:cNvPr id="1727" name="Straight Arrow Connector 1726">
          <a:extLst>
            <a:ext uri="{FF2B5EF4-FFF2-40B4-BE49-F238E27FC236}">
              <a16:creationId xmlns:a16="http://schemas.microsoft.com/office/drawing/2014/main" id="{00000000-0008-0000-1300-0000BF060000}"/>
            </a:ext>
          </a:extLst>
        </xdr:cNvPr>
        <xdr:cNvCxnSpPr/>
      </xdr:nvCxnSpPr>
      <xdr:spPr>
        <a:xfrm flipV="1">
          <a:off x="8794750" y="1164166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1061</xdr:row>
      <xdr:rowOff>0</xdr:rowOff>
    </xdr:from>
    <xdr:to>
      <xdr:col>14</xdr:col>
      <xdr:colOff>10584</xdr:colOff>
      <xdr:row>1069</xdr:row>
      <xdr:rowOff>148167</xdr:rowOff>
    </xdr:to>
    <xdr:cxnSp macro="">
      <xdr:nvCxnSpPr>
        <xdr:cNvPr id="1728" name="Straight Arrow Connector 1727">
          <a:extLst>
            <a:ext uri="{FF2B5EF4-FFF2-40B4-BE49-F238E27FC236}">
              <a16:creationId xmlns:a16="http://schemas.microsoft.com/office/drawing/2014/main" id="{00000000-0008-0000-1300-0000C0060000}"/>
            </a:ext>
          </a:extLst>
        </xdr:cNvPr>
        <xdr:cNvCxnSpPr/>
      </xdr:nvCxnSpPr>
      <xdr:spPr>
        <a:xfrm>
          <a:off x="8805333" y="1173480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1028</xdr:row>
      <xdr:rowOff>0</xdr:rowOff>
    </xdr:from>
    <xdr:to>
      <xdr:col>15</xdr:col>
      <xdr:colOff>603250</xdr:colOff>
      <xdr:row>1033</xdr:row>
      <xdr:rowOff>31750</xdr:rowOff>
    </xdr:to>
    <xdr:cxnSp macro="">
      <xdr:nvCxnSpPr>
        <xdr:cNvPr id="1729" name="Straight Arrow Connector 1728">
          <a:extLst>
            <a:ext uri="{FF2B5EF4-FFF2-40B4-BE49-F238E27FC236}">
              <a16:creationId xmlns:a16="http://schemas.microsoft.com/office/drawing/2014/main" id="{00000000-0008-0000-1300-0000C1060000}"/>
            </a:ext>
          </a:extLst>
        </xdr:cNvPr>
        <xdr:cNvCxnSpPr/>
      </xdr:nvCxnSpPr>
      <xdr:spPr>
        <a:xfrm flipV="1">
          <a:off x="10541000" y="110871000"/>
          <a:ext cx="603250" cy="984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1031</xdr:row>
      <xdr:rowOff>52917</xdr:rowOff>
    </xdr:from>
    <xdr:to>
      <xdr:col>15</xdr:col>
      <xdr:colOff>603250</xdr:colOff>
      <xdr:row>1033</xdr:row>
      <xdr:rowOff>95250</xdr:rowOff>
    </xdr:to>
    <xdr:cxnSp macro="">
      <xdr:nvCxnSpPr>
        <xdr:cNvPr id="1730" name="Straight Arrow Connector 1729">
          <a:extLst>
            <a:ext uri="{FF2B5EF4-FFF2-40B4-BE49-F238E27FC236}">
              <a16:creationId xmlns:a16="http://schemas.microsoft.com/office/drawing/2014/main" id="{00000000-0008-0000-1300-0000C2060000}"/>
            </a:ext>
          </a:extLst>
        </xdr:cNvPr>
        <xdr:cNvCxnSpPr/>
      </xdr:nvCxnSpPr>
      <xdr:spPr>
        <a:xfrm flipV="1">
          <a:off x="10583333" y="111495417"/>
          <a:ext cx="56091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1033</xdr:row>
      <xdr:rowOff>158750</xdr:rowOff>
    </xdr:from>
    <xdr:to>
      <xdr:col>15</xdr:col>
      <xdr:colOff>582083</xdr:colOff>
      <xdr:row>1034</xdr:row>
      <xdr:rowOff>137583</xdr:rowOff>
    </xdr:to>
    <xdr:cxnSp macro="">
      <xdr:nvCxnSpPr>
        <xdr:cNvPr id="1731" name="Straight Arrow Connector 1730">
          <a:extLst>
            <a:ext uri="{FF2B5EF4-FFF2-40B4-BE49-F238E27FC236}">
              <a16:creationId xmlns:a16="http://schemas.microsoft.com/office/drawing/2014/main" id="{00000000-0008-0000-1300-0000C3060000}"/>
            </a:ext>
          </a:extLst>
        </xdr:cNvPr>
        <xdr:cNvCxnSpPr/>
      </xdr:nvCxnSpPr>
      <xdr:spPr>
        <a:xfrm>
          <a:off x="10604500" y="111982250"/>
          <a:ext cx="518583" cy="169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1121834</xdr:colOff>
      <xdr:row>1033</xdr:row>
      <xdr:rowOff>105834</xdr:rowOff>
    </xdr:from>
    <xdr:to>
      <xdr:col>16</xdr:col>
      <xdr:colOff>0</xdr:colOff>
      <xdr:row>1037</xdr:row>
      <xdr:rowOff>84667</xdr:rowOff>
    </xdr:to>
    <xdr:cxnSp macro="">
      <xdr:nvCxnSpPr>
        <xdr:cNvPr id="1732" name="Straight Arrow Connector 1731">
          <a:extLst>
            <a:ext uri="{FF2B5EF4-FFF2-40B4-BE49-F238E27FC236}">
              <a16:creationId xmlns:a16="http://schemas.microsoft.com/office/drawing/2014/main" id="{00000000-0008-0000-1300-0000C4060000}"/>
            </a:ext>
          </a:extLst>
        </xdr:cNvPr>
        <xdr:cNvCxnSpPr/>
      </xdr:nvCxnSpPr>
      <xdr:spPr>
        <a:xfrm>
          <a:off x="10519834" y="111929334"/>
          <a:ext cx="624416"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1041</xdr:row>
      <xdr:rowOff>52916</xdr:rowOff>
    </xdr:from>
    <xdr:to>
      <xdr:col>16</xdr:col>
      <xdr:colOff>0</xdr:colOff>
      <xdr:row>1043</xdr:row>
      <xdr:rowOff>0</xdr:rowOff>
    </xdr:to>
    <xdr:cxnSp macro="">
      <xdr:nvCxnSpPr>
        <xdr:cNvPr id="1733" name="Straight Arrow Connector 1732">
          <a:extLst>
            <a:ext uri="{FF2B5EF4-FFF2-40B4-BE49-F238E27FC236}">
              <a16:creationId xmlns:a16="http://schemas.microsoft.com/office/drawing/2014/main" id="{00000000-0008-0000-1300-0000C5060000}"/>
            </a:ext>
          </a:extLst>
        </xdr:cNvPr>
        <xdr:cNvCxnSpPr/>
      </xdr:nvCxnSpPr>
      <xdr:spPr>
        <a:xfrm flipV="1">
          <a:off x="10541000" y="1134004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1043</xdr:row>
      <xdr:rowOff>21167</xdr:rowOff>
    </xdr:from>
    <xdr:to>
      <xdr:col>15</xdr:col>
      <xdr:colOff>582083</xdr:colOff>
      <xdr:row>1044</xdr:row>
      <xdr:rowOff>42333</xdr:rowOff>
    </xdr:to>
    <xdr:cxnSp macro="">
      <xdr:nvCxnSpPr>
        <xdr:cNvPr id="1734" name="Straight Arrow Connector 1733">
          <a:extLst>
            <a:ext uri="{FF2B5EF4-FFF2-40B4-BE49-F238E27FC236}">
              <a16:creationId xmlns:a16="http://schemas.microsoft.com/office/drawing/2014/main" id="{00000000-0008-0000-1300-0000C6060000}"/>
            </a:ext>
          </a:extLst>
        </xdr:cNvPr>
        <xdr:cNvCxnSpPr/>
      </xdr:nvCxnSpPr>
      <xdr:spPr>
        <a:xfrm>
          <a:off x="10551583" y="113749667"/>
          <a:ext cx="571500" cy="211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1043</xdr:row>
      <xdr:rowOff>21167</xdr:rowOff>
    </xdr:from>
    <xdr:to>
      <xdr:col>16</xdr:col>
      <xdr:colOff>42333</xdr:colOff>
      <xdr:row>1048</xdr:row>
      <xdr:rowOff>21168</xdr:rowOff>
    </xdr:to>
    <xdr:cxnSp macro="">
      <xdr:nvCxnSpPr>
        <xdr:cNvPr id="1735" name="Straight Arrow Connector 1734">
          <a:extLst>
            <a:ext uri="{FF2B5EF4-FFF2-40B4-BE49-F238E27FC236}">
              <a16:creationId xmlns:a16="http://schemas.microsoft.com/office/drawing/2014/main" id="{00000000-0008-0000-1300-0000C7060000}"/>
            </a:ext>
          </a:extLst>
        </xdr:cNvPr>
        <xdr:cNvCxnSpPr/>
      </xdr:nvCxnSpPr>
      <xdr:spPr>
        <a:xfrm>
          <a:off x="10530417" y="113749667"/>
          <a:ext cx="656166" cy="9525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1043</xdr:row>
      <xdr:rowOff>31750</xdr:rowOff>
    </xdr:from>
    <xdr:to>
      <xdr:col>16</xdr:col>
      <xdr:colOff>42334</xdr:colOff>
      <xdr:row>1050</xdr:row>
      <xdr:rowOff>63501</xdr:rowOff>
    </xdr:to>
    <xdr:cxnSp macro="">
      <xdr:nvCxnSpPr>
        <xdr:cNvPr id="1736" name="Straight Arrow Connector 1735">
          <a:extLst>
            <a:ext uri="{FF2B5EF4-FFF2-40B4-BE49-F238E27FC236}">
              <a16:creationId xmlns:a16="http://schemas.microsoft.com/office/drawing/2014/main" id="{00000000-0008-0000-1300-0000C8060000}"/>
            </a:ext>
          </a:extLst>
        </xdr:cNvPr>
        <xdr:cNvCxnSpPr/>
      </xdr:nvCxnSpPr>
      <xdr:spPr>
        <a:xfrm>
          <a:off x="10541000" y="113760250"/>
          <a:ext cx="645584"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10583</xdr:colOff>
      <xdr:row>1080</xdr:row>
      <xdr:rowOff>42333</xdr:rowOff>
    </xdr:from>
    <xdr:to>
      <xdr:col>9</xdr:col>
      <xdr:colOff>592666</xdr:colOff>
      <xdr:row>1088</xdr:row>
      <xdr:rowOff>42333</xdr:rowOff>
    </xdr:to>
    <xdr:cxnSp macro="">
      <xdr:nvCxnSpPr>
        <xdr:cNvPr id="1737" name="Straight Arrow Connector 1736">
          <a:extLst>
            <a:ext uri="{FF2B5EF4-FFF2-40B4-BE49-F238E27FC236}">
              <a16:creationId xmlns:a16="http://schemas.microsoft.com/office/drawing/2014/main" id="{00000000-0008-0000-1300-0000C9060000}"/>
            </a:ext>
          </a:extLst>
        </xdr:cNvPr>
        <xdr:cNvCxnSpPr/>
      </xdr:nvCxnSpPr>
      <xdr:spPr>
        <a:xfrm flipV="1">
          <a:off x="6392333" y="121009833"/>
          <a:ext cx="582083" cy="152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1090</xdr:row>
      <xdr:rowOff>169334</xdr:rowOff>
    </xdr:from>
    <xdr:to>
      <xdr:col>9</xdr:col>
      <xdr:colOff>603250</xdr:colOff>
      <xdr:row>1099</xdr:row>
      <xdr:rowOff>31750</xdr:rowOff>
    </xdr:to>
    <xdr:cxnSp macro="">
      <xdr:nvCxnSpPr>
        <xdr:cNvPr id="1738" name="Straight Arrow Connector 1737">
          <a:extLst>
            <a:ext uri="{FF2B5EF4-FFF2-40B4-BE49-F238E27FC236}">
              <a16:creationId xmlns:a16="http://schemas.microsoft.com/office/drawing/2014/main" id="{00000000-0008-0000-1300-0000CA060000}"/>
            </a:ext>
          </a:extLst>
        </xdr:cNvPr>
        <xdr:cNvCxnSpPr/>
      </xdr:nvCxnSpPr>
      <xdr:spPr>
        <a:xfrm>
          <a:off x="6413500" y="123041834"/>
          <a:ext cx="571500" cy="1576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571500</xdr:colOff>
      <xdr:row>1096</xdr:row>
      <xdr:rowOff>158750</xdr:rowOff>
    </xdr:from>
    <xdr:to>
      <xdr:col>11</xdr:col>
      <xdr:colOff>571500</xdr:colOff>
      <xdr:row>1099</xdr:row>
      <xdr:rowOff>0</xdr:rowOff>
    </xdr:to>
    <xdr:cxnSp macro="">
      <xdr:nvCxnSpPr>
        <xdr:cNvPr id="1739" name="Straight Arrow Connector 1738">
          <a:extLst>
            <a:ext uri="{FF2B5EF4-FFF2-40B4-BE49-F238E27FC236}">
              <a16:creationId xmlns:a16="http://schemas.microsoft.com/office/drawing/2014/main" id="{00000000-0008-0000-1300-0000CB060000}"/>
            </a:ext>
          </a:extLst>
        </xdr:cNvPr>
        <xdr:cNvCxnSpPr/>
      </xdr:nvCxnSpPr>
      <xdr:spPr>
        <a:xfrm flipV="1">
          <a:off x="7556500" y="124174250"/>
          <a:ext cx="603250" cy="412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1054</xdr:row>
      <xdr:rowOff>0</xdr:rowOff>
    </xdr:from>
    <xdr:to>
      <xdr:col>15</xdr:col>
      <xdr:colOff>603250</xdr:colOff>
      <xdr:row>1056</xdr:row>
      <xdr:rowOff>1</xdr:rowOff>
    </xdr:to>
    <xdr:cxnSp macro="">
      <xdr:nvCxnSpPr>
        <xdr:cNvPr id="1740" name="Straight Arrow Connector 1739">
          <a:extLst>
            <a:ext uri="{FF2B5EF4-FFF2-40B4-BE49-F238E27FC236}">
              <a16:creationId xmlns:a16="http://schemas.microsoft.com/office/drawing/2014/main" id="{00000000-0008-0000-1300-0000CC060000}"/>
            </a:ext>
          </a:extLst>
        </xdr:cNvPr>
        <xdr:cNvCxnSpPr/>
      </xdr:nvCxnSpPr>
      <xdr:spPr>
        <a:xfrm flipV="1">
          <a:off x="10530417" y="1160145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1056</xdr:row>
      <xdr:rowOff>10584</xdr:rowOff>
    </xdr:from>
    <xdr:to>
      <xdr:col>15</xdr:col>
      <xdr:colOff>592666</xdr:colOff>
      <xdr:row>1057</xdr:row>
      <xdr:rowOff>95250</xdr:rowOff>
    </xdr:to>
    <xdr:cxnSp macro="">
      <xdr:nvCxnSpPr>
        <xdr:cNvPr id="1741" name="Straight Arrow Connector 1740">
          <a:extLst>
            <a:ext uri="{FF2B5EF4-FFF2-40B4-BE49-F238E27FC236}">
              <a16:creationId xmlns:a16="http://schemas.microsoft.com/office/drawing/2014/main" id="{00000000-0008-0000-1300-0000CD060000}"/>
            </a:ext>
          </a:extLst>
        </xdr:cNvPr>
        <xdr:cNvCxnSpPr/>
      </xdr:nvCxnSpPr>
      <xdr:spPr>
        <a:xfrm>
          <a:off x="10572750" y="1164060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1056</xdr:row>
      <xdr:rowOff>10584</xdr:rowOff>
    </xdr:from>
    <xdr:to>
      <xdr:col>15</xdr:col>
      <xdr:colOff>560916</xdr:colOff>
      <xdr:row>1060</xdr:row>
      <xdr:rowOff>52917</xdr:rowOff>
    </xdr:to>
    <xdr:cxnSp macro="">
      <xdr:nvCxnSpPr>
        <xdr:cNvPr id="1742" name="Straight Arrow Connector 1741">
          <a:extLst>
            <a:ext uri="{FF2B5EF4-FFF2-40B4-BE49-F238E27FC236}">
              <a16:creationId xmlns:a16="http://schemas.microsoft.com/office/drawing/2014/main" id="{00000000-0008-0000-1300-0000CE060000}"/>
            </a:ext>
          </a:extLst>
        </xdr:cNvPr>
        <xdr:cNvCxnSpPr/>
      </xdr:nvCxnSpPr>
      <xdr:spPr>
        <a:xfrm>
          <a:off x="10551583" y="1164060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1056</xdr:row>
      <xdr:rowOff>31750</xdr:rowOff>
    </xdr:from>
    <xdr:to>
      <xdr:col>16</xdr:col>
      <xdr:colOff>21167</xdr:colOff>
      <xdr:row>1063</xdr:row>
      <xdr:rowOff>95250</xdr:rowOff>
    </xdr:to>
    <xdr:cxnSp macro="">
      <xdr:nvCxnSpPr>
        <xdr:cNvPr id="1743" name="Straight Arrow Connector 1742">
          <a:extLst>
            <a:ext uri="{FF2B5EF4-FFF2-40B4-BE49-F238E27FC236}">
              <a16:creationId xmlns:a16="http://schemas.microsoft.com/office/drawing/2014/main" id="{00000000-0008-0000-1300-0000CF060000}"/>
            </a:ext>
          </a:extLst>
        </xdr:cNvPr>
        <xdr:cNvCxnSpPr/>
      </xdr:nvCxnSpPr>
      <xdr:spPr>
        <a:xfrm>
          <a:off x="10583333" y="1164272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1070</xdr:row>
      <xdr:rowOff>0</xdr:rowOff>
    </xdr:from>
    <xdr:to>
      <xdr:col>16</xdr:col>
      <xdr:colOff>0</xdr:colOff>
      <xdr:row>1070</xdr:row>
      <xdr:rowOff>42334</xdr:rowOff>
    </xdr:to>
    <xdr:cxnSp macro="">
      <xdr:nvCxnSpPr>
        <xdr:cNvPr id="1744" name="Straight Arrow Connector 1743">
          <a:extLst>
            <a:ext uri="{FF2B5EF4-FFF2-40B4-BE49-F238E27FC236}">
              <a16:creationId xmlns:a16="http://schemas.microsoft.com/office/drawing/2014/main" id="{00000000-0008-0000-1300-0000D0060000}"/>
            </a:ext>
          </a:extLst>
        </xdr:cNvPr>
        <xdr:cNvCxnSpPr/>
      </xdr:nvCxnSpPr>
      <xdr:spPr>
        <a:xfrm>
          <a:off x="10562166" y="1190625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1070</xdr:row>
      <xdr:rowOff>21166</xdr:rowOff>
    </xdr:from>
    <xdr:to>
      <xdr:col>15</xdr:col>
      <xdr:colOff>560916</xdr:colOff>
      <xdr:row>1073</xdr:row>
      <xdr:rowOff>84667</xdr:rowOff>
    </xdr:to>
    <xdr:cxnSp macro="">
      <xdr:nvCxnSpPr>
        <xdr:cNvPr id="1745" name="Straight Arrow Connector 1744">
          <a:extLst>
            <a:ext uri="{FF2B5EF4-FFF2-40B4-BE49-F238E27FC236}">
              <a16:creationId xmlns:a16="http://schemas.microsoft.com/office/drawing/2014/main" id="{00000000-0008-0000-1300-0000D1060000}"/>
            </a:ext>
          </a:extLst>
        </xdr:cNvPr>
        <xdr:cNvCxnSpPr/>
      </xdr:nvCxnSpPr>
      <xdr:spPr>
        <a:xfrm>
          <a:off x="10615083" y="1190836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1070</xdr:row>
      <xdr:rowOff>52916</xdr:rowOff>
    </xdr:from>
    <xdr:to>
      <xdr:col>15</xdr:col>
      <xdr:colOff>592666</xdr:colOff>
      <xdr:row>1076</xdr:row>
      <xdr:rowOff>63501</xdr:rowOff>
    </xdr:to>
    <xdr:cxnSp macro="">
      <xdr:nvCxnSpPr>
        <xdr:cNvPr id="1746" name="Straight Arrow Connector 1745">
          <a:extLst>
            <a:ext uri="{FF2B5EF4-FFF2-40B4-BE49-F238E27FC236}">
              <a16:creationId xmlns:a16="http://schemas.microsoft.com/office/drawing/2014/main" id="{00000000-0008-0000-1300-0000D2060000}"/>
            </a:ext>
          </a:extLst>
        </xdr:cNvPr>
        <xdr:cNvCxnSpPr/>
      </xdr:nvCxnSpPr>
      <xdr:spPr>
        <a:xfrm>
          <a:off x="10572750" y="1191154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1084</xdr:row>
      <xdr:rowOff>116416</xdr:rowOff>
    </xdr:from>
    <xdr:to>
      <xdr:col>15</xdr:col>
      <xdr:colOff>592666</xdr:colOff>
      <xdr:row>1087</xdr:row>
      <xdr:rowOff>158750</xdr:rowOff>
    </xdr:to>
    <xdr:cxnSp macro="">
      <xdr:nvCxnSpPr>
        <xdr:cNvPr id="1747" name="Straight Arrow Connector 1746">
          <a:extLst>
            <a:ext uri="{FF2B5EF4-FFF2-40B4-BE49-F238E27FC236}">
              <a16:creationId xmlns:a16="http://schemas.microsoft.com/office/drawing/2014/main" id="{00000000-0008-0000-1300-0000D3060000}"/>
            </a:ext>
          </a:extLst>
        </xdr:cNvPr>
        <xdr:cNvCxnSpPr/>
      </xdr:nvCxnSpPr>
      <xdr:spPr>
        <a:xfrm flipV="1">
          <a:off x="10562166" y="121845916"/>
          <a:ext cx="571500" cy="613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1086</xdr:row>
      <xdr:rowOff>95250</xdr:rowOff>
    </xdr:from>
    <xdr:to>
      <xdr:col>15</xdr:col>
      <xdr:colOff>582083</xdr:colOff>
      <xdr:row>1088</xdr:row>
      <xdr:rowOff>52917</xdr:rowOff>
    </xdr:to>
    <xdr:cxnSp macro="">
      <xdr:nvCxnSpPr>
        <xdr:cNvPr id="1748" name="Straight Arrow Connector 1747">
          <a:extLst>
            <a:ext uri="{FF2B5EF4-FFF2-40B4-BE49-F238E27FC236}">
              <a16:creationId xmlns:a16="http://schemas.microsoft.com/office/drawing/2014/main" id="{00000000-0008-0000-1300-0000D4060000}"/>
            </a:ext>
          </a:extLst>
        </xdr:cNvPr>
        <xdr:cNvCxnSpPr/>
      </xdr:nvCxnSpPr>
      <xdr:spPr>
        <a:xfrm flipV="1">
          <a:off x="10604500" y="122205750"/>
          <a:ext cx="518583" cy="338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1088</xdr:row>
      <xdr:rowOff>116417</xdr:rowOff>
    </xdr:from>
    <xdr:to>
      <xdr:col>15</xdr:col>
      <xdr:colOff>592666</xdr:colOff>
      <xdr:row>1092</xdr:row>
      <xdr:rowOff>95250</xdr:rowOff>
    </xdr:to>
    <xdr:cxnSp macro="">
      <xdr:nvCxnSpPr>
        <xdr:cNvPr id="1749" name="Straight Arrow Connector 1748">
          <a:extLst>
            <a:ext uri="{FF2B5EF4-FFF2-40B4-BE49-F238E27FC236}">
              <a16:creationId xmlns:a16="http://schemas.microsoft.com/office/drawing/2014/main" id="{00000000-0008-0000-1300-0000D5060000}"/>
            </a:ext>
          </a:extLst>
        </xdr:cNvPr>
        <xdr:cNvCxnSpPr/>
      </xdr:nvCxnSpPr>
      <xdr:spPr>
        <a:xfrm>
          <a:off x="10593916" y="122607917"/>
          <a:ext cx="53975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1099</xdr:row>
      <xdr:rowOff>116416</xdr:rowOff>
    </xdr:from>
    <xdr:to>
      <xdr:col>16</xdr:col>
      <xdr:colOff>0</xdr:colOff>
      <xdr:row>1106</xdr:row>
      <xdr:rowOff>74084</xdr:rowOff>
    </xdr:to>
    <xdr:cxnSp macro="">
      <xdr:nvCxnSpPr>
        <xdr:cNvPr id="1750" name="Straight Arrow Connector 1749">
          <a:extLst>
            <a:ext uri="{FF2B5EF4-FFF2-40B4-BE49-F238E27FC236}">
              <a16:creationId xmlns:a16="http://schemas.microsoft.com/office/drawing/2014/main" id="{00000000-0008-0000-1300-0000D6060000}"/>
            </a:ext>
          </a:extLst>
        </xdr:cNvPr>
        <xdr:cNvCxnSpPr/>
      </xdr:nvCxnSpPr>
      <xdr:spPr>
        <a:xfrm>
          <a:off x="10572750" y="124703416"/>
          <a:ext cx="571500" cy="12911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1067</xdr:row>
      <xdr:rowOff>52917</xdr:rowOff>
    </xdr:from>
    <xdr:to>
      <xdr:col>15</xdr:col>
      <xdr:colOff>603250</xdr:colOff>
      <xdr:row>1069</xdr:row>
      <xdr:rowOff>148167</xdr:rowOff>
    </xdr:to>
    <xdr:cxnSp macro="">
      <xdr:nvCxnSpPr>
        <xdr:cNvPr id="1751" name="Straight Arrow Connector 1750">
          <a:extLst>
            <a:ext uri="{FF2B5EF4-FFF2-40B4-BE49-F238E27FC236}">
              <a16:creationId xmlns:a16="http://schemas.microsoft.com/office/drawing/2014/main" id="{00000000-0008-0000-1300-0000D7060000}"/>
            </a:ext>
          </a:extLst>
        </xdr:cNvPr>
        <xdr:cNvCxnSpPr/>
      </xdr:nvCxnSpPr>
      <xdr:spPr>
        <a:xfrm flipV="1">
          <a:off x="10583333" y="1185439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1102</xdr:row>
      <xdr:rowOff>42333</xdr:rowOff>
    </xdr:from>
    <xdr:to>
      <xdr:col>11</xdr:col>
      <xdr:colOff>603250</xdr:colOff>
      <xdr:row>1114</xdr:row>
      <xdr:rowOff>10583</xdr:rowOff>
    </xdr:to>
    <xdr:cxnSp macro="">
      <xdr:nvCxnSpPr>
        <xdr:cNvPr id="1752" name="Straight Arrow Connector 1751">
          <a:extLst>
            <a:ext uri="{FF2B5EF4-FFF2-40B4-BE49-F238E27FC236}">
              <a16:creationId xmlns:a16="http://schemas.microsoft.com/office/drawing/2014/main" id="{00000000-0008-0000-1300-0000D8060000}"/>
            </a:ext>
          </a:extLst>
        </xdr:cNvPr>
        <xdr:cNvCxnSpPr/>
      </xdr:nvCxnSpPr>
      <xdr:spPr>
        <a:xfrm>
          <a:off x="7598834" y="1252008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1092</xdr:row>
      <xdr:rowOff>21167</xdr:rowOff>
    </xdr:from>
    <xdr:to>
      <xdr:col>13</xdr:col>
      <xdr:colOff>592667</xdr:colOff>
      <xdr:row>1094</xdr:row>
      <xdr:rowOff>0</xdr:rowOff>
    </xdr:to>
    <xdr:cxnSp macro="">
      <xdr:nvCxnSpPr>
        <xdr:cNvPr id="1753" name="Straight Arrow Connector 1752">
          <a:extLst>
            <a:ext uri="{FF2B5EF4-FFF2-40B4-BE49-F238E27FC236}">
              <a16:creationId xmlns:a16="http://schemas.microsoft.com/office/drawing/2014/main" id="{00000000-0008-0000-1300-0000D9060000}"/>
            </a:ext>
          </a:extLst>
        </xdr:cNvPr>
        <xdr:cNvCxnSpPr/>
      </xdr:nvCxnSpPr>
      <xdr:spPr>
        <a:xfrm flipV="1">
          <a:off x="8794750" y="1232746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1097</xdr:row>
      <xdr:rowOff>21166</xdr:rowOff>
    </xdr:from>
    <xdr:to>
      <xdr:col>13</xdr:col>
      <xdr:colOff>592667</xdr:colOff>
      <xdr:row>1098</xdr:row>
      <xdr:rowOff>169334</xdr:rowOff>
    </xdr:to>
    <xdr:cxnSp macro="">
      <xdr:nvCxnSpPr>
        <xdr:cNvPr id="1754" name="Straight Arrow Connector 1753">
          <a:extLst>
            <a:ext uri="{FF2B5EF4-FFF2-40B4-BE49-F238E27FC236}">
              <a16:creationId xmlns:a16="http://schemas.microsoft.com/office/drawing/2014/main" id="{00000000-0008-0000-1300-0000DA060000}"/>
            </a:ext>
          </a:extLst>
        </xdr:cNvPr>
        <xdr:cNvCxnSpPr/>
      </xdr:nvCxnSpPr>
      <xdr:spPr>
        <a:xfrm>
          <a:off x="8784166" y="1242271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1112</xdr:row>
      <xdr:rowOff>21167</xdr:rowOff>
    </xdr:from>
    <xdr:to>
      <xdr:col>13</xdr:col>
      <xdr:colOff>592667</xdr:colOff>
      <xdr:row>1114</xdr:row>
      <xdr:rowOff>63500</xdr:rowOff>
    </xdr:to>
    <xdr:cxnSp macro="">
      <xdr:nvCxnSpPr>
        <xdr:cNvPr id="1755" name="Straight Arrow Connector 1754">
          <a:extLst>
            <a:ext uri="{FF2B5EF4-FFF2-40B4-BE49-F238E27FC236}">
              <a16:creationId xmlns:a16="http://schemas.microsoft.com/office/drawing/2014/main" id="{00000000-0008-0000-1300-0000DB060000}"/>
            </a:ext>
          </a:extLst>
        </xdr:cNvPr>
        <xdr:cNvCxnSpPr/>
      </xdr:nvCxnSpPr>
      <xdr:spPr>
        <a:xfrm flipV="1">
          <a:off x="8794750" y="1272751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1117</xdr:row>
      <xdr:rowOff>0</xdr:rowOff>
    </xdr:from>
    <xdr:to>
      <xdr:col>14</xdr:col>
      <xdr:colOff>10584</xdr:colOff>
      <xdr:row>1125</xdr:row>
      <xdr:rowOff>148167</xdr:rowOff>
    </xdr:to>
    <xdr:cxnSp macro="">
      <xdr:nvCxnSpPr>
        <xdr:cNvPr id="1756" name="Straight Arrow Connector 1755">
          <a:extLst>
            <a:ext uri="{FF2B5EF4-FFF2-40B4-BE49-F238E27FC236}">
              <a16:creationId xmlns:a16="http://schemas.microsoft.com/office/drawing/2014/main" id="{00000000-0008-0000-1300-0000DC060000}"/>
            </a:ext>
          </a:extLst>
        </xdr:cNvPr>
        <xdr:cNvCxnSpPr/>
      </xdr:nvCxnSpPr>
      <xdr:spPr>
        <a:xfrm>
          <a:off x="8805333" y="1282065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1088</xdr:row>
      <xdr:rowOff>95250</xdr:rowOff>
    </xdr:from>
    <xdr:to>
      <xdr:col>15</xdr:col>
      <xdr:colOff>582083</xdr:colOff>
      <xdr:row>1090</xdr:row>
      <xdr:rowOff>137583</xdr:rowOff>
    </xdr:to>
    <xdr:cxnSp macro="">
      <xdr:nvCxnSpPr>
        <xdr:cNvPr id="1757" name="Straight Arrow Connector 1756">
          <a:extLst>
            <a:ext uri="{FF2B5EF4-FFF2-40B4-BE49-F238E27FC236}">
              <a16:creationId xmlns:a16="http://schemas.microsoft.com/office/drawing/2014/main" id="{00000000-0008-0000-1300-0000DD060000}"/>
            </a:ext>
          </a:extLst>
        </xdr:cNvPr>
        <xdr:cNvCxnSpPr/>
      </xdr:nvCxnSpPr>
      <xdr:spPr>
        <a:xfrm>
          <a:off x="10593916" y="122586750"/>
          <a:ext cx="5291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1097</xdr:row>
      <xdr:rowOff>52916</xdr:rowOff>
    </xdr:from>
    <xdr:to>
      <xdr:col>16</xdr:col>
      <xdr:colOff>0</xdr:colOff>
      <xdr:row>1099</xdr:row>
      <xdr:rowOff>0</xdr:rowOff>
    </xdr:to>
    <xdr:cxnSp macro="">
      <xdr:nvCxnSpPr>
        <xdr:cNvPr id="1758" name="Straight Arrow Connector 1757">
          <a:extLst>
            <a:ext uri="{FF2B5EF4-FFF2-40B4-BE49-F238E27FC236}">
              <a16:creationId xmlns:a16="http://schemas.microsoft.com/office/drawing/2014/main" id="{00000000-0008-0000-1300-0000DE060000}"/>
            </a:ext>
          </a:extLst>
        </xdr:cNvPr>
        <xdr:cNvCxnSpPr/>
      </xdr:nvCxnSpPr>
      <xdr:spPr>
        <a:xfrm flipV="1">
          <a:off x="10541000" y="1242589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1099</xdr:row>
      <xdr:rowOff>21167</xdr:rowOff>
    </xdr:from>
    <xdr:to>
      <xdr:col>15</xdr:col>
      <xdr:colOff>592666</xdr:colOff>
      <xdr:row>1100</xdr:row>
      <xdr:rowOff>84667</xdr:rowOff>
    </xdr:to>
    <xdr:cxnSp macro="">
      <xdr:nvCxnSpPr>
        <xdr:cNvPr id="1759" name="Straight Arrow Connector 1758">
          <a:extLst>
            <a:ext uri="{FF2B5EF4-FFF2-40B4-BE49-F238E27FC236}">
              <a16:creationId xmlns:a16="http://schemas.microsoft.com/office/drawing/2014/main" id="{00000000-0008-0000-1300-0000DF060000}"/>
            </a:ext>
          </a:extLst>
        </xdr:cNvPr>
        <xdr:cNvCxnSpPr/>
      </xdr:nvCxnSpPr>
      <xdr:spPr>
        <a:xfrm>
          <a:off x="10530417" y="124608167"/>
          <a:ext cx="603249" cy="25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1099</xdr:row>
      <xdr:rowOff>0</xdr:rowOff>
    </xdr:from>
    <xdr:to>
      <xdr:col>16</xdr:col>
      <xdr:colOff>0</xdr:colOff>
      <xdr:row>1103</xdr:row>
      <xdr:rowOff>42334</xdr:rowOff>
    </xdr:to>
    <xdr:cxnSp macro="">
      <xdr:nvCxnSpPr>
        <xdr:cNvPr id="1760" name="Straight Arrow Connector 1759">
          <a:extLst>
            <a:ext uri="{FF2B5EF4-FFF2-40B4-BE49-F238E27FC236}">
              <a16:creationId xmlns:a16="http://schemas.microsoft.com/office/drawing/2014/main" id="{00000000-0008-0000-1300-0000E0060000}"/>
            </a:ext>
          </a:extLst>
        </xdr:cNvPr>
        <xdr:cNvCxnSpPr/>
      </xdr:nvCxnSpPr>
      <xdr:spPr>
        <a:xfrm>
          <a:off x="10530417" y="124587000"/>
          <a:ext cx="613833" cy="804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1110</xdr:row>
      <xdr:rowOff>0</xdr:rowOff>
    </xdr:from>
    <xdr:to>
      <xdr:col>15</xdr:col>
      <xdr:colOff>603250</xdr:colOff>
      <xdr:row>1112</xdr:row>
      <xdr:rowOff>1</xdr:rowOff>
    </xdr:to>
    <xdr:cxnSp macro="">
      <xdr:nvCxnSpPr>
        <xdr:cNvPr id="1761" name="Straight Arrow Connector 1760">
          <a:extLst>
            <a:ext uri="{FF2B5EF4-FFF2-40B4-BE49-F238E27FC236}">
              <a16:creationId xmlns:a16="http://schemas.microsoft.com/office/drawing/2014/main" id="{00000000-0008-0000-1300-0000E1060000}"/>
            </a:ext>
          </a:extLst>
        </xdr:cNvPr>
        <xdr:cNvCxnSpPr/>
      </xdr:nvCxnSpPr>
      <xdr:spPr>
        <a:xfrm flipV="1">
          <a:off x="10530417" y="1268730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1112</xdr:row>
      <xdr:rowOff>10584</xdr:rowOff>
    </xdr:from>
    <xdr:to>
      <xdr:col>15</xdr:col>
      <xdr:colOff>592666</xdr:colOff>
      <xdr:row>1113</xdr:row>
      <xdr:rowOff>95250</xdr:rowOff>
    </xdr:to>
    <xdr:cxnSp macro="">
      <xdr:nvCxnSpPr>
        <xdr:cNvPr id="1762" name="Straight Arrow Connector 1761">
          <a:extLst>
            <a:ext uri="{FF2B5EF4-FFF2-40B4-BE49-F238E27FC236}">
              <a16:creationId xmlns:a16="http://schemas.microsoft.com/office/drawing/2014/main" id="{00000000-0008-0000-1300-0000E2060000}"/>
            </a:ext>
          </a:extLst>
        </xdr:cNvPr>
        <xdr:cNvCxnSpPr/>
      </xdr:nvCxnSpPr>
      <xdr:spPr>
        <a:xfrm>
          <a:off x="10572750" y="1272645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1112</xdr:row>
      <xdr:rowOff>10584</xdr:rowOff>
    </xdr:from>
    <xdr:to>
      <xdr:col>15</xdr:col>
      <xdr:colOff>560916</xdr:colOff>
      <xdr:row>1116</xdr:row>
      <xdr:rowOff>52917</xdr:rowOff>
    </xdr:to>
    <xdr:cxnSp macro="">
      <xdr:nvCxnSpPr>
        <xdr:cNvPr id="1763" name="Straight Arrow Connector 1762">
          <a:extLst>
            <a:ext uri="{FF2B5EF4-FFF2-40B4-BE49-F238E27FC236}">
              <a16:creationId xmlns:a16="http://schemas.microsoft.com/office/drawing/2014/main" id="{00000000-0008-0000-1300-0000E3060000}"/>
            </a:ext>
          </a:extLst>
        </xdr:cNvPr>
        <xdr:cNvCxnSpPr/>
      </xdr:nvCxnSpPr>
      <xdr:spPr>
        <a:xfrm>
          <a:off x="10551583" y="1272645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1112</xdr:row>
      <xdr:rowOff>31750</xdr:rowOff>
    </xdr:from>
    <xdr:to>
      <xdr:col>16</xdr:col>
      <xdr:colOff>21167</xdr:colOff>
      <xdr:row>1119</xdr:row>
      <xdr:rowOff>95250</xdr:rowOff>
    </xdr:to>
    <xdr:cxnSp macro="">
      <xdr:nvCxnSpPr>
        <xdr:cNvPr id="1764" name="Straight Arrow Connector 1763">
          <a:extLst>
            <a:ext uri="{FF2B5EF4-FFF2-40B4-BE49-F238E27FC236}">
              <a16:creationId xmlns:a16="http://schemas.microsoft.com/office/drawing/2014/main" id="{00000000-0008-0000-1300-0000E4060000}"/>
            </a:ext>
          </a:extLst>
        </xdr:cNvPr>
        <xdr:cNvCxnSpPr/>
      </xdr:nvCxnSpPr>
      <xdr:spPr>
        <a:xfrm>
          <a:off x="10583333" y="1272857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1126</xdr:row>
      <xdr:rowOff>0</xdr:rowOff>
    </xdr:from>
    <xdr:to>
      <xdr:col>16</xdr:col>
      <xdr:colOff>0</xdr:colOff>
      <xdr:row>1126</xdr:row>
      <xdr:rowOff>42334</xdr:rowOff>
    </xdr:to>
    <xdr:cxnSp macro="">
      <xdr:nvCxnSpPr>
        <xdr:cNvPr id="1765" name="Straight Arrow Connector 1764">
          <a:extLst>
            <a:ext uri="{FF2B5EF4-FFF2-40B4-BE49-F238E27FC236}">
              <a16:creationId xmlns:a16="http://schemas.microsoft.com/office/drawing/2014/main" id="{00000000-0008-0000-1300-0000E5060000}"/>
            </a:ext>
          </a:extLst>
        </xdr:cNvPr>
        <xdr:cNvCxnSpPr/>
      </xdr:nvCxnSpPr>
      <xdr:spPr>
        <a:xfrm>
          <a:off x="10562166" y="1299210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1126</xdr:row>
      <xdr:rowOff>21166</xdr:rowOff>
    </xdr:from>
    <xdr:to>
      <xdr:col>15</xdr:col>
      <xdr:colOff>560916</xdr:colOff>
      <xdr:row>1129</xdr:row>
      <xdr:rowOff>84667</xdr:rowOff>
    </xdr:to>
    <xdr:cxnSp macro="">
      <xdr:nvCxnSpPr>
        <xdr:cNvPr id="1766" name="Straight Arrow Connector 1765">
          <a:extLst>
            <a:ext uri="{FF2B5EF4-FFF2-40B4-BE49-F238E27FC236}">
              <a16:creationId xmlns:a16="http://schemas.microsoft.com/office/drawing/2014/main" id="{00000000-0008-0000-1300-0000E6060000}"/>
            </a:ext>
          </a:extLst>
        </xdr:cNvPr>
        <xdr:cNvCxnSpPr/>
      </xdr:nvCxnSpPr>
      <xdr:spPr>
        <a:xfrm>
          <a:off x="10615083" y="1299421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1126</xdr:row>
      <xdr:rowOff>52916</xdr:rowOff>
    </xdr:from>
    <xdr:to>
      <xdr:col>15</xdr:col>
      <xdr:colOff>592666</xdr:colOff>
      <xdr:row>1132</xdr:row>
      <xdr:rowOff>63501</xdr:rowOff>
    </xdr:to>
    <xdr:cxnSp macro="">
      <xdr:nvCxnSpPr>
        <xdr:cNvPr id="1767" name="Straight Arrow Connector 1766">
          <a:extLst>
            <a:ext uri="{FF2B5EF4-FFF2-40B4-BE49-F238E27FC236}">
              <a16:creationId xmlns:a16="http://schemas.microsoft.com/office/drawing/2014/main" id="{00000000-0008-0000-1300-0000E7060000}"/>
            </a:ext>
          </a:extLst>
        </xdr:cNvPr>
        <xdr:cNvCxnSpPr/>
      </xdr:nvCxnSpPr>
      <xdr:spPr>
        <a:xfrm>
          <a:off x="10572750" y="1299739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1123</xdr:row>
      <xdr:rowOff>52917</xdr:rowOff>
    </xdr:from>
    <xdr:to>
      <xdr:col>15</xdr:col>
      <xdr:colOff>603250</xdr:colOff>
      <xdr:row>1125</xdr:row>
      <xdr:rowOff>148167</xdr:rowOff>
    </xdr:to>
    <xdr:cxnSp macro="">
      <xdr:nvCxnSpPr>
        <xdr:cNvPr id="1768" name="Straight Arrow Connector 1767">
          <a:extLst>
            <a:ext uri="{FF2B5EF4-FFF2-40B4-BE49-F238E27FC236}">
              <a16:creationId xmlns:a16="http://schemas.microsoft.com/office/drawing/2014/main" id="{00000000-0008-0000-1300-0000E8060000}"/>
            </a:ext>
          </a:extLst>
        </xdr:cNvPr>
        <xdr:cNvCxnSpPr/>
      </xdr:nvCxnSpPr>
      <xdr:spPr>
        <a:xfrm flipV="1">
          <a:off x="10583333" y="1294024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31750</xdr:colOff>
      <xdr:row>1034</xdr:row>
      <xdr:rowOff>127000</xdr:rowOff>
    </xdr:from>
    <xdr:to>
      <xdr:col>8</xdr:col>
      <xdr:colOff>63500</xdr:colOff>
      <xdr:row>1053</xdr:row>
      <xdr:rowOff>0</xdr:rowOff>
    </xdr:to>
    <xdr:cxnSp macro="">
      <xdr:nvCxnSpPr>
        <xdr:cNvPr id="1769" name="Straight Arrow Connector 1768">
          <a:extLst>
            <a:ext uri="{FF2B5EF4-FFF2-40B4-BE49-F238E27FC236}">
              <a16:creationId xmlns:a16="http://schemas.microsoft.com/office/drawing/2014/main" id="{00000000-0008-0000-1300-0000E9060000}"/>
            </a:ext>
          </a:extLst>
        </xdr:cNvPr>
        <xdr:cNvCxnSpPr/>
      </xdr:nvCxnSpPr>
      <xdr:spPr>
        <a:xfrm flipV="1">
          <a:off x="5207000" y="112141000"/>
          <a:ext cx="635000" cy="3587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825500</xdr:colOff>
      <xdr:row>1171</xdr:row>
      <xdr:rowOff>1</xdr:rowOff>
    </xdr:from>
    <xdr:to>
      <xdr:col>6</xdr:col>
      <xdr:colOff>0</xdr:colOff>
      <xdr:row>1205</xdr:row>
      <xdr:rowOff>116417</xdr:rowOff>
    </xdr:to>
    <xdr:cxnSp macro="">
      <xdr:nvCxnSpPr>
        <xdr:cNvPr id="1770" name="Straight Arrow Connector 1769">
          <a:extLst>
            <a:ext uri="{FF2B5EF4-FFF2-40B4-BE49-F238E27FC236}">
              <a16:creationId xmlns:a16="http://schemas.microsoft.com/office/drawing/2014/main" id="{00000000-0008-0000-1300-0000EA060000}"/>
            </a:ext>
          </a:extLst>
        </xdr:cNvPr>
        <xdr:cNvCxnSpPr/>
      </xdr:nvCxnSpPr>
      <xdr:spPr>
        <a:xfrm flipV="1">
          <a:off x="3714750" y="138684001"/>
          <a:ext cx="666750" cy="65934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21167</xdr:colOff>
      <xdr:row>1208</xdr:row>
      <xdr:rowOff>169334</xdr:rowOff>
    </xdr:from>
    <xdr:to>
      <xdr:col>5</xdr:col>
      <xdr:colOff>571500</xdr:colOff>
      <xdr:row>1277</xdr:row>
      <xdr:rowOff>0</xdr:rowOff>
    </xdr:to>
    <xdr:cxnSp macro="">
      <xdr:nvCxnSpPr>
        <xdr:cNvPr id="1771" name="Straight Arrow Connector 1770">
          <a:extLst>
            <a:ext uri="{FF2B5EF4-FFF2-40B4-BE49-F238E27FC236}">
              <a16:creationId xmlns:a16="http://schemas.microsoft.com/office/drawing/2014/main" id="{00000000-0008-0000-1300-0000EB060000}"/>
            </a:ext>
          </a:extLst>
        </xdr:cNvPr>
        <xdr:cNvCxnSpPr/>
      </xdr:nvCxnSpPr>
      <xdr:spPr>
        <a:xfrm>
          <a:off x="3799417" y="145901834"/>
          <a:ext cx="550333" cy="133244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1146</xdr:row>
      <xdr:rowOff>148167</xdr:rowOff>
    </xdr:from>
    <xdr:to>
      <xdr:col>7</xdr:col>
      <xdr:colOff>603250</xdr:colOff>
      <xdr:row>1168</xdr:row>
      <xdr:rowOff>31750</xdr:rowOff>
    </xdr:to>
    <xdr:cxnSp macro="">
      <xdr:nvCxnSpPr>
        <xdr:cNvPr id="1772" name="Straight Arrow Connector 1771">
          <a:extLst>
            <a:ext uri="{FF2B5EF4-FFF2-40B4-BE49-F238E27FC236}">
              <a16:creationId xmlns:a16="http://schemas.microsoft.com/office/drawing/2014/main" id="{00000000-0008-0000-1300-0000EC060000}"/>
            </a:ext>
          </a:extLst>
        </xdr:cNvPr>
        <xdr:cNvCxnSpPr/>
      </xdr:nvCxnSpPr>
      <xdr:spPr>
        <a:xfrm flipV="1">
          <a:off x="5175250" y="133879167"/>
          <a:ext cx="603250" cy="42650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1171</xdr:row>
      <xdr:rowOff>10584</xdr:rowOff>
    </xdr:from>
    <xdr:to>
      <xdr:col>8</xdr:col>
      <xdr:colOff>21167</xdr:colOff>
      <xdr:row>1199</xdr:row>
      <xdr:rowOff>148166</xdr:rowOff>
    </xdr:to>
    <xdr:cxnSp macro="">
      <xdr:nvCxnSpPr>
        <xdr:cNvPr id="1773" name="Straight Arrow Connector 1772">
          <a:extLst>
            <a:ext uri="{FF2B5EF4-FFF2-40B4-BE49-F238E27FC236}">
              <a16:creationId xmlns:a16="http://schemas.microsoft.com/office/drawing/2014/main" id="{00000000-0008-0000-1300-0000ED060000}"/>
            </a:ext>
          </a:extLst>
        </xdr:cNvPr>
        <xdr:cNvCxnSpPr/>
      </xdr:nvCxnSpPr>
      <xdr:spPr>
        <a:xfrm>
          <a:off x="5175250" y="138694584"/>
          <a:ext cx="624417" cy="547158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1138</xdr:row>
      <xdr:rowOff>137583</xdr:rowOff>
    </xdr:from>
    <xdr:to>
      <xdr:col>9</xdr:col>
      <xdr:colOff>603250</xdr:colOff>
      <xdr:row>1144</xdr:row>
      <xdr:rowOff>21166</xdr:rowOff>
    </xdr:to>
    <xdr:cxnSp macro="">
      <xdr:nvCxnSpPr>
        <xdr:cNvPr id="1774" name="Straight Arrow Connector 1773">
          <a:extLst>
            <a:ext uri="{FF2B5EF4-FFF2-40B4-BE49-F238E27FC236}">
              <a16:creationId xmlns:a16="http://schemas.microsoft.com/office/drawing/2014/main" id="{00000000-0008-0000-1300-0000EE060000}"/>
            </a:ext>
          </a:extLst>
        </xdr:cNvPr>
        <xdr:cNvCxnSpPr/>
      </xdr:nvCxnSpPr>
      <xdr:spPr>
        <a:xfrm flipV="1">
          <a:off x="6381750" y="132344583"/>
          <a:ext cx="603250" cy="1026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1147</xdr:row>
      <xdr:rowOff>0</xdr:rowOff>
    </xdr:from>
    <xdr:to>
      <xdr:col>9</xdr:col>
      <xdr:colOff>582083</xdr:colOff>
      <xdr:row>1155</xdr:row>
      <xdr:rowOff>10583</xdr:rowOff>
    </xdr:to>
    <xdr:cxnSp macro="">
      <xdr:nvCxnSpPr>
        <xdr:cNvPr id="1775" name="Straight Arrow Connector 1774">
          <a:extLst>
            <a:ext uri="{FF2B5EF4-FFF2-40B4-BE49-F238E27FC236}">
              <a16:creationId xmlns:a16="http://schemas.microsoft.com/office/drawing/2014/main" id="{00000000-0008-0000-1300-0000EF060000}"/>
            </a:ext>
          </a:extLst>
        </xdr:cNvPr>
        <xdr:cNvCxnSpPr/>
      </xdr:nvCxnSpPr>
      <xdr:spPr>
        <a:xfrm>
          <a:off x="6413500" y="133921500"/>
          <a:ext cx="550333" cy="1534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21167</xdr:colOff>
      <xdr:row>1152</xdr:row>
      <xdr:rowOff>169333</xdr:rowOff>
    </xdr:from>
    <xdr:to>
      <xdr:col>11</xdr:col>
      <xdr:colOff>603250</xdr:colOff>
      <xdr:row>1155</xdr:row>
      <xdr:rowOff>21167</xdr:rowOff>
    </xdr:to>
    <xdr:cxnSp macro="">
      <xdr:nvCxnSpPr>
        <xdr:cNvPr id="1776" name="Straight Arrow Connector 1775">
          <a:extLst>
            <a:ext uri="{FF2B5EF4-FFF2-40B4-BE49-F238E27FC236}">
              <a16:creationId xmlns:a16="http://schemas.microsoft.com/office/drawing/2014/main" id="{00000000-0008-0000-1300-0000F0060000}"/>
            </a:ext>
          </a:extLst>
        </xdr:cNvPr>
        <xdr:cNvCxnSpPr/>
      </xdr:nvCxnSpPr>
      <xdr:spPr>
        <a:xfrm flipV="1">
          <a:off x="7609417" y="135043333"/>
          <a:ext cx="582083" cy="423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1158</xdr:row>
      <xdr:rowOff>42333</xdr:rowOff>
    </xdr:from>
    <xdr:to>
      <xdr:col>11</xdr:col>
      <xdr:colOff>603250</xdr:colOff>
      <xdr:row>1170</xdr:row>
      <xdr:rowOff>10583</xdr:rowOff>
    </xdr:to>
    <xdr:cxnSp macro="">
      <xdr:nvCxnSpPr>
        <xdr:cNvPr id="1777" name="Straight Arrow Connector 1776">
          <a:extLst>
            <a:ext uri="{FF2B5EF4-FFF2-40B4-BE49-F238E27FC236}">
              <a16:creationId xmlns:a16="http://schemas.microsoft.com/office/drawing/2014/main" id="{00000000-0008-0000-1300-0000F1060000}"/>
            </a:ext>
          </a:extLst>
        </xdr:cNvPr>
        <xdr:cNvCxnSpPr/>
      </xdr:nvCxnSpPr>
      <xdr:spPr>
        <a:xfrm>
          <a:off x="7598834" y="1360593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1148</xdr:row>
      <xdr:rowOff>21167</xdr:rowOff>
    </xdr:from>
    <xdr:to>
      <xdr:col>13</xdr:col>
      <xdr:colOff>592667</xdr:colOff>
      <xdr:row>1150</xdr:row>
      <xdr:rowOff>0</xdr:rowOff>
    </xdr:to>
    <xdr:cxnSp macro="">
      <xdr:nvCxnSpPr>
        <xdr:cNvPr id="1778" name="Straight Arrow Connector 1777">
          <a:extLst>
            <a:ext uri="{FF2B5EF4-FFF2-40B4-BE49-F238E27FC236}">
              <a16:creationId xmlns:a16="http://schemas.microsoft.com/office/drawing/2014/main" id="{00000000-0008-0000-1300-0000F2060000}"/>
            </a:ext>
          </a:extLst>
        </xdr:cNvPr>
        <xdr:cNvCxnSpPr/>
      </xdr:nvCxnSpPr>
      <xdr:spPr>
        <a:xfrm flipV="1">
          <a:off x="8794750" y="1341331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1153</xdr:row>
      <xdr:rowOff>21166</xdr:rowOff>
    </xdr:from>
    <xdr:to>
      <xdr:col>13</xdr:col>
      <xdr:colOff>592667</xdr:colOff>
      <xdr:row>1154</xdr:row>
      <xdr:rowOff>169334</xdr:rowOff>
    </xdr:to>
    <xdr:cxnSp macro="">
      <xdr:nvCxnSpPr>
        <xdr:cNvPr id="1779" name="Straight Arrow Connector 1778">
          <a:extLst>
            <a:ext uri="{FF2B5EF4-FFF2-40B4-BE49-F238E27FC236}">
              <a16:creationId xmlns:a16="http://schemas.microsoft.com/office/drawing/2014/main" id="{00000000-0008-0000-1300-0000F3060000}"/>
            </a:ext>
          </a:extLst>
        </xdr:cNvPr>
        <xdr:cNvCxnSpPr/>
      </xdr:nvCxnSpPr>
      <xdr:spPr>
        <a:xfrm>
          <a:off x="8784166" y="1350856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1168</xdr:row>
      <xdr:rowOff>21167</xdr:rowOff>
    </xdr:from>
    <xdr:to>
      <xdr:col>13</xdr:col>
      <xdr:colOff>592667</xdr:colOff>
      <xdr:row>1170</xdr:row>
      <xdr:rowOff>63500</xdr:rowOff>
    </xdr:to>
    <xdr:cxnSp macro="">
      <xdr:nvCxnSpPr>
        <xdr:cNvPr id="1780" name="Straight Arrow Connector 1779">
          <a:extLst>
            <a:ext uri="{FF2B5EF4-FFF2-40B4-BE49-F238E27FC236}">
              <a16:creationId xmlns:a16="http://schemas.microsoft.com/office/drawing/2014/main" id="{00000000-0008-0000-1300-0000F4060000}"/>
            </a:ext>
          </a:extLst>
        </xdr:cNvPr>
        <xdr:cNvCxnSpPr/>
      </xdr:nvCxnSpPr>
      <xdr:spPr>
        <a:xfrm flipV="1">
          <a:off x="8794750" y="1381336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1173</xdr:row>
      <xdr:rowOff>0</xdr:rowOff>
    </xdr:from>
    <xdr:to>
      <xdr:col>14</xdr:col>
      <xdr:colOff>10584</xdr:colOff>
      <xdr:row>1181</xdr:row>
      <xdr:rowOff>148167</xdr:rowOff>
    </xdr:to>
    <xdr:cxnSp macro="">
      <xdr:nvCxnSpPr>
        <xdr:cNvPr id="1781" name="Straight Arrow Connector 1780">
          <a:extLst>
            <a:ext uri="{FF2B5EF4-FFF2-40B4-BE49-F238E27FC236}">
              <a16:creationId xmlns:a16="http://schemas.microsoft.com/office/drawing/2014/main" id="{00000000-0008-0000-1300-0000F5060000}"/>
            </a:ext>
          </a:extLst>
        </xdr:cNvPr>
        <xdr:cNvCxnSpPr/>
      </xdr:nvCxnSpPr>
      <xdr:spPr>
        <a:xfrm>
          <a:off x="8805333" y="1390650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1140</xdr:row>
      <xdr:rowOff>0</xdr:rowOff>
    </xdr:from>
    <xdr:to>
      <xdr:col>15</xdr:col>
      <xdr:colOff>603250</xdr:colOff>
      <xdr:row>1145</xdr:row>
      <xdr:rowOff>31750</xdr:rowOff>
    </xdr:to>
    <xdr:cxnSp macro="">
      <xdr:nvCxnSpPr>
        <xdr:cNvPr id="1782" name="Straight Arrow Connector 1781">
          <a:extLst>
            <a:ext uri="{FF2B5EF4-FFF2-40B4-BE49-F238E27FC236}">
              <a16:creationId xmlns:a16="http://schemas.microsoft.com/office/drawing/2014/main" id="{00000000-0008-0000-1300-0000F6060000}"/>
            </a:ext>
          </a:extLst>
        </xdr:cNvPr>
        <xdr:cNvCxnSpPr/>
      </xdr:nvCxnSpPr>
      <xdr:spPr>
        <a:xfrm flipV="1">
          <a:off x="10541000" y="132588000"/>
          <a:ext cx="603250" cy="984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1143</xdr:row>
      <xdr:rowOff>52917</xdr:rowOff>
    </xdr:from>
    <xdr:to>
      <xdr:col>15</xdr:col>
      <xdr:colOff>603250</xdr:colOff>
      <xdr:row>1145</xdr:row>
      <xdr:rowOff>95250</xdr:rowOff>
    </xdr:to>
    <xdr:cxnSp macro="">
      <xdr:nvCxnSpPr>
        <xdr:cNvPr id="1783" name="Straight Arrow Connector 1782">
          <a:extLst>
            <a:ext uri="{FF2B5EF4-FFF2-40B4-BE49-F238E27FC236}">
              <a16:creationId xmlns:a16="http://schemas.microsoft.com/office/drawing/2014/main" id="{00000000-0008-0000-1300-0000F7060000}"/>
            </a:ext>
          </a:extLst>
        </xdr:cNvPr>
        <xdr:cNvCxnSpPr/>
      </xdr:nvCxnSpPr>
      <xdr:spPr>
        <a:xfrm flipV="1">
          <a:off x="10583333" y="133212417"/>
          <a:ext cx="56091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1145</xdr:row>
      <xdr:rowOff>158750</xdr:rowOff>
    </xdr:from>
    <xdr:to>
      <xdr:col>15</xdr:col>
      <xdr:colOff>582083</xdr:colOff>
      <xdr:row>1146</xdr:row>
      <xdr:rowOff>137583</xdr:rowOff>
    </xdr:to>
    <xdr:cxnSp macro="">
      <xdr:nvCxnSpPr>
        <xdr:cNvPr id="1784" name="Straight Arrow Connector 1783">
          <a:extLst>
            <a:ext uri="{FF2B5EF4-FFF2-40B4-BE49-F238E27FC236}">
              <a16:creationId xmlns:a16="http://schemas.microsoft.com/office/drawing/2014/main" id="{00000000-0008-0000-1300-0000F8060000}"/>
            </a:ext>
          </a:extLst>
        </xdr:cNvPr>
        <xdr:cNvCxnSpPr/>
      </xdr:nvCxnSpPr>
      <xdr:spPr>
        <a:xfrm>
          <a:off x="10604500" y="133699250"/>
          <a:ext cx="518583" cy="169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1121834</xdr:colOff>
      <xdr:row>1145</xdr:row>
      <xdr:rowOff>105834</xdr:rowOff>
    </xdr:from>
    <xdr:to>
      <xdr:col>16</xdr:col>
      <xdr:colOff>0</xdr:colOff>
      <xdr:row>1149</xdr:row>
      <xdr:rowOff>84667</xdr:rowOff>
    </xdr:to>
    <xdr:cxnSp macro="">
      <xdr:nvCxnSpPr>
        <xdr:cNvPr id="1785" name="Straight Arrow Connector 1784">
          <a:extLst>
            <a:ext uri="{FF2B5EF4-FFF2-40B4-BE49-F238E27FC236}">
              <a16:creationId xmlns:a16="http://schemas.microsoft.com/office/drawing/2014/main" id="{00000000-0008-0000-1300-0000F9060000}"/>
            </a:ext>
          </a:extLst>
        </xdr:cNvPr>
        <xdr:cNvCxnSpPr/>
      </xdr:nvCxnSpPr>
      <xdr:spPr>
        <a:xfrm>
          <a:off x="10519834" y="133646334"/>
          <a:ext cx="624416"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1153</xdr:row>
      <xdr:rowOff>52916</xdr:rowOff>
    </xdr:from>
    <xdr:to>
      <xdr:col>16</xdr:col>
      <xdr:colOff>0</xdr:colOff>
      <xdr:row>1155</xdr:row>
      <xdr:rowOff>0</xdr:rowOff>
    </xdr:to>
    <xdr:cxnSp macro="">
      <xdr:nvCxnSpPr>
        <xdr:cNvPr id="1786" name="Straight Arrow Connector 1785">
          <a:extLst>
            <a:ext uri="{FF2B5EF4-FFF2-40B4-BE49-F238E27FC236}">
              <a16:creationId xmlns:a16="http://schemas.microsoft.com/office/drawing/2014/main" id="{00000000-0008-0000-1300-0000FA060000}"/>
            </a:ext>
          </a:extLst>
        </xdr:cNvPr>
        <xdr:cNvCxnSpPr/>
      </xdr:nvCxnSpPr>
      <xdr:spPr>
        <a:xfrm flipV="1">
          <a:off x="10541000" y="1351174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1155</xdr:row>
      <xdr:rowOff>21167</xdr:rowOff>
    </xdr:from>
    <xdr:to>
      <xdr:col>15</xdr:col>
      <xdr:colOff>582083</xdr:colOff>
      <xdr:row>1156</xdr:row>
      <xdr:rowOff>42333</xdr:rowOff>
    </xdr:to>
    <xdr:cxnSp macro="">
      <xdr:nvCxnSpPr>
        <xdr:cNvPr id="1787" name="Straight Arrow Connector 1786">
          <a:extLst>
            <a:ext uri="{FF2B5EF4-FFF2-40B4-BE49-F238E27FC236}">
              <a16:creationId xmlns:a16="http://schemas.microsoft.com/office/drawing/2014/main" id="{00000000-0008-0000-1300-0000FB060000}"/>
            </a:ext>
          </a:extLst>
        </xdr:cNvPr>
        <xdr:cNvCxnSpPr/>
      </xdr:nvCxnSpPr>
      <xdr:spPr>
        <a:xfrm>
          <a:off x="10551583" y="135466667"/>
          <a:ext cx="571500" cy="211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1155</xdr:row>
      <xdr:rowOff>21167</xdr:rowOff>
    </xdr:from>
    <xdr:to>
      <xdr:col>16</xdr:col>
      <xdr:colOff>42333</xdr:colOff>
      <xdr:row>1160</xdr:row>
      <xdr:rowOff>21168</xdr:rowOff>
    </xdr:to>
    <xdr:cxnSp macro="">
      <xdr:nvCxnSpPr>
        <xdr:cNvPr id="1788" name="Straight Arrow Connector 1787">
          <a:extLst>
            <a:ext uri="{FF2B5EF4-FFF2-40B4-BE49-F238E27FC236}">
              <a16:creationId xmlns:a16="http://schemas.microsoft.com/office/drawing/2014/main" id="{00000000-0008-0000-1300-0000FC060000}"/>
            </a:ext>
          </a:extLst>
        </xdr:cNvPr>
        <xdr:cNvCxnSpPr/>
      </xdr:nvCxnSpPr>
      <xdr:spPr>
        <a:xfrm>
          <a:off x="10530417" y="135466667"/>
          <a:ext cx="656166" cy="9525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1155</xdr:row>
      <xdr:rowOff>31750</xdr:rowOff>
    </xdr:from>
    <xdr:to>
      <xdr:col>16</xdr:col>
      <xdr:colOff>42334</xdr:colOff>
      <xdr:row>1162</xdr:row>
      <xdr:rowOff>63501</xdr:rowOff>
    </xdr:to>
    <xdr:cxnSp macro="">
      <xdr:nvCxnSpPr>
        <xdr:cNvPr id="1789" name="Straight Arrow Connector 1788">
          <a:extLst>
            <a:ext uri="{FF2B5EF4-FFF2-40B4-BE49-F238E27FC236}">
              <a16:creationId xmlns:a16="http://schemas.microsoft.com/office/drawing/2014/main" id="{00000000-0008-0000-1300-0000FD060000}"/>
            </a:ext>
          </a:extLst>
        </xdr:cNvPr>
        <xdr:cNvCxnSpPr/>
      </xdr:nvCxnSpPr>
      <xdr:spPr>
        <a:xfrm>
          <a:off x="10541000" y="135477250"/>
          <a:ext cx="645584"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10583</xdr:colOff>
      <xdr:row>1192</xdr:row>
      <xdr:rowOff>42333</xdr:rowOff>
    </xdr:from>
    <xdr:to>
      <xdr:col>9</xdr:col>
      <xdr:colOff>592666</xdr:colOff>
      <xdr:row>1200</xdr:row>
      <xdr:rowOff>42333</xdr:rowOff>
    </xdr:to>
    <xdr:cxnSp macro="">
      <xdr:nvCxnSpPr>
        <xdr:cNvPr id="1790" name="Straight Arrow Connector 1789">
          <a:extLst>
            <a:ext uri="{FF2B5EF4-FFF2-40B4-BE49-F238E27FC236}">
              <a16:creationId xmlns:a16="http://schemas.microsoft.com/office/drawing/2014/main" id="{00000000-0008-0000-1300-0000FE060000}"/>
            </a:ext>
          </a:extLst>
        </xdr:cNvPr>
        <xdr:cNvCxnSpPr/>
      </xdr:nvCxnSpPr>
      <xdr:spPr>
        <a:xfrm flipV="1">
          <a:off x="6392333" y="142726833"/>
          <a:ext cx="582083" cy="152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1202</xdr:row>
      <xdr:rowOff>169334</xdr:rowOff>
    </xdr:from>
    <xdr:to>
      <xdr:col>9</xdr:col>
      <xdr:colOff>603250</xdr:colOff>
      <xdr:row>1211</xdr:row>
      <xdr:rowOff>31750</xdr:rowOff>
    </xdr:to>
    <xdr:cxnSp macro="">
      <xdr:nvCxnSpPr>
        <xdr:cNvPr id="1791" name="Straight Arrow Connector 1790">
          <a:extLst>
            <a:ext uri="{FF2B5EF4-FFF2-40B4-BE49-F238E27FC236}">
              <a16:creationId xmlns:a16="http://schemas.microsoft.com/office/drawing/2014/main" id="{00000000-0008-0000-1300-0000FF060000}"/>
            </a:ext>
          </a:extLst>
        </xdr:cNvPr>
        <xdr:cNvCxnSpPr/>
      </xdr:nvCxnSpPr>
      <xdr:spPr>
        <a:xfrm>
          <a:off x="6413500" y="144758834"/>
          <a:ext cx="571500" cy="1576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571500</xdr:colOff>
      <xdr:row>1208</xdr:row>
      <xdr:rowOff>158750</xdr:rowOff>
    </xdr:from>
    <xdr:to>
      <xdr:col>11</xdr:col>
      <xdr:colOff>571500</xdr:colOff>
      <xdr:row>1211</xdr:row>
      <xdr:rowOff>0</xdr:rowOff>
    </xdr:to>
    <xdr:cxnSp macro="">
      <xdr:nvCxnSpPr>
        <xdr:cNvPr id="1792" name="Straight Arrow Connector 1791">
          <a:extLst>
            <a:ext uri="{FF2B5EF4-FFF2-40B4-BE49-F238E27FC236}">
              <a16:creationId xmlns:a16="http://schemas.microsoft.com/office/drawing/2014/main" id="{00000000-0008-0000-1300-000000070000}"/>
            </a:ext>
          </a:extLst>
        </xdr:cNvPr>
        <xdr:cNvCxnSpPr/>
      </xdr:nvCxnSpPr>
      <xdr:spPr>
        <a:xfrm flipV="1">
          <a:off x="7556500" y="145891250"/>
          <a:ext cx="603250" cy="412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1166</xdr:row>
      <xdr:rowOff>0</xdr:rowOff>
    </xdr:from>
    <xdr:to>
      <xdr:col>15</xdr:col>
      <xdr:colOff>603250</xdr:colOff>
      <xdr:row>1168</xdr:row>
      <xdr:rowOff>1</xdr:rowOff>
    </xdr:to>
    <xdr:cxnSp macro="">
      <xdr:nvCxnSpPr>
        <xdr:cNvPr id="1793" name="Straight Arrow Connector 1792">
          <a:extLst>
            <a:ext uri="{FF2B5EF4-FFF2-40B4-BE49-F238E27FC236}">
              <a16:creationId xmlns:a16="http://schemas.microsoft.com/office/drawing/2014/main" id="{00000000-0008-0000-1300-000001070000}"/>
            </a:ext>
          </a:extLst>
        </xdr:cNvPr>
        <xdr:cNvCxnSpPr/>
      </xdr:nvCxnSpPr>
      <xdr:spPr>
        <a:xfrm flipV="1">
          <a:off x="10530417" y="1377315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1168</xdr:row>
      <xdr:rowOff>10584</xdr:rowOff>
    </xdr:from>
    <xdr:to>
      <xdr:col>15</xdr:col>
      <xdr:colOff>592666</xdr:colOff>
      <xdr:row>1169</xdr:row>
      <xdr:rowOff>95250</xdr:rowOff>
    </xdr:to>
    <xdr:cxnSp macro="">
      <xdr:nvCxnSpPr>
        <xdr:cNvPr id="1794" name="Straight Arrow Connector 1793">
          <a:extLst>
            <a:ext uri="{FF2B5EF4-FFF2-40B4-BE49-F238E27FC236}">
              <a16:creationId xmlns:a16="http://schemas.microsoft.com/office/drawing/2014/main" id="{00000000-0008-0000-1300-000002070000}"/>
            </a:ext>
          </a:extLst>
        </xdr:cNvPr>
        <xdr:cNvCxnSpPr/>
      </xdr:nvCxnSpPr>
      <xdr:spPr>
        <a:xfrm>
          <a:off x="10572750" y="1381230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1168</xdr:row>
      <xdr:rowOff>10584</xdr:rowOff>
    </xdr:from>
    <xdr:to>
      <xdr:col>15</xdr:col>
      <xdr:colOff>560916</xdr:colOff>
      <xdr:row>1172</xdr:row>
      <xdr:rowOff>52917</xdr:rowOff>
    </xdr:to>
    <xdr:cxnSp macro="">
      <xdr:nvCxnSpPr>
        <xdr:cNvPr id="1795" name="Straight Arrow Connector 1794">
          <a:extLst>
            <a:ext uri="{FF2B5EF4-FFF2-40B4-BE49-F238E27FC236}">
              <a16:creationId xmlns:a16="http://schemas.microsoft.com/office/drawing/2014/main" id="{00000000-0008-0000-1300-000003070000}"/>
            </a:ext>
          </a:extLst>
        </xdr:cNvPr>
        <xdr:cNvCxnSpPr/>
      </xdr:nvCxnSpPr>
      <xdr:spPr>
        <a:xfrm>
          <a:off x="10551583" y="1381230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1168</xdr:row>
      <xdr:rowOff>31750</xdr:rowOff>
    </xdr:from>
    <xdr:to>
      <xdr:col>16</xdr:col>
      <xdr:colOff>21167</xdr:colOff>
      <xdr:row>1175</xdr:row>
      <xdr:rowOff>95250</xdr:rowOff>
    </xdr:to>
    <xdr:cxnSp macro="">
      <xdr:nvCxnSpPr>
        <xdr:cNvPr id="1796" name="Straight Arrow Connector 1795">
          <a:extLst>
            <a:ext uri="{FF2B5EF4-FFF2-40B4-BE49-F238E27FC236}">
              <a16:creationId xmlns:a16="http://schemas.microsoft.com/office/drawing/2014/main" id="{00000000-0008-0000-1300-000004070000}"/>
            </a:ext>
          </a:extLst>
        </xdr:cNvPr>
        <xdr:cNvCxnSpPr/>
      </xdr:nvCxnSpPr>
      <xdr:spPr>
        <a:xfrm>
          <a:off x="10583333" y="1381442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1182</xdr:row>
      <xdr:rowOff>0</xdr:rowOff>
    </xdr:from>
    <xdr:to>
      <xdr:col>16</xdr:col>
      <xdr:colOff>0</xdr:colOff>
      <xdr:row>1182</xdr:row>
      <xdr:rowOff>42334</xdr:rowOff>
    </xdr:to>
    <xdr:cxnSp macro="">
      <xdr:nvCxnSpPr>
        <xdr:cNvPr id="1797" name="Straight Arrow Connector 1796">
          <a:extLst>
            <a:ext uri="{FF2B5EF4-FFF2-40B4-BE49-F238E27FC236}">
              <a16:creationId xmlns:a16="http://schemas.microsoft.com/office/drawing/2014/main" id="{00000000-0008-0000-1300-000005070000}"/>
            </a:ext>
          </a:extLst>
        </xdr:cNvPr>
        <xdr:cNvCxnSpPr/>
      </xdr:nvCxnSpPr>
      <xdr:spPr>
        <a:xfrm>
          <a:off x="10562166" y="1407795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1182</xdr:row>
      <xdr:rowOff>21166</xdr:rowOff>
    </xdr:from>
    <xdr:to>
      <xdr:col>15</xdr:col>
      <xdr:colOff>560916</xdr:colOff>
      <xdr:row>1185</xdr:row>
      <xdr:rowOff>84667</xdr:rowOff>
    </xdr:to>
    <xdr:cxnSp macro="">
      <xdr:nvCxnSpPr>
        <xdr:cNvPr id="1798" name="Straight Arrow Connector 1797">
          <a:extLst>
            <a:ext uri="{FF2B5EF4-FFF2-40B4-BE49-F238E27FC236}">
              <a16:creationId xmlns:a16="http://schemas.microsoft.com/office/drawing/2014/main" id="{00000000-0008-0000-1300-000006070000}"/>
            </a:ext>
          </a:extLst>
        </xdr:cNvPr>
        <xdr:cNvCxnSpPr/>
      </xdr:nvCxnSpPr>
      <xdr:spPr>
        <a:xfrm>
          <a:off x="10615083" y="1408006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1182</xdr:row>
      <xdr:rowOff>52916</xdr:rowOff>
    </xdr:from>
    <xdr:to>
      <xdr:col>15</xdr:col>
      <xdr:colOff>592666</xdr:colOff>
      <xdr:row>1188</xdr:row>
      <xdr:rowOff>63501</xdr:rowOff>
    </xdr:to>
    <xdr:cxnSp macro="">
      <xdr:nvCxnSpPr>
        <xdr:cNvPr id="1799" name="Straight Arrow Connector 1798">
          <a:extLst>
            <a:ext uri="{FF2B5EF4-FFF2-40B4-BE49-F238E27FC236}">
              <a16:creationId xmlns:a16="http://schemas.microsoft.com/office/drawing/2014/main" id="{00000000-0008-0000-1300-000007070000}"/>
            </a:ext>
          </a:extLst>
        </xdr:cNvPr>
        <xdr:cNvCxnSpPr/>
      </xdr:nvCxnSpPr>
      <xdr:spPr>
        <a:xfrm>
          <a:off x="10572750" y="1408324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1196</xdr:row>
      <xdr:rowOff>116416</xdr:rowOff>
    </xdr:from>
    <xdr:to>
      <xdr:col>15</xdr:col>
      <xdr:colOff>592666</xdr:colOff>
      <xdr:row>1199</xdr:row>
      <xdr:rowOff>158750</xdr:rowOff>
    </xdr:to>
    <xdr:cxnSp macro="">
      <xdr:nvCxnSpPr>
        <xdr:cNvPr id="1800" name="Straight Arrow Connector 1799">
          <a:extLst>
            <a:ext uri="{FF2B5EF4-FFF2-40B4-BE49-F238E27FC236}">
              <a16:creationId xmlns:a16="http://schemas.microsoft.com/office/drawing/2014/main" id="{00000000-0008-0000-1300-000008070000}"/>
            </a:ext>
          </a:extLst>
        </xdr:cNvPr>
        <xdr:cNvCxnSpPr/>
      </xdr:nvCxnSpPr>
      <xdr:spPr>
        <a:xfrm flipV="1">
          <a:off x="10562166" y="143562916"/>
          <a:ext cx="571500" cy="613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1198</xdr:row>
      <xdr:rowOff>95250</xdr:rowOff>
    </xdr:from>
    <xdr:to>
      <xdr:col>15</xdr:col>
      <xdr:colOff>582083</xdr:colOff>
      <xdr:row>1200</xdr:row>
      <xdr:rowOff>52917</xdr:rowOff>
    </xdr:to>
    <xdr:cxnSp macro="">
      <xdr:nvCxnSpPr>
        <xdr:cNvPr id="1801" name="Straight Arrow Connector 1800">
          <a:extLst>
            <a:ext uri="{FF2B5EF4-FFF2-40B4-BE49-F238E27FC236}">
              <a16:creationId xmlns:a16="http://schemas.microsoft.com/office/drawing/2014/main" id="{00000000-0008-0000-1300-000009070000}"/>
            </a:ext>
          </a:extLst>
        </xdr:cNvPr>
        <xdr:cNvCxnSpPr/>
      </xdr:nvCxnSpPr>
      <xdr:spPr>
        <a:xfrm flipV="1">
          <a:off x="10604500" y="143922750"/>
          <a:ext cx="518583" cy="338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1200</xdr:row>
      <xdr:rowOff>116417</xdr:rowOff>
    </xdr:from>
    <xdr:to>
      <xdr:col>15</xdr:col>
      <xdr:colOff>592666</xdr:colOff>
      <xdr:row>1204</xdr:row>
      <xdr:rowOff>95250</xdr:rowOff>
    </xdr:to>
    <xdr:cxnSp macro="">
      <xdr:nvCxnSpPr>
        <xdr:cNvPr id="1802" name="Straight Arrow Connector 1801">
          <a:extLst>
            <a:ext uri="{FF2B5EF4-FFF2-40B4-BE49-F238E27FC236}">
              <a16:creationId xmlns:a16="http://schemas.microsoft.com/office/drawing/2014/main" id="{00000000-0008-0000-1300-00000A070000}"/>
            </a:ext>
          </a:extLst>
        </xdr:cNvPr>
        <xdr:cNvCxnSpPr/>
      </xdr:nvCxnSpPr>
      <xdr:spPr>
        <a:xfrm>
          <a:off x="10593916" y="144324917"/>
          <a:ext cx="53975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1211</xdr:row>
      <xdr:rowOff>116416</xdr:rowOff>
    </xdr:from>
    <xdr:to>
      <xdr:col>16</xdr:col>
      <xdr:colOff>0</xdr:colOff>
      <xdr:row>1218</xdr:row>
      <xdr:rowOff>74084</xdr:rowOff>
    </xdr:to>
    <xdr:cxnSp macro="">
      <xdr:nvCxnSpPr>
        <xdr:cNvPr id="1803" name="Straight Arrow Connector 1802">
          <a:extLst>
            <a:ext uri="{FF2B5EF4-FFF2-40B4-BE49-F238E27FC236}">
              <a16:creationId xmlns:a16="http://schemas.microsoft.com/office/drawing/2014/main" id="{00000000-0008-0000-1300-00000B070000}"/>
            </a:ext>
          </a:extLst>
        </xdr:cNvPr>
        <xdr:cNvCxnSpPr/>
      </xdr:nvCxnSpPr>
      <xdr:spPr>
        <a:xfrm>
          <a:off x="10572750" y="146420416"/>
          <a:ext cx="571500" cy="12911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1179</xdr:row>
      <xdr:rowOff>52917</xdr:rowOff>
    </xdr:from>
    <xdr:to>
      <xdr:col>15</xdr:col>
      <xdr:colOff>603250</xdr:colOff>
      <xdr:row>1181</xdr:row>
      <xdr:rowOff>148167</xdr:rowOff>
    </xdr:to>
    <xdr:cxnSp macro="">
      <xdr:nvCxnSpPr>
        <xdr:cNvPr id="1804" name="Straight Arrow Connector 1803">
          <a:extLst>
            <a:ext uri="{FF2B5EF4-FFF2-40B4-BE49-F238E27FC236}">
              <a16:creationId xmlns:a16="http://schemas.microsoft.com/office/drawing/2014/main" id="{00000000-0008-0000-1300-00000C070000}"/>
            </a:ext>
          </a:extLst>
        </xdr:cNvPr>
        <xdr:cNvCxnSpPr/>
      </xdr:nvCxnSpPr>
      <xdr:spPr>
        <a:xfrm flipV="1">
          <a:off x="10583333" y="1402609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1214</xdr:row>
      <xdr:rowOff>42333</xdr:rowOff>
    </xdr:from>
    <xdr:to>
      <xdr:col>11</xdr:col>
      <xdr:colOff>603250</xdr:colOff>
      <xdr:row>1226</xdr:row>
      <xdr:rowOff>10583</xdr:rowOff>
    </xdr:to>
    <xdr:cxnSp macro="">
      <xdr:nvCxnSpPr>
        <xdr:cNvPr id="1805" name="Straight Arrow Connector 1804">
          <a:extLst>
            <a:ext uri="{FF2B5EF4-FFF2-40B4-BE49-F238E27FC236}">
              <a16:creationId xmlns:a16="http://schemas.microsoft.com/office/drawing/2014/main" id="{00000000-0008-0000-1300-00000D070000}"/>
            </a:ext>
          </a:extLst>
        </xdr:cNvPr>
        <xdr:cNvCxnSpPr/>
      </xdr:nvCxnSpPr>
      <xdr:spPr>
        <a:xfrm>
          <a:off x="7598834" y="1469178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1204</xdr:row>
      <xdr:rowOff>21167</xdr:rowOff>
    </xdr:from>
    <xdr:to>
      <xdr:col>13</xdr:col>
      <xdr:colOff>592667</xdr:colOff>
      <xdr:row>1206</xdr:row>
      <xdr:rowOff>0</xdr:rowOff>
    </xdr:to>
    <xdr:cxnSp macro="">
      <xdr:nvCxnSpPr>
        <xdr:cNvPr id="1806" name="Straight Arrow Connector 1805">
          <a:extLst>
            <a:ext uri="{FF2B5EF4-FFF2-40B4-BE49-F238E27FC236}">
              <a16:creationId xmlns:a16="http://schemas.microsoft.com/office/drawing/2014/main" id="{00000000-0008-0000-1300-00000E070000}"/>
            </a:ext>
          </a:extLst>
        </xdr:cNvPr>
        <xdr:cNvCxnSpPr/>
      </xdr:nvCxnSpPr>
      <xdr:spPr>
        <a:xfrm flipV="1">
          <a:off x="8794750" y="1449916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1209</xdr:row>
      <xdr:rowOff>21166</xdr:rowOff>
    </xdr:from>
    <xdr:to>
      <xdr:col>13</xdr:col>
      <xdr:colOff>592667</xdr:colOff>
      <xdr:row>1210</xdr:row>
      <xdr:rowOff>169334</xdr:rowOff>
    </xdr:to>
    <xdr:cxnSp macro="">
      <xdr:nvCxnSpPr>
        <xdr:cNvPr id="1807" name="Straight Arrow Connector 1806">
          <a:extLst>
            <a:ext uri="{FF2B5EF4-FFF2-40B4-BE49-F238E27FC236}">
              <a16:creationId xmlns:a16="http://schemas.microsoft.com/office/drawing/2014/main" id="{00000000-0008-0000-1300-00000F070000}"/>
            </a:ext>
          </a:extLst>
        </xdr:cNvPr>
        <xdr:cNvCxnSpPr/>
      </xdr:nvCxnSpPr>
      <xdr:spPr>
        <a:xfrm>
          <a:off x="8784166" y="1459441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1224</xdr:row>
      <xdr:rowOff>21167</xdr:rowOff>
    </xdr:from>
    <xdr:to>
      <xdr:col>13</xdr:col>
      <xdr:colOff>592667</xdr:colOff>
      <xdr:row>1226</xdr:row>
      <xdr:rowOff>63500</xdr:rowOff>
    </xdr:to>
    <xdr:cxnSp macro="">
      <xdr:nvCxnSpPr>
        <xdr:cNvPr id="1808" name="Straight Arrow Connector 1807">
          <a:extLst>
            <a:ext uri="{FF2B5EF4-FFF2-40B4-BE49-F238E27FC236}">
              <a16:creationId xmlns:a16="http://schemas.microsoft.com/office/drawing/2014/main" id="{00000000-0008-0000-1300-000010070000}"/>
            </a:ext>
          </a:extLst>
        </xdr:cNvPr>
        <xdr:cNvCxnSpPr/>
      </xdr:nvCxnSpPr>
      <xdr:spPr>
        <a:xfrm flipV="1">
          <a:off x="8794750" y="1489921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1229</xdr:row>
      <xdr:rowOff>0</xdr:rowOff>
    </xdr:from>
    <xdr:to>
      <xdr:col>14</xdr:col>
      <xdr:colOff>10584</xdr:colOff>
      <xdr:row>1237</xdr:row>
      <xdr:rowOff>148167</xdr:rowOff>
    </xdr:to>
    <xdr:cxnSp macro="">
      <xdr:nvCxnSpPr>
        <xdr:cNvPr id="1809" name="Straight Arrow Connector 1808">
          <a:extLst>
            <a:ext uri="{FF2B5EF4-FFF2-40B4-BE49-F238E27FC236}">
              <a16:creationId xmlns:a16="http://schemas.microsoft.com/office/drawing/2014/main" id="{00000000-0008-0000-1300-000011070000}"/>
            </a:ext>
          </a:extLst>
        </xdr:cNvPr>
        <xdr:cNvCxnSpPr/>
      </xdr:nvCxnSpPr>
      <xdr:spPr>
        <a:xfrm>
          <a:off x="8805333" y="1499235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1200</xdr:row>
      <xdr:rowOff>95250</xdr:rowOff>
    </xdr:from>
    <xdr:to>
      <xdr:col>15</xdr:col>
      <xdr:colOff>582083</xdr:colOff>
      <xdr:row>1202</xdr:row>
      <xdr:rowOff>137583</xdr:rowOff>
    </xdr:to>
    <xdr:cxnSp macro="">
      <xdr:nvCxnSpPr>
        <xdr:cNvPr id="1810" name="Straight Arrow Connector 1809">
          <a:extLst>
            <a:ext uri="{FF2B5EF4-FFF2-40B4-BE49-F238E27FC236}">
              <a16:creationId xmlns:a16="http://schemas.microsoft.com/office/drawing/2014/main" id="{00000000-0008-0000-1300-000012070000}"/>
            </a:ext>
          </a:extLst>
        </xdr:cNvPr>
        <xdr:cNvCxnSpPr/>
      </xdr:nvCxnSpPr>
      <xdr:spPr>
        <a:xfrm>
          <a:off x="10593916" y="144303750"/>
          <a:ext cx="5291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1209</xdr:row>
      <xdr:rowOff>52916</xdr:rowOff>
    </xdr:from>
    <xdr:to>
      <xdr:col>16</xdr:col>
      <xdr:colOff>0</xdr:colOff>
      <xdr:row>1211</xdr:row>
      <xdr:rowOff>0</xdr:rowOff>
    </xdr:to>
    <xdr:cxnSp macro="">
      <xdr:nvCxnSpPr>
        <xdr:cNvPr id="1811" name="Straight Arrow Connector 1810">
          <a:extLst>
            <a:ext uri="{FF2B5EF4-FFF2-40B4-BE49-F238E27FC236}">
              <a16:creationId xmlns:a16="http://schemas.microsoft.com/office/drawing/2014/main" id="{00000000-0008-0000-1300-000013070000}"/>
            </a:ext>
          </a:extLst>
        </xdr:cNvPr>
        <xdr:cNvCxnSpPr/>
      </xdr:nvCxnSpPr>
      <xdr:spPr>
        <a:xfrm flipV="1">
          <a:off x="10541000" y="1459759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1211</xdr:row>
      <xdr:rowOff>21167</xdr:rowOff>
    </xdr:from>
    <xdr:to>
      <xdr:col>15</xdr:col>
      <xdr:colOff>592666</xdr:colOff>
      <xdr:row>1212</xdr:row>
      <xdr:rowOff>84667</xdr:rowOff>
    </xdr:to>
    <xdr:cxnSp macro="">
      <xdr:nvCxnSpPr>
        <xdr:cNvPr id="1812" name="Straight Arrow Connector 1811">
          <a:extLst>
            <a:ext uri="{FF2B5EF4-FFF2-40B4-BE49-F238E27FC236}">
              <a16:creationId xmlns:a16="http://schemas.microsoft.com/office/drawing/2014/main" id="{00000000-0008-0000-1300-000014070000}"/>
            </a:ext>
          </a:extLst>
        </xdr:cNvPr>
        <xdr:cNvCxnSpPr/>
      </xdr:nvCxnSpPr>
      <xdr:spPr>
        <a:xfrm>
          <a:off x="10530417" y="146325167"/>
          <a:ext cx="603249" cy="25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1211</xdr:row>
      <xdr:rowOff>0</xdr:rowOff>
    </xdr:from>
    <xdr:to>
      <xdr:col>16</xdr:col>
      <xdr:colOff>0</xdr:colOff>
      <xdr:row>1215</xdr:row>
      <xdr:rowOff>42334</xdr:rowOff>
    </xdr:to>
    <xdr:cxnSp macro="">
      <xdr:nvCxnSpPr>
        <xdr:cNvPr id="1813" name="Straight Arrow Connector 1812">
          <a:extLst>
            <a:ext uri="{FF2B5EF4-FFF2-40B4-BE49-F238E27FC236}">
              <a16:creationId xmlns:a16="http://schemas.microsoft.com/office/drawing/2014/main" id="{00000000-0008-0000-1300-000015070000}"/>
            </a:ext>
          </a:extLst>
        </xdr:cNvPr>
        <xdr:cNvCxnSpPr/>
      </xdr:nvCxnSpPr>
      <xdr:spPr>
        <a:xfrm>
          <a:off x="10530417" y="146304000"/>
          <a:ext cx="613833" cy="804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1222</xdr:row>
      <xdr:rowOff>0</xdr:rowOff>
    </xdr:from>
    <xdr:to>
      <xdr:col>15</xdr:col>
      <xdr:colOff>603250</xdr:colOff>
      <xdr:row>1224</xdr:row>
      <xdr:rowOff>1</xdr:rowOff>
    </xdr:to>
    <xdr:cxnSp macro="">
      <xdr:nvCxnSpPr>
        <xdr:cNvPr id="1814" name="Straight Arrow Connector 1813">
          <a:extLst>
            <a:ext uri="{FF2B5EF4-FFF2-40B4-BE49-F238E27FC236}">
              <a16:creationId xmlns:a16="http://schemas.microsoft.com/office/drawing/2014/main" id="{00000000-0008-0000-1300-000016070000}"/>
            </a:ext>
          </a:extLst>
        </xdr:cNvPr>
        <xdr:cNvCxnSpPr/>
      </xdr:nvCxnSpPr>
      <xdr:spPr>
        <a:xfrm flipV="1">
          <a:off x="10530417" y="1485900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1224</xdr:row>
      <xdr:rowOff>10584</xdr:rowOff>
    </xdr:from>
    <xdr:to>
      <xdr:col>15</xdr:col>
      <xdr:colOff>592666</xdr:colOff>
      <xdr:row>1225</xdr:row>
      <xdr:rowOff>95250</xdr:rowOff>
    </xdr:to>
    <xdr:cxnSp macro="">
      <xdr:nvCxnSpPr>
        <xdr:cNvPr id="1815" name="Straight Arrow Connector 1814">
          <a:extLst>
            <a:ext uri="{FF2B5EF4-FFF2-40B4-BE49-F238E27FC236}">
              <a16:creationId xmlns:a16="http://schemas.microsoft.com/office/drawing/2014/main" id="{00000000-0008-0000-1300-000017070000}"/>
            </a:ext>
          </a:extLst>
        </xdr:cNvPr>
        <xdr:cNvCxnSpPr/>
      </xdr:nvCxnSpPr>
      <xdr:spPr>
        <a:xfrm>
          <a:off x="10572750" y="1489815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1224</xdr:row>
      <xdr:rowOff>10584</xdr:rowOff>
    </xdr:from>
    <xdr:to>
      <xdr:col>15</xdr:col>
      <xdr:colOff>560916</xdr:colOff>
      <xdr:row>1228</xdr:row>
      <xdr:rowOff>52917</xdr:rowOff>
    </xdr:to>
    <xdr:cxnSp macro="">
      <xdr:nvCxnSpPr>
        <xdr:cNvPr id="1816" name="Straight Arrow Connector 1815">
          <a:extLst>
            <a:ext uri="{FF2B5EF4-FFF2-40B4-BE49-F238E27FC236}">
              <a16:creationId xmlns:a16="http://schemas.microsoft.com/office/drawing/2014/main" id="{00000000-0008-0000-1300-000018070000}"/>
            </a:ext>
          </a:extLst>
        </xdr:cNvPr>
        <xdr:cNvCxnSpPr/>
      </xdr:nvCxnSpPr>
      <xdr:spPr>
        <a:xfrm>
          <a:off x="10551583" y="1489815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1224</xdr:row>
      <xdr:rowOff>31750</xdr:rowOff>
    </xdr:from>
    <xdr:to>
      <xdr:col>16</xdr:col>
      <xdr:colOff>21167</xdr:colOff>
      <xdr:row>1231</xdr:row>
      <xdr:rowOff>95250</xdr:rowOff>
    </xdr:to>
    <xdr:cxnSp macro="">
      <xdr:nvCxnSpPr>
        <xdr:cNvPr id="1817" name="Straight Arrow Connector 1816">
          <a:extLst>
            <a:ext uri="{FF2B5EF4-FFF2-40B4-BE49-F238E27FC236}">
              <a16:creationId xmlns:a16="http://schemas.microsoft.com/office/drawing/2014/main" id="{00000000-0008-0000-1300-000019070000}"/>
            </a:ext>
          </a:extLst>
        </xdr:cNvPr>
        <xdr:cNvCxnSpPr/>
      </xdr:nvCxnSpPr>
      <xdr:spPr>
        <a:xfrm>
          <a:off x="10583333" y="1490027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1238</xdr:row>
      <xdr:rowOff>0</xdr:rowOff>
    </xdr:from>
    <xdr:to>
      <xdr:col>16</xdr:col>
      <xdr:colOff>0</xdr:colOff>
      <xdr:row>1238</xdr:row>
      <xdr:rowOff>42334</xdr:rowOff>
    </xdr:to>
    <xdr:cxnSp macro="">
      <xdr:nvCxnSpPr>
        <xdr:cNvPr id="1818" name="Straight Arrow Connector 1817">
          <a:extLst>
            <a:ext uri="{FF2B5EF4-FFF2-40B4-BE49-F238E27FC236}">
              <a16:creationId xmlns:a16="http://schemas.microsoft.com/office/drawing/2014/main" id="{00000000-0008-0000-1300-00001A070000}"/>
            </a:ext>
          </a:extLst>
        </xdr:cNvPr>
        <xdr:cNvCxnSpPr/>
      </xdr:nvCxnSpPr>
      <xdr:spPr>
        <a:xfrm>
          <a:off x="10562166" y="1516380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1238</xdr:row>
      <xdr:rowOff>21166</xdr:rowOff>
    </xdr:from>
    <xdr:to>
      <xdr:col>15</xdr:col>
      <xdr:colOff>560916</xdr:colOff>
      <xdr:row>1241</xdr:row>
      <xdr:rowOff>84667</xdr:rowOff>
    </xdr:to>
    <xdr:cxnSp macro="">
      <xdr:nvCxnSpPr>
        <xdr:cNvPr id="1819" name="Straight Arrow Connector 1818">
          <a:extLst>
            <a:ext uri="{FF2B5EF4-FFF2-40B4-BE49-F238E27FC236}">
              <a16:creationId xmlns:a16="http://schemas.microsoft.com/office/drawing/2014/main" id="{00000000-0008-0000-1300-00001B070000}"/>
            </a:ext>
          </a:extLst>
        </xdr:cNvPr>
        <xdr:cNvCxnSpPr/>
      </xdr:nvCxnSpPr>
      <xdr:spPr>
        <a:xfrm>
          <a:off x="10615083" y="1516591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1238</xdr:row>
      <xdr:rowOff>52916</xdr:rowOff>
    </xdr:from>
    <xdr:to>
      <xdr:col>15</xdr:col>
      <xdr:colOff>592666</xdr:colOff>
      <xdr:row>1244</xdr:row>
      <xdr:rowOff>63501</xdr:rowOff>
    </xdr:to>
    <xdr:cxnSp macro="">
      <xdr:nvCxnSpPr>
        <xdr:cNvPr id="1820" name="Straight Arrow Connector 1819">
          <a:extLst>
            <a:ext uri="{FF2B5EF4-FFF2-40B4-BE49-F238E27FC236}">
              <a16:creationId xmlns:a16="http://schemas.microsoft.com/office/drawing/2014/main" id="{00000000-0008-0000-1300-00001C070000}"/>
            </a:ext>
          </a:extLst>
        </xdr:cNvPr>
        <xdr:cNvCxnSpPr/>
      </xdr:nvCxnSpPr>
      <xdr:spPr>
        <a:xfrm>
          <a:off x="10572750" y="1516909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1235</xdr:row>
      <xdr:rowOff>52917</xdr:rowOff>
    </xdr:from>
    <xdr:to>
      <xdr:col>15</xdr:col>
      <xdr:colOff>603250</xdr:colOff>
      <xdr:row>1237</xdr:row>
      <xdr:rowOff>148167</xdr:rowOff>
    </xdr:to>
    <xdr:cxnSp macro="">
      <xdr:nvCxnSpPr>
        <xdr:cNvPr id="1821" name="Straight Arrow Connector 1820">
          <a:extLst>
            <a:ext uri="{FF2B5EF4-FFF2-40B4-BE49-F238E27FC236}">
              <a16:creationId xmlns:a16="http://schemas.microsoft.com/office/drawing/2014/main" id="{00000000-0008-0000-1300-00001D070000}"/>
            </a:ext>
          </a:extLst>
        </xdr:cNvPr>
        <xdr:cNvCxnSpPr/>
      </xdr:nvCxnSpPr>
      <xdr:spPr>
        <a:xfrm flipV="1">
          <a:off x="10583333" y="1511194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698500</xdr:colOff>
      <xdr:row>1279</xdr:row>
      <xdr:rowOff>95250</xdr:rowOff>
    </xdr:from>
    <xdr:to>
      <xdr:col>8</xdr:col>
      <xdr:colOff>21167</xdr:colOff>
      <xdr:row>1311</xdr:row>
      <xdr:rowOff>148166</xdr:rowOff>
    </xdr:to>
    <xdr:cxnSp macro="">
      <xdr:nvCxnSpPr>
        <xdr:cNvPr id="1822" name="Straight Arrow Connector 1821">
          <a:extLst>
            <a:ext uri="{FF2B5EF4-FFF2-40B4-BE49-F238E27FC236}">
              <a16:creationId xmlns:a16="http://schemas.microsoft.com/office/drawing/2014/main" id="{00000000-0008-0000-1300-00001E070000}"/>
            </a:ext>
          </a:extLst>
        </xdr:cNvPr>
        <xdr:cNvCxnSpPr/>
      </xdr:nvCxnSpPr>
      <xdr:spPr>
        <a:xfrm>
          <a:off x="5080000" y="159734250"/>
          <a:ext cx="719667" cy="6148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1250</xdr:row>
      <xdr:rowOff>137583</xdr:rowOff>
    </xdr:from>
    <xdr:to>
      <xdr:col>9</xdr:col>
      <xdr:colOff>603250</xdr:colOff>
      <xdr:row>1256</xdr:row>
      <xdr:rowOff>21166</xdr:rowOff>
    </xdr:to>
    <xdr:cxnSp macro="">
      <xdr:nvCxnSpPr>
        <xdr:cNvPr id="1823" name="Straight Arrow Connector 1822">
          <a:extLst>
            <a:ext uri="{FF2B5EF4-FFF2-40B4-BE49-F238E27FC236}">
              <a16:creationId xmlns:a16="http://schemas.microsoft.com/office/drawing/2014/main" id="{00000000-0008-0000-1300-00001F070000}"/>
            </a:ext>
          </a:extLst>
        </xdr:cNvPr>
        <xdr:cNvCxnSpPr/>
      </xdr:nvCxnSpPr>
      <xdr:spPr>
        <a:xfrm flipV="1">
          <a:off x="6381750" y="154061583"/>
          <a:ext cx="603250" cy="1026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1259</xdr:row>
      <xdr:rowOff>0</xdr:rowOff>
    </xdr:from>
    <xdr:to>
      <xdr:col>9</xdr:col>
      <xdr:colOff>582083</xdr:colOff>
      <xdr:row>1267</xdr:row>
      <xdr:rowOff>10583</xdr:rowOff>
    </xdr:to>
    <xdr:cxnSp macro="">
      <xdr:nvCxnSpPr>
        <xdr:cNvPr id="1824" name="Straight Arrow Connector 1823">
          <a:extLst>
            <a:ext uri="{FF2B5EF4-FFF2-40B4-BE49-F238E27FC236}">
              <a16:creationId xmlns:a16="http://schemas.microsoft.com/office/drawing/2014/main" id="{00000000-0008-0000-1300-000020070000}"/>
            </a:ext>
          </a:extLst>
        </xdr:cNvPr>
        <xdr:cNvCxnSpPr/>
      </xdr:nvCxnSpPr>
      <xdr:spPr>
        <a:xfrm>
          <a:off x="6413500" y="155638500"/>
          <a:ext cx="550333" cy="1534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21167</xdr:colOff>
      <xdr:row>1264</xdr:row>
      <xdr:rowOff>169333</xdr:rowOff>
    </xdr:from>
    <xdr:to>
      <xdr:col>11</xdr:col>
      <xdr:colOff>603250</xdr:colOff>
      <xdr:row>1267</xdr:row>
      <xdr:rowOff>21167</xdr:rowOff>
    </xdr:to>
    <xdr:cxnSp macro="">
      <xdr:nvCxnSpPr>
        <xdr:cNvPr id="1825" name="Straight Arrow Connector 1824">
          <a:extLst>
            <a:ext uri="{FF2B5EF4-FFF2-40B4-BE49-F238E27FC236}">
              <a16:creationId xmlns:a16="http://schemas.microsoft.com/office/drawing/2014/main" id="{00000000-0008-0000-1300-000021070000}"/>
            </a:ext>
          </a:extLst>
        </xdr:cNvPr>
        <xdr:cNvCxnSpPr/>
      </xdr:nvCxnSpPr>
      <xdr:spPr>
        <a:xfrm flipV="1">
          <a:off x="7609417" y="156760333"/>
          <a:ext cx="582083" cy="423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1270</xdr:row>
      <xdr:rowOff>42333</xdr:rowOff>
    </xdr:from>
    <xdr:to>
      <xdr:col>11</xdr:col>
      <xdr:colOff>603250</xdr:colOff>
      <xdr:row>1282</xdr:row>
      <xdr:rowOff>10583</xdr:rowOff>
    </xdr:to>
    <xdr:cxnSp macro="">
      <xdr:nvCxnSpPr>
        <xdr:cNvPr id="1826" name="Straight Arrow Connector 1825">
          <a:extLst>
            <a:ext uri="{FF2B5EF4-FFF2-40B4-BE49-F238E27FC236}">
              <a16:creationId xmlns:a16="http://schemas.microsoft.com/office/drawing/2014/main" id="{00000000-0008-0000-1300-000022070000}"/>
            </a:ext>
          </a:extLst>
        </xdr:cNvPr>
        <xdr:cNvCxnSpPr/>
      </xdr:nvCxnSpPr>
      <xdr:spPr>
        <a:xfrm>
          <a:off x="7598834" y="1577763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1260</xdr:row>
      <xdr:rowOff>21167</xdr:rowOff>
    </xdr:from>
    <xdr:to>
      <xdr:col>13</xdr:col>
      <xdr:colOff>592667</xdr:colOff>
      <xdr:row>1262</xdr:row>
      <xdr:rowOff>0</xdr:rowOff>
    </xdr:to>
    <xdr:cxnSp macro="">
      <xdr:nvCxnSpPr>
        <xdr:cNvPr id="1827" name="Straight Arrow Connector 1826">
          <a:extLst>
            <a:ext uri="{FF2B5EF4-FFF2-40B4-BE49-F238E27FC236}">
              <a16:creationId xmlns:a16="http://schemas.microsoft.com/office/drawing/2014/main" id="{00000000-0008-0000-1300-000023070000}"/>
            </a:ext>
          </a:extLst>
        </xdr:cNvPr>
        <xdr:cNvCxnSpPr/>
      </xdr:nvCxnSpPr>
      <xdr:spPr>
        <a:xfrm flipV="1">
          <a:off x="8794750" y="1558501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1265</xdr:row>
      <xdr:rowOff>21166</xdr:rowOff>
    </xdr:from>
    <xdr:to>
      <xdr:col>13</xdr:col>
      <xdr:colOff>592667</xdr:colOff>
      <xdr:row>1266</xdr:row>
      <xdr:rowOff>169334</xdr:rowOff>
    </xdr:to>
    <xdr:cxnSp macro="">
      <xdr:nvCxnSpPr>
        <xdr:cNvPr id="1828" name="Straight Arrow Connector 1827">
          <a:extLst>
            <a:ext uri="{FF2B5EF4-FFF2-40B4-BE49-F238E27FC236}">
              <a16:creationId xmlns:a16="http://schemas.microsoft.com/office/drawing/2014/main" id="{00000000-0008-0000-1300-000024070000}"/>
            </a:ext>
          </a:extLst>
        </xdr:cNvPr>
        <xdr:cNvCxnSpPr/>
      </xdr:nvCxnSpPr>
      <xdr:spPr>
        <a:xfrm>
          <a:off x="8784166" y="1568026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1280</xdr:row>
      <xdr:rowOff>21167</xdr:rowOff>
    </xdr:from>
    <xdr:to>
      <xdr:col>13</xdr:col>
      <xdr:colOff>592667</xdr:colOff>
      <xdr:row>1282</xdr:row>
      <xdr:rowOff>63500</xdr:rowOff>
    </xdr:to>
    <xdr:cxnSp macro="">
      <xdr:nvCxnSpPr>
        <xdr:cNvPr id="1829" name="Straight Arrow Connector 1828">
          <a:extLst>
            <a:ext uri="{FF2B5EF4-FFF2-40B4-BE49-F238E27FC236}">
              <a16:creationId xmlns:a16="http://schemas.microsoft.com/office/drawing/2014/main" id="{00000000-0008-0000-1300-000025070000}"/>
            </a:ext>
          </a:extLst>
        </xdr:cNvPr>
        <xdr:cNvCxnSpPr/>
      </xdr:nvCxnSpPr>
      <xdr:spPr>
        <a:xfrm flipV="1">
          <a:off x="8794750" y="1598506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1285</xdr:row>
      <xdr:rowOff>0</xdr:rowOff>
    </xdr:from>
    <xdr:to>
      <xdr:col>14</xdr:col>
      <xdr:colOff>10584</xdr:colOff>
      <xdr:row>1293</xdr:row>
      <xdr:rowOff>148167</xdr:rowOff>
    </xdr:to>
    <xdr:cxnSp macro="">
      <xdr:nvCxnSpPr>
        <xdr:cNvPr id="1830" name="Straight Arrow Connector 1829">
          <a:extLst>
            <a:ext uri="{FF2B5EF4-FFF2-40B4-BE49-F238E27FC236}">
              <a16:creationId xmlns:a16="http://schemas.microsoft.com/office/drawing/2014/main" id="{00000000-0008-0000-1300-000026070000}"/>
            </a:ext>
          </a:extLst>
        </xdr:cNvPr>
        <xdr:cNvCxnSpPr/>
      </xdr:nvCxnSpPr>
      <xdr:spPr>
        <a:xfrm>
          <a:off x="8805333" y="1607820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1252</xdr:row>
      <xdr:rowOff>0</xdr:rowOff>
    </xdr:from>
    <xdr:to>
      <xdr:col>15</xdr:col>
      <xdr:colOff>603250</xdr:colOff>
      <xdr:row>1257</xdr:row>
      <xdr:rowOff>31750</xdr:rowOff>
    </xdr:to>
    <xdr:cxnSp macro="">
      <xdr:nvCxnSpPr>
        <xdr:cNvPr id="1831" name="Straight Arrow Connector 1830">
          <a:extLst>
            <a:ext uri="{FF2B5EF4-FFF2-40B4-BE49-F238E27FC236}">
              <a16:creationId xmlns:a16="http://schemas.microsoft.com/office/drawing/2014/main" id="{00000000-0008-0000-1300-000027070000}"/>
            </a:ext>
          </a:extLst>
        </xdr:cNvPr>
        <xdr:cNvCxnSpPr/>
      </xdr:nvCxnSpPr>
      <xdr:spPr>
        <a:xfrm flipV="1">
          <a:off x="10541000" y="154305000"/>
          <a:ext cx="603250" cy="984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1255</xdr:row>
      <xdr:rowOff>52917</xdr:rowOff>
    </xdr:from>
    <xdr:to>
      <xdr:col>15</xdr:col>
      <xdr:colOff>603250</xdr:colOff>
      <xdr:row>1257</xdr:row>
      <xdr:rowOff>95250</xdr:rowOff>
    </xdr:to>
    <xdr:cxnSp macro="">
      <xdr:nvCxnSpPr>
        <xdr:cNvPr id="1832" name="Straight Arrow Connector 1831">
          <a:extLst>
            <a:ext uri="{FF2B5EF4-FFF2-40B4-BE49-F238E27FC236}">
              <a16:creationId xmlns:a16="http://schemas.microsoft.com/office/drawing/2014/main" id="{00000000-0008-0000-1300-000028070000}"/>
            </a:ext>
          </a:extLst>
        </xdr:cNvPr>
        <xdr:cNvCxnSpPr/>
      </xdr:nvCxnSpPr>
      <xdr:spPr>
        <a:xfrm flipV="1">
          <a:off x="10583333" y="154929417"/>
          <a:ext cx="56091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1257</xdr:row>
      <xdr:rowOff>158750</xdr:rowOff>
    </xdr:from>
    <xdr:to>
      <xdr:col>15</xdr:col>
      <xdr:colOff>582083</xdr:colOff>
      <xdr:row>1258</xdr:row>
      <xdr:rowOff>137583</xdr:rowOff>
    </xdr:to>
    <xdr:cxnSp macro="">
      <xdr:nvCxnSpPr>
        <xdr:cNvPr id="1833" name="Straight Arrow Connector 1832">
          <a:extLst>
            <a:ext uri="{FF2B5EF4-FFF2-40B4-BE49-F238E27FC236}">
              <a16:creationId xmlns:a16="http://schemas.microsoft.com/office/drawing/2014/main" id="{00000000-0008-0000-1300-000029070000}"/>
            </a:ext>
          </a:extLst>
        </xdr:cNvPr>
        <xdr:cNvCxnSpPr/>
      </xdr:nvCxnSpPr>
      <xdr:spPr>
        <a:xfrm>
          <a:off x="10604500" y="155416250"/>
          <a:ext cx="518583" cy="169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1121834</xdr:colOff>
      <xdr:row>1257</xdr:row>
      <xdr:rowOff>105834</xdr:rowOff>
    </xdr:from>
    <xdr:to>
      <xdr:col>16</xdr:col>
      <xdr:colOff>0</xdr:colOff>
      <xdr:row>1261</xdr:row>
      <xdr:rowOff>84667</xdr:rowOff>
    </xdr:to>
    <xdr:cxnSp macro="">
      <xdr:nvCxnSpPr>
        <xdr:cNvPr id="1834" name="Straight Arrow Connector 1833">
          <a:extLst>
            <a:ext uri="{FF2B5EF4-FFF2-40B4-BE49-F238E27FC236}">
              <a16:creationId xmlns:a16="http://schemas.microsoft.com/office/drawing/2014/main" id="{00000000-0008-0000-1300-00002A070000}"/>
            </a:ext>
          </a:extLst>
        </xdr:cNvPr>
        <xdr:cNvCxnSpPr/>
      </xdr:nvCxnSpPr>
      <xdr:spPr>
        <a:xfrm>
          <a:off x="10519834" y="155363334"/>
          <a:ext cx="624416"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1265</xdr:row>
      <xdr:rowOff>52916</xdr:rowOff>
    </xdr:from>
    <xdr:to>
      <xdr:col>16</xdr:col>
      <xdr:colOff>0</xdr:colOff>
      <xdr:row>1267</xdr:row>
      <xdr:rowOff>0</xdr:rowOff>
    </xdr:to>
    <xdr:cxnSp macro="">
      <xdr:nvCxnSpPr>
        <xdr:cNvPr id="1835" name="Straight Arrow Connector 1834">
          <a:extLst>
            <a:ext uri="{FF2B5EF4-FFF2-40B4-BE49-F238E27FC236}">
              <a16:creationId xmlns:a16="http://schemas.microsoft.com/office/drawing/2014/main" id="{00000000-0008-0000-1300-00002B070000}"/>
            </a:ext>
          </a:extLst>
        </xdr:cNvPr>
        <xdr:cNvCxnSpPr/>
      </xdr:nvCxnSpPr>
      <xdr:spPr>
        <a:xfrm flipV="1">
          <a:off x="10541000" y="1568344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1267</xdr:row>
      <xdr:rowOff>21167</xdr:rowOff>
    </xdr:from>
    <xdr:to>
      <xdr:col>15</xdr:col>
      <xdr:colOff>582083</xdr:colOff>
      <xdr:row>1268</xdr:row>
      <xdr:rowOff>42333</xdr:rowOff>
    </xdr:to>
    <xdr:cxnSp macro="">
      <xdr:nvCxnSpPr>
        <xdr:cNvPr id="1836" name="Straight Arrow Connector 1835">
          <a:extLst>
            <a:ext uri="{FF2B5EF4-FFF2-40B4-BE49-F238E27FC236}">
              <a16:creationId xmlns:a16="http://schemas.microsoft.com/office/drawing/2014/main" id="{00000000-0008-0000-1300-00002C070000}"/>
            </a:ext>
          </a:extLst>
        </xdr:cNvPr>
        <xdr:cNvCxnSpPr/>
      </xdr:nvCxnSpPr>
      <xdr:spPr>
        <a:xfrm>
          <a:off x="10551583" y="157183667"/>
          <a:ext cx="571500" cy="211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1267</xdr:row>
      <xdr:rowOff>21167</xdr:rowOff>
    </xdr:from>
    <xdr:to>
      <xdr:col>16</xdr:col>
      <xdr:colOff>42333</xdr:colOff>
      <xdr:row>1272</xdr:row>
      <xdr:rowOff>21168</xdr:rowOff>
    </xdr:to>
    <xdr:cxnSp macro="">
      <xdr:nvCxnSpPr>
        <xdr:cNvPr id="1837" name="Straight Arrow Connector 1836">
          <a:extLst>
            <a:ext uri="{FF2B5EF4-FFF2-40B4-BE49-F238E27FC236}">
              <a16:creationId xmlns:a16="http://schemas.microsoft.com/office/drawing/2014/main" id="{00000000-0008-0000-1300-00002D070000}"/>
            </a:ext>
          </a:extLst>
        </xdr:cNvPr>
        <xdr:cNvCxnSpPr/>
      </xdr:nvCxnSpPr>
      <xdr:spPr>
        <a:xfrm>
          <a:off x="10530417" y="157183667"/>
          <a:ext cx="656166" cy="9525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1267</xdr:row>
      <xdr:rowOff>31750</xdr:rowOff>
    </xdr:from>
    <xdr:to>
      <xdr:col>16</xdr:col>
      <xdr:colOff>42334</xdr:colOff>
      <xdr:row>1274</xdr:row>
      <xdr:rowOff>63501</xdr:rowOff>
    </xdr:to>
    <xdr:cxnSp macro="">
      <xdr:nvCxnSpPr>
        <xdr:cNvPr id="1838" name="Straight Arrow Connector 1837">
          <a:extLst>
            <a:ext uri="{FF2B5EF4-FFF2-40B4-BE49-F238E27FC236}">
              <a16:creationId xmlns:a16="http://schemas.microsoft.com/office/drawing/2014/main" id="{00000000-0008-0000-1300-00002E070000}"/>
            </a:ext>
          </a:extLst>
        </xdr:cNvPr>
        <xdr:cNvCxnSpPr/>
      </xdr:nvCxnSpPr>
      <xdr:spPr>
        <a:xfrm>
          <a:off x="10541000" y="157194250"/>
          <a:ext cx="645584"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10583</xdr:colOff>
      <xdr:row>1304</xdr:row>
      <xdr:rowOff>42333</xdr:rowOff>
    </xdr:from>
    <xdr:to>
      <xdr:col>9</xdr:col>
      <xdr:colOff>592666</xdr:colOff>
      <xdr:row>1312</xdr:row>
      <xdr:rowOff>42333</xdr:rowOff>
    </xdr:to>
    <xdr:cxnSp macro="">
      <xdr:nvCxnSpPr>
        <xdr:cNvPr id="1839" name="Straight Arrow Connector 1838">
          <a:extLst>
            <a:ext uri="{FF2B5EF4-FFF2-40B4-BE49-F238E27FC236}">
              <a16:creationId xmlns:a16="http://schemas.microsoft.com/office/drawing/2014/main" id="{00000000-0008-0000-1300-00002F070000}"/>
            </a:ext>
          </a:extLst>
        </xdr:cNvPr>
        <xdr:cNvCxnSpPr/>
      </xdr:nvCxnSpPr>
      <xdr:spPr>
        <a:xfrm flipV="1">
          <a:off x="6392333" y="164443833"/>
          <a:ext cx="582083" cy="152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1314</xdr:row>
      <xdr:rowOff>169334</xdr:rowOff>
    </xdr:from>
    <xdr:to>
      <xdr:col>9</xdr:col>
      <xdr:colOff>603250</xdr:colOff>
      <xdr:row>1323</xdr:row>
      <xdr:rowOff>31750</xdr:rowOff>
    </xdr:to>
    <xdr:cxnSp macro="">
      <xdr:nvCxnSpPr>
        <xdr:cNvPr id="1840" name="Straight Arrow Connector 1839">
          <a:extLst>
            <a:ext uri="{FF2B5EF4-FFF2-40B4-BE49-F238E27FC236}">
              <a16:creationId xmlns:a16="http://schemas.microsoft.com/office/drawing/2014/main" id="{00000000-0008-0000-1300-000030070000}"/>
            </a:ext>
          </a:extLst>
        </xdr:cNvPr>
        <xdr:cNvCxnSpPr/>
      </xdr:nvCxnSpPr>
      <xdr:spPr>
        <a:xfrm>
          <a:off x="6413500" y="166475834"/>
          <a:ext cx="571500" cy="1576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571500</xdr:colOff>
      <xdr:row>1320</xdr:row>
      <xdr:rowOff>158750</xdr:rowOff>
    </xdr:from>
    <xdr:to>
      <xdr:col>11</xdr:col>
      <xdr:colOff>571500</xdr:colOff>
      <xdr:row>1323</xdr:row>
      <xdr:rowOff>0</xdr:rowOff>
    </xdr:to>
    <xdr:cxnSp macro="">
      <xdr:nvCxnSpPr>
        <xdr:cNvPr id="1841" name="Straight Arrow Connector 1840">
          <a:extLst>
            <a:ext uri="{FF2B5EF4-FFF2-40B4-BE49-F238E27FC236}">
              <a16:creationId xmlns:a16="http://schemas.microsoft.com/office/drawing/2014/main" id="{00000000-0008-0000-1300-000031070000}"/>
            </a:ext>
          </a:extLst>
        </xdr:cNvPr>
        <xdr:cNvCxnSpPr/>
      </xdr:nvCxnSpPr>
      <xdr:spPr>
        <a:xfrm flipV="1">
          <a:off x="7556500" y="167608250"/>
          <a:ext cx="603250" cy="412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1278</xdr:row>
      <xdr:rowOff>0</xdr:rowOff>
    </xdr:from>
    <xdr:to>
      <xdr:col>15</xdr:col>
      <xdr:colOff>603250</xdr:colOff>
      <xdr:row>1280</xdr:row>
      <xdr:rowOff>1</xdr:rowOff>
    </xdr:to>
    <xdr:cxnSp macro="">
      <xdr:nvCxnSpPr>
        <xdr:cNvPr id="1842" name="Straight Arrow Connector 1841">
          <a:extLst>
            <a:ext uri="{FF2B5EF4-FFF2-40B4-BE49-F238E27FC236}">
              <a16:creationId xmlns:a16="http://schemas.microsoft.com/office/drawing/2014/main" id="{00000000-0008-0000-1300-000032070000}"/>
            </a:ext>
          </a:extLst>
        </xdr:cNvPr>
        <xdr:cNvCxnSpPr/>
      </xdr:nvCxnSpPr>
      <xdr:spPr>
        <a:xfrm flipV="1">
          <a:off x="10530417" y="1594485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1280</xdr:row>
      <xdr:rowOff>10584</xdr:rowOff>
    </xdr:from>
    <xdr:to>
      <xdr:col>15</xdr:col>
      <xdr:colOff>592666</xdr:colOff>
      <xdr:row>1281</xdr:row>
      <xdr:rowOff>95250</xdr:rowOff>
    </xdr:to>
    <xdr:cxnSp macro="">
      <xdr:nvCxnSpPr>
        <xdr:cNvPr id="1843" name="Straight Arrow Connector 1842">
          <a:extLst>
            <a:ext uri="{FF2B5EF4-FFF2-40B4-BE49-F238E27FC236}">
              <a16:creationId xmlns:a16="http://schemas.microsoft.com/office/drawing/2014/main" id="{00000000-0008-0000-1300-000033070000}"/>
            </a:ext>
          </a:extLst>
        </xdr:cNvPr>
        <xdr:cNvCxnSpPr/>
      </xdr:nvCxnSpPr>
      <xdr:spPr>
        <a:xfrm>
          <a:off x="10572750" y="1598400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1280</xdr:row>
      <xdr:rowOff>10584</xdr:rowOff>
    </xdr:from>
    <xdr:to>
      <xdr:col>15</xdr:col>
      <xdr:colOff>560916</xdr:colOff>
      <xdr:row>1284</xdr:row>
      <xdr:rowOff>52917</xdr:rowOff>
    </xdr:to>
    <xdr:cxnSp macro="">
      <xdr:nvCxnSpPr>
        <xdr:cNvPr id="1844" name="Straight Arrow Connector 1843">
          <a:extLst>
            <a:ext uri="{FF2B5EF4-FFF2-40B4-BE49-F238E27FC236}">
              <a16:creationId xmlns:a16="http://schemas.microsoft.com/office/drawing/2014/main" id="{00000000-0008-0000-1300-000034070000}"/>
            </a:ext>
          </a:extLst>
        </xdr:cNvPr>
        <xdr:cNvCxnSpPr/>
      </xdr:nvCxnSpPr>
      <xdr:spPr>
        <a:xfrm>
          <a:off x="10551583" y="1598400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1280</xdr:row>
      <xdr:rowOff>31750</xdr:rowOff>
    </xdr:from>
    <xdr:to>
      <xdr:col>16</xdr:col>
      <xdr:colOff>21167</xdr:colOff>
      <xdr:row>1287</xdr:row>
      <xdr:rowOff>95250</xdr:rowOff>
    </xdr:to>
    <xdr:cxnSp macro="">
      <xdr:nvCxnSpPr>
        <xdr:cNvPr id="1845" name="Straight Arrow Connector 1844">
          <a:extLst>
            <a:ext uri="{FF2B5EF4-FFF2-40B4-BE49-F238E27FC236}">
              <a16:creationId xmlns:a16="http://schemas.microsoft.com/office/drawing/2014/main" id="{00000000-0008-0000-1300-000035070000}"/>
            </a:ext>
          </a:extLst>
        </xdr:cNvPr>
        <xdr:cNvCxnSpPr/>
      </xdr:nvCxnSpPr>
      <xdr:spPr>
        <a:xfrm>
          <a:off x="10583333" y="1598612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1294</xdr:row>
      <xdr:rowOff>0</xdr:rowOff>
    </xdr:from>
    <xdr:to>
      <xdr:col>16</xdr:col>
      <xdr:colOff>0</xdr:colOff>
      <xdr:row>1294</xdr:row>
      <xdr:rowOff>42334</xdr:rowOff>
    </xdr:to>
    <xdr:cxnSp macro="">
      <xdr:nvCxnSpPr>
        <xdr:cNvPr id="1846" name="Straight Arrow Connector 1845">
          <a:extLst>
            <a:ext uri="{FF2B5EF4-FFF2-40B4-BE49-F238E27FC236}">
              <a16:creationId xmlns:a16="http://schemas.microsoft.com/office/drawing/2014/main" id="{00000000-0008-0000-1300-000036070000}"/>
            </a:ext>
          </a:extLst>
        </xdr:cNvPr>
        <xdr:cNvCxnSpPr/>
      </xdr:nvCxnSpPr>
      <xdr:spPr>
        <a:xfrm>
          <a:off x="10562166" y="1624965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1294</xdr:row>
      <xdr:rowOff>21166</xdr:rowOff>
    </xdr:from>
    <xdr:to>
      <xdr:col>15</xdr:col>
      <xdr:colOff>560916</xdr:colOff>
      <xdr:row>1297</xdr:row>
      <xdr:rowOff>84667</xdr:rowOff>
    </xdr:to>
    <xdr:cxnSp macro="">
      <xdr:nvCxnSpPr>
        <xdr:cNvPr id="1847" name="Straight Arrow Connector 1846">
          <a:extLst>
            <a:ext uri="{FF2B5EF4-FFF2-40B4-BE49-F238E27FC236}">
              <a16:creationId xmlns:a16="http://schemas.microsoft.com/office/drawing/2014/main" id="{00000000-0008-0000-1300-000037070000}"/>
            </a:ext>
          </a:extLst>
        </xdr:cNvPr>
        <xdr:cNvCxnSpPr/>
      </xdr:nvCxnSpPr>
      <xdr:spPr>
        <a:xfrm>
          <a:off x="10615083" y="1625176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1294</xdr:row>
      <xdr:rowOff>52916</xdr:rowOff>
    </xdr:from>
    <xdr:to>
      <xdr:col>15</xdr:col>
      <xdr:colOff>592666</xdr:colOff>
      <xdr:row>1300</xdr:row>
      <xdr:rowOff>63501</xdr:rowOff>
    </xdr:to>
    <xdr:cxnSp macro="">
      <xdr:nvCxnSpPr>
        <xdr:cNvPr id="1848" name="Straight Arrow Connector 1847">
          <a:extLst>
            <a:ext uri="{FF2B5EF4-FFF2-40B4-BE49-F238E27FC236}">
              <a16:creationId xmlns:a16="http://schemas.microsoft.com/office/drawing/2014/main" id="{00000000-0008-0000-1300-000038070000}"/>
            </a:ext>
          </a:extLst>
        </xdr:cNvPr>
        <xdr:cNvCxnSpPr/>
      </xdr:nvCxnSpPr>
      <xdr:spPr>
        <a:xfrm>
          <a:off x="10572750" y="1625494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1308</xdr:row>
      <xdr:rowOff>116416</xdr:rowOff>
    </xdr:from>
    <xdr:to>
      <xdr:col>15</xdr:col>
      <xdr:colOff>592666</xdr:colOff>
      <xdr:row>1311</xdr:row>
      <xdr:rowOff>158750</xdr:rowOff>
    </xdr:to>
    <xdr:cxnSp macro="">
      <xdr:nvCxnSpPr>
        <xdr:cNvPr id="1849" name="Straight Arrow Connector 1848">
          <a:extLst>
            <a:ext uri="{FF2B5EF4-FFF2-40B4-BE49-F238E27FC236}">
              <a16:creationId xmlns:a16="http://schemas.microsoft.com/office/drawing/2014/main" id="{00000000-0008-0000-1300-000039070000}"/>
            </a:ext>
          </a:extLst>
        </xdr:cNvPr>
        <xdr:cNvCxnSpPr/>
      </xdr:nvCxnSpPr>
      <xdr:spPr>
        <a:xfrm flipV="1">
          <a:off x="10562166" y="165279916"/>
          <a:ext cx="571500" cy="613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1310</xdr:row>
      <xdr:rowOff>95250</xdr:rowOff>
    </xdr:from>
    <xdr:to>
      <xdr:col>15</xdr:col>
      <xdr:colOff>582083</xdr:colOff>
      <xdr:row>1312</xdr:row>
      <xdr:rowOff>52917</xdr:rowOff>
    </xdr:to>
    <xdr:cxnSp macro="">
      <xdr:nvCxnSpPr>
        <xdr:cNvPr id="1850" name="Straight Arrow Connector 1849">
          <a:extLst>
            <a:ext uri="{FF2B5EF4-FFF2-40B4-BE49-F238E27FC236}">
              <a16:creationId xmlns:a16="http://schemas.microsoft.com/office/drawing/2014/main" id="{00000000-0008-0000-1300-00003A070000}"/>
            </a:ext>
          </a:extLst>
        </xdr:cNvPr>
        <xdr:cNvCxnSpPr/>
      </xdr:nvCxnSpPr>
      <xdr:spPr>
        <a:xfrm flipV="1">
          <a:off x="10604500" y="165639750"/>
          <a:ext cx="518583" cy="338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1312</xdr:row>
      <xdr:rowOff>116417</xdr:rowOff>
    </xdr:from>
    <xdr:to>
      <xdr:col>15</xdr:col>
      <xdr:colOff>592666</xdr:colOff>
      <xdr:row>1316</xdr:row>
      <xdr:rowOff>95250</xdr:rowOff>
    </xdr:to>
    <xdr:cxnSp macro="">
      <xdr:nvCxnSpPr>
        <xdr:cNvPr id="1851" name="Straight Arrow Connector 1850">
          <a:extLst>
            <a:ext uri="{FF2B5EF4-FFF2-40B4-BE49-F238E27FC236}">
              <a16:creationId xmlns:a16="http://schemas.microsoft.com/office/drawing/2014/main" id="{00000000-0008-0000-1300-00003B070000}"/>
            </a:ext>
          </a:extLst>
        </xdr:cNvPr>
        <xdr:cNvCxnSpPr/>
      </xdr:nvCxnSpPr>
      <xdr:spPr>
        <a:xfrm>
          <a:off x="10593916" y="166041917"/>
          <a:ext cx="53975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1323</xdr:row>
      <xdr:rowOff>116416</xdr:rowOff>
    </xdr:from>
    <xdr:to>
      <xdr:col>16</xdr:col>
      <xdr:colOff>0</xdr:colOff>
      <xdr:row>1330</xdr:row>
      <xdr:rowOff>74084</xdr:rowOff>
    </xdr:to>
    <xdr:cxnSp macro="">
      <xdr:nvCxnSpPr>
        <xdr:cNvPr id="1852" name="Straight Arrow Connector 1851">
          <a:extLst>
            <a:ext uri="{FF2B5EF4-FFF2-40B4-BE49-F238E27FC236}">
              <a16:creationId xmlns:a16="http://schemas.microsoft.com/office/drawing/2014/main" id="{00000000-0008-0000-1300-00003C070000}"/>
            </a:ext>
          </a:extLst>
        </xdr:cNvPr>
        <xdr:cNvCxnSpPr/>
      </xdr:nvCxnSpPr>
      <xdr:spPr>
        <a:xfrm>
          <a:off x="10572750" y="168137416"/>
          <a:ext cx="571500" cy="12911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1291</xdr:row>
      <xdr:rowOff>52917</xdr:rowOff>
    </xdr:from>
    <xdr:to>
      <xdr:col>15</xdr:col>
      <xdr:colOff>603250</xdr:colOff>
      <xdr:row>1293</xdr:row>
      <xdr:rowOff>148167</xdr:rowOff>
    </xdr:to>
    <xdr:cxnSp macro="">
      <xdr:nvCxnSpPr>
        <xdr:cNvPr id="1853" name="Straight Arrow Connector 1852">
          <a:extLst>
            <a:ext uri="{FF2B5EF4-FFF2-40B4-BE49-F238E27FC236}">
              <a16:creationId xmlns:a16="http://schemas.microsoft.com/office/drawing/2014/main" id="{00000000-0008-0000-1300-00003D070000}"/>
            </a:ext>
          </a:extLst>
        </xdr:cNvPr>
        <xdr:cNvCxnSpPr/>
      </xdr:nvCxnSpPr>
      <xdr:spPr>
        <a:xfrm flipV="1">
          <a:off x="10583333" y="1619779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1326</xdr:row>
      <xdr:rowOff>42333</xdr:rowOff>
    </xdr:from>
    <xdr:to>
      <xdr:col>11</xdr:col>
      <xdr:colOff>603250</xdr:colOff>
      <xdr:row>1338</xdr:row>
      <xdr:rowOff>10583</xdr:rowOff>
    </xdr:to>
    <xdr:cxnSp macro="">
      <xdr:nvCxnSpPr>
        <xdr:cNvPr id="1854" name="Straight Arrow Connector 1853">
          <a:extLst>
            <a:ext uri="{FF2B5EF4-FFF2-40B4-BE49-F238E27FC236}">
              <a16:creationId xmlns:a16="http://schemas.microsoft.com/office/drawing/2014/main" id="{00000000-0008-0000-1300-00003E070000}"/>
            </a:ext>
          </a:extLst>
        </xdr:cNvPr>
        <xdr:cNvCxnSpPr/>
      </xdr:nvCxnSpPr>
      <xdr:spPr>
        <a:xfrm>
          <a:off x="7598834" y="1686348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1316</xdr:row>
      <xdr:rowOff>21167</xdr:rowOff>
    </xdr:from>
    <xdr:to>
      <xdr:col>13</xdr:col>
      <xdr:colOff>592667</xdr:colOff>
      <xdr:row>1318</xdr:row>
      <xdr:rowOff>0</xdr:rowOff>
    </xdr:to>
    <xdr:cxnSp macro="">
      <xdr:nvCxnSpPr>
        <xdr:cNvPr id="1855" name="Straight Arrow Connector 1854">
          <a:extLst>
            <a:ext uri="{FF2B5EF4-FFF2-40B4-BE49-F238E27FC236}">
              <a16:creationId xmlns:a16="http://schemas.microsoft.com/office/drawing/2014/main" id="{00000000-0008-0000-1300-00003F070000}"/>
            </a:ext>
          </a:extLst>
        </xdr:cNvPr>
        <xdr:cNvCxnSpPr/>
      </xdr:nvCxnSpPr>
      <xdr:spPr>
        <a:xfrm flipV="1">
          <a:off x="8794750" y="1667086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1321</xdr:row>
      <xdr:rowOff>21166</xdr:rowOff>
    </xdr:from>
    <xdr:to>
      <xdr:col>13</xdr:col>
      <xdr:colOff>592667</xdr:colOff>
      <xdr:row>1322</xdr:row>
      <xdr:rowOff>169334</xdr:rowOff>
    </xdr:to>
    <xdr:cxnSp macro="">
      <xdr:nvCxnSpPr>
        <xdr:cNvPr id="1856" name="Straight Arrow Connector 1855">
          <a:extLst>
            <a:ext uri="{FF2B5EF4-FFF2-40B4-BE49-F238E27FC236}">
              <a16:creationId xmlns:a16="http://schemas.microsoft.com/office/drawing/2014/main" id="{00000000-0008-0000-1300-000040070000}"/>
            </a:ext>
          </a:extLst>
        </xdr:cNvPr>
        <xdr:cNvCxnSpPr/>
      </xdr:nvCxnSpPr>
      <xdr:spPr>
        <a:xfrm>
          <a:off x="8784166" y="1676611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1336</xdr:row>
      <xdr:rowOff>21167</xdr:rowOff>
    </xdr:from>
    <xdr:to>
      <xdr:col>13</xdr:col>
      <xdr:colOff>592667</xdr:colOff>
      <xdr:row>1338</xdr:row>
      <xdr:rowOff>63500</xdr:rowOff>
    </xdr:to>
    <xdr:cxnSp macro="">
      <xdr:nvCxnSpPr>
        <xdr:cNvPr id="1857" name="Straight Arrow Connector 1856">
          <a:extLst>
            <a:ext uri="{FF2B5EF4-FFF2-40B4-BE49-F238E27FC236}">
              <a16:creationId xmlns:a16="http://schemas.microsoft.com/office/drawing/2014/main" id="{00000000-0008-0000-1300-000041070000}"/>
            </a:ext>
          </a:extLst>
        </xdr:cNvPr>
        <xdr:cNvCxnSpPr/>
      </xdr:nvCxnSpPr>
      <xdr:spPr>
        <a:xfrm flipV="1">
          <a:off x="8794750" y="1707091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1341</xdr:row>
      <xdr:rowOff>0</xdr:rowOff>
    </xdr:from>
    <xdr:to>
      <xdr:col>14</xdr:col>
      <xdr:colOff>10584</xdr:colOff>
      <xdr:row>1349</xdr:row>
      <xdr:rowOff>148167</xdr:rowOff>
    </xdr:to>
    <xdr:cxnSp macro="">
      <xdr:nvCxnSpPr>
        <xdr:cNvPr id="1858" name="Straight Arrow Connector 1857">
          <a:extLst>
            <a:ext uri="{FF2B5EF4-FFF2-40B4-BE49-F238E27FC236}">
              <a16:creationId xmlns:a16="http://schemas.microsoft.com/office/drawing/2014/main" id="{00000000-0008-0000-1300-000042070000}"/>
            </a:ext>
          </a:extLst>
        </xdr:cNvPr>
        <xdr:cNvCxnSpPr/>
      </xdr:nvCxnSpPr>
      <xdr:spPr>
        <a:xfrm>
          <a:off x="8805333" y="1716405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1312</xdr:row>
      <xdr:rowOff>95250</xdr:rowOff>
    </xdr:from>
    <xdr:to>
      <xdr:col>15</xdr:col>
      <xdr:colOff>582083</xdr:colOff>
      <xdr:row>1314</xdr:row>
      <xdr:rowOff>137583</xdr:rowOff>
    </xdr:to>
    <xdr:cxnSp macro="">
      <xdr:nvCxnSpPr>
        <xdr:cNvPr id="1859" name="Straight Arrow Connector 1858">
          <a:extLst>
            <a:ext uri="{FF2B5EF4-FFF2-40B4-BE49-F238E27FC236}">
              <a16:creationId xmlns:a16="http://schemas.microsoft.com/office/drawing/2014/main" id="{00000000-0008-0000-1300-000043070000}"/>
            </a:ext>
          </a:extLst>
        </xdr:cNvPr>
        <xdr:cNvCxnSpPr/>
      </xdr:nvCxnSpPr>
      <xdr:spPr>
        <a:xfrm>
          <a:off x="10593916" y="166020750"/>
          <a:ext cx="5291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1321</xdr:row>
      <xdr:rowOff>52916</xdr:rowOff>
    </xdr:from>
    <xdr:to>
      <xdr:col>16</xdr:col>
      <xdr:colOff>0</xdr:colOff>
      <xdr:row>1323</xdr:row>
      <xdr:rowOff>0</xdr:rowOff>
    </xdr:to>
    <xdr:cxnSp macro="">
      <xdr:nvCxnSpPr>
        <xdr:cNvPr id="1860" name="Straight Arrow Connector 1859">
          <a:extLst>
            <a:ext uri="{FF2B5EF4-FFF2-40B4-BE49-F238E27FC236}">
              <a16:creationId xmlns:a16="http://schemas.microsoft.com/office/drawing/2014/main" id="{00000000-0008-0000-1300-000044070000}"/>
            </a:ext>
          </a:extLst>
        </xdr:cNvPr>
        <xdr:cNvCxnSpPr/>
      </xdr:nvCxnSpPr>
      <xdr:spPr>
        <a:xfrm flipV="1">
          <a:off x="10541000" y="1676929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1323</xdr:row>
      <xdr:rowOff>21167</xdr:rowOff>
    </xdr:from>
    <xdr:to>
      <xdr:col>15</xdr:col>
      <xdr:colOff>592666</xdr:colOff>
      <xdr:row>1324</xdr:row>
      <xdr:rowOff>84667</xdr:rowOff>
    </xdr:to>
    <xdr:cxnSp macro="">
      <xdr:nvCxnSpPr>
        <xdr:cNvPr id="1861" name="Straight Arrow Connector 1860">
          <a:extLst>
            <a:ext uri="{FF2B5EF4-FFF2-40B4-BE49-F238E27FC236}">
              <a16:creationId xmlns:a16="http://schemas.microsoft.com/office/drawing/2014/main" id="{00000000-0008-0000-1300-000045070000}"/>
            </a:ext>
          </a:extLst>
        </xdr:cNvPr>
        <xdr:cNvCxnSpPr/>
      </xdr:nvCxnSpPr>
      <xdr:spPr>
        <a:xfrm>
          <a:off x="10530417" y="168042167"/>
          <a:ext cx="603249" cy="25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1323</xdr:row>
      <xdr:rowOff>0</xdr:rowOff>
    </xdr:from>
    <xdr:to>
      <xdr:col>16</xdr:col>
      <xdr:colOff>0</xdr:colOff>
      <xdr:row>1327</xdr:row>
      <xdr:rowOff>42334</xdr:rowOff>
    </xdr:to>
    <xdr:cxnSp macro="">
      <xdr:nvCxnSpPr>
        <xdr:cNvPr id="1862" name="Straight Arrow Connector 1861">
          <a:extLst>
            <a:ext uri="{FF2B5EF4-FFF2-40B4-BE49-F238E27FC236}">
              <a16:creationId xmlns:a16="http://schemas.microsoft.com/office/drawing/2014/main" id="{00000000-0008-0000-1300-000046070000}"/>
            </a:ext>
          </a:extLst>
        </xdr:cNvPr>
        <xdr:cNvCxnSpPr/>
      </xdr:nvCxnSpPr>
      <xdr:spPr>
        <a:xfrm>
          <a:off x="10530417" y="168021000"/>
          <a:ext cx="613833" cy="804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1334</xdr:row>
      <xdr:rowOff>0</xdr:rowOff>
    </xdr:from>
    <xdr:to>
      <xdr:col>15</xdr:col>
      <xdr:colOff>603250</xdr:colOff>
      <xdr:row>1336</xdr:row>
      <xdr:rowOff>1</xdr:rowOff>
    </xdr:to>
    <xdr:cxnSp macro="">
      <xdr:nvCxnSpPr>
        <xdr:cNvPr id="1863" name="Straight Arrow Connector 1862">
          <a:extLst>
            <a:ext uri="{FF2B5EF4-FFF2-40B4-BE49-F238E27FC236}">
              <a16:creationId xmlns:a16="http://schemas.microsoft.com/office/drawing/2014/main" id="{00000000-0008-0000-1300-000047070000}"/>
            </a:ext>
          </a:extLst>
        </xdr:cNvPr>
        <xdr:cNvCxnSpPr/>
      </xdr:nvCxnSpPr>
      <xdr:spPr>
        <a:xfrm flipV="1">
          <a:off x="10530417" y="1703070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1336</xdr:row>
      <xdr:rowOff>10584</xdr:rowOff>
    </xdr:from>
    <xdr:to>
      <xdr:col>15</xdr:col>
      <xdr:colOff>592666</xdr:colOff>
      <xdr:row>1337</xdr:row>
      <xdr:rowOff>95250</xdr:rowOff>
    </xdr:to>
    <xdr:cxnSp macro="">
      <xdr:nvCxnSpPr>
        <xdr:cNvPr id="1864" name="Straight Arrow Connector 1863">
          <a:extLst>
            <a:ext uri="{FF2B5EF4-FFF2-40B4-BE49-F238E27FC236}">
              <a16:creationId xmlns:a16="http://schemas.microsoft.com/office/drawing/2014/main" id="{00000000-0008-0000-1300-000048070000}"/>
            </a:ext>
          </a:extLst>
        </xdr:cNvPr>
        <xdr:cNvCxnSpPr/>
      </xdr:nvCxnSpPr>
      <xdr:spPr>
        <a:xfrm>
          <a:off x="10572750" y="1706985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1336</xdr:row>
      <xdr:rowOff>10584</xdr:rowOff>
    </xdr:from>
    <xdr:to>
      <xdr:col>15</xdr:col>
      <xdr:colOff>560916</xdr:colOff>
      <xdr:row>1340</xdr:row>
      <xdr:rowOff>52917</xdr:rowOff>
    </xdr:to>
    <xdr:cxnSp macro="">
      <xdr:nvCxnSpPr>
        <xdr:cNvPr id="1865" name="Straight Arrow Connector 1864">
          <a:extLst>
            <a:ext uri="{FF2B5EF4-FFF2-40B4-BE49-F238E27FC236}">
              <a16:creationId xmlns:a16="http://schemas.microsoft.com/office/drawing/2014/main" id="{00000000-0008-0000-1300-000049070000}"/>
            </a:ext>
          </a:extLst>
        </xdr:cNvPr>
        <xdr:cNvCxnSpPr/>
      </xdr:nvCxnSpPr>
      <xdr:spPr>
        <a:xfrm>
          <a:off x="10551583" y="1706985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1336</xdr:row>
      <xdr:rowOff>31750</xdr:rowOff>
    </xdr:from>
    <xdr:to>
      <xdr:col>16</xdr:col>
      <xdr:colOff>21167</xdr:colOff>
      <xdr:row>1343</xdr:row>
      <xdr:rowOff>95250</xdr:rowOff>
    </xdr:to>
    <xdr:cxnSp macro="">
      <xdr:nvCxnSpPr>
        <xdr:cNvPr id="1866" name="Straight Arrow Connector 1865">
          <a:extLst>
            <a:ext uri="{FF2B5EF4-FFF2-40B4-BE49-F238E27FC236}">
              <a16:creationId xmlns:a16="http://schemas.microsoft.com/office/drawing/2014/main" id="{00000000-0008-0000-1300-00004A070000}"/>
            </a:ext>
          </a:extLst>
        </xdr:cNvPr>
        <xdr:cNvCxnSpPr/>
      </xdr:nvCxnSpPr>
      <xdr:spPr>
        <a:xfrm>
          <a:off x="10583333" y="1707197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1350</xdr:row>
      <xdr:rowOff>0</xdr:rowOff>
    </xdr:from>
    <xdr:to>
      <xdr:col>16</xdr:col>
      <xdr:colOff>0</xdr:colOff>
      <xdr:row>1350</xdr:row>
      <xdr:rowOff>42334</xdr:rowOff>
    </xdr:to>
    <xdr:cxnSp macro="">
      <xdr:nvCxnSpPr>
        <xdr:cNvPr id="1867" name="Straight Arrow Connector 1866">
          <a:extLst>
            <a:ext uri="{FF2B5EF4-FFF2-40B4-BE49-F238E27FC236}">
              <a16:creationId xmlns:a16="http://schemas.microsoft.com/office/drawing/2014/main" id="{00000000-0008-0000-1300-00004B070000}"/>
            </a:ext>
          </a:extLst>
        </xdr:cNvPr>
        <xdr:cNvCxnSpPr/>
      </xdr:nvCxnSpPr>
      <xdr:spPr>
        <a:xfrm>
          <a:off x="10562166" y="1733550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1350</xdr:row>
      <xdr:rowOff>21166</xdr:rowOff>
    </xdr:from>
    <xdr:to>
      <xdr:col>15</xdr:col>
      <xdr:colOff>560916</xdr:colOff>
      <xdr:row>1353</xdr:row>
      <xdr:rowOff>84667</xdr:rowOff>
    </xdr:to>
    <xdr:cxnSp macro="">
      <xdr:nvCxnSpPr>
        <xdr:cNvPr id="1868" name="Straight Arrow Connector 1867">
          <a:extLst>
            <a:ext uri="{FF2B5EF4-FFF2-40B4-BE49-F238E27FC236}">
              <a16:creationId xmlns:a16="http://schemas.microsoft.com/office/drawing/2014/main" id="{00000000-0008-0000-1300-00004C070000}"/>
            </a:ext>
          </a:extLst>
        </xdr:cNvPr>
        <xdr:cNvCxnSpPr/>
      </xdr:nvCxnSpPr>
      <xdr:spPr>
        <a:xfrm>
          <a:off x="10615083" y="1733761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1350</xdr:row>
      <xdr:rowOff>52916</xdr:rowOff>
    </xdr:from>
    <xdr:to>
      <xdr:col>15</xdr:col>
      <xdr:colOff>592666</xdr:colOff>
      <xdr:row>1356</xdr:row>
      <xdr:rowOff>63501</xdr:rowOff>
    </xdr:to>
    <xdr:cxnSp macro="">
      <xdr:nvCxnSpPr>
        <xdr:cNvPr id="1869" name="Straight Arrow Connector 1868">
          <a:extLst>
            <a:ext uri="{FF2B5EF4-FFF2-40B4-BE49-F238E27FC236}">
              <a16:creationId xmlns:a16="http://schemas.microsoft.com/office/drawing/2014/main" id="{00000000-0008-0000-1300-00004D070000}"/>
            </a:ext>
          </a:extLst>
        </xdr:cNvPr>
        <xdr:cNvCxnSpPr/>
      </xdr:nvCxnSpPr>
      <xdr:spPr>
        <a:xfrm>
          <a:off x="10572750" y="1734079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1347</xdr:row>
      <xdr:rowOff>52917</xdr:rowOff>
    </xdr:from>
    <xdr:to>
      <xdr:col>15</xdr:col>
      <xdr:colOff>603250</xdr:colOff>
      <xdr:row>1349</xdr:row>
      <xdr:rowOff>148167</xdr:rowOff>
    </xdr:to>
    <xdr:cxnSp macro="">
      <xdr:nvCxnSpPr>
        <xdr:cNvPr id="1870" name="Straight Arrow Connector 1869">
          <a:extLst>
            <a:ext uri="{FF2B5EF4-FFF2-40B4-BE49-F238E27FC236}">
              <a16:creationId xmlns:a16="http://schemas.microsoft.com/office/drawing/2014/main" id="{00000000-0008-0000-1300-00004E070000}"/>
            </a:ext>
          </a:extLst>
        </xdr:cNvPr>
        <xdr:cNvCxnSpPr/>
      </xdr:nvCxnSpPr>
      <xdr:spPr>
        <a:xfrm flipV="1">
          <a:off x="10583333" y="1728364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31750</xdr:colOff>
      <xdr:row>1258</xdr:row>
      <xdr:rowOff>127000</xdr:rowOff>
    </xdr:from>
    <xdr:to>
      <xdr:col>8</xdr:col>
      <xdr:colOff>63500</xdr:colOff>
      <xdr:row>1277</xdr:row>
      <xdr:rowOff>0</xdr:rowOff>
    </xdr:to>
    <xdr:cxnSp macro="">
      <xdr:nvCxnSpPr>
        <xdr:cNvPr id="1871" name="Straight Arrow Connector 1870">
          <a:extLst>
            <a:ext uri="{FF2B5EF4-FFF2-40B4-BE49-F238E27FC236}">
              <a16:creationId xmlns:a16="http://schemas.microsoft.com/office/drawing/2014/main" id="{00000000-0008-0000-1300-00004F070000}"/>
            </a:ext>
          </a:extLst>
        </xdr:cNvPr>
        <xdr:cNvCxnSpPr/>
      </xdr:nvCxnSpPr>
      <xdr:spPr>
        <a:xfrm flipV="1">
          <a:off x="5207000" y="155575000"/>
          <a:ext cx="635000" cy="3587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603250</xdr:colOff>
      <xdr:row>1364</xdr:row>
      <xdr:rowOff>10584</xdr:rowOff>
    </xdr:from>
    <xdr:to>
      <xdr:col>1</xdr:col>
      <xdr:colOff>603250</xdr:colOff>
      <xdr:row>1457</xdr:row>
      <xdr:rowOff>158750</xdr:rowOff>
    </xdr:to>
    <xdr:cxnSp macro="">
      <xdr:nvCxnSpPr>
        <xdr:cNvPr id="1872" name="Straight Arrow Connector 1871">
          <a:extLst>
            <a:ext uri="{FF2B5EF4-FFF2-40B4-BE49-F238E27FC236}">
              <a16:creationId xmlns:a16="http://schemas.microsoft.com/office/drawing/2014/main" id="{00000000-0008-0000-1300-000050070000}"/>
            </a:ext>
          </a:extLst>
        </xdr:cNvPr>
        <xdr:cNvCxnSpPr/>
      </xdr:nvCxnSpPr>
      <xdr:spPr>
        <a:xfrm flipV="1">
          <a:off x="603250" y="175842084"/>
          <a:ext cx="603250" cy="18245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603250</xdr:colOff>
      <xdr:row>1460</xdr:row>
      <xdr:rowOff>169333</xdr:rowOff>
    </xdr:from>
    <xdr:to>
      <xdr:col>1</xdr:col>
      <xdr:colOff>603250</xdr:colOff>
      <xdr:row>1502</xdr:row>
      <xdr:rowOff>148167</xdr:rowOff>
    </xdr:to>
    <xdr:cxnSp macro="">
      <xdr:nvCxnSpPr>
        <xdr:cNvPr id="1873" name="Straight Arrow Connector 1872">
          <a:extLst>
            <a:ext uri="{FF2B5EF4-FFF2-40B4-BE49-F238E27FC236}">
              <a16:creationId xmlns:a16="http://schemas.microsoft.com/office/drawing/2014/main" id="{00000000-0008-0000-1300-000051070000}"/>
            </a:ext>
          </a:extLst>
        </xdr:cNvPr>
        <xdr:cNvCxnSpPr/>
      </xdr:nvCxnSpPr>
      <xdr:spPr>
        <a:xfrm>
          <a:off x="603250" y="194669833"/>
          <a:ext cx="603250" cy="7979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10584</xdr:colOff>
      <xdr:row>1436</xdr:row>
      <xdr:rowOff>158750</xdr:rowOff>
    </xdr:from>
    <xdr:to>
      <xdr:col>3</xdr:col>
      <xdr:colOff>603250</xdr:colOff>
      <xdr:row>1503</xdr:row>
      <xdr:rowOff>10583</xdr:rowOff>
    </xdr:to>
    <xdr:cxnSp macro="">
      <xdr:nvCxnSpPr>
        <xdr:cNvPr id="1874" name="Straight Arrow Connector 1873">
          <a:extLst>
            <a:ext uri="{FF2B5EF4-FFF2-40B4-BE49-F238E27FC236}">
              <a16:creationId xmlns:a16="http://schemas.microsoft.com/office/drawing/2014/main" id="{00000000-0008-0000-1300-000052070000}"/>
            </a:ext>
          </a:extLst>
        </xdr:cNvPr>
        <xdr:cNvCxnSpPr/>
      </xdr:nvCxnSpPr>
      <xdr:spPr>
        <a:xfrm flipV="1">
          <a:off x="2296584" y="189896750"/>
          <a:ext cx="592666" cy="12805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21167</xdr:colOff>
      <xdr:row>1505</xdr:row>
      <xdr:rowOff>10583</xdr:rowOff>
    </xdr:from>
    <xdr:to>
      <xdr:col>4</xdr:col>
      <xdr:colOff>63500</xdr:colOff>
      <xdr:row>1656</xdr:row>
      <xdr:rowOff>158750</xdr:rowOff>
    </xdr:to>
    <xdr:cxnSp macro="">
      <xdr:nvCxnSpPr>
        <xdr:cNvPr id="1875" name="Straight Arrow Connector 1874">
          <a:extLst>
            <a:ext uri="{FF2B5EF4-FFF2-40B4-BE49-F238E27FC236}">
              <a16:creationId xmlns:a16="http://schemas.microsoft.com/office/drawing/2014/main" id="{00000000-0008-0000-1300-000053070000}"/>
            </a:ext>
          </a:extLst>
        </xdr:cNvPr>
        <xdr:cNvCxnSpPr/>
      </xdr:nvCxnSpPr>
      <xdr:spPr>
        <a:xfrm>
          <a:off x="2307167" y="203274083"/>
          <a:ext cx="645583" cy="29294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825500</xdr:colOff>
      <xdr:row>1399</xdr:row>
      <xdr:rowOff>1</xdr:rowOff>
    </xdr:from>
    <xdr:to>
      <xdr:col>6</xdr:col>
      <xdr:colOff>0</xdr:colOff>
      <xdr:row>1433</xdr:row>
      <xdr:rowOff>116417</xdr:rowOff>
    </xdr:to>
    <xdr:cxnSp macro="">
      <xdr:nvCxnSpPr>
        <xdr:cNvPr id="1876" name="Straight Arrow Connector 1875">
          <a:extLst>
            <a:ext uri="{FF2B5EF4-FFF2-40B4-BE49-F238E27FC236}">
              <a16:creationId xmlns:a16="http://schemas.microsoft.com/office/drawing/2014/main" id="{00000000-0008-0000-1300-000054070000}"/>
            </a:ext>
          </a:extLst>
        </xdr:cNvPr>
        <xdr:cNvCxnSpPr/>
      </xdr:nvCxnSpPr>
      <xdr:spPr>
        <a:xfrm flipV="1">
          <a:off x="3714750" y="182689501"/>
          <a:ext cx="666750" cy="65934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21167</xdr:colOff>
      <xdr:row>1436</xdr:row>
      <xdr:rowOff>169334</xdr:rowOff>
    </xdr:from>
    <xdr:to>
      <xdr:col>5</xdr:col>
      <xdr:colOff>571500</xdr:colOff>
      <xdr:row>1505</xdr:row>
      <xdr:rowOff>0</xdr:rowOff>
    </xdr:to>
    <xdr:cxnSp macro="">
      <xdr:nvCxnSpPr>
        <xdr:cNvPr id="1877" name="Straight Arrow Connector 1876">
          <a:extLst>
            <a:ext uri="{FF2B5EF4-FFF2-40B4-BE49-F238E27FC236}">
              <a16:creationId xmlns:a16="http://schemas.microsoft.com/office/drawing/2014/main" id="{00000000-0008-0000-1300-000055070000}"/>
            </a:ext>
          </a:extLst>
        </xdr:cNvPr>
        <xdr:cNvCxnSpPr/>
      </xdr:nvCxnSpPr>
      <xdr:spPr>
        <a:xfrm>
          <a:off x="3799417" y="189907334"/>
          <a:ext cx="550333" cy="133244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1374</xdr:row>
      <xdr:rowOff>148167</xdr:rowOff>
    </xdr:from>
    <xdr:to>
      <xdr:col>7</xdr:col>
      <xdr:colOff>603250</xdr:colOff>
      <xdr:row>1396</xdr:row>
      <xdr:rowOff>31750</xdr:rowOff>
    </xdr:to>
    <xdr:cxnSp macro="">
      <xdr:nvCxnSpPr>
        <xdr:cNvPr id="1878" name="Straight Arrow Connector 1877">
          <a:extLst>
            <a:ext uri="{FF2B5EF4-FFF2-40B4-BE49-F238E27FC236}">
              <a16:creationId xmlns:a16="http://schemas.microsoft.com/office/drawing/2014/main" id="{00000000-0008-0000-1300-000056070000}"/>
            </a:ext>
          </a:extLst>
        </xdr:cNvPr>
        <xdr:cNvCxnSpPr/>
      </xdr:nvCxnSpPr>
      <xdr:spPr>
        <a:xfrm flipV="1">
          <a:off x="5175250" y="177884667"/>
          <a:ext cx="603250" cy="42650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1399</xdr:row>
      <xdr:rowOff>10584</xdr:rowOff>
    </xdr:from>
    <xdr:to>
      <xdr:col>8</xdr:col>
      <xdr:colOff>21167</xdr:colOff>
      <xdr:row>1427</xdr:row>
      <xdr:rowOff>148166</xdr:rowOff>
    </xdr:to>
    <xdr:cxnSp macro="">
      <xdr:nvCxnSpPr>
        <xdr:cNvPr id="1879" name="Straight Arrow Connector 1878">
          <a:extLst>
            <a:ext uri="{FF2B5EF4-FFF2-40B4-BE49-F238E27FC236}">
              <a16:creationId xmlns:a16="http://schemas.microsoft.com/office/drawing/2014/main" id="{00000000-0008-0000-1300-000057070000}"/>
            </a:ext>
          </a:extLst>
        </xdr:cNvPr>
        <xdr:cNvCxnSpPr/>
      </xdr:nvCxnSpPr>
      <xdr:spPr>
        <a:xfrm>
          <a:off x="5175250" y="182700084"/>
          <a:ext cx="624417" cy="547158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1366</xdr:row>
      <xdr:rowOff>137583</xdr:rowOff>
    </xdr:from>
    <xdr:to>
      <xdr:col>9</xdr:col>
      <xdr:colOff>603250</xdr:colOff>
      <xdr:row>1372</xdr:row>
      <xdr:rowOff>21166</xdr:rowOff>
    </xdr:to>
    <xdr:cxnSp macro="">
      <xdr:nvCxnSpPr>
        <xdr:cNvPr id="1880" name="Straight Arrow Connector 1879">
          <a:extLst>
            <a:ext uri="{FF2B5EF4-FFF2-40B4-BE49-F238E27FC236}">
              <a16:creationId xmlns:a16="http://schemas.microsoft.com/office/drawing/2014/main" id="{00000000-0008-0000-1300-000058070000}"/>
            </a:ext>
          </a:extLst>
        </xdr:cNvPr>
        <xdr:cNvCxnSpPr/>
      </xdr:nvCxnSpPr>
      <xdr:spPr>
        <a:xfrm flipV="1">
          <a:off x="6381750" y="176350083"/>
          <a:ext cx="603250" cy="1026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1375</xdr:row>
      <xdr:rowOff>0</xdr:rowOff>
    </xdr:from>
    <xdr:to>
      <xdr:col>9</xdr:col>
      <xdr:colOff>582083</xdr:colOff>
      <xdr:row>1383</xdr:row>
      <xdr:rowOff>10583</xdr:rowOff>
    </xdr:to>
    <xdr:cxnSp macro="">
      <xdr:nvCxnSpPr>
        <xdr:cNvPr id="1881" name="Straight Arrow Connector 1880">
          <a:extLst>
            <a:ext uri="{FF2B5EF4-FFF2-40B4-BE49-F238E27FC236}">
              <a16:creationId xmlns:a16="http://schemas.microsoft.com/office/drawing/2014/main" id="{00000000-0008-0000-1300-000059070000}"/>
            </a:ext>
          </a:extLst>
        </xdr:cNvPr>
        <xdr:cNvCxnSpPr/>
      </xdr:nvCxnSpPr>
      <xdr:spPr>
        <a:xfrm>
          <a:off x="6413500" y="177927000"/>
          <a:ext cx="550333" cy="1534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21167</xdr:colOff>
      <xdr:row>1380</xdr:row>
      <xdr:rowOff>169333</xdr:rowOff>
    </xdr:from>
    <xdr:to>
      <xdr:col>11</xdr:col>
      <xdr:colOff>603250</xdr:colOff>
      <xdr:row>1383</xdr:row>
      <xdr:rowOff>21167</xdr:rowOff>
    </xdr:to>
    <xdr:cxnSp macro="">
      <xdr:nvCxnSpPr>
        <xdr:cNvPr id="1882" name="Straight Arrow Connector 1881">
          <a:extLst>
            <a:ext uri="{FF2B5EF4-FFF2-40B4-BE49-F238E27FC236}">
              <a16:creationId xmlns:a16="http://schemas.microsoft.com/office/drawing/2014/main" id="{00000000-0008-0000-1300-00005A070000}"/>
            </a:ext>
          </a:extLst>
        </xdr:cNvPr>
        <xdr:cNvCxnSpPr/>
      </xdr:nvCxnSpPr>
      <xdr:spPr>
        <a:xfrm flipV="1">
          <a:off x="7609417" y="179048833"/>
          <a:ext cx="582083" cy="423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1386</xdr:row>
      <xdr:rowOff>42333</xdr:rowOff>
    </xdr:from>
    <xdr:to>
      <xdr:col>11</xdr:col>
      <xdr:colOff>603250</xdr:colOff>
      <xdr:row>1398</xdr:row>
      <xdr:rowOff>10583</xdr:rowOff>
    </xdr:to>
    <xdr:cxnSp macro="">
      <xdr:nvCxnSpPr>
        <xdr:cNvPr id="1883" name="Straight Arrow Connector 1882">
          <a:extLst>
            <a:ext uri="{FF2B5EF4-FFF2-40B4-BE49-F238E27FC236}">
              <a16:creationId xmlns:a16="http://schemas.microsoft.com/office/drawing/2014/main" id="{00000000-0008-0000-1300-00005B070000}"/>
            </a:ext>
          </a:extLst>
        </xdr:cNvPr>
        <xdr:cNvCxnSpPr/>
      </xdr:nvCxnSpPr>
      <xdr:spPr>
        <a:xfrm>
          <a:off x="7598834" y="1800648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1376</xdr:row>
      <xdr:rowOff>21167</xdr:rowOff>
    </xdr:from>
    <xdr:to>
      <xdr:col>13</xdr:col>
      <xdr:colOff>592667</xdr:colOff>
      <xdr:row>1378</xdr:row>
      <xdr:rowOff>0</xdr:rowOff>
    </xdr:to>
    <xdr:cxnSp macro="">
      <xdr:nvCxnSpPr>
        <xdr:cNvPr id="1884" name="Straight Arrow Connector 1883">
          <a:extLst>
            <a:ext uri="{FF2B5EF4-FFF2-40B4-BE49-F238E27FC236}">
              <a16:creationId xmlns:a16="http://schemas.microsoft.com/office/drawing/2014/main" id="{00000000-0008-0000-1300-00005C070000}"/>
            </a:ext>
          </a:extLst>
        </xdr:cNvPr>
        <xdr:cNvCxnSpPr/>
      </xdr:nvCxnSpPr>
      <xdr:spPr>
        <a:xfrm flipV="1">
          <a:off x="8794750" y="1781386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1381</xdr:row>
      <xdr:rowOff>21166</xdr:rowOff>
    </xdr:from>
    <xdr:to>
      <xdr:col>13</xdr:col>
      <xdr:colOff>592667</xdr:colOff>
      <xdr:row>1382</xdr:row>
      <xdr:rowOff>169334</xdr:rowOff>
    </xdr:to>
    <xdr:cxnSp macro="">
      <xdr:nvCxnSpPr>
        <xdr:cNvPr id="1885" name="Straight Arrow Connector 1884">
          <a:extLst>
            <a:ext uri="{FF2B5EF4-FFF2-40B4-BE49-F238E27FC236}">
              <a16:creationId xmlns:a16="http://schemas.microsoft.com/office/drawing/2014/main" id="{00000000-0008-0000-1300-00005D070000}"/>
            </a:ext>
          </a:extLst>
        </xdr:cNvPr>
        <xdr:cNvCxnSpPr/>
      </xdr:nvCxnSpPr>
      <xdr:spPr>
        <a:xfrm>
          <a:off x="8784166" y="1790911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1396</xdr:row>
      <xdr:rowOff>21167</xdr:rowOff>
    </xdr:from>
    <xdr:to>
      <xdr:col>13</xdr:col>
      <xdr:colOff>592667</xdr:colOff>
      <xdr:row>1398</xdr:row>
      <xdr:rowOff>63500</xdr:rowOff>
    </xdr:to>
    <xdr:cxnSp macro="">
      <xdr:nvCxnSpPr>
        <xdr:cNvPr id="1886" name="Straight Arrow Connector 1885">
          <a:extLst>
            <a:ext uri="{FF2B5EF4-FFF2-40B4-BE49-F238E27FC236}">
              <a16:creationId xmlns:a16="http://schemas.microsoft.com/office/drawing/2014/main" id="{00000000-0008-0000-1300-00005E070000}"/>
            </a:ext>
          </a:extLst>
        </xdr:cNvPr>
        <xdr:cNvCxnSpPr/>
      </xdr:nvCxnSpPr>
      <xdr:spPr>
        <a:xfrm flipV="1">
          <a:off x="8794750" y="1821391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1401</xdr:row>
      <xdr:rowOff>0</xdr:rowOff>
    </xdr:from>
    <xdr:to>
      <xdr:col>14</xdr:col>
      <xdr:colOff>10584</xdr:colOff>
      <xdr:row>1409</xdr:row>
      <xdr:rowOff>148167</xdr:rowOff>
    </xdr:to>
    <xdr:cxnSp macro="">
      <xdr:nvCxnSpPr>
        <xdr:cNvPr id="1887" name="Straight Arrow Connector 1886">
          <a:extLst>
            <a:ext uri="{FF2B5EF4-FFF2-40B4-BE49-F238E27FC236}">
              <a16:creationId xmlns:a16="http://schemas.microsoft.com/office/drawing/2014/main" id="{00000000-0008-0000-1300-00005F070000}"/>
            </a:ext>
          </a:extLst>
        </xdr:cNvPr>
        <xdr:cNvCxnSpPr/>
      </xdr:nvCxnSpPr>
      <xdr:spPr>
        <a:xfrm>
          <a:off x="8805333" y="1830705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1368</xdr:row>
      <xdr:rowOff>0</xdr:rowOff>
    </xdr:from>
    <xdr:to>
      <xdr:col>15</xdr:col>
      <xdr:colOff>603250</xdr:colOff>
      <xdr:row>1373</xdr:row>
      <xdr:rowOff>31750</xdr:rowOff>
    </xdr:to>
    <xdr:cxnSp macro="">
      <xdr:nvCxnSpPr>
        <xdr:cNvPr id="1888" name="Straight Arrow Connector 1887">
          <a:extLst>
            <a:ext uri="{FF2B5EF4-FFF2-40B4-BE49-F238E27FC236}">
              <a16:creationId xmlns:a16="http://schemas.microsoft.com/office/drawing/2014/main" id="{00000000-0008-0000-1300-000060070000}"/>
            </a:ext>
          </a:extLst>
        </xdr:cNvPr>
        <xdr:cNvCxnSpPr/>
      </xdr:nvCxnSpPr>
      <xdr:spPr>
        <a:xfrm flipV="1">
          <a:off x="10541000" y="176593500"/>
          <a:ext cx="603250" cy="984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1371</xdr:row>
      <xdr:rowOff>52917</xdr:rowOff>
    </xdr:from>
    <xdr:to>
      <xdr:col>15</xdr:col>
      <xdr:colOff>603250</xdr:colOff>
      <xdr:row>1373</xdr:row>
      <xdr:rowOff>95250</xdr:rowOff>
    </xdr:to>
    <xdr:cxnSp macro="">
      <xdr:nvCxnSpPr>
        <xdr:cNvPr id="1889" name="Straight Arrow Connector 1888">
          <a:extLst>
            <a:ext uri="{FF2B5EF4-FFF2-40B4-BE49-F238E27FC236}">
              <a16:creationId xmlns:a16="http://schemas.microsoft.com/office/drawing/2014/main" id="{00000000-0008-0000-1300-000061070000}"/>
            </a:ext>
          </a:extLst>
        </xdr:cNvPr>
        <xdr:cNvCxnSpPr/>
      </xdr:nvCxnSpPr>
      <xdr:spPr>
        <a:xfrm flipV="1">
          <a:off x="10583333" y="177217917"/>
          <a:ext cx="56091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1373</xdr:row>
      <xdr:rowOff>158750</xdr:rowOff>
    </xdr:from>
    <xdr:to>
      <xdr:col>15</xdr:col>
      <xdr:colOff>582083</xdr:colOff>
      <xdr:row>1374</xdr:row>
      <xdr:rowOff>137583</xdr:rowOff>
    </xdr:to>
    <xdr:cxnSp macro="">
      <xdr:nvCxnSpPr>
        <xdr:cNvPr id="1890" name="Straight Arrow Connector 1889">
          <a:extLst>
            <a:ext uri="{FF2B5EF4-FFF2-40B4-BE49-F238E27FC236}">
              <a16:creationId xmlns:a16="http://schemas.microsoft.com/office/drawing/2014/main" id="{00000000-0008-0000-1300-000062070000}"/>
            </a:ext>
          </a:extLst>
        </xdr:cNvPr>
        <xdr:cNvCxnSpPr/>
      </xdr:nvCxnSpPr>
      <xdr:spPr>
        <a:xfrm>
          <a:off x="10604500" y="177704750"/>
          <a:ext cx="518583" cy="169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1121834</xdr:colOff>
      <xdr:row>1373</xdr:row>
      <xdr:rowOff>105834</xdr:rowOff>
    </xdr:from>
    <xdr:to>
      <xdr:col>16</xdr:col>
      <xdr:colOff>0</xdr:colOff>
      <xdr:row>1377</xdr:row>
      <xdr:rowOff>84667</xdr:rowOff>
    </xdr:to>
    <xdr:cxnSp macro="">
      <xdr:nvCxnSpPr>
        <xdr:cNvPr id="1891" name="Straight Arrow Connector 1890">
          <a:extLst>
            <a:ext uri="{FF2B5EF4-FFF2-40B4-BE49-F238E27FC236}">
              <a16:creationId xmlns:a16="http://schemas.microsoft.com/office/drawing/2014/main" id="{00000000-0008-0000-1300-000063070000}"/>
            </a:ext>
          </a:extLst>
        </xdr:cNvPr>
        <xdr:cNvCxnSpPr/>
      </xdr:nvCxnSpPr>
      <xdr:spPr>
        <a:xfrm>
          <a:off x="10519834" y="177651834"/>
          <a:ext cx="624416"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1381</xdr:row>
      <xdr:rowOff>52916</xdr:rowOff>
    </xdr:from>
    <xdr:to>
      <xdr:col>16</xdr:col>
      <xdr:colOff>0</xdr:colOff>
      <xdr:row>1383</xdr:row>
      <xdr:rowOff>0</xdr:rowOff>
    </xdr:to>
    <xdr:cxnSp macro="">
      <xdr:nvCxnSpPr>
        <xdr:cNvPr id="1892" name="Straight Arrow Connector 1891">
          <a:extLst>
            <a:ext uri="{FF2B5EF4-FFF2-40B4-BE49-F238E27FC236}">
              <a16:creationId xmlns:a16="http://schemas.microsoft.com/office/drawing/2014/main" id="{00000000-0008-0000-1300-000064070000}"/>
            </a:ext>
          </a:extLst>
        </xdr:cNvPr>
        <xdr:cNvCxnSpPr/>
      </xdr:nvCxnSpPr>
      <xdr:spPr>
        <a:xfrm flipV="1">
          <a:off x="10541000" y="1791229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1383</xdr:row>
      <xdr:rowOff>21167</xdr:rowOff>
    </xdr:from>
    <xdr:to>
      <xdr:col>15</xdr:col>
      <xdr:colOff>582083</xdr:colOff>
      <xdr:row>1384</xdr:row>
      <xdr:rowOff>42333</xdr:rowOff>
    </xdr:to>
    <xdr:cxnSp macro="">
      <xdr:nvCxnSpPr>
        <xdr:cNvPr id="1893" name="Straight Arrow Connector 1892">
          <a:extLst>
            <a:ext uri="{FF2B5EF4-FFF2-40B4-BE49-F238E27FC236}">
              <a16:creationId xmlns:a16="http://schemas.microsoft.com/office/drawing/2014/main" id="{00000000-0008-0000-1300-000065070000}"/>
            </a:ext>
          </a:extLst>
        </xdr:cNvPr>
        <xdr:cNvCxnSpPr/>
      </xdr:nvCxnSpPr>
      <xdr:spPr>
        <a:xfrm>
          <a:off x="10551583" y="179472167"/>
          <a:ext cx="571500" cy="211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1383</xdr:row>
      <xdr:rowOff>21167</xdr:rowOff>
    </xdr:from>
    <xdr:to>
      <xdr:col>16</xdr:col>
      <xdr:colOff>42333</xdr:colOff>
      <xdr:row>1388</xdr:row>
      <xdr:rowOff>21168</xdr:rowOff>
    </xdr:to>
    <xdr:cxnSp macro="">
      <xdr:nvCxnSpPr>
        <xdr:cNvPr id="1894" name="Straight Arrow Connector 1893">
          <a:extLst>
            <a:ext uri="{FF2B5EF4-FFF2-40B4-BE49-F238E27FC236}">
              <a16:creationId xmlns:a16="http://schemas.microsoft.com/office/drawing/2014/main" id="{00000000-0008-0000-1300-000066070000}"/>
            </a:ext>
          </a:extLst>
        </xdr:cNvPr>
        <xdr:cNvCxnSpPr/>
      </xdr:nvCxnSpPr>
      <xdr:spPr>
        <a:xfrm>
          <a:off x="10530417" y="179472167"/>
          <a:ext cx="656166" cy="9525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1383</xdr:row>
      <xdr:rowOff>31750</xdr:rowOff>
    </xdr:from>
    <xdr:to>
      <xdr:col>16</xdr:col>
      <xdr:colOff>42334</xdr:colOff>
      <xdr:row>1390</xdr:row>
      <xdr:rowOff>63501</xdr:rowOff>
    </xdr:to>
    <xdr:cxnSp macro="">
      <xdr:nvCxnSpPr>
        <xdr:cNvPr id="1895" name="Straight Arrow Connector 1894">
          <a:extLst>
            <a:ext uri="{FF2B5EF4-FFF2-40B4-BE49-F238E27FC236}">
              <a16:creationId xmlns:a16="http://schemas.microsoft.com/office/drawing/2014/main" id="{00000000-0008-0000-1300-000067070000}"/>
            </a:ext>
          </a:extLst>
        </xdr:cNvPr>
        <xdr:cNvCxnSpPr/>
      </xdr:nvCxnSpPr>
      <xdr:spPr>
        <a:xfrm>
          <a:off x="10541000" y="179482750"/>
          <a:ext cx="645584"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10583</xdr:colOff>
      <xdr:row>1420</xdr:row>
      <xdr:rowOff>42333</xdr:rowOff>
    </xdr:from>
    <xdr:to>
      <xdr:col>9</xdr:col>
      <xdr:colOff>592666</xdr:colOff>
      <xdr:row>1428</xdr:row>
      <xdr:rowOff>42333</xdr:rowOff>
    </xdr:to>
    <xdr:cxnSp macro="">
      <xdr:nvCxnSpPr>
        <xdr:cNvPr id="1896" name="Straight Arrow Connector 1895">
          <a:extLst>
            <a:ext uri="{FF2B5EF4-FFF2-40B4-BE49-F238E27FC236}">
              <a16:creationId xmlns:a16="http://schemas.microsoft.com/office/drawing/2014/main" id="{00000000-0008-0000-1300-000068070000}"/>
            </a:ext>
          </a:extLst>
        </xdr:cNvPr>
        <xdr:cNvCxnSpPr/>
      </xdr:nvCxnSpPr>
      <xdr:spPr>
        <a:xfrm flipV="1">
          <a:off x="6392333" y="186732333"/>
          <a:ext cx="582083" cy="152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1430</xdr:row>
      <xdr:rowOff>169334</xdr:rowOff>
    </xdr:from>
    <xdr:to>
      <xdr:col>9</xdr:col>
      <xdr:colOff>603250</xdr:colOff>
      <xdr:row>1439</xdr:row>
      <xdr:rowOff>31750</xdr:rowOff>
    </xdr:to>
    <xdr:cxnSp macro="">
      <xdr:nvCxnSpPr>
        <xdr:cNvPr id="1897" name="Straight Arrow Connector 1896">
          <a:extLst>
            <a:ext uri="{FF2B5EF4-FFF2-40B4-BE49-F238E27FC236}">
              <a16:creationId xmlns:a16="http://schemas.microsoft.com/office/drawing/2014/main" id="{00000000-0008-0000-1300-000069070000}"/>
            </a:ext>
          </a:extLst>
        </xdr:cNvPr>
        <xdr:cNvCxnSpPr/>
      </xdr:nvCxnSpPr>
      <xdr:spPr>
        <a:xfrm>
          <a:off x="6413500" y="188764334"/>
          <a:ext cx="571500" cy="1576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571500</xdr:colOff>
      <xdr:row>1436</xdr:row>
      <xdr:rowOff>158750</xdr:rowOff>
    </xdr:from>
    <xdr:to>
      <xdr:col>11</xdr:col>
      <xdr:colOff>571500</xdr:colOff>
      <xdr:row>1439</xdr:row>
      <xdr:rowOff>0</xdr:rowOff>
    </xdr:to>
    <xdr:cxnSp macro="">
      <xdr:nvCxnSpPr>
        <xdr:cNvPr id="1898" name="Straight Arrow Connector 1897">
          <a:extLst>
            <a:ext uri="{FF2B5EF4-FFF2-40B4-BE49-F238E27FC236}">
              <a16:creationId xmlns:a16="http://schemas.microsoft.com/office/drawing/2014/main" id="{00000000-0008-0000-1300-00006A070000}"/>
            </a:ext>
          </a:extLst>
        </xdr:cNvPr>
        <xdr:cNvCxnSpPr/>
      </xdr:nvCxnSpPr>
      <xdr:spPr>
        <a:xfrm flipV="1">
          <a:off x="7556500" y="189896750"/>
          <a:ext cx="603250" cy="412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1394</xdr:row>
      <xdr:rowOff>0</xdr:rowOff>
    </xdr:from>
    <xdr:to>
      <xdr:col>15</xdr:col>
      <xdr:colOff>603250</xdr:colOff>
      <xdr:row>1396</xdr:row>
      <xdr:rowOff>1</xdr:rowOff>
    </xdr:to>
    <xdr:cxnSp macro="">
      <xdr:nvCxnSpPr>
        <xdr:cNvPr id="1899" name="Straight Arrow Connector 1898">
          <a:extLst>
            <a:ext uri="{FF2B5EF4-FFF2-40B4-BE49-F238E27FC236}">
              <a16:creationId xmlns:a16="http://schemas.microsoft.com/office/drawing/2014/main" id="{00000000-0008-0000-1300-00006B070000}"/>
            </a:ext>
          </a:extLst>
        </xdr:cNvPr>
        <xdr:cNvCxnSpPr/>
      </xdr:nvCxnSpPr>
      <xdr:spPr>
        <a:xfrm flipV="1">
          <a:off x="10530417" y="1817370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1396</xdr:row>
      <xdr:rowOff>10584</xdr:rowOff>
    </xdr:from>
    <xdr:to>
      <xdr:col>15</xdr:col>
      <xdr:colOff>592666</xdr:colOff>
      <xdr:row>1397</xdr:row>
      <xdr:rowOff>95250</xdr:rowOff>
    </xdr:to>
    <xdr:cxnSp macro="">
      <xdr:nvCxnSpPr>
        <xdr:cNvPr id="1900" name="Straight Arrow Connector 1899">
          <a:extLst>
            <a:ext uri="{FF2B5EF4-FFF2-40B4-BE49-F238E27FC236}">
              <a16:creationId xmlns:a16="http://schemas.microsoft.com/office/drawing/2014/main" id="{00000000-0008-0000-1300-00006C070000}"/>
            </a:ext>
          </a:extLst>
        </xdr:cNvPr>
        <xdr:cNvCxnSpPr/>
      </xdr:nvCxnSpPr>
      <xdr:spPr>
        <a:xfrm>
          <a:off x="10572750" y="1821285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1396</xdr:row>
      <xdr:rowOff>10584</xdr:rowOff>
    </xdr:from>
    <xdr:to>
      <xdr:col>15</xdr:col>
      <xdr:colOff>560916</xdr:colOff>
      <xdr:row>1400</xdr:row>
      <xdr:rowOff>52917</xdr:rowOff>
    </xdr:to>
    <xdr:cxnSp macro="">
      <xdr:nvCxnSpPr>
        <xdr:cNvPr id="1901" name="Straight Arrow Connector 1900">
          <a:extLst>
            <a:ext uri="{FF2B5EF4-FFF2-40B4-BE49-F238E27FC236}">
              <a16:creationId xmlns:a16="http://schemas.microsoft.com/office/drawing/2014/main" id="{00000000-0008-0000-1300-00006D070000}"/>
            </a:ext>
          </a:extLst>
        </xdr:cNvPr>
        <xdr:cNvCxnSpPr/>
      </xdr:nvCxnSpPr>
      <xdr:spPr>
        <a:xfrm>
          <a:off x="10551583" y="1821285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1396</xdr:row>
      <xdr:rowOff>31750</xdr:rowOff>
    </xdr:from>
    <xdr:to>
      <xdr:col>16</xdr:col>
      <xdr:colOff>21167</xdr:colOff>
      <xdr:row>1403</xdr:row>
      <xdr:rowOff>95250</xdr:rowOff>
    </xdr:to>
    <xdr:cxnSp macro="">
      <xdr:nvCxnSpPr>
        <xdr:cNvPr id="1902" name="Straight Arrow Connector 1901">
          <a:extLst>
            <a:ext uri="{FF2B5EF4-FFF2-40B4-BE49-F238E27FC236}">
              <a16:creationId xmlns:a16="http://schemas.microsoft.com/office/drawing/2014/main" id="{00000000-0008-0000-1300-00006E070000}"/>
            </a:ext>
          </a:extLst>
        </xdr:cNvPr>
        <xdr:cNvCxnSpPr/>
      </xdr:nvCxnSpPr>
      <xdr:spPr>
        <a:xfrm>
          <a:off x="10583333" y="1821497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1410</xdr:row>
      <xdr:rowOff>0</xdr:rowOff>
    </xdr:from>
    <xdr:to>
      <xdr:col>16</xdr:col>
      <xdr:colOff>0</xdr:colOff>
      <xdr:row>1410</xdr:row>
      <xdr:rowOff>42334</xdr:rowOff>
    </xdr:to>
    <xdr:cxnSp macro="">
      <xdr:nvCxnSpPr>
        <xdr:cNvPr id="1903" name="Straight Arrow Connector 1902">
          <a:extLst>
            <a:ext uri="{FF2B5EF4-FFF2-40B4-BE49-F238E27FC236}">
              <a16:creationId xmlns:a16="http://schemas.microsoft.com/office/drawing/2014/main" id="{00000000-0008-0000-1300-00006F070000}"/>
            </a:ext>
          </a:extLst>
        </xdr:cNvPr>
        <xdr:cNvCxnSpPr/>
      </xdr:nvCxnSpPr>
      <xdr:spPr>
        <a:xfrm>
          <a:off x="10562166" y="1847850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1410</xdr:row>
      <xdr:rowOff>21166</xdr:rowOff>
    </xdr:from>
    <xdr:to>
      <xdr:col>15</xdr:col>
      <xdr:colOff>560916</xdr:colOff>
      <xdr:row>1413</xdr:row>
      <xdr:rowOff>84667</xdr:rowOff>
    </xdr:to>
    <xdr:cxnSp macro="">
      <xdr:nvCxnSpPr>
        <xdr:cNvPr id="1904" name="Straight Arrow Connector 1903">
          <a:extLst>
            <a:ext uri="{FF2B5EF4-FFF2-40B4-BE49-F238E27FC236}">
              <a16:creationId xmlns:a16="http://schemas.microsoft.com/office/drawing/2014/main" id="{00000000-0008-0000-1300-000070070000}"/>
            </a:ext>
          </a:extLst>
        </xdr:cNvPr>
        <xdr:cNvCxnSpPr/>
      </xdr:nvCxnSpPr>
      <xdr:spPr>
        <a:xfrm>
          <a:off x="10615083" y="1848061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1410</xdr:row>
      <xdr:rowOff>52916</xdr:rowOff>
    </xdr:from>
    <xdr:to>
      <xdr:col>15</xdr:col>
      <xdr:colOff>592666</xdr:colOff>
      <xdr:row>1416</xdr:row>
      <xdr:rowOff>63501</xdr:rowOff>
    </xdr:to>
    <xdr:cxnSp macro="">
      <xdr:nvCxnSpPr>
        <xdr:cNvPr id="1905" name="Straight Arrow Connector 1904">
          <a:extLst>
            <a:ext uri="{FF2B5EF4-FFF2-40B4-BE49-F238E27FC236}">
              <a16:creationId xmlns:a16="http://schemas.microsoft.com/office/drawing/2014/main" id="{00000000-0008-0000-1300-000071070000}"/>
            </a:ext>
          </a:extLst>
        </xdr:cNvPr>
        <xdr:cNvCxnSpPr/>
      </xdr:nvCxnSpPr>
      <xdr:spPr>
        <a:xfrm>
          <a:off x="10572750" y="1848379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1424</xdr:row>
      <xdr:rowOff>116416</xdr:rowOff>
    </xdr:from>
    <xdr:to>
      <xdr:col>15</xdr:col>
      <xdr:colOff>592666</xdr:colOff>
      <xdr:row>1427</xdr:row>
      <xdr:rowOff>158750</xdr:rowOff>
    </xdr:to>
    <xdr:cxnSp macro="">
      <xdr:nvCxnSpPr>
        <xdr:cNvPr id="1906" name="Straight Arrow Connector 1905">
          <a:extLst>
            <a:ext uri="{FF2B5EF4-FFF2-40B4-BE49-F238E27FC236}">
              <a16:creationId xmlns:a16="http://schemas.microsoft.com/office/drawing/2014/main" id="{00000000-0008-0000-1300-000072070000}"/>
            </a:ext>
          </a:extLst>
        </xdr:cNvPr>
        <xdr:cNvCxnSpPr/>
      </xdr:nvCxnSpPr>
      <xdr:spPr>
        <a:xfrm flipV="1">
          <a:off x="10562166" y="187568416"/>
          <a:ext cx="571500" cy="613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1426</xdr:row>
      <xdr:rowOff>95250</xdr:rowOff>
    </xdr:from>
    <xdr:to>
      <xdr:col>15</xdr:col>
      <xdr:colOff>582083</xdr:colOff>
      <xdr:row>1428</xdr:row>
      <xdr:rowOff>52917</xdr:rowOff>
    </xdr:to>
    <xdr:cxnSp macro="">
      <xdr:nvCxnSpPr>
        <xdr:cNvPr id="1907" name="Straight Arrow Connector 1906">
          <a:extLst>
            <a:ext uri="{FF2B5EF4-FFF2-40B4-BE49-F238E27FC236}">
              <a16:creationId xmlns:a16="http://schemas.microsoft.com/office/drawing/2014/main" id="{00000000-0008-0000-1300-000073070000}"/>
            </a:ext>
          </a:extLst>
        </xdr:cNvPr>
        <xdr:cNvCxnSpPr/>
      </xdr:nvCxnSpPr>
      <xdr:spPr>
        <a:xfrm flipV="1">
          <a:off x="10604500" y="187928250"/>
          <a:ext cx="518583" cy="338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1428</xdr:row>
      <xdr:rowOff>116417</xdr:rowOff>
    </xdr:from>
    <xdr:to>
      <xdr:col>15</xdr:col>
      <xdr:colOff>592666</xdr:colOff>
      <xdr:row>1432</xdr:row>
      <xdr:rowOff>95250</xdr:rowOff>
    </xdr:to>
    <xdr:cxnSp macro="">
      <xdr:nvCxnSpPr>
        <xdr:cNvPr id="1908" name="Straight Arrow Connector 1907">
          <a:extLst>
            <a:ext uri="{FF2B5EF4-FFF2-40B4-BE49-F238E27FC236}">
              <a16:creationId xmlns:a16="http://schemas.microsoft.com/office/drawing/2014/main" id="{00000000-0008-0000-1300-000074070000}"/>
            </a:ext>
          </a:extLst>
        </xdr:cNvPr>
        <xdr:cNvCxnSpPr/>
      </xdr:nvCxnSpPr>
      <xdr:spPr>
        <a:xfrm>
          <a:off x="10593916" y="188330417"/>
          <a:ext cx="53975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1439</xdr:row>
      <xdr:rowOff>116416</xdr:rowOff>
    </xdr:from>
    <xdr:to>
      <xdr:col>16</xdr:col>
      <xdr:colOff>0</xdr:colOff>
      <xdr:row>1446</xdr:row>
      <xdr:rowOff>74084</xdr:rowOff>
    </xdr:to>
    <xdr:cxnSp macro="">
      <xdr:nvCxnSpPr>
        <xdr:cNvPr id="1909" name="Straight Arrow Connector 1908">
          <a:extLst>
            <a:ext uri="{FF2B5EF4-FFF2-40B4-BE49-F238E27FC236}">
              <a16:creationId xmlns:a16="http://schemas.microsoft.com/office/drawing/2014/main" id="{00000000-0008-0000-1300-000075070000}"/>
            </a:ext>
          </a:extLst>
        </xdr:cNvPr>
        <xdr:cNvCxnSpPr/>
      </xdr:nvCxnSpPr>
      <xdr:spPr>
        <a:xfrm>
          <a:off x="10572750" y="190425916"/>
          <a:ext cx="571500" cy="12911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1407</xdr:row>
      <xdr:rowOff>52917</xdr:rowOff>
    </xdr:from>
    <xdr:to>
      <xdr:col>15</xdr:col>
      <xdr:colOff>603250</xdr:colOff>
      <xdr:row>1409</xdr:row>
      <xdr:rowOff>148167</xdr:rowOff>
    </xdr:to>
    <xdr:cxnSp macro="">
      <xdr:nvCxnSpPr>
        <xdr:cNvPr id="1910" name="Straight Arrow Connector 1909">
          <a:extLst>
            <a:ext uri="{FF2B5EF4-FFF2-40B4-BE49-F238E27FC236}">
              <a16:creationId xmlns:a16="http://schemas.microsoft.com/office/drawing/2014/main" id="{00000000-0008-0000-1300-000076070000}"/>
            </a:ext>
          </a:extLst>
        </xdr:cNvPr>
        <xdr:cNvCxnSpPr/>
      </xdr:nvCxnSpPr>
      <xdr:spPr>
        <a:xfrm flipV="1">
          <a:off x="10583333" y="1842664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1442</xdr:row>
      <xdr:rowOff>42333</xdr:rowOff>
    </xdr:from>
    <xdr:to>
      <xdr:col>11</xdr:col>
      <xdr:colOff>603250</xdr:colOff>
      <xdr:row>1454</xdr:row>
      <xdr:rowOff>10583</xdr:rowOff>
    </xdr:to>
    <xdr:cxnSp macro="">
      <xdr:nvCxnSpPr>
        <xdr:cNvPr id="1911" name="Straight Arrow Connector 1910">
          <a:extLst>
            <a:ext uri="{FF2B5EF4-FFF2-40B4-BE49-F238E27FC236}">
              <a16:creationId xmlns:a16="http://schemas.microsoft.com/office/drawing/2014/main" id="{00000000-0008-0000-1300-000077070000}"/>
            </a:ext>
          </a:extLst>
        </xdr:cNvPr>
        <xdr:cNvCxnSpPr/>
      </xdr:nvCxnSpPr>
      <xdr:spPr>
        <a:xfrm>
          <a:off x="7598834" y="1909233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1432</xdr:row>
      <xdr:rowOff>21167</xdr:rowOff>
    </xdr:from>
    <xdr:to>
      <xdr:col>13</xdr:col>
      <xdr:colOff>592667</xdr:colOff>
      <xdr:row>1434</xdr:row>
      <xdr:rowOff>0</xdr:rowOff>
    </xdr:to>
    <xdr:cxnSp macro="">
      <xdr:nvCxnSpPr>
        <xdr:cNvPr id="1912" name="Straight Arrow Connector 1911">
          <a:extLst>
            <a:ext uri="{FF2B5EF4-FFF2-40B4-BE49-F238E27FC236}">
              <a16:creationId xmlns:a16="http://schemas.microsoft.com/office/drawing/2014/main" id="{00000000-0008-0000-1300-000078070000}"/>
            </a:ext>
          </a:extLst>
        </xdr:cNvPr>
        <xdr:cNvCxnSpPr/>
      </xdr:nvCxnSpPr>
      <xdr:spPr>
        <a:xfrm flipV="1">
          <a:off x="8794750" y="1889971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1437</xdr:row>
      <xdr:rowOff>21166</xdr:rowOff>
    </xdr:from>
    <xdr:to>
      <xdr:col>13</xdr:col>
      <xdr:colOff>592667</xdr:colOff>
      <xdr:row>1438</xdr:row>
      <xdr:rowOff>169334</xdr:rowOff>
    </xdr:to>
    <xdr:cxnSp macro="">
      <xdr:nvCxnSpPr>
        <xdr:cNvPr id="1913" name="Straight Arrow Connector 1912">
          <a:extLst>
            <a:ext uri="{FF2B5EF4-FFF2-40B4-BE49-F238E27FC236}">
              <a16:creationId xmlns:a16="http://schemas.microsoft.com/office/drawing/2014/main" id="{00000000-0008-0000-1300-000079070000}"/>
            </a:ext>
          </a:extLst>
        </xdr:cNvPr>
        <xdr:cNvCxnSpPr/>
      </xdr:nvCxnSpPr>
      <xdr:spPr>
        <a:xfrm>
          <a:off x="8784166" y="1899496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1452</xdr:row>
      <xdr:rowOff>21167</xdr:rowOff>
    </xdr:from>
    <xdr:to>
      <xdr:col>13</xdr:col>
      <xdr:colOff>592667</xdr:colOff>
      <xdr:row>1454</xdr:row>
      <xdr:rowOff>63500</xdr:rowOff>
    </xdr:to>
    <xdr:cxnSp macro="">
      <xdr:nvCxnSpPr>
        <xdr:cNvPr id="1914" name="Straight Arrow Connector 1913">
          <a:extLst>
            <a:ext uri="{FF2B5EF4-FFF2-40B4-BE49-F238E27FC236}">
              <a16:creationId xmlns:a16="http://schemas.microsoft.com/office/drawing/2014/main" id="{00000000-0008-0000-1300-00007A070000}"/>
            </a:ext>
          </a:extLst>
        </xdr:cNvPr>
        <xdr:cNvCxnSpPr/>
      </xdr:nvCxnSpPr>
      <xdr:spPr>
        <a:xfrm flipV="1">
          <a:off x="8794750" y="1929976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1457</xdr:row>
      <xdr:rowOff>0</xdr:rowOff>
    </xdr:from>
    <xdr:to>
      <xdr:col>14</xdr:col>
      <xdr:colOff>10584</xdr:colOff>
      <xdr:row>1465</xdr:row>
      <xdr:rowOff>148167</xdr:rowOff>
    </xdr:to>
    <xdr:cxnSp macro="">
      <xdr:nvCxnSpPr>
        <xdr:cNvPr id="1915" name="Straight Arrow Connector 1914">
          <a:extLst>
            <a:ext uri="{FF2B5EF4-FFF2-40B4-BE49-F238E27FC236}">
              <a16:creationId xmlns:a16="http://schemas.microsoft.com/office/drawing/2014/main" id="{00000000-0008-0000-1300-00007B070000}"/>
            </a:ext>
          </a:extLst>
        </xdr:cNvPr>
        <xdr:cNvCxnSpPr/>
      </xdr:nvCxnSpPr>
      <xdr:spPr>
        <a:xfrm>
          <a:off x="8805333" y="1939290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1428</xdr:row>
      <xdr:rowOff>95250</xdr:rowOff>
    </xdr:from>
    <xdr:to>
      <xdr:col>15</xdr:col>
      <xdr:colOff>582083</xdr:colOff>
      <xdr:row>1430</xdr:row>
      <xdr:rowOff>137583</xdr:rowOff>
    </xdr:to>
    <xdr:cxnSp macro="">
      <xdr:nvCxnSpPr>
        <xdr:cNvPr id="1916" name="Straight Arrow Connector 1915">
          <a:extLst>
            <a:ext uri="{FF2B5EF4-FFF2-40B4-BE49-F238E27FC236}">
              <a16:creationId xmlns:a16="http://schemas.microsoft.com/office/drawing/2014/main" id="{00000000-0008-0000-1300-00007C070000}"/>
            </a:ext>
          </a:extLst>
        </xdr:cNvPr>
        <xdr:cNvCxnSpPr/>
      </xdr:nvCxnSpPr>
      <xdr:spPr>
        <a:xfrm>
          <a:off x="10593916" y="188309250"/>
          <a:ext cx="5291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1437</xdr:row>
      <xdr:rowOff>52916</xdr:rowOff>
    </xdr:from>
    <xdr:to>
      <xdr:col>16</xdr:col>
      <xdr:colOff>0</xdr:colOff>
      <xdr:row>1439</xdr:row>
      <xdr:rowOff>0</xdr:rowOff>
    </xdr:to>
    <xdr:cxnSp macro="">
      <xdr:nvCxnSpPr>
        <xdr:cNvPr id="1917" name="Straight Arrow Connector 1916">
          <a:extLst>
            <a:ext uri="{FF2B5EF4-FFF2-40B4-BE49-F238E27FC236}">
              <a16:creationId xmlns:a16="http://schemas.microsoft.com/office/drawing/2014/main" id="{00000000-0008-0000-1300-00007D070000}"/>
            </a:ext>
          </a:extLst>
        </xdr:cNvPr>
        <xdr:cNvCxnSpPr/>
      </xdr:nvCxnSpPr>
      <xdr:spPr>
        <a:xfrm flipV="1">
          <a:off x="10541000" y="1899814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1439</xdr:row>
      <xdr:rowOff>21167</xdr:rowOff>
    </xdr:from>
    <xdr:to>
      <xdr:col>15</xdr:col>
      <xdr:colOff>592666</xdr:colOff>
      <xdr:row>1440</xdr:row>
      <xdr:rowOff>84667</xdr:rowOff>
    </xdr:to>
    <xdr:cxnSp macro="">
      <xdr:nvCxnSpPr>
        <xdr:cNvPr id="1918" name="Straight Arrow Connector 1917">
          <a:extLst>
            <a:ext uri="{FF2B5EF4-FFF2-40B4-BE49-F238E27FC236}">
              <a16:creationId xmlns:a16="http://schemas.microsoft.com/office/drawing/2014/main" id="{00000000-0008-0000-1300-00007E070000}"/>
            </a:ext>
          </a:extLst>
        </xdr:cNvPr>
        <xdr:cNvCxnSpPr/>
      </xdr:nvCxnSpPr>
      <xdr:spPr>
        <a:xfrm>
          <a:off x="10530417" y="190330667"/>
          <a:ext cx="603249" cy="25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1439</xdr:row>
      <xdr:rowOff>0</xdr:rowOff>
    </xdr:from>
    <xdr:to>
      <xdr:col>16</xdr:col>
      <xdr:colOff>0</xdr:colOff>
      <xdr:row>1443</xdr:row>
      <xdr:rowOff>42334</xdr:rowOff>
    </xdr:to>
    <xdr:cxnSp macro="">
      <xdr:nvCxnSpPr>
        <xdr:cNvPr id="1919" name="Straight Arrow Connector 1918">
          <a:extLst>
            <a:ext uri="{FF2B5EF4-FFF2-40B4-BE49-F238E27FC236}">
              <a16:creationId xmlns:a16="http://schemas.microsoft.com/office/drawing/2014/main" id="{00000000-0008-0000-1300-00007F070000}"/>
            </a:ext>
          </a:extLst>
        </xdr:cNvPr>
        <xdr:cNvCxnSpPr/>
      </xdr:nvCxnSpPr>
      <xdr:spPr>
        <a:xfrm>
          <a:off x="10530417" y="190309500"/>
          <a:ext cx="613833" cy="804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1450</xdr:row>
      <xdr:rowOff>0</xdr:rowOff>
    </xdr:from>
    <xdr:to>
      <xdr:col>15</xdr:col>
      <xdr:colOff>603250</xdr:colOff>
      <xdr:row>1452</xdr:row>
      <xdr:rowOff>1</xdr:rowOff>
    </xdr:to>
    <xdr:cxnSp macro="">
      <xdr:nvCxnSpPr>
        <xdr:cNvPr id="1920" name="Straight Arrow Connector 1919">
          <a:extLst>
            <a:ext uri="{FF2B5EF4-FFF2-40B4-BE49-F238E27FC236}">
              <a16:creationId xmlns:a16="http://schemas.microsoft.com/office/drawing/2014/main" id="{00000000-0008-0000-1300-000080070000}"/>
            </a:ext>
          </a:extLst>
        </xdr:cNvPr>
        <xdr:cNvCxnSpPr/>
      </xdr:nvCxnSpPr>
      <xdr:spPr>
        <a:xfrm flipV="1">
          <a:off x="10530417" y="1925955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1452</xdr:row>
      <xdr:rowOff>10584</xdr:rowOff>
    </xdr:from>
    <xdr:to>
      <xdr:col>15</xdr:col>
      <xdr:colOff>592666</xdr:colOff>
      <xdr:row>1453</xdr:row>
      <xdr:rowOff>95250</xdr:rowOff>
    </xdr:to>
    <xdr:cxnSp macro="">
      <xdr:nvCxnSpPr>
        <xdr:cNvPr id="1921" name="Straight Arrow Connector 1920">
          <a:extLst>
            <a:ext uri="{FF2B5EF4-FFF2-40B4-BE49-F238E27FC236}">
              <a16:creationId xmlns:a16="http://schemas.microsoft.com/office/drawing/2014/main" id="{00000000-0008-0000-1300-000081070000}"/>
            </a:ext>
          </a:extLst>
        </xdr:cNvPr>
        <xdr:cNvCxnSpPr/>
      </xdr:nvCxnSpPr>
      <xdr:spPr>
        <a:xfrm>
          <a:off x="10572750" y="1929870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1452</xdr:row>
      <xdr:rowOff>10584</xdr:rowOff>
    </xdr:from>
    <xdr:to>
      <xdr:col>15</xdr:col>
      <xdr:colOff>560916</xdr:colOff>
      <xdr:row>1456</xdr:row>
      <xdr:rowOff>52917</xdr:rowOff>
    </xdr:to>
    <xdr:cxnSp macro="">
      <xdr:nvCxnSpPr>
        <xdr:cNvPr id="1922" name="Straight Arrow Connector 1921">
          <a:extLst>
            <a:ext uri="{FF2B5EF4-FFF2-40B4-BE49-F238E27FC236}">
              <a16:creationId xmlns:a16="http://schemas.microsoft.com/office/drawing/2014/main" id="{00000000-0008-0000-1300-000082070000}"/>
            </a:ext>
          </a:extLst>
        </xdr:cNvPr>
        <xdr:cNvCxnSpPr/>
      </xdr:nvCxnSpPr>
      <xdr:spPr>
        <a:xfrm>
          <a:off x="10551583" y="1929870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1452</xdr:row>
      <xdr:rowOff>31750</xdr:rowOff>
    </xdr:from>
    <xdr:to>
      <xdr:col>16</xdr:col>
      <xdr:colOff>21167</xdr:colOff>
      <xdr:row>1459</xdr:row>
      <xdr:rowOff>95250</xdr:rowOff>
    </xdr:to>
    <xdr:cxnSp macro="">
      <xdr:nvCxnSpPr>
        <xdr:cNvPr id="1923" name="Straight Arrow Connector 1922">
          <a:extLst>
            <a:ext uri="{FF2B5EF4-FFF2-40B4-BE49-F238E27FC236}">
              <a16:creationId xmlns:a16="http://schemas.microsoft.com/office/drawing/2014/main" id="{00000000-0008-0000-1300-000083070000}"/>
            </a:ext>
          </a:extLst>
        </xdr:cNvPr>
        <xdr:cNvCxnSpPr/>
      </xdr:nvCxnSpPr>
      <xdr:spPr>
        <a:xfrm>
          <a:off x="10583333" y="1930082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698500</xdr:colOff>
      <xdr:row>1507</xdr:row>
      <xdr:rowOff>95250</xdr:rowOff>
    </xdr:from>
    <xdr:to>
      <xdr:col>8</xdr:col>
      <xdr:colOff>21167</xdr:colOff>
      <xdr:row>1539</xdr:row>
      <xdr:rowOff>148166</xdr:rowOff>
    </xdr:to>
    <xdr:cxnSp macro="">
      <xdr:nvCxnSpPr>
        <xdr:cNvPr id="1928" name="Straight Arrow Connector 1927">
          <a:extLst>
            <a:ext uri="{FF2B5EF4-FFF2-40B4-BE49-F238E27FC236}">
              <a16:creationId xmlns:a16="http://schemas.microsoft.com/office/drawing/2014/main" id="{00000000-0008-0000-1300-000088070000}"/>
            </a:ext>
          </a:extLst>
        </xdr:cNvPr>
        <xdr:cNvCxnSpPr/>
      </xdr:nvCxnSpPr>
      <xdr:spPr>
        <a:xfrm>
          <a:off x="5080000" y="203739750"/>
          <a:ext cx="719667" cy="6148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1478</xdr:row>
      <xdr:rowOff>137583</xdr:rowOff>
    </xdr:from>
    <xdr:to>
      <xdr:col>9</xdr:col>
      <xdr:colOff>603250</xdr:colOff>
      <xdr:row>1484</xdr:row>
      <xdr:rowOff>21166</xdr:rowOff>
    </xdr:to>
    <xdr:cxnSp macro="">
      <xdr:nvCxnSpPr>
        <xdr:cNvPr id="1929" name="Straight Arrow Connector 1928">
          <a:extLst>
            <a:ext uri="{FF2B5EF4-FFF2-40B4-BE49-F238E27FC236}">
              <a16:creationId xmlns:a16="http://schemas.microsoft.com/office/drawing/2014/main" id="{00000000-0008-0000-1300-000089070000}"/>
            </a:ext>
          </a:extLst>
        </xdr:cNvPr>
        <xdr:cNvCxnSpPr/>
      </xdr:nvCxnSpPr>
      <xdr:spPr>
        <a:xfrm flipV="1">
          <a:off x="6381750" y="198067083"/>
          <a:ext cx="603250" cy="1026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1487</xdr:row>
      <xdr:rowOff>0</xdr:rowOff>
    </xdr:from>
    <xdr:to>
      <xdr:col>9</xdr:col>
      <xdr:colOff>582083</xdr:colOff>
      <xdr:row>1495</xdr:row>
      <xdr:rowOff>10583</xdr:rowOff>
    </xdr:to>
    <xdr:cxnSp macro="">
      <xdr:nvCxnSpPr>
        <xdr:cNvPr id="1930" name="Straight Arrow Connector 1929">
          <a:extLst>
            <a:ext uri="{FF2B5EF4-FFF2-40B4-BE49-F238E27FC236}">
              <a16:creationId xmlns:a16="http://schemas.microsoft.com/office/drawing/2014/main" id="{00000000-0008-0000-1300-00008A070000}"/>
            </a:ext>
          </a:extLst>
        </xdr:cNvPr>
        <xdr:cNvCxnSpPr/>
      </xdr:nvCxnSpPr>
      <xdr:spPr>
        <a:xfrm>
          <a:off x="6413500" y="199644000"/>
          <a:ext cx="550333" cy="1534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21167</xdr:colOff>
      <xdr:row>1492</xdr:row>
      <xdr:rowOff>169333</xdr:rowOff>
    </xdr:from>
    <xdr:to>
      <xdr:col>11</xdr:col>
      <xdr:colOff>603250</xdr:colOff>
      <xdr:row>1495</xdr:row>
      <xdr:rowOff>21167</xdr:rowOff>
    </xdr:to>
    <xdr:cxnSp macro="">
      <xdr:nvCxnSpPr>
        <xdr:cNvPr id="1931" name="Straight Arrow Connector 1930">
          <a:extLst>
            <a:ext uri="{FF2B5EF4-FFF2-40B4-BE49-F238E27FC236}">
              <a16:creationId xmlns:a16="http://schemas.microsoft.com/office/drawing/2014/main" id="{00000000-0008-0000-1300-00008B070000}"/>
            </a:ext>
          </a:extLst>
        </xdr:cNvPr>
        <xdr:cNvCxnSpPr/>
      </xdr:nvCxnSpPr>
      <xdr:spPr>
        <a:xfrm flipV="1">
          <a:off x="7609417" y="200765833"/>
          <a:ext cx="582083" cy="423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1498</xdr:row>
      <xdr:rowOff>42333</xdr:rowOff>
    </xdr:from>
    <xdr:to>
      <xdr:col>11</xdr:col>
      <xdr:colOff>603250</xdr:colOff>
      <xdr:row>1510</xdr:row>
      <xdr:rowOff>10583</xdr:rowOff>
    </xdr:to>
    <xdr:cxnSp macro="">
      <xdr:nvCxnSpPr>
        <xdr:cNvPr id="1932" name="Straight Arrow Connector 1931">
          <a:extLst>
            <a:ext uri="{FF2B5EF4-FFF2-40B4-BE49-F238E27FC236}">
              <a16:creationId xmlns:a16="http://schemas.microsoft.com/office/drawing/2014/main" id="{00000000-0008-0000-1300-00008C070000}"/>
            </a:ext>
          </a:extLst>
        </xdr:cNvPr>
        <xdr:cNvCxnSpPr/>
      </xdr:nvCxnSpPr>
      <xdr:spPr>
        <a:xfrm>
          <a:off x="7598834" y="2017818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1488</xdr:row>
      <xdr:rowOff>21167</xdr:rowOff>
    </xdr:from>
    <xdr:to>
      <xdr:col>13</xdr:col>
      <xdr:colOff>592667</xdr:colOff>
      <xdr:row>1490</xdr:row>
      <xdr:rowOff>0</xdr:rowOff>
    </xdr:to>
    <xdr:cxnSp macro="">
      <xdr:nvCxnSpPr>
        <xdr:cNvPr id="1933" name="Straight Arrow Connector 1932">
          <a:extLst>
            <a:ext uri="{FF2B5EF4-FFF2-40B4-BE49-F238E27FC236}">
              <a16:creationId xmlns:a16="http://schemas.microsoft.com/office/drawing/2014/main" id="{00000000-0008-0000-1300-00008D070000}"/>
            </a:ext>
          </a:extLst>
        </xdr:cNvPr>
        <xdr:cNvCxnSpPr/>
      </xdr:nvCxnSpPr>
      <xdr:spPr>
        <a:xfrm flipV="1">
          <a:off x="8794750" y="1998556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1493</xdr:row>
      <xdr:rowOff>21166</xdr:rowOff>
    </xdr:from>
    <xdr:to>
      <xdr:col>13</xdr:col>
      <xdr:colOff>592667</xdr:colOff>
      <xdr:row>1494</xdr:row>
      <xdr:rowOff>169334</xdr:rowOff>
    </xdr:to>
    <xdr:cxnSp macro="">
      <xdr:nvCxnSpPr>
        <xdr:cNvPr id="1934" name="Straight Arrow Connector 1933">
          <a:extLst>
            <a:ext uri="{FF2B5EF4-FFF2-40B4-BE49-F238E27FC236}">
              <a16:creationId xmlns:a16="http://schemas.microsoft.com/office/drawing/2014/main" id="{00000000-0008-0000-1300-00008E070000}"/>
            </a:ext>
          </a:extLst>
        </xdr:cNvPr>
        <xdr:cNvCxnSpPr/>
      </xdr:nvCxnSpPr>
      <xdr:spPr>
        <a:xfrm>
          <a:off x="8784166" y="2008081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1508</xdr:row>
      <xdr:rowOff>21167</xdr:rowOff>
    </xdr:from>
    <xdr:to>
      <xdr:col>13</xdr:col>
      <xdr:colOff>592667</xdr:colOff>
      <xdr:row>1510</xdr:row>
      <xdr:rowOff>63500</xdr:rowOff>
    </xdr:to>
    <xdr:cxnSp macro="">
      <xdr:nvCxnSpPr>
        <xdr:cNvPr id="1935" name="Straight Arrow Connector 1934">
          <a:extLst>
            <a:ext uri="{FF2B5EF4-FFF2-40B4-BE49-F238E27FC236}">
              <a16:creationId xmlns:a16="http://schemas.microsoft.com/office/drawing/2014/main" id="{00000000-0008-0000-1300-00008F070000}"/>
            </a:ext>
          </a:extLst>
        </xdr:cNvPr>
        <xdr:cNvCxnSpPr/>
      </xdr:nvCxnSpPr>
      <xdr:spPr>
        <a:xfrm flipV="1">
          <a:off x="8794750" y="2038561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1513</xdr:row>
      <xdr:rowOff>0</xdr:rowOff>
    </xdr:from>
    <xdr:to>
      <xdr:col>14</xdr:col>
      <xdr:colOff>10584</xdr:colOff>
      <xdr:row>1521</xdr:row>
      <xdr:rowOff>148167</xdr:rowOff>
    </xdr:to>
    <xdr:cxnSp macro="">
      <xdr:nvCxnSpPr>
        <xdr:cNvPr id="1936" name="Straight Arrow Connector 1935">
          <a:extLst>
            <a:ext uri="{FF2B5EF4-FFF2-40B4-BE49-F238E27FC236}">
              <a16:creationId xmlns:a16="http://schemas.microsoft.com/office/drawing/2014/main" id="{00000000-0008-0000-1300-000090070000}"/>
            </a:ext>
          </a:extLst>
        </xdr:cNvPr>
        <xdr:cNvCxnSpPr/>
      </xdr:nvCxnSpPr>
      <xdr:spPr>
        <a:xfrm>
          <a:off x="8805333" y="2047875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1480</xdr:row>
      <xdr:rowOff>0</xdr:rowOff>
    </xdr:from>
    <xdr:to>
      <xdr:col>15</xdr:col>
      <xdr:colOff>603250</xdr:colOff>
      <xdr:row>1485</xdr:row>
      <xdr:rowOff>31750</xdr:rowOff>
    </xdr:to>
    <xdr:cxnSp macro="">
      <xdr:nvCxnSpPr>
        <xdr:cNvPr id="1937" name="Straight Arrow Connector 1936">
          <a:extLst>
            <a:ext uri="{FF2B5EF4-FFF2-40B4-BE49-F238E27FC236}">
              <a16:creationId xmlns:a16="http://schemas.microsoft.com/office/drawing/2014/main" id="{00000000-0008-0000-1300-000091070000}"/>
            </a:ext>
          </a:extLst>
        </xdr:cNvPr>
        <xdr:cNvCxnSpPr/>
      </xdr:nvCxnSpPr>
      <xdr:spPr>
        <a:xfrm flipV="1">
          <a:off x="10541000" y="198310500"/>
          <a:ext cx="603250" cy="984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1483</xdr:row>
      <xdr:rowOff>52917</xdr:rowOff>
    </xdr:from>
    <xdr:to>
      <xdr:col>15</xdr:col>
      <xdr:colOff>603250</xdr:colOff>
      <xdr:row>1485</xdr:row>
      <xdr:rowOff>95250</xdr:rowOff>
    </xdr:to>
    <xdr:cxnSp macro="">
      <xdr:nvCxnSpPr>
        <xdr:cNvPr id="1938" name="Straight Arrow Connector 1937">
          <a:extLst>
            <a:ext uri="{FF2B5EF4-FFF2-40B4-BE49-F238E27FC236}">
              <a16:creationId xmlns:a16="http://schemas.microsoft.com/office/drawing/2014/main" id="{00000000-0008-0000-1300-000092070000}"/>
            </a:ext>
          </a:extLst>
        </xdr:cNvPr>
        <xdr:cNvCxnSpPr/>
      </xdr:nvCxnSpPr>
      <xdr:spPr>
        <a:xfrm flipV="1">
          <a:off x="10583333" y="198934917"/>
          <a:ext cx="56091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1485</xdr:row>
      <xdr:rowOff>158750</xdr:rowOff>
    </xdr:from>
    <xdr:to>
      <xdr:col>15</xdr:col>
      <xdr:colOff>582083</xdr:colOff>
      <xdr:row>1486</xdr:row>
      <xdr:rowOff>137583</xdr:rowOff>
    </xdr:to>
    <xdr:cxnSp macro="">
      <xdr:nvCxnSpPr>
        <xdr:cNvPr id="1939" name="Straight Arrow Connector 1938">
          <a:extLst>
            <a:ext uri="{FF2B5EF4-FFF2-40B4-BE49-F238E27FC236}">
              <a16:creationId xmlns:a16="http://schemas.microsoft.com/office/drawing/2014/main" id="{00000000-0008-0000-1300-000093070000}"/>
            </a:ext>
          </a:extLst>
        </xdr:cNvPr>
        <xdr:cNvCxnSpPr/>
      </xdr:nvCxnSpPr>
      <xdr:spPr>
        <a:xfrm>
          <a:off x="10604500" y="199421750"/>
          <a:ext cx="518583" cy="169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1121834</xdr:colOff>
      <xdr:row>1485</xdr:row>
      <xdr:rowOff>105834</xdr:rowOff>
    </xdr:from>
    <xdr:to>
      <xdr:col>16</xdr:col>
      <xdr:colOff>0</xdr:colOff>
      <xdr:row>1489</xdr:row>
      <xdr:rowOff>84667</xdr:rowOff>
    </xdr:to>
    <xdr:cxnSp macro="">
      <xdr:nvCxnSpPr>
        <xdr:cNvPr id="1940" name="Straight Arrow Connector 1939">
          <a:extLst>
            <a:ext uri="{FF2B5EF4-FFF2-40B4-BE49-F238E27FC236}">
              <a16:creationId xmlns:a16="http://schemas.microsoft.com/office/drawing/2014/main" id="{00000000-0008-0000-1300-000094070000}"/>
            </a:ext>
          </a:extLst>
        </xdr:cNvPr>
        <xdr:cNvCxnSpPr/>
      </xdr:nvCxnSpPr>
      <xdr:spPr>
        <a:xfrm>
          <a:off x="10519834" y="199368834"/>
          <a:ext cx="624416"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1493</xdr:row>
      <xdr:rowOff>52916</xdr:rowOff>
    </xdr:from>
    <xdr:to>
      <xdr:col>16</xdr:col>
      <xdr:colOff>0</xdr:colOff>
      <xdr:row>1495</xdr:row>
      <xdr:rowOff>0</xdr:rowOff>
    </xdr:to>
    <xdr:cxnSp macro="">
      <xdr:nvCxnSpPr>
        <xdr:cNvPr id="1941" name="Straight Arrow Connector 1940">
          <a:extLst>
            <a:ext uri="{FF2B5EF4-FFF2-40B4-BE49-F238E27FC236}">
              <a16:creationId xmlns:a16="http://schemas.microsoft.com/office/drawing/2014/main" id="{00000000-0008-0000-1300-000095070000}"/>
            </a:ext>
          </a:extLst>
        </xdr:cNvPr>
        <xdr:cNvCxnSpPr/>
      </xdr:nvCxnSpPr>
      <xdr:spPr>
        <a:xfrm flipV="1">
          <a:off x="10541000" y="2008399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1495</xdr:row>
      <xdr:rowOff>21167</xdr:rowOff>
    </xdr:from>
    <xdr:to>
      <xdr:col>15</xdr:col>
      <xdr:colOff>582083</xdr:colOff>
      <xdr:row>1496</xdr:row>
      <xdr:rowOff>42333</xdr:rowOff>
    </xdr:to>
    <xdr:cxnSp macro="">
      <xdr:nvCxnSpPr>
        <xdr:cNvPr id="1942" name="Straight Arrow Connector 1941">
          <a:extLst>
            <a:ext uri="{FF2B5EF4-FFF2-40B4-BE49-F238E27FC236}">
              <a16:creationId xmlns:a16="http://schemas.microsoft.com/office/drawing/2014/main" id="{00000000-0008-0000-1300-000096070000}"/>
            </a:ext>
          </a:extLst>
        </xdr:cNvPr>
        <xdr:cNvCxnSpPr/>
      </xdr:nvCxnSpPr>
      <xdr:spPr>
        <a:xfrm>
          <a:off x="10551583" y="201189167"/>
          <a:ext cx="571500" cy="211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1495</xdr:row>
      <xdr:rowOff>21167</xdr:rowOff>
    </xdr:from>
    <xdr:to>
      <xdr:col>16</xdr:col>
      <xdr:colOff>42333</xdr:colOff>
      <xdr:row>1500</xdr:row>
      <xdr:rowOff>21168</xdr:rowOff>
    </xdr:to>
    <xdr:cxnSp macro="">
      <xdr:nvCxnSpPr>
        <xdr:cNvPr id="1943" name="Straight Arrow Connector 1942">
          <a:extLst>
            <a:ext uri="{FF2B5EF4-FFF2-40B4-BE49-F238E27FC236}">
              <a16:creationId xmlns:a16="http://schemas.microsoft.com/office/drawing/2014/main" id="{00000000-0008-0000-1300-000097070000}"/>
            </a:ext>
          </a:extLst>
        </xdr:cNvPr>
        <xdr:cNvCxnSpPr/>
      </xdr:nvCxnSpPr>
      <xdr:spPr>
        <a:xfrm>
          <a:off x="10530417" y="201189167"/>
          <a:ext cx="656166" cy="9525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1495</xdr:row>
      <xdr:rowOff>31750</xdr:rowOff>
    </xdr:from>
    <xdr:to>
      <xdr:col>16</xdr:col>
      <xdr:colOff>42334</xdr:colOff>
      <xdr:row>1502</xdr:row>
      <xdr:rowOff>63501</xdr:rowOff>
    </xdr:to>
    <xdr:cxnSp macro="">
      <xdr:nvCxnSpPr>
        <xdr:cNvPr id="1944" name="Straight Arrow Connector 1943">
          <a:extLst>
            <a:ext uri="{FF2B5EF4-FFF2-40B4-BE49-F238E27FC236}">
              <a16:creationId xmlns:a16="http://schemas.microsoft.com/office/drawing/2014/main" id="{00000000-0008-0000-1300-000098070000}"/>
            </a:ext>
          </a:extLst>
        </xdr:cNvPr>
        <xdr:cNvCxnSpPr/>
      </xdr:nvCxnSpPr>
      <xdr:spPr>
        <a:xfrm>
          <a:off x="10541000" y="201199750"/>
          <a:ext cx="645584"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10583</xdr:colOff>
      <xdr:row>1532</xdr:row>
      <xdr:rowOff>42333</xdr:rowOff>
    </xdr:from>
    <xdr:to>
      <xdr:col>9</xdr:col>
      <xdr:colOff>592666</xdr:colOff>
      <xdr:row>1540</xdr:row>
      <xdr:rowOff>42333</xdr:rowOff>
    </xdr:to>
    <xdr:cxnSp macro="">
      <xdr:nvCxnSpPr>
        <xdr:cNvPr id="1945" name="Straight Arrow Connector 1944">
          <a:extLst>
            <a:ext uri="{FF2B5EF4-FFF2-40B4-BE49-F238E27FC236}">
              <a16:creationId xmlns:a16="http://schemas.microsoft.com/office/drawing/2014/main" id="{00000000-0008-0000-1300-000099070000}"/>
            </a:ext>
          </a:extLst>
        </xdr:cNvPr>
        <xdr:cNvCxnSpPr/>
      </xdr:nvCxnSpPr>
      <xdr:spPr>
        <a:xfrm flipV="1">
          <a:off x="6392333" y="208449333"/>
          <a:ext cx="582083" cy="152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1542</xdr:row>
      <xdr:rowOff>169334</xdr:rowOff>
    </xdr:from>
    <xdr:to>
      <xdr:col>9</xdr:col>
      <xdr:colOff>603250</xdr:colOff>
      <xdr:row>1551</xdr:row>
      <xdr:rowOff>31750</xdr:rowOff>
    </xdr:to>
    <xdr:cxnSp macro="">
      <xdr:nvCxnSpPr>
        <xdr:cNvPr id="1946" name="Straight Arrow Connector 1945">
          <a:extLst>
            <a:ext uri="{FF2B5EF4-FFF2-40B4-BE49-F238E27FC236}">
              <a16:creationId xmlns:a16="http://schemas.microsoft.com/office/drawing/2014/main" id="{00000000-0008-0000-1300-00009A070000}"/>
            </a:ext>
          </a:extLst>
        </xdr:cNvPr>
        <xdr:cNvCxnSpPr/>
      </xdr:nvCxnSpPr>
      <xdr:spPr>
        <a:xfrm>
          <a:off x="6413500" y="210481334"/>
          <a:ext cx="571500" cy="1576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571500</xdr:colOff>
      <xdr:row>1548</xdr:row>
      <xdr:rowOff>158750</xdr:rowOff>
    </xdr:from>
    <xdr:to>
      <xdr:col>11</xdr:col>
      <xdr:colOff>571500</xdr:colOff>
      <xdr:row>1551</xdr:row>
      <xdr:rowOff>0</xdr:rowOff>
    </xdr:to>
    <xdr:cxnSp macro="">
      <xdr:nvCxnSpPr>
        <xdr:cNvPr id="1947" name="Straight Arrow Connector 1946">
          <a:extLst>
            <a:ext uri="{FF2B5EF4-FFF2-40B4-BE49-F238E27FC236}">
              <a16:creationId xmlns:a16="http://schemas.microsoft.com/office/drawing/2014/main" id="{00000000-0008-0000-1300-00009B070000}"/>
            </a:ext>
          </a:extLst>
        </xdr:cNvPr>
        <xdr:cNvCxnSpPr/>
      </xdr:nvCxnSpPr>
      <xdr:spPr>
        <a:xfrm flipV="1">
          <a:off x="7556500" y="211613750"/>
          <a:ext cx="603250" cy="412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1506</xdr:row>
      <xdr:rowOff>0</xdr:rowOff>
    </xdr:from>
    <xdr:to>
      <xdr:col>15</xdr:col>
      <xdr:colOff>603250</xdr:colOff>
      <xdr:row>1508</xdr:row>
      <xdr:rowOff>1</xdr:rowOff>
    </xdr:to>
    <xdr:cxnSp macro="">
      <xdr:nvCxnSpPr>
        <xdr:cNvPr id="1948" name="Straight Arrow Connector 1947">
          <a:extLst>
            <a:ext uri="{FF2B5EF4-FFF2-40B4-BE49-F238E27FC236}">
              <a16:creationId xmlns:a16="http://schemas.microsoft.com/office/drawing/2014/main" id="{00000000-0008-0000-1300-00009C070000}"/>
            </a:ext>
          </a:extLst>
        </xdr:cNvPr>
        <xdr:cNvCxnSpPr/>
      </xdr:nvCxnSpPr>
      <xdr:spPr>
        <a:xfrm flipV="1">
          <a:off x="10530417" y="2034540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1508</xdr:row>
      <xdr:rowOff>10584</xdr:rowOff>
    </xdr:from>
    <xdr:to>
      <xdr:col>15</xdr:col>
      <xdr:colOff>592666</xdr:colOff>
      <xdr:row>1509</xdr:row>
      <xdr:rowOff>95250</xdr:rowOff>
    </xdr:to>
    <xdr:cxnSp macro="">
      <xdr:nvCxnSpPr>
        <xdr:cNvPr id="1949" name="Straight Arrow Connector 1948">
          <a:extLst>
            <a:ext uri="{FF2B5EF4-FFF2-40B4-BE49-F238E27FC236}">
              <a16:creationId xmlns:a16="http://schemas.microsoft.com/office/drawing/2014/main" id="{00000000-0008-0000-1300-00009D070000}"/>
            </a:ext>
          </a:extLst>
        </xdr:cNvPr>
        <xdr:cNvCxnSpPr/>
      </xdr:nvCxnSpPr>
      <xdr:spPr>
        <a:xfrm>
          <a:off x="10572750" y="2038455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1508</xdr:row>
      <xdr:rowOff>10584</xdr:rowOff>
    </xdr:from>
    <xdr:to>
      <xdr:col>15</xdr:col>
      <xdr:colOff>560916</xdr:colOff>
      <xdr:row>1512</xdr:row>
      <xdr:rowOff>52917</xdr:rowOff>
    </xdr:to>
    <xdr:cxnSp macro="">
      <xdr:nvCxnSpPr>
        <xdr:cNvPr id="1950" name="Straight Arrow Connector 1949">
          <a:extLst>
            <a:ext uri="{FF2B5EF4-FFF2-40B4-BE49-F238E27FC236}">
              <a16:creationId xmlns:a16="http://schemas.microsoft.com/office/drawing/2014/main" id="{00000000-0008-0000-1300-00009E070000}"/>
            </a:ext>
          </a:extLst>
        </xdr:cNvPr>
        <xdr:cNvCxnSpPr/>
      </xdr:nvCxnSpPr>
      <xdr:spPr>
        <a:xfrm>
          <a:off x="10551583" y="2038455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1508</xdr:row>
      <xdr:rowOff>31750</xdr:rowOff>
    </xdr:from>
    <xdr:to>
      <xdr:col>16</xdr:col>
      <xdr:colOff>21167</xdr:colOff>
      <xdr:row>1515</xdr:row>
      <xdr:rowOff>95250</xdr:rowOff>
    </xdr:to>
    <xdr:cxnSp macro="">
      <xdr:nvCxnSpPr>
        <xdr:cNvPr id="1951" name="Straight Arrow Connector 1950">
          <a:extLst>
            <a:ext uri="{FF2B5EF4-FFF2-40B4-BE49-F238E27FC236}">
              <a16:creationId xmlns:a16="http://schemas.microsoft.com/office/drawing/2014/main" id="{00000000-0008-0000-1300-00009F070000}"/>
            </a:ext>
          </a:extLst>
        </xdr:cNvPr>
        <xdr:cNvCxnSpPr/>
      </xdr:nvCxnSpPr>
      <xdr:spPr>
        <a:xfrm>
          <a:off x="10583333" y="2038667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1522</xdr:row>
      <xdr:rowOff>0</xdr:rowOff>
    </xdr:from>
    <xdr:to>
      <xdr:col>16</xdr:col>
      <xdr:colOff>0</xdr:colOff>
      <xdr:row>1522</xdr:row>
      <xdr:rowOff>42334</xdr:rowOff>
    </xdr:to>
    <xdr:cxnSp macro="">
      <xdr:nvCxnSpPr>
        <xdr:cNvPr id="1952" name="Straight Arrow Connector 1951">
          <a:extLst>
            <a:ext uri="{FF2B5EF4-FFF2-40B4-BE49-F238E27FC236}">
              <a16:creationId xmlns:a16="http://schemas.microsoft.com/office/drawing/2014/main" id="{00000000-0008-0000-1300-0000A0070000}"/>
            </a:ext>
          </a:extLst>
        </xdr:cNvPr>
        <xdr:cNvCxnSpPr/>
      </xdr:nvCxnSpPr>
      <xdr:spPr>
        <a:xfrm>
          <a:off x="10562166" y="2065020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1522</xdr:row>
      <xdr:rowOff>21166</xdr:rowOff>
    </xdr:from>
    <xdr:to>
      <xdr:col>15</xdr:col>
      <xdr:colOff>560916</xdr:colOff>
      <xdr:row>1525</xdr:row>
      <xdr:rowOff>84667</xdr:rowOff>
    </xdr:to>
    <xdr:cxnSp macro="">
      <xdr:nvCxnSpPr>
        <xdr:cNvPr id="1953" name="Straight Arrow Connector 1952">
          <a:extLst>
            <a:ext uri="{FF2B5EF4-FFF2-40B4-BE49-F238E27FC236}">
              <a16:creationId xmlns:a16="http://schemas.microsoft.com/office/drawing/2014/main" id="{00000000-0008-0000-1300-0000A1070000}"/>
            </a:ext>
          </a:extLst>
        </xdr:cNvPr>
        <xdr:cNvCxnSpPr/>
      </xdr:nvCxnSpPr>
      <xdr:spPr>
        <a:xfrm>
          <a:off x="10615083" y="2065231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1522</xdr:row>
      <xdr:rowOff>52916</xdr:rowOff>
    </xdr:from>
    <xdr:to>
      <xdr:col>15</xdr:col>
      <xdr:colOff>592666</xdr:colOff>
      <xdr:row>1528</xdr:row>
      <xdr:rowOff>63501</xdr:rowOff>
    </xdr:to>
    <xdr:cxnSp macro="">
      <xdr:nvCxnSpPr>
        <xdr:cNvPr id="1954" name="Straight Arrow Connector 1953">
          <a:extLst>
            <a:ext uri="{FF2B5EF4-FFF2-40B4-BE49-F238E27FC236}">
              <a16:creationId xmlns:a16="http://schemas.microsoft.com/office/drawing/2014/main" id="{00000000-0008-0000-1300-0000A2070000}"/>
            </a:ext>
          </a:extLst>
        </xdr:cNvPr>
        <xdr:cNvCxnSpPr/>
      </xdr:nvCxnSpPr>
      <xdr:spPr>
        <a:xfrm>
          <a:off x="10572750" y="2065549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1536</xdr:row>
      <xdr:rowOff>116416</xdr:rowOff>
    </xdr:from>
    <xdr:to>
      <xdr:col>15</xdr:col>
      <xdr:colOff>592666</xdr:colOff>
      <xdr:row>1539</xdr:row>
      <xdr:rowOff>158750</xdr:rowOff>
    </xdr:to>
    <xdr:cxnSp macro="">
      <xdr:nvCxnSpPr>
        <xdr:cNvPr id="1955" name="Straight Arrow Connector 1954">
          <a:extLst>
            <a:ext uri="{FF2B5EF4-FFF2-40B4-BE49-F238E27FC236}">
              <a16:creationId xmlns:a16="http://schemas.microsoft.com/office/drawing/2014/main" id="{00000000-0008-0000-1300-0000A3070000}"/>
            </a:ext>
          </a:extLst>
        </xdr:cNvPr>
        <xdr:cNvCxnSpPr/>
      </xdr:nvCxnSpPr>
      <xdr:spPr>
        <a:xfrm flipV="1">
          <a:off x="10562166" y="209285416"/>
          <a:ext cx="571500" cy="613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1538</xdr:row>
      <xdr:rowOff>95250</xdr:rowOff>
    </xdr:from>
    <xdr:to>
      <xdr:col>15</xdr:col>
      <xdr:colOff>582083</xdr:colOff>
      <xdr:row>1540</xdr:row>
      <xdr:rowOff>52917</xdr:rowOff>
    </xdr:to>
    <xdr:cxnSp macro="">
      <xdr:nvCxnSpPr>
        <xdr:cNvPr id="1956" name="Straight Arrow Connector 1955">
          <a:extLst>
            <a:ext uri="{FF2B5EF4-FFF2-40B4-BE49-F238E27FC236}">
              <a16:creationId xmlns:a16="http://schemas.microsoft.com/office/drawing/2014/main" id="{00000000-0008-0000-1300-0000A4070000}"/>
            </a:ext>
          </a:extLst>
        </xdr:cNvPr>
        <xdr:cNvCxnSpPr/>
      </xdr:nvCxnSpPr>
      <xdr:spPr>
        <a:xfrm flipV="1">
          <a:off x="10604500" y="209645250"/>
          <a:ext cx="518583" cy="338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1540</xdr:row>
      <xdr:rowOff>116417</xdr:rowOff>
    </xdr:from>
    <xdr:to>
      <xdr:col>15</xdr:col>
      <xdr:colOff>592666</xdr:colOff>
      <xdr:row>1544</xdr:row>
      <xdr:rowOff>95250</xdr:rowOff>
    </xdr:to>
    <xdr:cxnSp macro="">
      <xdr:nvCxnSpPr>
        <xdr:cNvPr id="1957" name="Straight Arrow Connector 1956">
          <a:extLst>
            <a:ext uri="{FF2B5EF4-FFF2-40B4-BE49-F238E27FC236}">
              <a16:creationId xmlns:a16="http://schemas.microsoft.com/office/drawing/2014/main" id="{00000000-0008-0000-1300-0000A5070000}"/>
            </a:ext>
          </a:extLst>
        </xdr:cNvPr>
        <xdr:cNvCxnSpPr/>
      </xdr:nvCxnSpPr>
      <xdr:spPr>
        <a:xfrm>
          <a:off x="10593916" y="210047417"/>
          <a:ext cx="53975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1551</xdr:row>
      <xdr:rowOff>116416</xdr:rowOff>
    </xdr:from>
    <xdr:to>
      <xdr:col>16</xdr:col>
      <xdr:colOff>0</xdr:colOff>
      <xdr:row>1558</xdr:row>
      <xdr:rowOff>74084</xdr:rowOff>
    </xdr:to>
    <xdr:cxnSp macro="">
      <xdr:nvCxnSpPr>
        <xdr:cNvPr id="1958" name="Straight Arrow Connector 1957">
          <a:extLst>
            <a:ext uri="{FF2B5EF4-FFF2-40B4-BE49-F238E27FC236}">
              <a16:creationId xmlns:a16="http://schemas.microsoft.com/office/drawing/2014/main" id="{00000000-0008-0000-1300-0000A6070000}"/>
            </a:ext>
          </a:extLst>
        </xdr:cNvPr>
        <xdr:cNvCxnSpPr/>
      </xdr:nvCxnSpPr>
      <xdr:spPr>
        <a:xfrm>
          <a:off x="10572750" y="212142916"/>
          <a:ext cx="571500" cy="12911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1519</xdr:row>
      <xdr:rowOff>52917</xdr:rowOff>
    </xdr:from>
    <xdr:to>
      <xdr:col>15</xdr:col>
      <xdr:colOff>603250</xdr:colOff>
      <xdr:row>1521</xdr:row>
      <xdr:rowOff>148167</xdr:rowOff>
    </xdr:to>
    <xdr:cxnSp macro="">
      <xdr:nvCxnSpPr>
        <xdr:cNvPr id="1959" name="Straight Arrow Connector 1958">
          <a:extLst>
            <a:ext uri="{FF2B5EF4-FFF2-40B4-BE49-F238E27FC236}">
              <a16:creationId xmlns:a16="http://schemas.microsoft.com/office/drawing/2014/main" id="{00000000-0008-0000-1300-0000A7070000}"/>
            </a:ext>
          </a:extLst>
        </xdr:cNvPr>
        <xdr:cNvCxnSpPr/>
      </xdr:nvCxnSpPr>
      <xdr:spPr>
        <a:xfrm flipV="1">
          <a:off x="10583333" y="2059834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1554</xdr:row>
      <xdr:rowOff>42333</xdr:rowOff>
    </xdr:from>
    <xdr:to>
      <xdr:col>11</xdr:col>
      <xdr:colOff>603250</xdr:colOff>
      <xdr:row>1566</xdr:row>
      <xdr:rowOff>10583</xdr:rowOff>
    </xdr:to>
    <xdr:cxnSp macro="">
      <xdr:nvCxnSpPr>
        <xdr:cNvPr id="1960" name="Straight Arrow Connector 1959">
          <a:extLst>
            <a:ext uri="{FF2B5EF4-FFF2-40B4-BE49-F238E27FC236}">
              <a16:creationId xmlns:a16="http://schemas.microsoft.com/office/drawing/2014/main" id="{00000000-0008-0000-1300-0000A8070000}"/>
            </a:ext>
          </a:extLst>
        </xdr:cNvPr>
        <xdr:cNvCxnSpPr/>
      </xdr:nvCxnSpPr>
      <xdr:spPr>
        <a:xfrm>
          <a:off x="7598834" y="2126403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1544</xdr:row>
      <xdr:rowOff>21167</xdr:rowOff>
    </xdr:from>
    <xdr:to>
      <xdr:col>13</xdr:col>
      <xdr:colOff>592667</xdr:colOff>
      <xdr:row>1546</xdr:row>
      <xdr:rowOff>0</xdr:rowOff>
    </xdr:to>
    <xdr:cxnSp macro="">
      <xdr:nvCxnSpPr>
        <xdr:cNvPr id="1961" name="Straight Arrow Connector 1960">
          <a:extLst>
            <a:ext uri="{FF2B5EF4-FFF2-40B4-BE49-F238E27FC236}">
              <a16:creationId xmlns:a16="http://schemas.microsoft.com/office/drawing/2014/main" id="{00000000-0008-0000-1300-0000A9070000}"/>
            </a:ext>
          </a:extLst>
        </xdr:cNvPr>
        <xdr:cNvCxnSpPr/>
      </xdr:nvCxnSpPr>
      <xdr:spPr>
        <a:xfrm flipV="1">
          <a:off x="8794750" y="2107141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1549</xdr:row>
      <xdr:rowOff>21166</xdr:rowOff>
    </xdr:from>
    <xdr:to>
      <xdr:col>13</xdr:col>
      <xdr:colOff>592667</xdr:colOff>
      <xdr:row>1550</xdr:row>
      <xdr:rowOff>169334</xdr:rowOff>
    </xdr:to>
    <xdr:cxnSp macro="">
      <xdr:nvCxnSpPr>
        <xdr:cNvPr id="1962" name="Straight Arrow Connector 1961">
          <a:extLst>
            <a:ext uri="{FF2B5EF4-FFF2-40B4-BE49-F238E27FC236}">
              <a16:creationId xmlns:a16="http://schemas.microsoft.com/office/drawing/2014/main" id="{00000000-0008-0000-1300-0000AA070000}"/>
            </a:ext>
          </a:extLst>
        </xdr:cNvPr>
        <xdr:cNvCxnSpPr/>
      </xdr:nvCxnSpPr>
      <xdr:spPr>
        <a:xfrm>
          <a:off x="8784166" y="2116666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1564</xdr:row>
      <xdr:rowOff>21167</xdr:rowOff>
    </xdr:from>
    <xdr:to>
      <xdr:col>13</xdr:col>
      <xdr:colOff>592667</xdr:colOff>
      <xdr:row>1566</xdr:row>
      <xdr:rowOff>63500</xdr:rowOff>
    </xdr:to>
    <xdr:cxnSp macro="">
      <xdr:nvCxnSpPr>
        <xdr:cNvPr id="1963" name="Straight Arrow Connector 1962">
          <a:extLst>
            <a:ext uri="{FF2B5EF4-FFF2-40B4-BE49-F238E27FC236}">
              <a16:creationId xmlns:a16="http://schemas.microsoft.com/office/drawing/2014/main" id="{00000000-0008-0000-1300-0000AB070000}"/>
            </a:ext>
          </a:extLst>
        </xdr:cNvPr>
        <xdr:cNvCxnSpPr/>
      </xdr:nvCxnSpPr>
      <xdr:spPr>
        <a:xfrm flipV="1">
          <a:off x="8794750" y="2147146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1569</xdr:row>
      <xdr:rowOff>0</xdr:rowOff>
    </xdr:from>
    <xdr:to>
      <xdr:col>14</xdr:col>
      <xdr:colOff>10584</xdr:colOff>
      <xdr:row>1577</xdr:row>
      <xdr:rowOff>148167</xdr:rowOff>
    </xdr:to>
    <xdr:cxnSp macro="">
      <xdr:nvCxnSpPr>
        <xdr:cNvPr id="1964" name="Straight Arrow Connector 1963">
          <a:extLst>
            <a:ext uri="{FF2B5EF4-FFF2-40B4-BE49-F238E27FC236}">
              <a16:creationId xmlns:a16="http://schemas.microsoft.com/office/drawing/2014/main" id="{00000000-0008-0000-1300-0000AC070000}"/>
            </a:ext>
          </a:extLst>
        </xdr:cNvPr>
        <xdr:cNvCxnSpPr/>
      </xdr:nvCxnSpPr>
      <xdr:spPr>
        <a:xfrm>
          <a:off x="8805333" y="2156460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1540</xdr:row>
      <xdr:rowOff>95250</xdr:rowOff>
    </xdr:from>
    <xdr:to>
      <xdr:col>15</xdr:col>
      <xdr:colOff>582083</xdr:colOff>
      <xdr:row>1542</xdr:row>
      <xdr:rowOff>137583</xdr:rowOff>
    </xdr:to>
    <xdr:cxnSp macro="">
      <xdr:nvCxnSpPr>
        <xdr:cNvPr id="1965" name="Straight Arrow Connector 1964">
          <a:extLst>
            <a:ext uri="{FF2B5EF4-FFF2-40B4-BE49-F238E27FC236}">
              <a16:creationId xmlns:a16="http://schemas.microsoft.com/office/drawing/2014/main" id="{00000000-0008-0000-1300-0000AD070000}"/>
            </a:ext>
          </a:extLst>
        </xdr:cNvPr>
        <xdr:cNvCxnSpPr/>
      </xdr:nvCxnSpPr>
      <xdr:spPr>
        <a:xfrm>
          <a:off x="10593916" y="210026250"/>
          <a:ext cx="5291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1549</xdr:row>
      <xdr:rowOff>52916</xdr:rowOff>
    </xdr:from>
    <xdr:to>
      <xdr:col>16</xdr:col>
      <xdr:colOff>0</xdr:colOff>
      <xdr:row>1551</xdr:row>
      <xdr:rowOff>0</xdr:rowOff>
    </xdr:to>
    <xdr:cxnSp macro="">
      <xdr:nvCxnSpPr>
        <xdr:cNvPr id="1966" name="Straight Arrow Connector 1965">
          <a:extLst>
            <a:ext uri="{FF2B5EF4-FFF2-40B4-BE49-F238E27FC236}">
              <a16:creationId xmlns:a16="http://schemas.microsoft.com/office/drawing/2014/main" id="{00000000-0008-0000-1300-0000AE070000}"/>
            </a:ext>
          </a:extLst>
        </xdr:cNvPr>
        <xdr:cNvCxnSpPr/>
      </xdr:nvCxnSpPr>
      <xdr:spPr>
        <a:xfrm flipV="1">
          <a:off x="10541000" y="2116984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1551</xdr:row>
      <xdr:rowOff>21167</xdr:rowOff>
    </xdr:from>
    <xdr:to>
      <xdr:col>15</xdr:col>
      <xdr:colOff>592666</xdr:colOff>
      <xdr:row>1552</xdr:row>
      <xdr:rowOff>84667</xdr:rowOff>
    </xdr:to>
    <xdr:cxnSp macro="">
      <xdr:nvCxnSpPr>
        <xdr:cNvPr id="1967" name="Straight Arrow Connector 1966">
          <a:extLst>
            <a:ext uri="{FF2B5EF4-FFF2-40B4-BE49-F238E27FC236}">
              <a16:creationId xmlns:a16="http://schemas.microsoft.com/office/drawing/2014/main" id="{00000000-0008-0000-1300-0000AF070000}"/>
            </a:ext>
          </a:extLst>
        </xdr:cNvPr>
        <xdr:cNvCxnSpPr/>
      </xdr:nvCxnSpPr>
      <xdr:spPr>
        <a:xfrm>
          <a:off x="10530417" y="212047667"/>
          <a:ext cx="603249" cy="25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1551</xdr:row>
      <xdr:rowOff>0</xdr:rowOff>
    </xdr:from>
    <xdr:to>
      <xdr:col>16</xdr:col>
      <xdr:colOff>0</xdr:colOff>
      <xdr:row>1555</xdr:row>
      <xdr:rowOff>42334</xdr:rowOff>
    </xdr:to>
    <xdr:cxnSp macro="">
      <xdr:nvCxnSpPr>
        <xdr:cNvPr id="1968" name="Straight Arrow Connector 1967">
          <a:extLst>
            <a:ext uri="{FF2B5EF4-FFF2-40B4-BE49-F238E27FC236}">
              <a16:creationId xmlns:a16="http://schemas.microsoft.com/office/drawing/2014/main" id="{00000000-0008-0000-1300-0000B0070000}"/>
            </a:ext>
          </a:extLst>
        </xdr:cNvPr>
        <xdr:cNvCxnSpPr/>
      </xdr:nvCxnSpPr>
      <xdr:spPr>
        <a:xfrm>
          <a:off x="10530417" y="212026500"/>
          <a:ext cx="613833" cy="804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1562</xdr:row>
      <xdr:rowOff>0</xdr:rowOff>
    </xdr:from>
    <xdr:to>
      <xdr:col>15</xdr:col>
      <xdr:colOff>603250</xdr:colOff>
      <xdr:row>1564</xdr:row>
      <xdr:rowOff>1</xdr:rowOff>
    </xdr:to>
    <xdr:cxnSp macro="">
      <xdr:nvCxnSpPr>
        <xdr:cNvPr id="1969" name="Straight Arrow Connector 1968">
          <a:extLst>
            <a:ext uri="{FF2B5EF4-FFF2-40B4-BE49-F238E27FC236}">
              <a16:creationId xmlns:a16="http://schemas.microsoft.com/office/drawing/2014/main" id="{00000000-0008-0000-1300-0000B1070000}"/>
            </a:ext>
          </a:extLst>
        </xdr:cNvPr>
        <xdr:cNvCxnSpPr/>
      </xdr:nvCxnSpPr>
      <xdr:spPr>
        <a:xfrm flipV="1">
          <a:off x="10530417" y="2143125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1564</xdr:row>
      <xdr:rowOff>10584</xdr:rowOff>
    </xdr:from>
    <xdr:to>
      <xdr:col>15</xdr:col>
      <xdr:colOff>592666</xdr:colOff>
      <xdr:row>1565</xdr:row>
      <xdr:rowOff>95250</xdr:rowOff>
    </xdr:to>
    <xdr:cxnSp macro="">
      <xdr:nvCxnSpPr>
        <xdr:cNvPr id="1970" name="Straight Arrow Connector 1969">
          <a:extLst>
            <a:ext uri="{FF2B5EF4-FFF2-40B4-BE49-F238E27FC236}">
              <a16:creationId xmlns:a16="http://schemas.microsoft.com/office/drawing/2014/main" id="{00000000-0008-0000-1300-0000B2070000}"/>
            </a:ext>
          </a:extLst>
        </xdr:cNvPr>
        <xdr:cNvCxnSpPr/>
      </xdr:nvCxnSpPr>
      <xdr:spPr>
        <a:xfrm>
          <a:off x="10572750" y="2147040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1564</xdr:row>
      <xdr:rowOff>10584</xdr:rowOff>
    </xdr:from>
    <xdr:to>
      <xdr:col>15</xdr:col>
      <xdr:colOff>560916</xdr:colOff>
      <xdr:row>1568</xdr:row>
      <xdr:rowOff>52917</xdr:rowOff>
    </xdr:to>
    <xdr:cxnSp macro="">
      <xdr:nvCxnSpPr>
        <xdr:cNvPr id="1971" name="Straight Arrow Connector 1970">
          <a:extLst>
            <a:ext uri="{FF2B5EF4-FFF2-40B4-BE49-F238E27FC236}">
              <a16:creationId xmlns:a16="http://schemas.microsoft.com/office/drawing/2014/main" id="{00000000-0008-0000-1300-0000B3070000}"/>
            </a:ext>
          </a:extLst>
        </xdr:cNvPr>
        <xdr:cNvCxnSpPr/>
      </xdr:nvCxnSpPr>
      <xdr:spPr>
        <a:xfrm>
          <a:off x="10551583" y="2147040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1564</xdr:row>
      <xdr:rowOff>31750</xdr:rowOff>
    </xdr:from>
    <xdr:to>
      <xdr:col>16</xdr:col>
      <xdr:colOff>21167</xdr:colOff>
      <xdr:row>1571</xdr:row>
      <xdr:rowOff>95250</xdr:rowOff>
    </xdr:to>
    <xdr:cxnSp macro="">
      <xdr:nvCxnSpPr>
        <xdr:cNvPr id="1972" name="Straight Arrow Connector 1971">
          <a:extLst>
            <a:ext uri="{FF2B5EF4-FFF2-40B4-BE49-F238E27FC236}">
              <a16:creationId xmlns:a16="http://schemas.microsoft.com/office/drawing/2014/main" id="{00000000-0008-0000-1300-0000B4070000}"/>
            </a:ext>
          </a:extLst>
        </xdr:cNvPr>
        <xdr:cNvCxnSpPr/>
      </xdr:nvCxnSpPr>
      <xdr:spPr>
        <a:xfrm>
          <a:off x="10583333" y="2147252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1578</xdr:row>
      <xdr:rowOff>0</xdr:rowOff>
    </xdr:from>
    <xdr:to>
      <xdr:col>16</xdr:col>
      <xdr:colOff>0</xdr:colOff>
      <xdr:row>1578</xdr:row>
      <xdr:rowOff>42334</xdr:rowOff>
    </xdr:to>
    <xdr:cxnSp macro="">
      <xdr:nvCxnSpPr>
        <xdr:cNvPr id="1973" name="Straight Arrow Connector 1972">
          <a:extLst>
            <a:ext uri="{FF2B5EF4-FFF2-40B4-BE49-F238E27FC236}">
              <a16:creationId xmlns:a16="http://schemas.microsoft.com/office/drawing/2014/main" id="{00000000-0008-0000-1300-0000B5070000}"/>
            </a:ext>
          </a:extLst>
        </xdr:cNvPr>
        <xdr:cNvCxnSpPr/>
      </xdr:nvCxnSpPr>
      <xdr:spPr>
        <a:xfrm>
          <a:off x="10562166" y="2173605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1578</xdr:row>
      <xdr:rowOff>21166</xdr:rowOff>
    </xdr:from>
    <xdr:to>
      <xdr:col>15</xdr:col>
      <xdr:colOff>560916</xdr:colOff>
      <xdr:row>1581</xdr:row>
      <xdr:rowOff>84667</xdr:rowOff>
    </xdr:to>
    <xdr:cxnSp macro="">
      <xdr:nvCxnSpPr>
        <xdr:cNvPr id="1974" name="Straight Arrow Connector 1973">
          <a:extLst>
            <a:ext uri="{FF2B5EF4-FFF2-40B4-BE49-F238E27FC236}">
              <a16:creationId xmlns:a16="http://schemas.microsoft.com/office/drawing/2014/main" id="{00000000-0008-0000-1300-0000B6070000}"/>
            </a:ext>
          </a:extLst>
        </xdr:cNvPr>
        <xdr:cNvCxnSpPr/>
      </xdr:nvCxnSpPr>
      <xdr:spPr>
        <a:xfrm>
          <a:off x="10615083" y="2173816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1578</xdr:row>
      <xdr:rowOff>52916</xdr:rowOff>
    </xdr:from>
    <xdr:to>
      <xdr:col>15</xdr:col>
      <xdr:colOff>592666</xdr:colOff>
      <xdr:row>1584</xdr:row>
      <xdr:rowOff>63501</xdr:rowOff>
    </xdr:to>
    <xdr:cxnSp macro="">
      <xdr:nvCxnSpPr>
        <xdr:cNvPr id="1975" name="Straight Arrow Connector 1974">
          <a:extLst>
            <a:ext uri="{FF2B5EF4-FFF2-40B4-BE49-F238E27FC236}">
              <a16:creationId xmlns:a16="http://schemas.microsoft.com/office/drawing/2014/main" id="{00000000-0008-0000-1300-0000B7070000}"/>
            </a:ext>
          </a:extLst>
        </xdr:cNvPr>
        <xdr:cNvCxnSpPr/>
      </xdr:nvCxnSpPr>
      <xdr:spPr>
        <a:xfrm>
          <a:off x="10572750" y="2174134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1575</xdr:row>
      <xdr:rowOff>52917</xdr:rowOff>
    </xdr:from>
    <xdr:to>
      <xdr:col>15</xdr:col>
      <xdr:colOff>603250</xdr:colOff>
      <xdr:row>1577</xdr:row>
      <xdr:rowOff>148167</xdr:rowOff>
    </xdr:to>
    <xdr:cxnSp macro="">
      <xdr:nvCxnSpPr>
        <xdr:cNvPr id="1976" name="Straight Arrow Connector 1975">
          <a:extLst>
            <a:ext uri="{FF2B5EF4-FFF2-40B4-BE49-F238E27FC236}">
              <a16:creationId xmlns:a16="http://schemas.microsoft.com/office/drawing/2014/main" id="{00000000-0008-0000-1300-0000B8070000}"/>
            </a:ext>
          </a:extLst>
        </xdr:cNvPr>
        <xdr:cNvCxnSpPr/>
      </xdr:nvCxnSpPr>
      <xdr:spPr>
        <a:xfrm flipV="1">
          <a:off x="10583333" y="2168419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31750</xdr:colOff>
      <xdr:row>1486</xdr:row>
      <xdr:rowOff>127000</xdr:rowOff>
    </xdr:from>
    <xdr:to>
      <xdr:col>8</xdr:col>
      <xdr:colOff>63500</xdr:colOff>
      <xdr:row>1505</xdr:row>
      <xdr:rowOff>0</xdr:rowOff>
    </xdr:to>
    <xdr:cxnSp macro="">
      <xdr:nvCxnSpPr>
        <xdr:cNvPr id="1977" name="Straight Arrow Connector 1976">
          <a:extLst>
            <a:ext uri="{FF2B5EF4-FFF2-40B4-BE49-F238E27FC236}">
              <a16:creationId xmlns:a16="http://schemas.microsoft.com/office/drawing/2014/main" id="{00000000-0008-0000-1300-0000B9070000}"/>
            </a:ext>
          </a:extLst>
        </xdr:cNvPr>
        <xdr:cNvCxnSpPr/>
      </xdr:nvCxnSpPr>
      <xdr:spPr>
        <a:xfrm flipV="1">
          <a:off x="5207000" y="199580500"/>
          <a:ext cx="635000" cy="3587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825500</xdr:colOff>
      <xdr:row>1623</xdr:row>
      <xdr:rowOff>1</xdr:rowOff>
    </xdr:from>
    <xdr:to>
      <xdr:col>6</xdr:col>
      <xdr:colOff>0</xdr:colOff>
      <xdr:row>1657</xdr:row>
      <xdr:rowOff>116417</xdr:rowOff>
    </xdr:to>
    <xdr:cxnSp macro="">
      <xdr:nvCxnSpPr>
        <xdr:cNvPr id="1978" name="Straight Arrow Connector 1977">
          <a:extLst>
            <a:ext uri="{FF2B5EF4-FFF2-40B4-BE49-F238E27FC236}">
              <a16:creationId xmlns:a16="http://schemas.microsoft.com/office/drawing/2014/main" id="{00000000-0008-0000-1300-0000BA070000}"/>
            </a:ext>
          </a:extLst>
        </xdr:cNvPr>
        <xdr:cNvCxnSpPr/>
      </xdr:nvCxnSpPr>
      <xdr:spPr>
        <a:xfrm flipV="1">
          <a:off x="3714750" y="226123501"/>
          <a:ext cx="666750" cy="65934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21167</xdr:colOff>
      <xdr:row>1660</xdr:row>
      <xdr:rowOff>169334</xdr:rowOff>
    </xdr:from>
    <xdr:to>
      <xdr:col>5</xdr:col>
      <xdr:colOff>571500</xdr:colOff>
      <xdr:row>1729</xdr:row>
      <xdr:rowOff>0</xdr:rowOff>
    </xdr:to>
    <xdr:cxnSp macro="">
      <xdr:nvCxnSpPr>
        <xdr:cNvPr id="1979" name="Straight Arrow Connector 1978">
          <a:extLst>
            <a:ext uri="{FF2B5EF4-FFF2-40B4-BE49-F238E27FC236}">
              <a16:creationId xmlns:a16="http://schemas.microsoft.com/office/drawing/2014/main" id="{00000000-0008-0000-1300-0000BB070000}"/>
            </a:ext>
          </a:extLst>
        </xdr:cNvPr>
        <xdr:cNvCxnSpPr/>
      </xdr:nvCxnSpPr>
      <xdr:spPr>
        <a:xfrm>
          <a:off x="3799417" y="233341334"/>
          <a:ext cx="550333" cy="133244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1598</xdr:row>
      <xdr:rowOff>148167</xdr:rowOff>
    </xdr:from>
    <xdr:to>
      <xdr:col>7</xdr:col>
      <xdr:colOff>603250</xdr:colOff>
      <xdr:row>1620</xdr:row>
      <xdr:rowOff>31750</xdr:rowOff>
    </xdr:to>
    <xdr:cxnSp macro="">
      <xdr:nvCxnSpPr>
        <xdr:cNvPr id="1980" name="Straight Arrow Connector 1979">
          <a:extLst>
            <a:ext uri="{FF2B5EF4-FFF2-40B4-BE49-F238E27FC236}">
              <a16:creationId xmlns:a16="http://schemas.microsoft.com/office/drawing/2014/main" id="{00000000-0008-0000-1300-0000BC070000}"/>
            </a:ext>
          </a:extLst>
        </xdr:cNvPr>
        <xdr:cNvCxnSpPr/>
      </xdr:nvCxnSpPr>
      <xdr:spPr>
        <a:xfrm flipV="1">
          <a:off x="5175250" y="221318667"/>
          <a:ext cx="603250" cy="42650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1623</xdr:row>
      <xdr:rowOff>10584</xdr:rowOff>
    </xdr:from>
    <xdr:to>
      <xdr:col>8</xdr:col>
      <xdr:colOff>21167</xdr:colOff>
      <xdr:row>1651</xdr:row>
      <xdr:rowOff>148166</xdr:rowOff>
    </xdr:to>
    <xdr:cxnSp macro="">
      <xdr:nvCxnSpPr>
        <xdr:cNvPr id="1981" name="Straight Arrow Connector 1980">
          <a:extLst>
            <a:ext uri="{FF2B5EF4-FFF2-40B4-BE49-F238E27FC236}">
              <a16:creationId xmlns:a16="http://schemas.microsoft.com/office/drawing/2014/main" id="{00000000-0008-0000-1300-0000BD070000}"/>
            </a:ext>
          </a:extLst>
        </xdr:cNvPr>
        <xdr:cNvCxnSpPr/>
      </xdr:nvCxnSpPr>
      <xdr:spPr>
        <a:xfrm>
          <a:off x="5175250" y="226134084"/>
          <a:ext cx="624417" cy="547158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1590</xdr:row>
      <xdr:rowOff>137583</xdr:rowOff>
    </xdr:from>
    <xdr:to>
      <xdr:col>9</xdr:col>
      <xdr:colOff>603250</xdr:colOff>
      <xdr:row>1596</xdr:row>
      <xdr:rowOff>21166</xdr:rowOff>
    </xdr:to>
    <xdr:cxnSp macro="">
      <xdr:nvCxnSpPr>
        <xdr:cNvPr id="1982" name="Straight Arrow Connector 1981">
          <a:extLst>
            <a:ext uri="{FF2B5EF4-FFF2-40B4-BE49-F238E27FC236}">
              <a16:creationId xmlns:a16="http://schemas.microsoft.com/office/drawing/2014/main" id="{00000000-0008-0000-1300-0000BE070000}"/>
            </a:ext>
          </a:extLst>
        </xdr:cNvPr>
        <xdr:cNvCxnSpPr/>
      </xdr:nvCxnSpPr>
      <xdr:spPr>
        <a:xfrm flipV="1">
          <a:off x="6381750" y="219784083"/>
          <a:ext cx="603250" cy="1026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1599</xdr:row>
      <xdr:rowOff>0</xdr:rowOff>
    </xdr:from>
    <xdr:to>
      <xdr:col>9</xdr:col>
      <xdr:colOff>582083</xdr:colOff>
      <xdr:row>1607</xdr:row>
      <xdr:rowOff>10583</xdr:rowOff>
    </xdr:to>
    <xdr:cxnSp macro="">
      <xdr:nvCxnSpPr>
        <xdr:cNvPr id="1983" name="Straight Arrow Connector 1982">
          <a:extLst>
            <a:ext uri="{FF2B5EF4-FFF2-40B4-BE49-F238E27FC236}">
              <a16:creationId xmlns:a16="http://schemas.microsoft.com/office/drawing/2014/main" id="{00000000-0008-0000-1300-0000BF070000}"/>
            </a:ext>
          </a:extLst>
        </xdr:cNvPr>
        <xdr:cNvCxnSpPr/>
      </xdr:nvCxnSpPr>
      <xdr:spPr>
        <a:xfrm>
          <a:off x="6413500" y="221361000"/>
          <a:ext cx="550333" cy="1534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21167</xdr:colOff>
      <xdr:row>1604</xdr:row>
      <xdr:rowOff>169333</xdr:rowOff>
    </xdr:from>
    <xdr:to>
      <xdr:col>11</xdr:col>
      <xdr:colOff>603250</xdr:colOff>
      <xdr:row>1607</xdr:row>
      <xdr:rowOff>21167</xdr:rowOff>
    </xdr:to>
    <xdr:cxnSp macro="">
      <xdr:nvCxnSpPr>
        <xdr:cNvPr id="1984" name="Straight Arrow Connector 1983">
          <a:extLst>
            <a:ext uri="{FF2B5EF4-FFF2-40B4-BE49-F238E27FC236}">
              <a16:creationId xmlns:a16="http://schemas.microsoft.com/office/drawing/2014/main" id="{00000000-0008-0000-1300-0000C0070000}"/>
            </a:ext>
          </a:extLst>
        </xdr:cNvPr>
        <xdr:cNvCxnSpPr/>
      </xdr:nvCxnSpPr>
      <xdr:spPr>
        <a:xfrm flipV="1">
          <a:off x="7609417" y="222482833"/>
          <a:ext cx="582083" cy="423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1610</xdr:row>
      <xdr:rowOff>42333</xdr:rowOff>
    </xdr:from>
    <xdr:to>
      <xdr:col>11</xdr:col>
      <xdr:colOff>603250</xdr:colOff>
      <xdr:row>1622</xdr:row>
      <xdr:rowOff>10583</xdr:rowOff>
    </xdr:to>
    <xdr:cxnSp macro="">
      <xdr:nvCxnSpPr>
        <xdr:cNvPr id="1985" name="Straight Arrow Connector 1984">
          <a:extLst>
            <a:ext uri="{FF2B5EF4-FFF2-40B4-BE49-F238E27FC236}">
              <a16:creationId xmlns:a16="http://schemas.microsoft.com/office/drawing/2014/main" id="{00000000-0008-0000-1300-0000C1070000}"/>
            </a:ext>
          </a:extLst>
        </xdr:cNvPr>
        <xdr:cNvCxnSpPr/>
      </xdr:nvCxnSpPr>
      <xdr:spPr>
        <a:xfrm>
          <a:off x="7598834" y="2234988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1600</xdr:row>
      <xdr:rowOff>21167</xdr:rowOff>
    </xdr:from>
    <xdr:to>
      <xdr:col>13</xdr:col>
      <xdr:colOff>592667</xdr:colOff>
      <xdr:row>1602</xdr:row>
      <xdr:rowOff>0</xdr:rowOff>
    </xdr:to>
    <xdr:cxnSp macro="">
      <xdr:nvCxnSpPr>
        <xdr:cNvPr id="1986" name="Straight Arrow Connector 1985">
          <a:extLst>
            <a:ext uri="{FF2B5EF4-FFF2-40B4-BE49-F238E27FC236}">
              <a16:creationId xmlns:a16="http://schemas.microsoft.com/office/drawing/2014/main" id="{00000000-0008-0000-1300-0000C2070000}"/>
            </a:ext>
          </a:extLst>
        </xdr:cNvPr>
        <xdr:cNvCxnSpPr/>
      </xdr:nvCxnSpPr>
      <xdr:spPr>
        <a:xfrm flipV="1">
          <a:off x="8794750" y="2215726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1605</xdr:row>
      <xdr:rowOff>21166</xdr:rowOff>
    </xdr:from>
    <xdr:to>
      <xdr:col>13</xdr:col>
      <xdr:colOff>592667</xdr:colOff>
      <xdr:row>1606</xdr:row>
      <xdr:rowOff>169334</xdr:rowOff>
    </xdr:to>
    <xdr:cxnSp macro="">
      <xdr:nvCxnSpPr>
        <xdr:cNvPr id="1987" name="Straight Arrow Connector 1986">
          <a:extLst>
            <a:ext uri="{FF2B5EF4-FFF2-40B4-BE49-F238E27FC236}">
              <a16:creationId xmlns:a16="http://schemas.microsoft.com/office/drawing/2014/main" id="{00000000-0008-0000-1300-0000C3070000}"/>
            </a:ext>
          </a:extLst>
        </xdr:cNvPr>
        <xdr:cNvCxnSpPr/>
      </xdr:nvCxnSpPr>
      <xdr:spPr>
        <a:xfrm>
          <a:off x="8784166" y="2225251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1620</xdr:row>
      <xdr:rowOff>21167</xdr:rowOff>
    </xdr:from>
    <xdr:to>
      <xdr:col>13</xdr:col>
      <xdr:colOff>592667</xdr:colOff>
      <xdr:row>1622</xdr:row>
      <xdr:rowOff>63500</xdr:rowOff>
    </xdr:to>
    <xdr:cxnSp macro="">
      <xdr:nvCxnSpPr>
        <xdr:cNvPr id="1988" name="Straight Arrow Connector 1987">
          <a:extLst>
            <a:ext uri="{FF2B5EF4-FFF2-40B4-BE49-F238E27FC236}">
              <a16:creationId xmlns:a16="http://schemas.microsoft.com/office/drawing/2014/main" id="{00000000-0008-0000-1300-0000C4070000}"/>
            </a:ext>
          </a:extLst>
        </xdr:cNvPr>
        <xdr:cNvCxnSpPr/>
      </xdr:nvCxnSpPr>
      <xdr:spPr>
        <a:xfrm flipV="1">
          <a:off x="8794750" y="2255731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1625</xdr:row>
      <xdr:rowOff>0</xdr:rowOff>
    </xdr:from>
    <xdr:to>
      <xdr:col>14</xdr:col>
      <xdr:colOff>10584</xdr:colOff>
      <xdr:row>1633</xdr:row>
      <xdr:rowOff>148167</xdr:rowOff>
    </xdr:to>
    <xdr:cxnSp macro="">
      <xdr:nvCxnSpPr>
        <xdr:cNvPr id="1989" name="Straight Arrow Connector 1988">
          <a:extLst>
            <a:ext uri="{FF2B5EF4-FFF2-40B4-BE49-F238E27FC236}">
              <a16:creationId xmlns:a16="http://schemas.microsoft.com/office/drawing/2014/main" id="{00000000-0008-0000-1300-0000C5070000}"/>
            </a:ext>
          </a:extLst>
        </xdr:cNvPr>
        <xdr:cNvCxnSpPr/>
      </xdr:nvCxnSpPr>
      <xdr:spPr>
        <a:xfrm>
          <a:off x="8805333" y="2265045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1592</xdr:row>
      <xdr:rowOff>0</xdr:rowOff>
    </xdr:from>
    <xdr:to>
      <xdr:col>15</xdr:col>
      <xdr:colOff>603250</xdr:colOff>
      <xdr:row>1597</xdr:row>
      <xdr:rowOff>31750</xdr:rowOff>
    </xdr:to>
    <xdr:cxnSp macro="">
      <xdr:nvCxnSpPr>
        <xdr:cNvPr id="1990" name="Straight Arrow Connector 1989">
          <a:extLst>
            <a:ext uri="{FF2B5EF4-FFF2-40B4-BE49-F238E27FC236}">
              <a16:creationId xmlns:a16="http://schemas.microsoft.com/office/drawing/2014/main" id="{00000000-0008-0000-1300-0000C6070000}"/>
            </a:ext>
          </a:extLst>
        </xdr:cNvPr>
        <xdr:cNvCxnSpPr/>
      </xdr:nvCxnSpPr>
      <xdr:spPr>
        <a:xfrm flipV="1">
          <a:off x="10541000" y="220027500"/>
          <a:ext cx="603250" cy="984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1595</xdr:row>
      <xdr:rowOff>52917</xdr:rowOff>
    </xdr:from>
    <xdr:to>
      <xdr:col>15</xdr:col>
      <xdr:colOff>603250</xdr:colOff>
      <xdr:row>1597</xdr:row>
      <xdr:rowOff>95250</xdr:rowOff>
    </xdr:to>
    <xdr:cxnSp macro="">
      <xdr:nvCxnSpPr>
        <xdr:cNvPr id="1991" name="Straight Arrow Connector 1990">
          <a:extLst>
            <a:ext uri="{FF2B5EF4-FFF2-40B4-BE49-F238E27FC236}">
              <a16:creationId xmlns:a16="http://schemas.microsoft.com/office/drawing/2014/main" id="{00000000-0008-0000-1300-0000C7070000}"/>
            </a:ext>
          </a:extLst>
        </xdr:cNvPr>
        <xdr:cNvCxnSpPr/>
      </xdr:nvCxnSpPr>
      <xdr:spPr>
        <a:xfrm flipV="1">
          <a:off x="10583333" y="220651917"/>
          <a:ext cx="56091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1597</xdr:row>
      <xdr:rowOff>158750</xdr:rowOff>
    </xdr:from>
    <xdr:to>
      <xdr:col>15</xdr:col>
      <xdr:colOff>582083</xdr:colOff>
      <xdr:row>1598</xdr:row>
      <xdr:rowOff>137583</xdr:rowOff>
    </xdr:to>
    <xdr:cxnSp macro="">
      <xdr:nvCxnSpPr>
        <xdr:cNvPr id="1992" name="Straight Arrow Connector 1991">
          <a:extLst>
            <a:ext uri="{FF2B5EF4-FFF2-40B4-BE49-F238E27FC236}">
              <a16:creationId xmlns:a16="http://schemas.microsoft.com/office/drawing/2014/main" id="{00000000-0008-0000-1300-0000C8070000}"/>
            </a:ext>
          </a:extLst>
        </xdr:cNvPr>
        <xdr:cNvCxnSpPr/>
      </xdr:nvCxnSpPr>
      <xdr:spPr>
        <a:xfrm>
          <a:off x="10604500" y="221138750"/>
          <a:ext cx="518583" cy="169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1121834</xdr:colOff>
      <xdr:row>1597</xdr:row>
      <xdr:rowOff>105834</xdr:rowOff>
    </xdr:from>
    <xdr:to>
      <xdr:col>16</xdr:col>
      <xdr:colOff>0</xdr:colOff>
      <xdr:row>1601</xdr:row>
      <xdr:rowOff>84667</xdr:rowOff>
    </xdr:to>
    <xdr:cxnSp macro="">
      <xdr:nvCxnSpPr>
        <xdr:cNvPr id="1993" name="Straight Arrow Connector 1992">
          <a:extLst>
            <a:ext uri="{FF2B5EF4-FFF2-40B4-BE49-F238E27FC236}">
              <a16:creationId xmlns:a16="http://schemas.microsoft.com/office/drawing/2014/main" id="{00000000-0008-0000-1300-0000C9070000}"/>
            </a:ext>
          </a:extLst>
        </xdr:cNvPr>
        <xdr:cNvCxnSpPr/>
      </xdr:nvCxnSpPr>
      <xdr:spPr>
        <a:xfrm>
          <a:off x="10519834" y="221085834"/>
          <a:ext cx="624416"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1605</xdr:row>
      <xdr:rowOff>52916</xdr:rowOff>
    </xdr:from>
    <xdr:to>
      <xdr:col>16</xdr:col>
      <xdr:colOff>0</xdr:colOff>
      <xdr:row>1607</xdr:row>
      <xdr:rowOff>0</xdr:rowOff>
    </xdr:to>
    <xdr:cxnSp macro="">
      <xdr:nvCxnSpPr>
        <xdr:cNvPr id="1994" name="Straight Arrow Connector 1993">
          <a:extLst>
            <a:ext uri="{FF2B5EF4-FFF2-40B4-BE49-F238E27FC236}">
              <a16:creationId xmlns:a16="http://schemas.microsoft.com/office/drawing/2014/main" id="{00000000-0008-0000-1300-0000CA070000}"/>
            </a:ext>
          </a:extLst>
        </xdr:cNvPr>
        <xdr:cNvCxnSpPr/>
      </xdr:nvCxnSpPr>
      <xdr:spPr>
        <a:xfrm flipV="1">
          <a:off x="10541000" y="2225569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1607</xdr:row>
      <xdr:rowOff>21167</xdr:rowOff>
    </xdr:from>
    <xdr:to>
      <xdr:col>15</xdr:col>
      <xdr:colOff>582083</xdr:colOff>
      <xdr:row>1608</xdr:row>
      <xdr:rowOff>42333</xdr:rowOff>
    </xdr:to>
    <xdr:cxnSp macro="">
      <xdr:nvCxnSpPr>
        <xdr:cNvPr id="1995" name="Straight Arrow Connector 1994">
          <a:extLst>
            <a:ext uri="{FF2B5EF4-FFF2-40B4-BE49-F238E27FC236}">
              <a16:creationId xmlns:a16="http://schemas.microsoft.com/office/drawing/2014/main" id="{00000000-0008-0000-1300-0000CB070000}"/>
            </a:ext>
          </a:extLst>
        </xdr:cNvPr>
        <xdr:cNvCxnSpPr/>
      </xdr:nvCxnSpPr>
      <xdr:spPr>
        <a:xfrm>
          <a:off x="10551583" y="222906167"/>
          <a:ext cx="571500" cy="211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1607</xdr:row>
      <xdr:rowOff>21167</xdr:rowOff>
    </xdr:from>
    <xdr:to>
      <xdr:col>16</xdr:col>
      <xdr:colOff>42333</xdr:colOff>
      <xdr:row>1612</xdr:row>
      <xdr:rowOff>21168</xdr:rowOff>
    </xdr:to>
    <xdr:cxnSp macro="">
      <xdr:nvCxnSpPr>
        <xdr:cNvPr id="1996" name="Straight Arrow Connector 1995">
          <a:extLst>
            <a:ext uri="{FF2B5EF4-FFF2-40B4-BE49-F238E27FC236}">
              <a16:creationId xmlns:a16="http://schemas.microsoft.com/office/drawing/2014/main" id="{00000000-0008-0000-1300-0000CC070000}"/>
            </a:ext>
          </a:extLst>
        </xdr:cNvPr>
        <xdr:cNvCxnSpPr/>
      </xdr:nvCxnSpPr>
      <xdr:spPr>
        <a:xfrm>
          <a:off x="10530417" y="222906167"/>
          <a:ext cx="656166" cy="9525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1607</xdr:row>
      <xdr:rowOff>31750</xdr:rowOff>
    </xdr:from>
    <xdr:to>
      <xdr:col>16</xdr:col>
      <xdr:colOff>42334</xdr:colOff>
      <xdr:row>1614</xdr:row>
      <xdr:rowOff>63501</xdr:rowOff>
    </xdr:to>
    <xdr:cxnSp macro="">
      <xdr:nvCxnSpPr>
        <xdr:cNvPr id="1997" name="Straight Arrow Connector 1996">
          <a:extLst>
            <a:ext uri="{FF2B5EF4-FFF2-40B4-BE49-F238E27FC236}">
              <a16:creationId xmlns:a16="http://schemas.microsoft.com/office/drawing/2014/main" id="{00000000-0008-0000-1300-0000CD070000}"/>
            </a:ext>
          </a:extLst>
        </xdr:cNvPr>
        <xdr:cNvCxnSpPr/>
      </xdr:nvCxnSpPr>
      <xdr:spPr>
        <a:xfrm>
          <a:off x="10541000" y="222916750"/>
          <a:ext cx="645584"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10583</xdr:colOff>
      <xdr:row>1644</xdr:row>
      <xdr:rowOff>42333</xdr:rowOff>
    </xdr:from>
    <xdr:to>
      <xdr:col>9</xdr:col>
      <xdr:colOff>592666</xdr:colOff>
      <xdr:row>1652</xdr:row>
      <xdr:rowOff>42333</xdr:rowOff>
    </xdr:to>
    <xdr:cxnSp macro="">
      <xdr:nvCxnSpPr>
        <xdr:cNvPr id="1998" name="Straight Arrow Connector 1997">
          <a:extLst>
            <a:ext uri="{FF2B5EF4-FFF2-40B4-BE49-F238E27FC236}">
              <a16:creationId xmlns:a16="http://schemas.microsoft.com/office/drawing/2014/main" id="{00000000-0008-0000-1300-0000CE070000}"/>
            </a:ext>
          </a:extLst>
        </xdr:cNvPr>
        <xdr:cNvCxnSpPr/>
      </xdr:nvCxnSpPr>
      <xdr:spPr>
        <a:xfrm flipV="1">
          <a:off x="6392333" y="230166333"/>
          <a:ext cx="582083" cy="152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1654</xdr:row>
      <xdr:rowOff>169334</xdr:rowOff>
    </xdr:from>
    <xdr:to>
      <xdr:col>9</xdr:col>
      <xdr:colOff>603250</xdr:colOff>
      <xdr:row>1663</xdr:row>
      <xdr:rowOff>31750</xdr:rowOff>
    </xdr:to>
    <xdr:cxnSp macro="">
      <xdr:nvCxnSpPr>
        <xdr:cNvPr id="1999" name="Straight Arrow Connector 1998">
          <a:extLst>
            <a:ext uri="{FF2B5EF4-FFF2-40B4-BE49-F238E27FC236}">
              <a16:creationId xmlns:a16="http://schemas.microsoft.com/office/drawing/2014/main" id="{00000000-0008-0000-1300-0000CF070000}"/>
            </a:ext>
          </a:extLst>
        </xdr:cNvPr>
        <xdr:cNvCxnSpPr/>
      </xdr:nvCxnSpPr>
      <xdr:spPr>
        <a:xfrm>
          <a:off x="6413500" y="232198334"/>
          <a:ext cx="571500" cy="1576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571500</xdr:colOff>
      <xdr:row>1660</xdr:row>
      <xdr:rowOff>158750</xdr:rowOff>
    </xdr:from>
    <xdr:to>
      <xdr:col>11</xdr:col>
      <xdr:colOff>571500</xdr:colOff>
      <xdr:row>1663</xdr:row>
      <xdr:rowOff>0</xdr:rowOff>
    </xdr:to>
    <xdr:cxnSp macro="">
      <xdr:nvCxnSpPr>
        <xdr:cNvPr id="2000" name="Straight Arrow Connector 1999">
          <a:extLst>
            <a:ext uri="{FF2B5EF4-FFF2-40B4-BE49-F238E27FC236}">
              <a16:creationId xmlns:a16="http://schemas.microsoft.com/office/drawing/2014/main" id="{00000000-0008-0000-1300-0000D0070000}"/>
            </a:ext>
          </a:extLst>
        </xdr:cNvPr>
        <xdr:cNvCxnSpPr/>
      </xdr:nvCxnSpPr>
      <xdr:spPr>
        <a:xfrm flipV="1">
          <a:off x="7556500" y="233330750"/>
          <a:ext cx="603250" cy="412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1618</xdr:row>
      <xdr:rowOff>0</xdr:rowOff>
    </xdr:from>
    <xdr:to>
      <xdr:col>15</xdr:col>
      <xdr:colOff>603250</xdr:colOff>
      <xdr:row>1620</xdr:row>
      <xdr:rowOff>1</xdr:rowOff>
    </xdr:to>
    <xdr:cxnSp macro="">
      <xdr:nvCxnSpPr>
        <xdr:cNvPr id="2001" name="Straight Arrow Connector 2000">
          <a:extLst>
            <a:ext uri="{FF2B5EF4-FFF2-40B4-BE49-F238E27FC236}">
              <a16:creationId xmlns:a16="http://schemas.microsoft.com/office/drawing/2014/main" id="{00000000-0008-0000-1300-0000D1070000}"/>
            </a:ext>
          </a:extLst>
        </xdr:cNvPr>
        <xdr:cNvCxnSpPr/>
      </xdr:nvCxnSpPr>
      <xdr:spPr>
        <a:xfrm flipV="1">
          <a:off x="10530417" y="2251710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1620</xdr:row>
      <xdr:rowOff>10584</xdr:rowOff>
    </xdr:from>
    <xdr:to>
      <xdr:col>15</xdr:col>
      <xdr:colOff>592666</xdr:colOff>
      <xdr:row>1621</xdr:row>
      <xdr:rowOff>95250</xdr:rowOff>
    </xdr:to>
    <xdr:cxnSp macro="">
      <xdr:nvCxnSpPr>
        <xdr:cNvPr id="2002" name="Straight Arrow Connector 2001">
          <a:extLst>
            <a:ext uri="{FF2B5EF4-FFF2-40B4-BE49-F238E27FC236}">
              <a16:creationId xmlns:a16="http://schemas.microsoft.com/office/drawing/2014/main" id="{00000000-0008-0000-1300-0000D2070000}"/>
            </a:ext>
          </a:extLst>
        </xdr:cNvPr>
        <xdr:cNvCxnSpPr/>
      </xdr:nvCxnSpPr>
      <xdr:spPr>
        <a:xfrm>
          <a:off x="10572750" y="2255625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1620</xdr:row>
      <xdr:rowOff>10584</xdr:rowOff>
    </xdr:from>
    <xdr:to>
      <xdr:col>15</xdr:col>
      <xdr:colOff>560916</xdr:colOff>
      <xdr:row>1624</xdr:row>
      <xdr:rowOff>52917</xdr:rowOff>
    </xdr:to>
    <xdr:cxnSp macro="">
      <xdr:nvCxnSpPr>
        <xdr:cNvPr id="2003" name="Straight Arrow Connector 2002">
          <a:extLst>
            <a:ext uri="{FF2B5EF4-FFF2-40B4-BE49-F238E27FC236}">
              <a16:creationId xmlns:a16="http://schemas.microsoft.com/office/drawing/2014/main" id="{00000000-0008-0000-1300-0000D3070000}"/>
            </a:ext>
          </a:extLst>
        </xdr:cNvPr>
        <xdr:cNvCxnSpPr/>
      </xdr:nvCxnSpPr>
      <xdr:spPr>
        <a:xfrm>
          <a:off x="10551583" y="2255625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1620</xdr:row>
      <xdr:rowOff>31750</xdr:rowOff>
    </xdr:from>
    <xdr:to>
      <xdr:col>16</xdr:col>
      <xdr:colOff>21167</xdr:colOff>
      <xdr:row>1627</xdr:row>
      <xdr:rowOff>95250</xdr:rowOff>
    </xdr:to>
    <xdr:cxnSp macro="">
      <xdr:nvCxnSpPr>
        <xdr:cNvPr id="2004" name="Straight Arrow Connector 2003">
          <a:extLst>
            <a:ext uri="{FF2B5EF4-FFF2-40B4-BE49-F238E27FC236}">
              <a16:creationId xmlns:a16="http://schemas.microsoft.com/office/drawing/2014/main" id="{00000000-0008-0000-1300-0000D4070000}"/>
            </a:ext>
          </a:extLst>
        </xdr:cNvPr>
        <xdr:cNvCxnSpPr/>
      </xdr:nvCxnSpPr>
      <xdr:spPr>
        <a:xfrm>
          <a:off x="10583333" y="2255837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1634</xdr:row>
      <xdr:rowOff>0</xdr:rowOff>
    </xdr:from>
    <xdr:to>
      <xdr:col>16</xdr:col>
      <xdr:colOff>0</xdr:colOff>
      <xdr:row>1634</xdr:row>
      <xdr:rowOff>42334</xdr:rowOff>
    </xdr:to>
    <xdr:cxnSp macro="">
      <xdr:nvCxnSpPr>
        <xdr:cNvPr id="2005" name="Straight Arrow Connector 2004">
          <a:extLst>
            <a:ext uri="{FF2B5EF4-FFF2-40B4-BE49-F238E27FC236}">
              <a16:creationId xmlns:a16="http://schemas.microsoft.com/office/drawing/2014/main" id="{00000000-0008-0000-1300-0000D5070000}"/>
            </a:ext>
          </a:extLst>
        </xdr:cNvPr>
        <xdr:cNvCxnSpPr/>
      </xdr:nvCxnSpPr>
      <xdr:spPr>
        <a:xfrm>
          <a:off x="10562166" y="2282190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1634</xdr:row>
      <xdr:rowOff>21166</xdr:rowOff>
    </xdr:from>
    <xdr:to>
      <xdr:col>15</xdr:col>
      <xdr:colOff>560916</xdr:colOff>
      <xdr:row>1637</xdr:row>
      <xdr:rowOff>84667</xdr:rowOff>
    </xdr:to>
    <xdr:cxnSp macro="">
      <xdr:nvCxnSpPr>
        <xdr:cNvPr id="2006" name="Straight Arrow Connector 2005">
          <a:extLst>
            <a:ext uri="{FF2B5EF4-FFF2-40B4-BE49-F238E27FC236}">
              <a16:creationId xmlns:a16="http://schemas.microsoft.com/office/drawing/2014/main" id="{00000000-0008-0000-1300-0000D6070000}"/>
            </a:ext>
          </a:extLst>
        </xdr:cNvPr>
        <xdr:cNvCxnSpPr/>
      </xdr:nvCxnSpPr>
      <xdr:spPr>
        <a:xfrm>
          <a:off x="10615083" y="2282401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1634</xdr:row>
      <xdr:rowOff>52916</xdr:rowOff>
    </xdr:from>
    <xdr:to>
      <xdr:col>15</xdr:col>
      <xdr:colOff>592666</xdr:colOff>
      <xdr:row>1640</xdr:row>
      <xdr:rowOff>63501</xdr:rowOff>
    </xdr:to>
    <xdr:cxnSp macro="">
      <xdr:nvCxnSpPr>
        <xdr:cNvPr id="2007" name="Straight Arrow Connector 2006">
          <a:extLst>
            <a:ext uri="{FF2B5EF4-FFF2-40B4-BE49-F238E27FC236}">
              <a16:creationId xmlns:a16="http://schemas.microsoft.com/office/drawing/2014/main" id="{00000000-0008-0000-1300-0000D7070000}"/>
            </a:ext>
          </a:extLst>
        </xdr:cNvPr>
        <xdr:cNvCxnSpPr/>
      </xdr:nvCxnSpPr>
      <xdr:spPr>
        <a:xfrm>
          <a:off x="10572750" y="2282719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1648</xdr:row>
      <xdr:rowOff>116416</xdr:rowOff>
    </xdr:from>
    <xdr:to>
      <xdr:col>15</xdr:col>
      <xdr:colOff>592666</xdr:colOff>
      <xdr:row>1651</xdr:row>
      <xdr:rowOff>158750</xdr:rowOff>
    </xdr:to>
    <xdr:cxnSp macro="">
      <xdr:nvCxnSpPr>
        <xdr:cNvPr id="2008" name="Straight Arrow Connector 2007">
          <a:extLst>
            <a:ext uri="{FF2B5EF4-FFF2-40B4-BE49-F238E27FC236}">
              <a16:creationId xmlns:a16="http://schemas.microsoft.com/office/drawing/2014/main" id="{00000000-0008-0000-1300-0000D8070000}"/>
            </a:ext>
          </a:extLst>
        </xdr:cNvPr>
        <xdr:cNvCxnSpPr/>
      </xdr:nvCxnSpPr>
      <xdr:spPr>
        <a:xfrm flipV="1">
          <a:off x="10562166" y="231002416"/>
          <a:ext cx="571500" cy="613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1650</xdr:row>
      <xdr:rowOff>95250</xdr:rowOff>
    </xdr:from>
    <xdr:to>
      <xdr:col>15</xdr:col>
      <xdr:colOff>582083</xdr:colOff>
      <xdr:row>1652</xdr:row>
      <xdr:rowOff>52917</xdr:rowOff>
    </xdr:to>
    <xdr:cxnSp macro="">
      <xdr:nvCxnSpPr>
        <xdr:cNvPr id="2009" name="Straight Arrow Connector 2008">
          <a:extLst>
            <a:ext uri="{FF2B5EF4-FFF2-40B4-BE49-F238E27FC236}">
              <a16:creationId xmlns:a16="http://schemas.microsoft.com/office/drawing/2014/main" id="{00000000-0008-0000-1300-0000D9070000}"/>
            </a:ext>
          </a:extLst>
        </xdr:cNvPr>
        <xdr:cNvCxnSpPr/>
      </xdr:nvCxnSpPr>
      <xdr:spPr>
        <a:xfrm flipV="1">
          <a:off x="10604500" y="231362250"/>
          <a:ext cx="518583" cy="338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1652</xdr:row>
      <xdr:rowOff>116417</xdr:rowOff>
    </xdr:from>
    <xdr:to>
      <xdr:col>15</xdr:col>
      <xdr:colOff>592666</xdr:colOff>
      <xdr:row>1656</xdr:row>
      <xdr:rowOff>95250</xdr:rowOff>
    </xdr:to>
    <xdr:cxnSp macro="">
      <xdr:nvCxnSpPr>
        <xdr:cNvPr id="2010" name="Straight Arrow Connector 2009">
          <a:extLst>
            <a:ext uri="{FF2B5EF4-FFF2-40B4-BE49-F238E27FC236}">
              <a16:creationId xmlns:a16="http://schemas.microsoft.com/office/drawing/2014/main" id="{00000000-0008-0000-1300-0000DA070000}"/>
            </a:ext>
          </a:extLst>
        </xdr:cNvPr>
        <xdr:cNvCxnSpPr/>
      </xdr:nvCxnSpPr>
      <xdr:spPr>
        <a:xfrm>
          <a:off x="10593916" y="231764417"/>
          <a:ext cx="53975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1663</xdr:row>
      <xdr:rowOff>116416</xdr:rowOff>
    </xdr:from>
    <xdr:to>
      <xdr:col>16</xdr:col>
      <xdr:colOff>0</xdr:colOff>
      <xdr:row>1670</xdr:row>
      <xdr:rowOff>74084</xdr:rowOff>
    </xdr:to>
    <xdr:cxnSp macro="">
      <xdr:nvCxnSpPr>
        <xdr:cNvPr id="2011" name="Straight Arrow Connector 2010">
          <a:extLst>
            <a:ext uri="{FF2B5EF4-FFF2-40B4-BE49-F238E27FC236}">
              <a16:creationId xmlns:a16="http://schemas.microsoft.com/office/drawing/2014/main" id="{00000000-0008-0000-1300-0000DB070000}"/>
            </a:ext>
          </a:extLst>
        </xdr:cNvPr>
        <xdr:cNvCxnSpPr/>
      </xdr:nvCxnSpPr>
      <xdr:spPr>
        <a:xfrm>
          <a:off x="10572750" y="233859916"/>
          <a:ext cx="571500" cy="12911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1631</xdr:row>
      <xdr:rowOff>52917</xdr:rowOff>
    </xdr:from>
    <xdr:to>
      <xdr:col>15</xdr:col>
      <xdr:colOff>603250</xdr:colOff>
      <xdr:row>1633</xdr:row>
      <xdr:rowOff>148167</xdr:rowOff>
    </xdr:to>
    <xdr:cxnSp macro="">
      <xdr:nvCxnSpPr>
        <xdr:cNvPr id="2012" name="Straight Arrow Connector 2011">
          <a:extLst>
            <a:ext uri="{FF2B5EF4-FFF2-40B4-BE49-F238E27FC236}">
              <a16:creationId xmlns:a16="http://schemas.microsoft.com/office/drawing/2014/main" id="{00000000-0008-0000-1300-0000DC070000}"/>
            </a:ext>
          </a:extLst>
        </xdr:cNvPr>
        <xdr:cNvCxnSpPr/>
      </xdr:nvCxnSpPr>
      <xdr:spPr>
        <a:xfrm flipV="1">
          <a:off x="10583333" y="2277004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1666</xdr:row>
      <xdr:rowOff>42333</xdr:rowOff>
    </xdr:from>
    <xdr:to>
      <xdr:col>11</xdr:col>
      <xdr:colOff>603250</xdr:colOff>
      <xdr:row>1678</xdr:row>
      <xdr:rowOff>10583</xdr:rowOff>
    </xdr:to>
    <xdr:cxnSp macro="">
      <xdr:nvCxnSpPr>
        <xdr:cNvPr id="2013" name="Straight Arrow Connector 2012">
          <a:extLst>
            <a:ext uri="{FF2B5EF4-FFF2-40B4-BE49-F238E27FC236}">
              <a16:creationId xmlns:a16="http://schemas.microsoft.com/office/drawing/2014/main" id="{00000000-0008-0000-1300-0000DD070000}"/>
            </a:ext>
          </a:extLst>
        </xdr:cNvPr>
        <xdr:cNvCxnSpPr/>
      </xdr:nvCxnSpPr>
      <xdr:spPr>
        <a:xfrm>
          <a:off x="7598834" y="2343573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1656</xdr:row>
      <xdr:rowOff>21167</xdr:rowOff>
    </xdr:from>
    <xdr:to>
      <xdr:col>13</xdr:col>
      <xdr:colOff>592667</xdr:colOff>
      <xdr:row>1658</xdr:row>
      <xdr:rowOff>0</xdr:rowOff>
    </xdr:to>
    <xdr:cxnSp macro="">
      <xdr:nvCxnSpPr>
        <xdr:cNvPr id="2014" name="Straight Arrow Connector 2013">
          <a:extLst>
            <a:ext uri="{FF2B5EF4-FFF2-40B4-BE49-F238E27FC236}">
              <a16:creationId xmlns:a16="http://schemas.microsoft.com/office/drawing/2014/main" id="{00000000-0008-0000-1300-0000DE070000}"/>
            </a:ext>
          </a:extLst>
        </xdr:cNvPr>
        <xdr:cNvCxnSpPr/>
      </xdr:nvCxnSpPr>
      <xdr:spPr>
        <a:xfrm flipV="1">
          <a:off x="8794750" y="2324311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1661</xdr:row>
      <xdr:rowOff>21166</xdr:rowOff>
    </xdr:from>
    <xdr:to>
      <xdr:col>13</xdr:col>
      <xdr:colOff>592667</xdr:colOff>
      <xdr:row>1662</xdr:row>
      <xdr:rowOff>169334</xdr:rowOff>
    </xdr:to>
    <xdr:cxnSp macro="">
      <xdr:nvCxnSpPr>
        <xdr:cNvPr id="2015" name="Straight Arrow Connector 2014">
          <a:extLst>
            <a:ext uri="{FF2B5EF4-FFF2-40B4-BE49-F238E27FC236}">
              <a16:creationId xmlns:a16="http://schemas.microsoft.com/office/drawing/2014/main" id="{00000000-0008-0000-1300-0000DF070000}"/>
            </a:ext>
          </a:extLst>
        </xdr:cNvPr>
        <xdr:cNvCxnSpPr/>
      </xdr:nvCxnSpPr>
      <xdr:spPr>
        <a:xfrm>
          <a:off x="8784166" y="2333836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1676</xdr:row>
      <xdr:rowOff>21167</xdr:rowOff>
    </xdr:from>
    <xdr:to>
      <xdr:col>13</xdr:col>
      <xdr:colOff>592667</xdr:colOff>
      <xdr:row>1678</xdr:row>
      <xdr:rowOff>63500</xdr:rowOff>
    </xdr:to>
    <xdr:cxnSp macro="">
      <xdr:nvCxnSpPr>
        <xdr:cNvPr id="2016" name="Straight Arrow Connector 2015">
          <a:extLst>
            <a:ext uri="{FF2B5EF4-FFF2-40B4-BE49-F238E27FC236}">
              <a16:creationId xmlns:a16="http://schemas.microsoft.com/office/drawing/2014/main" id="{00000000-0008-0000-1300-0000E0070000}"/>
            </a:ext>
          </a:extLst>
        </xdr:cNvPr>
        <xdr:cNvCxnSpPr/>
      </xdr:nvCxnSpPr>
      <xdr:spPr>
        <a:xfrm flipV="1">
          <a:off x="8794750" y="2364316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1681</xdr:row>
      <xdr:rowOff>0</xdr:rowOff>
    </xdr:from>
    <xdr:to>
      <xdr:col>14</xdr:col>
      <xdr:colOff>10584</xdr:colOff>
      <xdr:row>1689</xdr:row>
      <xdr:rowOff>148167</xdr:rowOff>
    </xdr:to>
    <xdr:cxnSp macro="">
      <xdr:nvCxnSpPr>
        <xdr:cNvPr id="2017" name="Straight Arrow Connector 2016">
          <a:extLst>
            <a:ext uri="{FF2B5EF4-FFF2-40B4-BE49-F238E27FC236}">
              <a16:creationId xmlns:a16="http://schemas.microsoft.com/office/drawing/2014/main" id="{00000000-0008-0000-1300-0000E1070000}"/>
            </a:ext>
          </a:extLst>
        </xdr:cNvPr>
        <xdr:cNvCxnSpPr/>
      </xdr:nvCxnSpPr>
      <xdr:spPr>
        <a:xfrm>
          <a:off x="8805333" y="2373630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1652</xdr:row>
      <xdr:rowOff>95250</xdr:rowOff>
    </xdr:from>
    <xdr:to>
      <xdr:col>15</xdr:col>
      <xdr:colOff>582083</xdr:colOff>
      <xdr:row>1654</xdr:row>
      <xdr:rowOff>137583</xdr:rowOff>
    </xdr:to>
    <xdr:cxnSp macro="">
      <xdr:nvCxnSpPr>
        <xdr:cNvPr id="2018" name="Straight Arrow Connector 2017">
          <a:extLst>
            <a:ext uri="{FF2B5EF4-FFF2-40B4-BE49-F238E27FC236}">
              <a16:creationId xmlns:a16="http://schemas.microsoft.com/office/drawing/2014/main" id="{00000000-0008-0000-1300-0000E2070000}"/>
            </a:ext>
          </a:extLst>
        </xdr:cNvPr>
        <xdr:cNvCxnSpPr/>
      </xdr:nvCxnSpPr>
      <xdr:spPr>
        <a:xfrm>
          <a:off x="10593916" y="231743250"/>
          <a:ext cx="5291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1661</xdr:row>
      <xdr:rowOff>52916</xdr:rowOff>
    </xdr:from>
    <xdr:to>
      <xdr:col>16</xdr:col>
      <xdr:colOff>0</xdr:colOff>
      <xdr:row>1663</xdr:row>
      <xdr:rowOff>0</xdr:rowOff>
    </xdr:to>
    <xdr:cxnSp macro="">
      <xdr:nvCxnSpPr>
        <xdr:cNvPr id="2019" name="Straight Arrow Connector 2018">
          <a:extLst>
            <a:ext uri="{FF2B5EF4-FFF2-40B4-BE49-F238E27FC236}">
              <a16:creationId xmlns:a16="http://schemas.microsoft.com/office/drawing/2014/main" id="{00000000-0008-0000-1300-0000E3070000}"/>
            </a:ext>
          </a:extLst>
        </xdr:cNvPr>
        <xdr:cNvCxnSpPr/>
      </xdr:nvCxnSpPr>
      <xdr:spPr>
        <a:xfrm flipV="1">
          <a:off x="10541000" y="2334154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1663</xdr:row>
      <xdr:rowOff>21167</xdr:rowOff>
    </xdr:from>
    <xdr:to>
      <xdr:col>15</xdr:col>
      <xdr:colOff>592666</xdr:colOff>
      <xdr:row>1664</xdr:row>
      <xdr:rowOff>84667</xdr:rowOff>
    </xdr:to>
    <xdr:cxnSp macro="">
      <xdr:nvCxnSpPr>
        <xdr:cNvPr id="2020" name="Straight Arrow Connector 2019">
          <a:extLst>
            <a:ext uri="{FF2B5EF4-FFF2-40B4-BE49-F238E27FC236}">
              <a16:creationId xmlns:a16="http://schemas.microsoft.com/office/drawing/2014/main" id="{00000000-0008-0000-1300-0000E4070000}"/>
            </a:ext>
          </a:extLst>
        </xdr:cNvPr>
        <xdr:cNvCxnSpPr/>
      </xdr:nvCxnSpPr>
      <xdr:spPr>
        <a:xfrm>
          <a:off x="10530417" y="233764667"/>
          <a:ext cx="603249" cy="25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1663</xdr:row>
      <xdr:rowOff>0</xdr:rowOff>
    </xdr:from>
    <xdr:to>
      <xdr:col>16</xdr:col>
      <xdr:colOff>0</xdr:colOff>
      <xdr:row>1667</xdr:row>
      <xdr:rowOff>42334</xdr:rowOff>
    </xdr:to>
    <xdr:cxnSp macro="">
      <xdr:nvCxnSpPr>
        <xdr:cNvPr id="2021" name="Straight Arrow Connector 2020">
          <a:extLst>
            <a:ext uri="{FF2B5EF4-FFF2-40B4-BE49-F238E27FC236}">
              <a16:creationId xmlns:a16="http://schemas.microsoft.com/office/drawing/2014/main" id="{00000000-0008-0000-1300-0000E5070000}"/>
            </a:ext>
          </a:extLst>
        </xdr:cNvPr>
        <xdr:cNvCxnSpPr/>
      </xdr:nvCxnSpPr>
      <xdr:spPr>
        <a:xfrm>
          <a:off x="10530417" y="233743500"/>
          <a:ext cx="613833" cy="804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1674</xdr:row>
      <xdr:rowOff>0</xdr:rowOff>
    </xdr:from>
    <xdr:to>
      <xdr:col>15</xdr:col>
      <xdr:colOff>603250</xdr:colOff>
      <xdr:row>1676</xdr:row>
      <xdr:rowOff>1</xdr:rowOff>
    </xdr:to>
    <xdr:cxnSp macro="">
      <xdr:nvCxnSpPr>
        <xdr:cNvPr id="2022" name="Straight Arrow Connector 2021">
          <a:extLst>
            <a:ext uri="{FF2B5EF4-FFF2-40B4-BE49-F238E27FC236}">
              <a16:creationId xmlns:a16="http://schemas.microsoft.com/office/drawing/2014/main" id="{00000000-0008-0000-1300-0000E6070000}"/>
            </a:ext>
          </a:extLst>
        </xdr:cNvPr>
        <xdr:cNvCxnSpPr/>
      </xdr:nvCxnSpPr>
      <xdr:spPr>
        <a:xfrm flipV="1">
          <a:off x="10530417" y="2360295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1676</xdr:row>
      <xdr:rowOff>10584</xdr:rowOff>
    </xdr:from>
    <xdr:to>
      <xdr:col>15</xdr:col>
      <xdr:colOff>592666</xdr:colOff>
      <xdr:row>1677</xdr:row>
      <xdr:rowOff>95250</xdr:rowOff>
    </xdr:to>
    <xdr:cxnSp macro="">
      <xdr:nvCxnSpPr>
        <xdr:cNvPr id="2023" name="Straight Arrow Connector 2022">
          <a:extLst>
            <a:ext uri="{FF2B5EF4-FFF2-40B4-BE49-F238E27FC236}">
              <a16:creationId xmlns:a16="http://schemas.microsoft.com/office/drawing/2014/main" id="{00000000-0008-0000-1300-0000E7070000}"/>
            </a:ext>
          </a:extLst>
        </xdr:cNvPr>
        <xdr:cNvCxnSpPr/>
      </xdr:nvCxnSpPr>
      <xdr:spPr>
        <a:xfrm>
          <a:off x="10572750" y="2364210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1676</xdr:row>
      <xdr:rowOff>10584</xdr:rowOff>
    </xdr:from>
    <xdr:to>
      <xdr:col>15</xdr:col>
      <xdr:colOff>560916</xdr:colOff>
      <xdr:row>1680</xdr:row>
      <xdr:rowOff>52917</xdr:rowOff>
    </xdr:to>
    <xdr:cxnSp macro="">
      <xdr:nvCxnSpPr>
        <xdr:cNvPr id="2024" name="Straight Arrow Connector 2023">
          <a:extLst>
            <a:ext uri="{FF2B5EF4-FFF2-40B4-BE49-F238E27FC236}">
              <a16:creationId xmlns:a16="http://schemas.microsoft.com/office/drawing/2014/main" id="{00000000-0008-0000-1300-0000E8070000}"/>
            </a:ext>
          </a:extLst>
        </xdr:cNvPr>
        <xdr:cNvCxnSpPr/>
      </xdr:nvCxnSpPr>
      <xdr:spPr>
        <a:xfrm>
          <a:off x="10551583" y="2364210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2025" name="Straight Arrow Connector 2024">
          <a:extLst>
            <a:ext uri="{FF2B5EF4-FFF2-40B4-BE49-F238E27FC236}">
              <a16:creationId xmlns:a16="http://schemas.microsoft.com/office/drawing/2014/main" id="{00000000-0008-0000-1300-0000E9070000}"/>
            </a:ext>
          </a:extLst>
        </xdr:cNvPr>
        <xdr:cNvCxnSpPr/>
      </xdr:nvCxnSpPr>
      <xdr:spPr>
        <a:xfrm>
          <a:off x="10583333" y="2364422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1690</xdr:row>
      <xdr:rowOff>0</xdr:rowOff>
    </xdr:from>
    <xdr:to>
      <xdr:col>16</xdr:col>
      <xdr:colOff>0</xdr:colOff>
      <xdr:row>1690</xdr:row>
      <xdr:rowOff>42334</xdr:rowOff>
    </xdr:to>
    <xdr:cxnSp macro="">
      <xdr:nvCxnSpPr>
        <xdr:cNvPr id="2026" name="Straight Arrow Connector 2025">
          <a:extLst>
            <a:ext uri="{FF2B5EF4-FFF2-40B4-BE49-F238E27FC236}">
              <a16:creationId xmlns:a16="http://schemas.microsoft.com/office/drawing/2014/main" id="{00000000-0008-0000-1300-0000EA070000}"/>
            </a:ext>
          </a:extLst>
        </xdr:cNvPr>
        <xdr:cNvCxnSpPr/>
      </xdr:nvCxnSpPr>
      <xdr:spPr>
        <a:xfrm>
          <a:off x="10562166" y="2390775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1690</xdr:row>
      <xdr:rowOff>21166</xdr:rowOff>
    </xdr:from>
    <xdr:to>
      <xdr:col>15</xdr:col>
      <xdr:colOff>560916</xdr:colOff>
      <xdr:row>1693</xdr:row>
      <xdr:rowOff>84667</xdr:rowOff>
    </xdr:to>
    <xdr:cxnSp macro="">
      <xdr:nvCxnSpPr>
        <xdr:cNvPr id="2027" name="Straight Arrow Connector 2026">
          <a:extLst>
            <a:ext uri="{FF2B5EF4-FFF2-40B4-BE49-F238E27FC236}">
              <a16:creationId xmlns:a16="http://schemas.microsoft.com/office/drawing/2014/main" id="{00000000-0008-0000-1300-0000EB070000}"/>
            </a:ext>
          </a:extLst>
        </xdr:cNvPr>
        <xdr:cNvCxnSpPr/>
      </xdr:nvCxnSpPr>
      <xdr:spPr>
        <a:xfrm>
          <a:off x="10615083" y="2390986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1690</xdr:row>
      <xdr:rowOff>52916</xdr:rowOff>
    </xdr:from>
    <xdr:to>
      <xdr:col>15</xdr:col>
      <xdr:colOff>592666</xdr:colOff>
      <xdr:row>1696</xdr:row>
      <xdr:rowOff>63501</xdr:rowOff>
    </xdr:to>
    <xdr:cxnSp macro="">
      <xdr:nvCxnSpPr>
        <xdr:cNvPr id="2028" name="Straight Arrow Connector 2027">
          <a:extLst>
            <a:ext uri="{FF2B5EF4-FFF2-40B4-BE49-F238E27FC236}">
              <a16:creationId xmlns:a16="http://schemas.microsoft.com/office/drawing/2014/main" id="{00000000-0008-0000-1300-0000EC070000}"/>
            </a:ext>
          </a:extLst>
        </xdr:cNvPr>
        <xdr:cNvCxnSpPr/>
      </xdr:nvCxnSpPr>
      <xdr:spPr>
        <a:xfrm>
          <a:off x="10572750" y="2391304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1687</xdr:row>
      <xdr:rowOff>52917</xdr:rowOff>
    </xdr:from>
    <xdr:to>
      <xdr:col>15</xdr:col>
      <xdr:colOff>603250</xdr:colOff>
      <xdr:row>1689</xdr:row>
      <xdr:rowOff>148167</xdr:rowOff>
    </xdr:to>
    <xdr:cxnSp macro="">
      <xdr:nvCxnSpPr>
        <xdr:cNvPr id="2029" name="Straight Arrow Connector 2028">
          <a:extLst>
            <a:ext uri="{FF2B5EF4-FFF2-40B4-BE49-F238E27FC236}">
              <a16:creationId xmlns:a16="http://schemas.microsoft.com/office/drawing/2014/main" id="{00000000-0008-0000-1300-0000ED070000}"/>
            </a:ext>
          </a:extLst>
        </xdr:cNvPr>
        <xdr:cNvCxnSpPr/>
      </xdr:nvCxnSpPr>
      <xdr:spPr>
        <a:xfrm flipV="1">
          <a:off x="10583333" y="2385589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698500</xdr:colOff>
      <xdr:row>1731</xdr:row>
      <xdr:rowOff>95250</xdr:rowOff>
    </xdr:from>
    <xdr:to>
      <xdr:col>8</xdr:col>
      <xdr:colOff>21167</xdr:colOff>
      <xdr:row>1763</xdr:row>
      <xdr:rowOff>148166</xdr:rowOff>
    </xdr:to>
    <xdr:cxnSp macro="">
      <xdr:nvCxnSpPr>
        <xdr:cNvPr id="2030" name="Straight Arrow Connector 2029">
          <a:extLst>
            <a:ext uri="{FF2B5EF4-FFF2-40B4-BE49-F238E27FC236}">
              <a16:creationId xmlns:a16="http://schemas.microsoft.com/office/drawing/2014/main" id="{00000000-0008-0000-1300-0000EE070000}"/>
            </a:ext>
          </a:extLst>
        </xdr:cNvPr>
        <xdr:cNvCxnSpPr/>
      </xdr:nvCxnSpPr>
      <xdr:spPr>
        <a:xfrm>
          <a:off x="5080000" y="247173750"/>
          <a:ext cx="719667" cy="6148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1702</xdr:row>
      <xdr:rowOff>137583</xdr:rowOff>
    </xdr:from>
    <xdr:to>
      <xdr:col>9</xdr:col>
      <xdr:colOff>603250</xdr:colOff>
      <xdr:row>1708</xdr:row>
      <xdr:rowOff>21166</xdr:rowOff>
    </xdr:to>
    <xdr:cxnSp macro="">
      <xdr:nvCxnSpPr>
        <xdr:cNvPr id="2031" name="Straight Arrow Connector 2030">
          <a:extLst>
            <a:ext uri="{FF2B5EF4-FFF2-40B4-BE49-F238E27FC236}">
              <a16:creationId xmlns:a16="http://schemas.microsoft.com/office/drawing/2014/main" id="{00000000-0008-0000-1300-0000EF070000}"/>
            </a:ext>
          </a:extLst>
        </xdr:cNvPr>
        <xdr:cNvCxnSpPr/>
      </xdr:nvCxnSpPr>
      <xdr:spPr>
        <a:xfrm flipV="1">
          <a:off x="6381750" y="241501083"/>
          <a:ext cx="603250" cy="1026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1711</xdr:row>
      <xdr:rowOff>0</xdr:rowOff>
    </xdr:from>
    <xdr:to>
      <xdr:col>9</xdr:col>
      <xdr:colOff>582083</xdr:colOff>
      <xdr:row>1719</xdr:row>
      <xdr:rowOff>10583</xdr:rowOff>
    </xdr:to>
    <xdr:cxnSp macro="">
      <xdr:nvCxnSpPr>
        <xdr:cNvPr id="2032" name="Straight Arrow Connector 2031">
          <a:extLst>
            <a:ext uri="{FF2B5EF4-FFF2-40B4-BE49-F238E27FC236}">
              <a16:creationId xmlns:a16="http://schemas.microsoft.com/office/drawing/2014/main" id="{00000000-0008-0000-1300-0000F0070000}"/>
            </a:ext>
          </a:extLst>
        </xdr:cNvPr>
        <xdr:cNvCxnSpPr/>
      </xdr:nvCxnSpPr>
      <xdr:spPr>
        <a:xfrm>
          <a:off x="6413500" y="243078000"/>
          <a:ext cx="550333" cy="1534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21167</xdr:colOff>
      <xdr:row>1716</xdr:row>
      <xdr:rowOff>169333</xdr:rowOff>
    </xdr:from>
    <xdr:to>
      <xdr:col>11</xdr:col>
      <xdr:colOff>603250</xdr:colOff>
      <xdr:row>1719</xdr:row>
      <xdr:rowOff>21167</xdr:rowOff>
    </xdr:to>
    <xdr:cxnSp macro="">
      <xdr:nvCxnSpPr>
        <xdr:cNvPr id="2033" name="Straight Arrow Connector 2032">
          <a:extLst>
            <a:ext uri="{FF2B5EF4-FFF2-40B4-BE49-F238E27FC236}">
              <a16:creationId xmlns:a16="http://schemas.microsoft.com/office/drawing/2014/main" id="{00000000-0008-0000-1300-0000F1070000}"/>
            </a:ext>
          </a:extLst>
        </xdr:cNvPr>
        <xdr:cNvCxnSpPr/>
      </xdr:nvCxnSpPr>
      <xdr:spPr>
        <a:xfrm flipV="1">
          <a:off x="7609417" y="244199833"/>
          <a:ext cx="582083" cy="423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1722</xdr:row>
      <xdr:rowOff>42333</xdr:rowOff>
    </xdr:from>
    <xdr:to>
      <xdr:col>11</xdr:col>
      <xdr:colOff>603250</xdr:colOff>
      <xdr:row>1734</xdr:row>
      <xdr:rowOff>10583</xdr:rowOff>
    </xdr:to>
    <xdr:cxnSp macro="">
      <xdr:nvCxnSpPr>
        <xdr:cNvPr id="2034" name="Straight Arrow Connector 2033">
          <a:extLst>
            <a:ext uri="{FF2B5EF4-FFF2-40B4-BE49-F238E27FC236}">
              <a16:creationId xmlns:a16="http://schemas.microsoft.com/office/drawing/2014/main" id="{00000000-0008-0000-1300-0000F2070000}"/>
            </a:ext>
          </a:extLst>
        </xdr:cNvPr>
        <xdr:cNvCxnSpPr/>
      </xdr:nvCxnSpPr>
      <xdr:spPr>
        <a:xfrm>
          <a:off x="7598834" y="2452158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1712</xdr:row>
      <xdr:rowOff>21167</xdr:rowOff>
    </xdr:from>
    <xdr:to>
      <xdr:col>13</xdr:col>
      <xdr:colOff>592667</xdr:colOff>
      <xdr:row>1714</xdr:row>
      <xdr:rowOff>0</xdr:rowOff>
    </xdr:to>
    <xdr:cxnSp macro="">
      <xdr:nvCxnSpPr>
        <xdr:cNvPr id="2035" name="Straight Arrow Connector 2034">
          <a:extLst>
            <a:ext uri="{FF2B5EF4-FFF2-40B4-BE49-F238E27FC236}">
              <a16:creationId xmlns:a16="http://schemas.microsoft.com/office/drawing/2014/main" id="{00000000-0008-0000-1300-0000F3070000}"/>
            </a:ext>
          </a:extLst>
        </xdr:cNvPr>
        <xdr:cNvCxnSpPr/>
      </xdr:nvCxnSpPr>
      <xdr:spPr>
        <a:xfrm flipV="1">
          <a:off x="8794750" y="2432896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1717</xdr:row>
      <xdr:rowOff>21166</xdr:rowOff>
    </xdr:from>
    <xdr:to>
      <xdr:col>13</xdr:col>
      <xdr:colOff>592667</xdr:colOff>
      <xdr:row>1718</xdr:row>
      <xdr:rowOff>169334</xdr:rowOff>
    </xdr:to>
    <xdr:cxnSp macro="">
      <xdr:nvCxnSpPr>
        <xdr:cNvPr id="2036" name="Straight Arrow Connector 2035">
          <a:extLst>
            <a:ext uri="{FF2B5EF4-FFF2-40B4-BE49-F238E27FC236}">
              <a16:creationId xmlns:a16="http://schemas.microsoft.com/office/drawing/2014/main" id="{00000000-0008-0000-1300-0000F4070000}"/>
            </a:ext>
          </a:extLst>
        </xdr:cNvPr>
        <xdr:cNvCxnSpPr/>
      </xdr:nvCxnSpPr>
      <xdr:spPr>
        <a:xfrm>
          <a:off x="8784166" y="2442421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1732</xdr:row>
      <xdr:rowOff>21167</xdr:rowOff>
    </xdr:from>
    <xdr:to>
      <xdr:col>13</xdr:col>
      <xdr:colOff>592667</xdr:colOff>
      <xdr:row>1734</xdr:row>
      <xdr:rowOff>63500</xdr:rowOff>
    </xdr:to>
    <xdr:cxnSp macro="">
      <xdr:nvCxnSpPr>
        <xdr:cNvPr id="2037" name="Straight Arrow Connector 2036">
          <a:extLst>
            <a:ext uri="{FF2B5EF4-FFF2-40B4-BE49-F238E27FC236}">
              <a16:creationId xmlns:a16="http://schemas.microsoft.com/office/drawing/2014/main" id="{00000000-0008-0000-1300-0000F5070000}"/>
            </a:ext>
          </a:extLst>
        </xdr:cNvPr>
        <xdr:cNvCxnSpPr/>
      </xdr:nvCxnSpPr>
      <xdr:spPr>
        <a:xfrm flipV="1">
          <a:off x="8794750" y="2472901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1737</xdr:row>
      <xdr:rowOff>0</xdr:rowOff>
    </xdr:from>
    <xdr:to>
      <xdr:col>14</xdr:col>
      <xdr:colOff>10584</xdr:colOff>
      <xdr:row>1745</xdr:row>
      <xdr:rowOff>148167</xdr:rowOff>
    </xdr:to>
    <xdr:cxnSp macro="">
      <xdr:nvCxnSpPr>
        <xdr:cNvPr id="2038" name="Straight Arrow Connector 2037">
          <a:extLst>
            <a:ext uri="{FF2B5EF4-FFF2-40B4-BE49-F238E27FC236}">
              <a16:creationId xmlns:a16="http://schemas.microsoft.com/office/drawing/2014/main" id="{00000000-0008-0000-1300-0000F6070000}"/>
            </a:ext>
          </a:extLst>
        </xdr:cNvPr>
        <xdr:cNvCxnSpPr/>
      </xdr:nvCxnSpPr>
      <xdr:spPr>
        <a:xfrm>
          <a:off x="8805333" y="2482215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1704</xdr:row>
      <xdr:rowOff>0</xdr:rowOff>
    </xdr:from>
    <xdr:to>
      <xdr:col>15</xdr:col>
      <xdr:colOff>603250</xdr:colOff>
      <xdr:row>1709</xdr:row>
      <xdr:rowOff>31750</xdr:rowOff>
    </xdr:to>
    <xdr:cxnSp macro="">
      <xdr:nvCxnSpPr>
        <xdr:cNvPr id="2039" name="Straight Arrow Connector 2038">
          <a:extLst>
            <a:ext uri="{FF2B5EF4-FFF2-40B4-BE49-F238E27FC236}">
              <a16:creationId xmlns:a16="http://schemas.microsoft.com/office/drawing/2014/main" id="{00000000-0008-0000-1300-0000F7070000}"/>
            </a:ext>
          </a:extLst>
        </xdr:cNvPr>
        <xdr:cNvCxnSpPr/>
      </xdr:nvCxnSpPr>
      <xdr:spPr>
        <a:xfrm flipV="1">
          <a:off x="10541000" y="241744500"/>
          <a:ext cx="603250" cy="984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1707</xdr:row>
      <xdr:rowOff>52917</xdr:rowOff>
    </xdr:from>
    <xdr:to>
      <xdr:col>15</xdr:col>
      <xdr:colOff>603250</xdr:colOff>
      <xdr:row>1709</xdr:row>
      <xdr:rowOff>95250</xdr:rowOff>
    </xdr:to>
    <xdr:cxnSp macro="">
      <xdr:nvCxnSpPr>
        <xdr:cNvPr id="2040" name="Straight Arrow Connector 2039">
          <a:extLst>
            <a:ext uri="{FF2B5EF4-FFF2-40B4-BE49-F238E27FC236}">
              <a16:creationId xmlns:a16="http://schemas.microsoft.com/office/drawing/2014/main" id="{00000000-0008-0000-1300-0000F8070000}"/>
            </a:ext>
          </a:extLst>
        </xdr:cNvPr>
        <xdr:cNvCxnSpPr/>
      </xdr:nvCxnSpPr>
      <xdr:spPr>
        <a:xfrm flipV="1">
          <a:off x="10583333" y="242368917"/>
          <a:ext cx="56091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1709</xdr:row>
      <xdr:rowOff>158750</xdr:rowOff>
    </xdr:from>
    <xdr:to>
      <xdr:col>15</xdr:col>
      <xdr:colOff>582083</xdr:colOff>
      <xdr:row>1710</xdr:row>
      <xdr:rowOff>137583</xdr:rowOff>
    </xdr:to>
    <xdr:cxnSp macro="">
      <xdr:nvCxnSpPr>
        <xdr:cNvPr id="2041" name="Straight Arrow Connector 2040">
          <a:extLst>
            <a:ext uri="{FF2B5EF4-FFF2-40B4-BE49-F238E27FC236}">
              <a16:creationId xmlns:a16="http://schemas.microsoft.com/office/drawing/2014/main" id="{00000000-0008-0000-1300-0000F9070000}"/>
            </a:ext>
          </a:extLst>
        </xdr:cNvPr>
        <xdr:cNvCxnSpPr/>
      </xdr:nvCxnSpPr>
      <xdr:spPr>
        <a:xfrm>
          <a:off x="10604500" y="242855750"/>
          <a:ext cx="518583" cy="169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1121834</xdr:colOff>
      <xdr:row>1709</xdr:row>
      <xdr:rowOff>105834</xdr:rowOff>
    </xdr:from>
    <xdr:to>
      <xdr:col>16</xdr:col>
      <xdr:colOff>0</xdr:colOff>
      <xdr:row>1713</xdr:row>
      <xdr:rowOff>84667</xdr:rowOff>
    </xdr:to>
    <xdr:cxnSp macro="">
      <xdr:nvCxnSpPr>
        <xdr:cNvPr id="2042" name="Straight Arrow Connector 2041">
          <a:extLst>
            <a:ext uri="{FF2B5EF4-FFF2-40B4-BE49-F238E27FC236}">
              <a16:creationId xmlns:a16="http://schemas.microsoft.com/office/drawing/2014/main" id="{00000000-0008-0000-1300-0000FA070000}"/>
            </a:ext>
          </a:extLst>
        </xdr:cNvPr>
        <xdr:cNvCxnSpPr/>
      </xdr:nvCxnSpPr>
      <xdr:spPr>
        <a:xfrm>
          <a:off x="10519834" y="242802834"/>
          <a:ext cx="624416"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1717</xdr:row>
      <xdr:rowOff>52916</xdr:rowOff>
    </xdr:from>
    <xdr:to>
      <xdr:col>16</xdr:col>
      <xdr:colOff>0</xdr:colOff>
      <xdr:row>1719</xdr:row>
      <xdr:rowOff>0</xdr:rowOff>
    </xdr:to>
    <xdr:cxnSp macro="">
      <xdr:nvCxnSpPr>
        <xdr:cNvPr id="2043" name="Straight Arrow Connector 2042">
          <a:extLst>
            <a:ext uri="{FF2B5EF4-FFF2-40B4-BE49-F238E27FC236}">
              <a16:creationId xmlns:a16="http://schemas.microsoft.com/office/drawing/2014/main" id="{00000000-0008-0000-1300-0000FB070000}"/>
            </a:ext>
          </a:extLst>
        </xdr:cNvPr>
        <xdr:cNvCxnSpPr/>
      </xdr:nvCxnSpPr>
      <xdr:spPr>
        <a:xfrm flipV="1">
          <a:off x="10541000" y="2442739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1719</xdr:row>
      <xdr:rowOff>21167</xdr:rowOff>
    </xdr:from>
    <xdr:to>
      <xdr:col>15</xdr:col>
      <xdr:colOff>582083</xdr:colOff>
      <xdr:row>1720</xdr:row>
      <xdr:rowOff>42333</xdr:rowOff>
    </xdr:to>
    <xdr:cxnSp macro="">
      <xdr:nvCxnSpPr>
        <xdr:cNvPr id="2044" name="Straight Arrow Connector 2043">
          <a:extLst>
            <a:ext uri="{FF2B5EF4-FFF2-40B4-BE49-F238E27FC236}">
              <a16:creationId xmlns:a16="http://schemas.microsoft.com/office/drawing/2014/main" id="{00000000-0008-0000-1300-0000FC070000}"/>
            </a:ext>
          </a:extLst>
        </xdr:cNvPr>
        <xdr:cNvCxnSpPr/>
      </xdr:nvCxnSpPr>
      <xdr:spPr>
        <a:xfrm>
          <a:off x="10551583" y="244623167"/>
          <a:ext cx="571500" cy="211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1719</xdr:row>
      <xdr:rowOff>21167</xdr:rowOff>
    </xdr:from>
    <xdr:to>
      <xdr:col>16</xdr:col>
      <xdr:colOff>42333</xdr:colOff>
      <xdr:row>1724</xdr:row>
      <xdr:rowOff>21168</xdr:rowOff>
    </xdr:to>
    <xdr:cxnSp macro="">
      <xdr:nvCxnSpPr>
        <xdr:cNvPr id="2045" name="Straight Arrow Connector 2044">
          <a:extLst>
            <a:ext uri="{FF2B5EF4-FFF2-40B4-BE49-F238E27FC236}">
              <a16:creationId xmlns:a16="http://schemas.microsoft.com/office/drawing/2014/main" id="{00000000-0008-0000-1300-0000FD070000}"/>
            </a:ext>
          </a:extLst>
        </xdr:cNvPr>
        <xdr:cNvCxnSpPr/>
      </xdr:nvCxnSpPr>
      <xdr:spPr>
        <a:xfrm>
          <a:off x="10530417" y="244623167"/>
          <a:ext cx="656166" cy="9525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1719</xdr:row>
      <xdr:rowOff>31750</xdr:rowOff>
    </xdr:from>
    <xdr:to>
      <xdr:col>16</xdr:col>
      <xdr:colOff>42334</xdr:colOff>
      <xdr:row>1726</xdr:row>
      <xdr:rowOff>63501</xdr:rowOff>
    </xdr:to>
    <xdr:cxnSp macro="">
      <xdr:nvCxnSpPr>
        <xdr:cNvPr id="2046" name="Straight Arrow Connector 2045">
          <a:extLst>
            <a:ext uri="{FF2B5EF4-FFF2-40B4-BE49-F238E27FC236}">
              <a16:creationId xmlns:a16="http://schemas.microsoft.com/office/drawing/2014/main" id="{00000000-0008-0000-1300-0000FE070000}"/>
            </a:ext>
          </a:extLst>
        </xdr:cNvPr>
        <xdr:cNvCxnSpPr/>
      </xdr:nvCxnSpPr>
      <xdr:spPr>
        <a:xfrm>
          <a:off x="10541000" y="244633750"/>
          <a:ext cx="645584"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10583</xdr:colOff>
      <xdr:row>1756</xdr:row>
      <xdr:rowOff>42333</xdr:rowOff>
    </xdr:from>
    <xdr:to>
      <xdr:col>9</xdr:col>
      <xdr:colOff>592666</xdr:colOff>
      <xdr:row>1764</xdr:row>
      <xdr:rowOff>42333</xdr:rowOff>
    </xdr:to>
    <xdr:cxnSp macro="">
      <xdr:nvCxnSpPr>
        <xdr:cNvPr id="2047" name="Straight Arrow Connector 2046">
          <a:extLst>
            <a:ext uri="{FF2B5EF4-FFF2-40B4-BE49-F238E27FC236}">
              <a16:creationId xmlns:a16="http://schemas.microsoft.com/office/drawing/2014/main" id="{00000000-0008-0000-1300-0000FF070000}"/>
            </a:ext>
          </a:extLst>
        </xdr:cNvPr>
        <xdr:cNvCxnSpPr/>
      </xdr:nvCxnSpPr>
      <xdr:spPr>
        <a:xfrm flipV="1">
          <a:off x="6392333" y="251883333"/>
          <a:ext cx="582083" cy="152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1766</xdr:row>
      <xdr:rowOff>169334</xdr:rowOff>
    </xdr:from>
    <xdr:to>
      <xdr:col>9</xdr:col>
      <xdr:colOff>603250</xdr:colOff>
      <xdr:row>1775</xdr:row>
      <xdr:rowOff>31750</xdr:rowOff>
    </xdr:to>
    <xdr:cxnSp macro="">
      <xdr:nvCxnSpPr>
        <xdr:cNvPr id="2048" name="Straight Arrow Connector 2047">
          <a:extLst>
            <a:ext uri="{FF2B5EF4-FFF2-40B4-BE49-F238E27FC236}">
              <a16:creationId xmlns:a16="http://schemas.microsoft.com/office/drawing/2014/main" id="{00000000-0008-0000-1300-000000080000}"/>
            </a:ext>
          </a:extLst>
        </xdr:cNvPr>
        <xdr:cNvCxnSpPr/>
      </xdr:nvCxnSpPr>
      <xdr:spPr>
        <a:xfrm>
          <a:off x="6413500" y="253915334"/>
          <a:ext cx="571500" cy="1576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571500</xdr:colOff>
      <xdr:row>1772</xdr:row>
      <xdr:rowOff>158750</xdr:rowOff>
    </xdr:from>
    <xdr:to>
      <xdr:col>11</xdr:col>
      <xdr:colOff>571500</xdr:colOff>
      <xdr:row>1775</xdr:row>
      <xdr:rowOff>0</xdr:rowOff>
    </xdr:to>
    <xdr:cxnSp macro="">
      <xdr:nvCxnSpPr>
        <xdr:cNvPr id="2049" name="Straight Arrow Connector 2048">
          <a:extLst>
            <a:ext uri="{FF2B5EF4-FFF2-40B4-BE49-F238E27FC236}">
              <a16:creationId xmlns:a16="http://schemas.microsoft.com/office/drawing/2014/main" id="{00000000-0008-0000-1300-000001080000}"/>
            </a:ext>
          </a:extLst>
        </xdr:cNvPr>
        <xdr:cNvCxnSpPr/>
      </xdr:nvCxnSpPr>
      <xdr:spPr>
        <a:xfrm flipV="1">
          <a:off x="7556500" y="255047750"/>
          <a:ext cx="603250" cy="412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1730</xdr:row>
      <xdr:rowOff>0</xdr:rowOff>
    </xdr:from>
    <xdr:to>
      <xdr:col>15</xdr:col>
      <xdr:colOff>603250</xdr:colOff>
      <xdr:row>1732</xdr:row>
      <xdr:rowOff>1</xdr:rowOff>
    </xdr:to>
    <xdr:cxnSp macro="">
      <xdr:nvCxnSpPr>
        <xdr:cNvPr id="2050" name="Straight Arrow Connector 2049">
          <a:extLst>
            <a:ext uri="{FF2B5EF4-FFF2-40B4-BE49-F238E27FC236}">
              <a16:creationId xmlns:a16="http://schemas.microsoft.com/office/drawing/2014/main" id="{00000000-0008-0000-1300-000002080000}"/>
            </a:ext>
          </a:extLst>
        </xdr:cNvPr>
        <xdr:cNvCxnSpPr/>
      </xdr:nvCxnSpPr>
      <xdr:spPr>
        <a:xfrm flipV="1">
          <a:off x="10530417" y="2468880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1732</xdr:row>
      <xdr:rowOff>10584</xdr:rowOff>
    </xdr:from>
    <xdr:to>
      <xdr:col>15</xdr:col>
      <xdr:colOff>592666</xdr:colOff>
      <xdr:row>1733</xdr:row>
      <xdr:rowOff>95250</xdr:rowOff>
    </xdr:to>
    <xdr:cxnSp macro="">
      <xdr:nvCxnSpPr>
        <xdr:cNvPr id="2051" name="Straight Arrow Connector 2050">
          <a:extLst>
            <a:ext uri="{FF2B5EF4-FFF2-40B4-BE49-F238E27FC236}">
              <a16:creationId xmlns:a16="http://schemas.microsoft.com/office/drawing/2014/main" id="{00000000-0008-0000-1300-000003080000}"/>
            </a:ext>
          </a:extLst>
        </xdr:cNvPr>
        <xdr:cNvCxnSpPr/>
      </xdr:nvCxnSpPr>
      <xdr:spPr>
        <a:xfrm>
          <a:off x="10572750" y="2472795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1732</xdr:row>
      <xdr:rowOff>10584</xdr:rowOff>
    </xdr:from>
    <xdr:to>
      <xdr:col>15</xdr:col>
      <xdr:colOff>560916</xdr:colOff>
      <xdr:row>1736</xdr:row>
      <xdr:rowOff>52917</xdr:rowOff>
    </xdr:to>
    <xdr:cxnSp macro="">
      <xdr:nvCxnSpPr>
        <xdr:cNvPr id="2052" name="Straight Arrow Connector 2051">
          <a:extLst>
            <a:ext uri="{FF2B5EF4-FFF2-40B4-BE49-F238E27FC236}">
              <a16:creationId xmlns:a16="http://schemas.microsoft.com/office/drawing/2014/main" id="{00000000-0008-0000-1300-000004080000}"/>
            </a:ext>
          </a:extLst>
        </xdr:cNvPr>
        <xdr:cNvCxnSpPr/>
      </xdr:nvCxnSpPr>
      <xdr:spPr>
        <a:xfrm>
          <a:off x="10551583" y="2472795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2053" name="Straight Arrow Connector 2052">
          <a:extLst>
            <a:ext uri="{FF2B5EF4-FFF2-40B4-BE49-F238E27FC236}">
              <a16:creationId xmlns:a16="http://schemas.microsoft.com/office/drawing/2014/main" id="{00000000-0008-0000-1300-000005080000}"/>
            </a:ext>
          </a:extLst>
        </xdr:cNvPr>
        <xdr:cNvCxnSpPr/>
      </xdr:nvCxnSpPr>
      <xdr:spPr>
        <a:xfrm>
          <a:off x="10583333" y="2473007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1746</xdr:row>
      <xdr:rowOff>0</xdr:rowOff>
    </xdr:from>
    <xdr:to>
      <xdr:col>16</xdr:col>
      <xdr:colOff>0</xdr:colOff>
      <xdr:row>1746</xdr:row>
      <xdr:rowOff>42334</xdr:rowOff>
    </xdr:to>
    <xdr:cxnSp macro="">
      <xdr:nvCxnSpPr>
        <xdr:cNvPr id="2054" name="Straight Arrow Connector 2053">
          <a:extLst>
            <a:ext uri="{FF2B5EF4-FFF2-40B4-BE49-F238E27FC236}">
              <a16:creationId xmlns:a16="http://schemas.microsoft.com/office/drawing/2014/main" id="{00000000-0008-0000-1300-000006080000}"/>
            </a:ext>
          </a:extLst>
        </xdr:cNvPr>
        <xdr:cNvCxnSpPr/>
      </xdr:nvCxnSpPr>
      <xdr:spPr>
        <a:xfrm>
          <a:off x="10562166" y="2499360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1746</xdr:row>
      <xdr:rowOff>21166</xdr:rowOff>
    </xdr:from>
    <xdr:to>
      <xdr:col>15</xdr:col>
      <xdr:colOff>560916</xdr:colOff>
      <xdr:row>1749</xdr:row>
      <xdr:rowOff>84667</xdr:rowOff>
    </xdr:to>
    <xdr:cxnSp macro="">
      <xdr:nvCxnSpPr>
        <xdr:cNvPr id="2055" name="Straight Arrow Connector 2054">
          <a:extLst>
            <a:ext uri="{FF2B5EF4-FFF2-40B4-BE49-F238E27FC236}">
              <a16:creationId xmlns:a16="http://schemas.microsoft.com/office/drawing/2014/main" id="{00000000-0008-0000-1300-000007080000}"/>
            </a:ext>
          </a:extLst>
        </xdr:cNvPr>
        <xdr:cNvCxnSpPr/>
      </xdr:nvCxnSpPr>
      <xdr:spPr>
        <a:xfrm>
          <a:off x="10615083" y="2499571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1746</xdr:row>
      <xdr:rowOff>52916</xdr:rowOff>
    </xdr:from>
    <xdr:to>
      <xdr:col>15</xdr:col>
      <xdr:colOff>592666</xdr:colOff>
      <xdr:row>1752</xdr:row>
      <xdr:rowOff>63501</xdr:rowOff>
    </xdr:to>
    <xdr:cxnSp macro="">
      <xdr:nvCxnSpPr>
        <xdr:cNvPr id="2056" name="Straight Arrow Connector 2055">
          <a:extLst>
            <a:ext uri="{FF2B5EF4-FFF2-40B4-BE49-F238E27FC236}">
              <a16:creationId xmlns:a16="http://schemas.microsoft.com/office/drawing/2014/main" id="{00000000-0008-0000-1300-000008080000}"/>
            </a:ext>
          </a:extLst>
        </xdr:cNvPr>
        <xdr:cNvCxnSpPr/>
      </xdr:nvCxnSpPr>
      <xdr:spPr>
        <a:xfrm>
          <a:off x="10572750" y="2499889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1760</xdr:row>
      <xdr:rowOff>116416</xdr:rowOff>
    </xdr:from>
    <xdr:to>
      <xdr:col>15</xdr:col>
      <xdr:colOff>592666</xdr:colOff>
      <xdr:row>1763</xdr:row>
      <xdr:rowOff>158750</xdr:rowOff>
    </xdr:to>
    <xdr:cxnSp macro="">
      <xdr:nvCxnSpPr>
        <xdr:cNvPr id="2057" name="Straight Arrow Connector 2056">
          <a:extLst>
            <a:ext uri="{FF2B5EF4-FFF2-40B4-BE49-F238E27FC236}">
              <a16:creationId xmlns:a16="http://schemas.microsoft.com/office/drawing/2014/main" id="{00000000-0008-0000-1300-000009080000}"/>
            </a:ext>
          </a:extLst>
        </xdr:cNvPr>
        <xdr:cNvCxnSpPr/>
      </xdr:nvCxnSpPr>
      <xdr:spPr>
        <a:xfrm flipV="1">
          <a:off x="10562166" y="252719416"/>
          <a:ext cx="571500" cy="613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1762</xdr:row>
      <xdr:rowOff>95250</xdr:rowOff>
    </xdr:from>
    <xdr:to>
      <xdr:col>15</xdr:col>
      <xdr:colOff>582083</xdr:colOff>
      <xdr:row>1764</xdr:row>
      <xdr:rowOff>52917</xdr:rowOff>
    </xdr:to>
    <xdr:cxnSp macro="">
      <xdr:nvCxnSpPr>
        <xdr:cNvPr id="2058" name="Straight Arrow Connector 2057">
          <a:extLst>
            <a:ext uri="{FF2B5EF4-FFF2-40B4-BE49-F238E27FC236}">
              <a16:creationId xmlns:a16="http://schemas.microsoft.com/office/drawing/2014/main" id="{00000000-0008-0000-1300-00000A080000}"/>
            </a:ext>
          </a:extLst>
        </xdr:cNvPr>
        <xdr:cNvCxnSpPr/>
      </xdr:nvCxnSpPr>
      <xdr:spPr>
        <a:xfrm flipV="1">
          <a:off x="10604500" y="253079250"/>
          <a:ext cx="518583" cy="338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1764</xdr:row>
      <xdr:rowOff>116417</xdr:rowOff>
    </xdr:from>
    <xdr:to>
      <xdr:col>15</xdr:col>
      <xdr:colOff>592666</xdr:colOff>
      <xdr:row>1768</xdr:row>
      <xdr:rowOff>95250</xdr:rowOff>
    </xdr:to>
    <xdr:cxnSp macro="">
      <xdr:nvCxnSpPr>
        <xdr:cNvPr id="2059" name="Straight Arrow Connector 2058">
          <a:extLst>
            <a:ext uri="{FF2B5EF4-FFF2-40B4-BE49-F238E27FC236}">
              <a16:creationId xmlns:a16="http://schemas.microsoft.com/office/drawing/2014/main" id="{00000000-0008-0000-1300-00000B080000}"/>
            </a:ext>
          </a:extLst>
        </xdr:cNvPr>
        <xdr:cNvCxnSpPr/>
      </xdr:nvCxnSpPr>
      <xdr:spPr>
        <a:xfrm>
          <a:off x="10593916" y="253481417"/>
          <a:ext cx="53975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1775</xdr:row>
      <xdr:rowOff>116416</xdr:rowOff>
    </xdr:from>
    <xdr:to>
      <xdr:col>16</xdr:col>
      <xdr:colOff>0</xdr:colOff>
      <xdr:row>1782</xdr:row>
      <xdr:rowOff>74084</xdr:rowOff>
    </xdr:to>
    <xdr:cxnSp macro="">
      <xdr:nvCxnSpPr>
        <xdr:cNvPr id="2060" name="Straight Arrow Connector 2059">
          <a:extLst>
            <a:ext uri="{FF2B5EF4-FFF2-40B4-BE49-F238E27FC236}">
              <a16:creationId xmlns:a16="http://schemas.microsoft.com/office/drawing/2014/main" id="{00000000-0008-0000-1300-00000C080000}"/>
            </a:ext>
          </a:extLst>
        </xdr:cNvPr>
        <xdr:cNvCxnSpPr/>
      </xdr:nvCxnSpPr>
      <xdr:spPr>
        <a:xfrm>
          <a:off x="10572750" y="255576916"/>
          <a:ext cx="571500" cy="12911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1743</xdr:row>
      <xdr:rowOff>52917</xdr:rowOff>
    </xdr:from>
    <xdr:to>
      <xdr:col>15</xdr:col>
      <xdr:colOff>603250</xdr:colOff>
      <xdr:row>1745</xdr:row>
      <xdr:rowOff>148167</xdr:rowOff>
    </xdr:to>
    <xdr:cxnSp macro="">
      <xdr:nvCxnSpPr>
        <xdr:cNvPr id="2061" name="Straight Arrow Connector 2060">
          <a:extLst>
            <a:ext uri="{FF2B5EF4-FFF2-40B4-BE49-F238E27FC236}">
              <a16:creationId xmlns:a16="http://schemas.microsoft.com/office/drawing/2014/main" id="{00000000-0008-0000-1300-00000D080000}"/>
            </a:ext>
          </a:extLst>
        </xdr:cNvPr>
        <xdr:cNvCxnSpPr/>
      </xdr:nvCxnSpPr>
      <xdr:spPr>
        <a:xfrm flipV="1">
          <a:off x="10583333" y="2494174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1778</xdr:row>
      <xdr:rowOff>42333</xdr:rowOff>
    </xdr:from>
    <xdr:to>
      <xdr:col>11</xdr:col>
      <xdr:colOff>603250</xdr:colOff>
      <xdr:row>1790</xdr:row>
      <xdr:rowOff>10583</xdr:rowOff>
    </xdr:to>
    <xdr:cxnSp macro="">
      <xdr:nvCxnSpPr>
        <xdr:cNvPr id="2062" name="Straight Arrow Connector 2061">
          <a:extLst>
            <a:ext uri="{FF2B5EF4-FFF2-40B4-BE49-F238E27FC236}">
              <a16:creationId xmlns:a16="http://schemas.microsoft.com/office/drawing/2014/main" id="{00000000-0008-0000-1300-00000E080000}"/>
            </a:ext>
          </a:extLst>
        </xdr:cNvPr>
        <xdr:cNvCxnSpPr/>
      </xdr:nvCxnSpPr>
      <xdr:spPr>
        <a:xfrm>
          <a:off x="7598834" y="2560743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1768</xdr:row>
      <xdr:rowOff>21167</xdr:rowOff>
    </xdr:from>
    <xdr:to>
      <xdr:col>13</xdr:col>
      <xdr:colOff>592667</xdr:colOff>
      <xdr:row>1770</xdr:row>
      <xdr:rowOff>0</xdr:rowOff>
    </xdr:to>
    <xdr:cxnSp macro="">
      <xdr:nvCxnSpPr>
        <xdr:cNvPr id="2063" name="Straight Arrow Connector 2062">
          <a:extLst>
            <a:ext uri="{FF2B5EF4-FFF2-40B4-BE49-F238E27FC236}">
              <a16:creationId xmlns:a16="http://schemas.microsoft.com/office/drawing/2014/main" id="{00000000-0008-0000-1300-00000F080000}"/>
            </a:ext>
          </a:extLst>
        </xdr:cNvPr>
        <xdr:cNvCxnSpPr/>
      </xdr:nvCxnSpPr>
      <xdr:spPr>
        <a:xfrm flipV="1">
          <a:off x="8794750" y="2541481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1773</xdr:row>
      <xdr:rowOff>21166</xdr:rowOff>
    </xdr:from>
    <xdr:to>
      <xdr:col>13</xdr:col>
      <xdr:colOff>592667</xdr:colOff>
      <xdr:row>1774</xdr:row>
      <xdr:rowOff>169334</xdr:rowOff>
    </xdr:to>
    <xdr:cxnSp macro="">
      <xdr:nvCxnSpPr>
        <xdr:cNvPr id="2064" name="Straight Arrow Connector 2063">
          <a:extLst>
            <a:ext uri="{FF2B5EF4-FFF2-40B4-BE49-F238E27FC236}">
              <a16:creationId xmlns:a16="http://schemas.microsoft.com/office/drawing/2014/main" id="{00000000-0008-0000-1300-000010080000}"/>
            </a:ext>
          </a:extLst>
        </xdr:cNvPr>
        <xdr:cNvCxnSpPr/>
      </xdr:nvCxnSpPr>
      <xdr:spPr>
        <a:xfrm>
          <a:off x="8784166" y="2551006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1788</xdr:row>
      <xdr:rowOff>21167</xdr:rowOff>
    </xdr:from>
    <xdr:to>
      <xdr:col>13</xdr:col>
      <xdr:colOff>592667</xdr:colOff>
      <xdr:row>1790</xdr:row>
      <xdr:rowOff>63500</xdr:rowOff>
    </xdr:to>
    <xdr:cxnSp macro="">
      <xdr:nvCxnSpPr>
        <xdr:cNvPr id="2065" name="Straight Arrow Connector 2064">
          <a:extLst>
            <a:ext uri="{FF2B5EF4-FFF2-40B4-BE49-F238E27FC236}">
              <a16:creationId xmlns:a16="http://schemas.microsoft.com/office/drawing/2014/main" id="{00000000-0008-0000-1300-000011080000}"/>
            </a:ext>
          </a:extLst>
        </xdr:cNvPr>
        <xdr:cNvCxnSpPr/>
      </xdr:nvCxnSpPr>
      <xdr:spPr>
        <a:xfrm flipV="1">
          <a:off x="8794750" y="2581486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1793</xdr:row>
      <xdr:rowOff>0</xdr:rowOff>
    </xdr:from>
    <xdr:to>
      <xdr:col>14</xdr:col>
      <xdr:colOff>10584</xdr:colOff>
      <xdr:row>1801</xdr:row>
      <xdr:rowOff>148167</xdr:rowOff>
    </xdr:to>
    <xdr:cxnSp macro="">
      <xdr:nvCxnSpPr>
        <xdr:cNvPr id="2066" name="Straight Arrow Connector 2065">
          <a:extLst>
            <a:ext uri="{FF2B5EF4-FFF2-40B4-BE49-F238E27FC236}">
              <a16:creationId xmlns:a16="http://schemas.microsoft.com/office/drawing/2014/main" id="{00000000-0008-0000-1300-000012080000}"/>
            </a:ext>
          </a:extLst>
        </xdr:cNvPr>
        <xdr:cNvCxnSpPr/>
      </xdr:nvCxnSpPr>
      <xdr:spPr>
        <a:xfrm>
          <a:off x="8805333" y="2590800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1764</xdr:row>
      <xdr:rowOff>95250</xdr:rowOff>
    </xdr:from>
    <xdr:to>
      <xdr:col>15</xdr:col>
      <xdr:colOff>582083</xdr:colOff>
      <xdr:row>1766</xdr:row>
      <xdr:rowOff>137583</xdr:rowOff>
    </xdr:to>
    <xdr:cxnSp macro="">
      <xdr:nvCxnSpPr>
        <xdr:cNvPr id="2067" name="Straight Arrow Connector 2066">
          <a:extLst>
            <a:ext uri="{FF2B5EF4-FFF2-40B4-BE49-F238E27FC236}">
              <a16:creationId xmlns:a16="http://schemas.microsoft.com/office/drawing/2014/main" id="{00000000-0008-0000-1300-000013080000}"/>
            </a:ext>
          </a:extLst>
        </xdr:cNvPr>
        <xdr:cNvCxnSpPr/>
      </xdr:nvCxnSpPr>
      <xdr:spPr>
        <a:xfrm>
          <a:off x="10593916" y="253460250"/>
          <a:ext cx="5291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1773</xdr:row>
      <xdr:rowOff>52916</xdr:rowOff>
    </xdr:from>
    <xdr:to>
      <xdr:col>16</xdr:col>
      <xdr:colOff>0</xdr:colOff>
      <xdr:row>1775</xdr:row>
      <xdr:rowOff>0</xdr:rowOff>
    </xdr:to>
    <xdr:cxnSp macro="">
      <xdr:nvCxnSpPr>
        <xdr:cNvPr id="2068" name="Straight Arrow Connector 2067">
          <a:extLst>
            <a:ext uri="{FF2B5EF4-FFF2-40B4-BE49-F238E27FC236}">
              <a16:creationId xmlns:a16="http://schemas.microsoft.com/office/drawing/2014/main" id="{00000000-0008-0000-1300-000014080000}"/>
            </a:ext>
          </a:extLst>
        </xdr:cNvPr>
        <xdr:cNvCxnSpPr/>
      </xdr:nvCxnSpPr>
      <xdr:spPr>
        <a:xfrm flipV="1">
          <a:off x="10541000" y="2551324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1775</xdr:row>
      <xdr:rowOff>21167</xdr:rowOff>
    </xdr:from>
    <xdr:to>
      <xdr:col>15</xdr:col>
      <xdr:colOff>592666</xdr:colOff>
      <xdr:row>1776</xdr:row>
      <xdr:rowOff>84667</xdr:rowOff>
    </xdr:to>
    <xdr:cxnSp macro="">
      <xdr:nvCxnSpPr>
        <xdr:cNvPr id="2069" name="Straight Arrow Connector 2068">
          <a:extLst>
            <a:ext uri="{FF2B5EF4-FFF2-40B4-BE49-F238E27FC236}">
              <a16:creationId xmlns:a16="http://schemas.microsoft.com/office/drawing/2014/main" id="{00000000-0008-0000-1300-000015080000}"/>
            </a:ext>
          </a:extLst>
        </xdr:cNvPr>
        <xdr:cNvCxnSpPr/>
      </xdr:nvCxnSpPr>
      <xdr:spPr>
        <a:xfrm>
          <a:off x="10530417" y="255481667"/>
          <a:ext cx="603249" cy="25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1775</xdr:row>
      <xdr:rowOff>0</xdr:rowOff>
    </xdr:from>
    <xdr:to>
      <xdr:col>16</xdr:col>
      <xdr:colOff>0</xdr:colOff>
      <xdr:row>1779</xdr:row>
      <xdr:rowOff>42334</xdr:rowOff>
    </xdr:to>
    <xdr:cxnSp macro="">
      <xdr:nvCxnSpPr>
        <xdr:cNvPr id="2070" name="Straight Arrow Connector 2069">
          <a:extLst>
            <a:ext uri="{FF2B5EF4-FFF2-40B4-BE49-F238E27FC236}">
              <a16:creationId xmlns:a16="http://schemas.microsoft.com/office/drawing/2014/main" id="{00000000-0008-0000-1300-000016080000}"/>
            </a:ext>
          </a:extLst>
        </xdr:cNvPr>
        <xdr:cNvCxnSpPr/>
      </xdr:nvCxnSpPr>
      <xdr:spPr>
        <a:xfrm>
          <a:off x="10530417" y="255460500"/>
          <a:ext cx="613833" cy="804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1786</xdr:row>
      <xdr:rowOff>0</xdr:rowOff>
    </xdr:from>
    <xdr:to>
      <xdr:col>15</xdr:col>
      <xdr:colOff>603250</xdr:colOff>
      <xdr:row>1788</xdr:row>
      <xdr:rowOff>1</xdr:rowOff>
    </xdr:to>
    <xdr:cxnSp macro="">
      <xdr:nvCxnSpPr>
        <xdr:cNvPr id="2071" name="Straight Arrow Connector 2070">
          <a:extLst>
            <a:ext uri="{FF2B5EF4-FFF2-40B4-BE49-F238E27FC236}">
              <a16:creationId xmlns:a16="http://schemas.microsoft.com/office/drawing/2014/main" id="{00000000-0008-0000-1300-000017080000}"/>
            </a:ext>
          </a:extLst>
        </xdr:cNvPr>
        <xdr:cNvCxnSpPr/>
      </xdr:nvCxnSpPr>
      <xdr:spPr>
        <a:xfrm flipV="1">
          <a:off x="10530417" y="2577465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1788</xdr:row>
      <xdr:rowOff>10584</xdr:rowOff>
    </xdr:from>
    <xdr:to>
      <xdr:col>15</xdr:col>
      <xdr:colOff>592666</xdr:colOff>
      <xdr:row>1789</xdr:row>
      <xdr:rowOff>95250</xdr:rowOff>
    </xdr:to>
    <xdr:cxnSp macro="">
      <xdr:nvCxnSpPr>
        <xdr:cNvPr id="2072" name="Straight Arrow Connector 2071">
          <a:extLst>
            <a:ext uri="{FF2B5EF4-FFF2-40B4-BE49-F238E27FC236}">
              <a16:creationId xmlns:a16="http://schemas.microsoft.com/office/drawing/2014/main" id="{00000000-0008-0000-1300-000018080000}"/>
            </a:ext>
          </a:extLst>
        </xdr:cNvPr>
        <xdr:cNvCxnSpPr/>
      </xdr:nvCxnSpPr>
      <xdr:spPr>
        <a:xfrm>
          <a:off x="10572750" y="2581380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1788</xdr:row>
      <xdr:rowOff>10584</xdr:rowOff>
    </xdr:from>
    <xdr:to>
      <xdr:col>15</xdr:col>
      <xdr:colOff>560916</xdr:colOff>
      <xdr:row>1792</xdr:row>
      <xdr:rowOff>52917</xdr:rowOff>
    </xdr:to>
    <xdr:cxnSp macro="">
      <xdr:nvCxnSpPr>
        <xdr:cNvPr id="2073" name="Straight Arrow Connector 2072">
          <a:extLst>
            <a:ext uri="{FF2B5EF4-FFF2-40B4-BE49-F238E27FC236}">
              <a16:creationId xmlns:a16="http://schemas.microsoft.com/office/drawing/2014/main" id="{00000000-0008-0000-1300-000019080000}"/>
            </a:ext>
          </a:extLst>
        </xdr:cNvPr>
        <xdr:cNvCxnSpPr/>
      </xdr:nvCxnSpPr>
      <xdr:spPr>
        <a:xfrm>
          <a:off x="10551583" y="2581380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2074" name="Straight Arrow Connector 2073">
          <a:extLst>
            <a:ext uri="{FF2B5EF4-FFF2-40B4-BE49-F238E27FC236}">
              <a16:creationId xmlns:a16="http://schemas.microsoft.com/office/drawing/2014/main" id="{00000000-0008-0000-1300-00001A080000}"/>
            </a:ext>
          </a:extLst>
        </xdr:cNvPr>
        <xdr:cNvCxnSpPr/>
      </xdr:nvCxnSpPr>
      <xdr:spPr>
        <a:xfrm>
          <a:off x="10583333" y="2581592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1802</xdr:row>
      <xdr:rowOff>0</xdr:rowOff>
    </xdr:from>
    <xdr:to>
      <xdr:col>16</xdr:col>
      <xdr:colOff>0</xdr:colOff>
      <xdr:row>1802</xdr:row>
      <xdr:rowOff>42334</xdr:rowOff>
    </xdr:to>
    <xdr:cxnSp macro="">
      <xdr:nvCxnSpPr>
        <xdr:cNvPr id="2075" name="Straight Arrow Connector 2074">
          <a:extLst>
            <a:ext uri="{FF2B5EF4-FFF2-40B4-BE49-F238E27FC236}">
              <a16:creationId xmlns:a16="http://schemas.microsoft.com/office/drawing/2014/main" id="{00000000-0008-0000-1300-00001B080000}"/>
            </a:ext>
          </a:extLst>
        </xdr:cNvPr>
        <xdr:cNvCxnSpPr/>
      </xdr:nvCxnSpPr>
      <xdr:spPr>
        <a:xfrm>
          <a:off x="10562166" y="2607945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1802</xdr:row>
      <xdr:rowOff>21166</xdr:rowOff>
    </xdr:from>
    <xdr:to>
      <xdr:col>15</xdr:col>
      <xdr:colOff>560916</xdr:colOff>
      <xdr:row>1805</xdr:row>
      <xdr:rowOff>84667</xdr:rowOff>
    </xdr:to>
    <xdr:cxnSp macro="">
      <xdr:nvCxnSpPr>
        <xdr:cNvPr id="2076" name="Straight Arrow Connector 2075">
          <a:extLst>
            <a:ext uri="{FF2B5EF4-FFF2-40B4-BE49-F238E27FC236}">
              <a16:creationId xmlns:a16="http://schemas.microsoft.com/office/drawing/2014/main" id="{00000000-0008-0000-1300-00001C080000}"/>
            </a:ext>
          </a:extLst>
        </xdr:cNvPr>
        <xdr:cNvCxnSpPr/>
      </xdr:nvCxnSpPr>
      <xdr:spPr>
        <a:xfrm>
          <a:off x="10615083" y="2608156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1802</xdr:row>
      <xdr:rowOff>52916</xdr:rowOff>
    </xdr:from>
    <xdr:to>
      <xdr:col>15</xdr:col>
      <xdr:colOff>592666</xdr:colOff>
      <xdr:row>1808</xdr:row>
      <xdr:rowOff>63501</xdr:rowOff>
    </xdr:to>
    <xdr:cxnSp macro="">
      <xdr:nvCxnSpPr>
        <xdr:cNvPr id="2077" name="Straight Arrow Connector 2076">
          <a:extLst>
            <a:ext uri="{FF2B5EF4-FFF2-40B4-BE49-F238E27FC236}">
              <a16:creationId xmlns:a16="http://schemas.microsoft.com/office/drawing/2014/main" id="{00000000-0008-0000-1300-00001D080000}"/>
            </a:ext>
          </a:extLst>
        </xdr:cNvPr>
        <xdr:cNvCxnSpPr/>
      </xdr:nvCxnSpPr>
      <xdr:spPr>
        <a:xfrm>
          <a:off x="10572750" y="2608474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1799</xdr:row>
      <xdr:rowOff>52917</xdr:rowOff>
    </xdr:from>
    <xdr:to>
      <xdr:col>15</xdr:col>
      <xdr:colOff>603250</xdr:colOff>
      <xdr:row>1801</xdr:row>
      <xdr:rowOff>148167</xdr:rowOff>
    </xdr:to>
    <xdr:cxnSp macro="">
      <xdr:nvCxnSpPr>
        <xdr:cNvPr id="2078" name="Straight Arrow Connector 2077">
          <a:extLst>
            <a:ext uri="{FF2B5EF4-FFF2-40B4-BE49-F238E27FC236}">
              <a16:creationId xmlns:a16="http://schemas.microsoft.com/office/drawing/2014/main" id="{00000000-0008-0000-1300-00001E080000}"/>
            </a:ext>
          </a:extLst>
        </xdr:cNvPr>
        <xdr:cNvCxnSpPr/>
      </xdr:nvCxnSpPr>
      <xdr:spPr>
        <a:xfrm flipV="1">
          <a:off x="10583333" y="2602759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31750</xdr:colOff>
      <xdr:row>1710</xdr:row>
      <xdr:rowOff>127000</xdr:rowOff>
    </xdr:from>
    <xdr:to>
      <xdr:col>8</xdr:col>
      <xdr:colOff>63500</xdr:colOff>
      <xdr:row>1729</xdr:row>
      <xdr:rowOff>0</xdr:rowOff>
    </xdr:to>
    <xdr:cxnSp macro="">
      <xdr:nvCxnSpPr>
        <xdr:cNvPr id="2079" name="Straight Arrow Connector 2078">
          <a:extLst>
            <a:ext uri="{FF2B5EF4-FFF2-40B4-BE49-F238E27FC236}">
              <a16:creationId xmlns:a16="http://schemas.microsoft.com/office/drawing/2014/main" id="{00000000-0008-0000-1300-00001F080000}"/>
            </a:ext>
          </a:extLst>
        </xdr:cNvPr>
        <xdr:cNvCxnSpPr/>
      </xdr:nvCxnSpPr>
      <xdr:spPr>
        <a:xfrm flipV="1">
          <a:off x="5207000" y="243014500"/>
          <a:ext cx="635000" cy="3587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603250</xdr:colOff>
      <xdr:row>1364</xdr:row>
      <xdr:rowOff>10584</xdr:rowOff>
    </xdr:from>
    <xdr:to>
      <xdr:col>1</xdr:col>
      <xdr:colOff>603250</xdr:colOff>
      <xdr:row>1457</xdr:row>
      <xdr:rowOff>158750</xdr:rowOff>
    </xdr:to>
    <xdr:cxnSp macro="">
      <xdr:nvCxnSpPr>
        <xdr:cNvPr id="2080" name="Straight Arrow Connector 2079">
          <a:extLst>
            <a:ext uri="{FF2B5EF4-FFF2-40B4-BE49-F238E27FC236}">
              <a16:creationId xmlns:a16="http://schemas.microsoft.com/office/drawing/2014/main" id="{00000000-0008-0000-1300-000020080000}"/>
            </a:ext>
          </a:extLst>
        </xdr:cNvPr>
        <xdr:cNvCxnSpPr/>
      </xdr:nvCxnSpPr>
      <xdr:spPr>
        <a:xfrm flipV="1">
          <a:off x="603250" y="175842084"/>
          <a:ext cx="603250" cy="18245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603250</xdr:colOff>
      <xdr:row>1460</xdr:row>
      <xdr:rowOff>169333</xdr:rowOff>
    </xdr:from>
    <xdr:to>
      <xdr:col>1</xdr:col>
      <xdr:colOff>603250</xdr:colOff>
      <xdr:row>1502</xdr:row>
      <xdr:rowOff>148167</xdr:rowOff>
    </xdr:to>
    <xdr:cxnSp macro="">
      <xdr:nvCxnSpPr>
        <xdr:cNvPr id="2081" name="Straight Arrow Connector 2080">
          <a:extLst>
            <a:ext uri="{FF2B5EF4-FFF2-40B4-BE49-F238E27FC236}">
              <a16:creationId xmlns:a16="http://schemas.microsoft.com/office/drawing/2014/main" id="{00000000-0008-0000-1300-000021080000}"/>
            </a:ext>
          </a:extLst>
        </xdr:cNvPr>
        <xdr:cNvCxnSpPr/>
      </xdr:nvCxnSpPr>
      <xdr:spPr>
        <a:xfrm>
          <a:off x="603250" y="194669833"/>
          <a:ext cx="603250" cy="7979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10584</xdr:colOff>
      <xdr:row>1436</xdr:row>
      <xdr:rowOff>158750</xdr:rowOff>
    </xdr:from>
    <xdr:to>
      <xdr:col>3</xdr:col>
      <xdr:colOff>603250</xdr:colOff>
      <xdr:row>1503</xdr:row>
      <xdr:rowOff>10583</xdr:rowOff>
    </xdr:to>
    <xdr:cxnSp macro="">
      <xdr:nvCxnSpPr>
        <xdr:cNvPr id="2082" name="Straight Arrow Connector 2081">
          <a:extLst>
            <a:ext uri="{FF2B5EF4-FFF2-40B4-BE49-F238E27FC236}">
              <a16:creationId xmlns:a16="http://schemas.microsoft.com/office/drawing/2014/main" id="{00000000-0008-0000-1300-000022080000}"/>
            </a:ext>
          </a:extLst>
        </xdr:cNvPr>
        <xdr:cNvCxnSpPr/>
      </xdr:nvCxnSpPr>
      <xdr:spPr>
        <a:xfrm flipV="1">
          <a:off x="2296584" y="189896750"/>
          <a:ext cx="592666" cy="12805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21167</xdr:colOff>
      <xdr:row>1505</xdr:row>
      <xdr:rowOff>10583</xdr:rowOff>
    </xdr:from>
    <xdr:to>
      <xdr:col>4</xdr:col>
      <xdr:colOff>63500</xdr:colOff>
      <xdr:row>1656</xdr:row>
      <xdr:rowOff>158750</xdr:rowOff>
    </xdr:to>
    <xdr:cxnSp macro="">
      <xdr:nvCxnSpPr>
        <xdr:cNvPr id="2083" name="Straight Arrow Connector 2082">
          <a:extLst>
            <a:ext uri="{FF2B5EF4-FFF2-40B4-BE49-F238E27FC236}">
              <a16:creationId xmlns:a16="http://schemas.microsoft.com/office/drawing/2014/main" id="{00000000-0008-0000-1300-000023080000}"/>
            </a:ext>
          </a:extLst>
        </xdr:cNvPr>
        <xdr:cNvCxnSpPr/>
      </xdr:nvCxnSpPr>
      <xdr:spPr>
        <a:xfrm>
          <a:off x="2307167" y="203274083"/>
          <a:ext cx="645583" cy="29294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825500</xdr:colOff>
      <xdr:row>1399</xdr:row>
      <xdr:rowOff>1</xdr:rowOff>
    </xdr:from>
    <xdr:to>
      <xdr:col>6</xdr:col>
      <xdr:colOff>0</xdr:colOff>
      <xdr:row>1433</xdr:row>
      <xdr:rowOff>116417</xdr:rowOff>
    </xdr:to>
    <xdr:cxnSp macro="">
      <xdr:nvCxnSpPr>
        <xdr:cNvPr id="2084" name="Straight Arrow Connector 2083">
          <a:extLst>
            <a:ext uri="{FF2B5EF4-FFF2-40B4-BE49-F238E27FC236}">
              <a16:creationId xmlns:a16="http://schemas.microsoft.com/office/drawing/2014/main" id="{00000000-0008-0000-1300-000024080000}"/>
            </a:ext>
          </a:extLst>
        </xdr:cNvPr>
        <xdr:cNvCxnSpPr/>
      </xdr:nvCxnSpPr>
      <xdr:spPr>
        <a:xfrm flipV="1">
          <a:off x="3714750" y="182689501"/>
          <a:ext cx="666750" cy="65934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21167</xdr:colOff>
      <xdr:row>1436</xdr:row>
      <xdr:rowOff>169334</xdr:rowOff>
    </xdr:from>
    <xdr:to>
      <xdr:col>5</xdr:col>
      <xdr:colOff>571500</xdr:colOff>
      <xdr:row>1505</xdr:row>
      <xdr:rowOff>0</xdr:rowOff>
    </xdr:to>
    <xdr:cxnSp macro="">
      <xdr:nvCxnSpPr>
        <xdr:cNvPr id="2085" name="Straight Arrow Connector 2084">
          <a:extLst>
            <a:ext uri="{FF2B5EF4-FFF2-40B4-BE49-F238E27FC236}">
              <a16:creationId xmlns:a16="http://schemas.microsoft.com/office/drawing/2014/main" id="{00000000-0008-0000-1300-000025080000}"/>
            </a:ext>
          </a:extLst>
        </xdr:cNvPr>
        <xdr:cNvCxnSpPr/>
      </xdr:nvCxnSpPr>
      <xdr:spPr>
        <a:xfrm>
          <a:off x="3799417" y="189907334"/>
          <a:ext cx="550333" cy="133244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1374</xdr:row>
      <xdr:rowOff>148167</xdr:rowOff>
    </xdr:from>
    <xdr:to>
      <xdr:col>7</xdr:col>
      <xdr:colOff>603250</xdr:colOff>
      <xdr:row>1396</xdr:row>
      <xdr:rowOff>31750</xdr:rowOff>
    </xdr:to>
    <xdr:cxnSp macro="">
      <xdr:nvCxnSpPr>
        <xdr:cNvPr id="2086" name="Straight Arrow Connector 2085">
          <a:extLst>
            <a:ext uri="{FF2B5EF4-FFF2-40B4-BE49-F238E27FC236}">
              <a16:creationId xmlns:a16="http://schemas.microsoft.com/office/drawing/2014/main" id="{00000000-0008-0000-1300-000026080000}"/>
            </a:ext>
          </a:extLst>
        </xdr:cNvPr>
        <xdr:cNvCxnSpPr/>
      </xdr:nvCxnSpPr>
      <xdr:spPr>
        <a:xfrm flipV="1">
          <a:off x="5175250" y="177884667"/>
          <a:ext cx="603250" cy="42650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1399</xdr:row>
      <xdr:rowOff>10584</xdr:rowOff>
    </xdr:from>
    <xdr:to>
      <xdr:col>8</xdr:col>
      <xdr:colOff>21167</xdr:colOff>
      <xdr:row>1427</xdr:row>
      <xdr:rowOff>148166</xdr:rowOff>
    </xdr:to>
    <xdr:cxnSp macro="">
      <xdr:nvCxnSpPr>
        <xdr:cNvPr id="2087" name="Straight Arrow Connector 2086">
          <a:extLst>
            <a:ext uri="{FF2B5EF4-FFF2-40B4-BE49-F238E27FC236}">
              <a16:creationId xmlns:a16="http://schemas.microsoft.com/office/drawing/2014/main" id="{00000000-0008-0000-1300-000027080000}"/>
            </a:ext>
          </a:extLst>
        </xdr:cNvPr>
        <xdr:cNvCxnSpPr/>
      </xdr:nvCxnSpPr>
      <xdr:spPr>
        <a:xfrm>
          <a:off x="5175250" y="182700084"/>
          <a:ext cx="624417" cy="547158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1366</xdr:row>
      <xdr:rowOff>137583</xdr:rowOff>
    </xdr:from>
    <xdr:to>
      <xdr:col>9</xdr:col>
      <xdr:colOff>603250</xdr:colOff>
      <xdr:row>1372</xdr:row>
      <xdr:rowOff>21166</xdr:rowOff>
    </xdr:to>
    <xdr:cxnSp macro="">
      <xdr:nvCxnSpPr>
        <xdr:cNvPr id="2088" name="Straight Arrow Connector 2087">
          <a:extLst>
            <a:ext uri="{FF2B5EF4-FFF2-40B4-BE49-F238E27FC236}">
              <a16:creationId xmlns:a16="http://schemas.microsoft.com/office/drawing/2014/main" id="{00000000-0008-0000-1300-000028080000}"/>
            </a:ext>
          </a:extLst>
        </xdr:cNvPr>
        <xdr:cNvCxnSpPr/>
      </xdr:nvCxnSpPr>
      <xdr:spPr>
        <a:xfrm flipV="1">
          <a:off x="6381750" y="176350083"/>
          <a:ext cx="603250" cy="1026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1375</xdr:row>
      <xdr:rowOff>0</xdr:rowOff>
    </xdr:from>
    <xdr:to>
      <xdr:col>9</xdr:col>
      <xdr:colOff>582083</xdr:colOff>
      <xdr:row>1383</xdr:row>
      <xdr:rowOff>10583</xdr:rowOff>
    </xdr:to>
    <xdr:cxnSp macro="">
      <xdr:nvCxnSpPr>
        <xdr:cNvPr id="2089" name="Straight Arrow Connector 2088">
          <a:extLst>
            <a:ext uri="{FF2B5EF4-FFF2-40B4-BE49-F238E27FC236}">
              <a16:creationId xmlns:a16="http://schemas.microsoft.com/office/drawing/2014/main" id="{00000000-0008-0000-1300-000029080000}"/>
            </a:ext>
          </a:extLst>
        </xdr:cNvPr>
        <xdr:cNvCxnSpPr/>
      </xdr:nvCxnSpPr>
      <xdr:spPr>
        <a:xfrm>
          <a:off x="6413500" y="177927000"/>
          <a:ext cx="550333" cy="1534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21167</xdr:colOff>
      <xdr:row>1380</xdr:row>
      <xdr:rowOff>169333</xdr:rowOff>
    </xdr:from>
    <xdr:to>
      <xdr:col>11</xdr:col>
      <xdr:colOff>603250</xdr:colOff>
      <xdr:row>1383</xdr:row>
      <xdr:rowOff>21167</xdr:rowOff>
    </xdr:to>
    <xdr:cxnSp macro="">
      <xdr:nvCxnSpPr>
        <xdr:cNvPr id="2090" name="Straight Arrow Connector 2089">
          <a:extLst>
            <a:ext uri="{FF2B5EF4-FFF2-40B4-BE49-F238E27FC236}">
              <a16:creationId xmlns:a16="http://schemas.microsoft.com/office/drawing/2014/main" id="{00000000-0008-0000-1300-00002A080000}"/>
            </a:ext>
          </a:extLst>
        </xdr:cNvPr>
        <xdr:cNvCxnSpPr/>
      </xdr:nvCxnSpPr>
      <xdr:spPr>
        <a:xfrm flipV="1">
          <a:off x="7609417" y="179048833"/>
          <a:ext cx="582083" cy="423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1386</xdr:row>
      <xdr:rowOff>42333</xdr:rowOff>
    </xdr:from>
    <xdr:to>
      <xdr:col>11</xdr:col>
      <xdr:colOff>603250</xdr:colOff>
      <xdr:row>1398</xdr:row>
      <xdr:rowOff>10583</xdr:rowOff>
    </xdr:to>
    <xdr:cxnSp macro="">
      <xdr:nvCxnSpPr>
        <xdr:cNvPr id="2091" name="Straight Arrow Connector 2090">
          <a:extLst>
            <a:ext uri="{FF2B5EF4-FFF2-40B4-BE49-F238E27FC236}">
              <a16:creationId xmlns:a16="http://schemas.microsoft.com/office/drawing/2014/main" id="{00000000-0008-0000-1300-00002B080000}"/>
            </a:ext>
          </a:extLst>
        </xdr:cNvPr>
        <xdr:cNvCxnSpPr/>
      </xdr:nvCxnSpPr>
      <xdr:spPr>
        <a:xfrm>
          <a:off x="7598834" y="1800648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1376</xdr:row>
      <xdr:rowOff>21167</xdr:rowOff>
    </xdr:from>
    <xdr:to>
      <xdr:col>13</xdr:col>
      <xdr:colOff>592667</xdr:colOff>
      <xdr:row>1378</xdr:row>
      <xdr:rowOff>0</xdr:rowOff>
    </xdr:to>
    <xdr:cxnSp macro="">
      <xdr:nvCxnSpPr>
        <xdr:cNvPr id="2092" name="Straight Arrow Connector 2091">
          <a:extLst>
            <a:ext uri="{FF2B5EF4-FFF2-40B4-BE49-F238E27FC236}">
              <a16:creationId xmlns:a16="http://schemas.microsoft.com/office/drawing/2014/main" id="{00000000-0008-0000-1300-00002C080000}"/>
            </a:ext>
          </a:extLst>
        </xdr:cNvPr>
        <xdr:cNvCxnSpPr/>
      </xdr:nvCxnSpPr>
      <xdr:spPr>
        <a:xfrm flipV="1">
          <a:off x="8794750" y="1781386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1381</xdr:row>
      <xdr:rowOff>21166</xdr:rowOff>
    </xdr:from>
    <xdr:to>
      <xdr:col>13</xdr:col>
      <xdr:colOff>592667</xdr:colOff>
      <xdr:row>1382</xdr:row>
      <xdr:rowOff>169334</xdr:rowOff>
    </xdr:to>
    <xdr:cxnSp macro="">
      <xdr:nvCxnSpPr>
        <xdr:cNvPr id="2093" name="Straight Arrow Connector 2092">
          <a:extLst>
            <a:ext uri="{FF2B5EF4-FFF2-40B4-BE49-F238E27FC236}">
              <a16:creationId xmlns:a16="http://schemas.microsoft.com/office/drawing/2014/main" id="{00000000-0008-0000-1300-00002D080000}"/>
            </a:ext>
          </a:extLst>
        </xdr:cNvPr>
        <xdr:cNvCxnSpPr/>
      </xdr:nvCxnSpPr>
      <xdr:spPr>
        <a:xfrm>
          <a:off x="8784166" y="1790911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1396</xdr:row>
      <xdr:rowOff>21167</xdr:rowOff>
    </xdr:from>
    <xdr:to>
      <xdr:col>13</xdr:col>
      <xdr:colOff>592667</xdr:colOff>
      <xdr:row>1398</xdr:row>
      <xdr:rowOff>63500</xdr:rowOff>
    </xdr:to>
    <xdr:cxnSp macro="">
      <xdr:nvCxnSpPr>
        <xdr:cNvPr id="2094" name="Straight Arrow Connector 2093">
          <a:extLst>
            <a:ext uri="{FF2B5EF4-FFF2-40B4-BE49-F238E27FC236}">
              <a16:creationId xmlns:a16="http://schemas.microsoft.com/office/drawing/2014/main" id="{00000000-0008-0000-1300-00002E080000}"/>
            </a:ext>
          </a:extLst>
        </xdr:cNvPr>
        <xdr:cNvCxnSpPr/>
      </xdr:nvCxnSpPr>
      <xdr:spPr>
        <a:xfrm flipV="1">
          <a:off x="8794750" y="1821391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1401</xdr:row>
      <xdr:rowOff>0</xdr:rowOff>
    </xdr:from>
    <xdr:to>
      <xdr:col>14</xdr:col>
      <xdr:colOff>10584</xdr:colOff>
      <xdr:row>1409</xdr:row>
      <xdr:rowOff>148167</xdr:rowOff>
    </xdr:to>
    <xdr:cxnSp macro="">
      <xdr:nvCxnSpPr>
        <xdr:cNvPr id="2095" name="Straight Arrow Connector 2094">
          <a:extLst>
            <a:ext uri="{FF2B5EF4-FFF2-40B4-BE49-F238E27FC236}">
              <a16:creationId xmlns:a16="http://schemas.microsoft.com/office/drawing/2014/main" id="{00000000-0008-0000-1300-00002F080000}"/>
            </a:ext>
          </a:extLst>
        </xdr:cNvPr>
        <xdr:cNvCxnSpPr/>
      </xdr:nvCxnSpPr>
      <xdr:spPr>
        <a:xfrm>
          <a:off x="8805333" y="1830705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1368</xdr:row>
      <xdr:rowOff>0</xdr:rowOff>
    </xdr:from>
    <xdr:to>
      <xdr:col>15</xdr:col>
      <xdr:colOff>603250</xdr:colOff>
      <xdr:row>1373</xdr:row>
      <xdr:rowOff>31750</xdr:rowOff>
    </xdr:to>
    <xdr:cxnSp macro="">
      <xdr:nvCxnSpPr>
        <xdr:cNvPr id="2096" name="Straight Arrow Connector 2095">
          <a:extLst>
            <a:ext uri="{FF2B5EF4-FFF2-40B4-BE49-F238E27FC236}">
              <a16:creationId xmlns:a16="http://schemas.microsoft.com/office/drawing/2014/main" id="{00000000-0008-0000-1300-000030080000}"/>
            </a:ext>
          </a:extLst>
        </xdr:cNvPr>
        <xdr:cNvCxnSpPr/>
      </xdr:nvCxnSpPr>
      <xdr:spPr>
        <a:xfrm flipV="1">
          <a:off x="10541000" y="176593500"/>
          <a:ext cx="603250" cy="984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1371</xdr:row>
      <xdr:rowOff>52917</xdr:rowOff>
    </xdr:from>
    <xdr:to>
      <xdr:col>15</xdr:col>
      <xdr:colOff>603250</xdr:colOff>
      <xdr:row>1373</xdr:row>
      <xdr:rowOff>95250</xdr:rowOff>
    </xdr:to>
    <xdr:cxnSp macro="">
      <xdr:nvCxnSpPr>
        <xdr:cNvPr id="2097" name="Straight Arrow Connector 2096">
          <a:extLst>
            <a:ext uri="{FF2B5EF4-FFF2-40B4-BE49-F238E27FC236}">
              <a16:creationId xmlns:a16="http://schemas.microsoft.com/office/drawing/2014/main" id="{00000000-0008-0000-1300-000031080000}"/>
            </a:ext>
          </a:extLst>
        </xdr:cNvPr>
        <xdr:cNvCxnSpPr/>
      </xdr:nvCxnSpPr>
      <xdr:spPr>
        <a:xfrm flipV="1">
          <a:off x="10583333" y="177217917"/>
          <a:ext cx="56091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1373</xdr:row>
      <xdr:rowOff>158750</xdr:rowOff>
    </xdr:from>
    <xdr:to>
      <xdr:col>15</xdr:col>
      <xdr:colOff>582083</xdr:colOff>
      <xdr:row>1374</xdr:row>
      <xdr:rowOff>137583</xdr:rowOff>
    </xdr:to>
    <xdr:cxnSp macro="">
      <xdr:nvCxnSpPr>
        <xdr:cNvPr id="2098" name="Straight Arrow Connector 2097">
          <a:extLst>
            <a:ext uri="{FF2B5EF4-FFF2-40B4-BE49-F238E27FC236}">
              <a16:creationId xmlns:a16="http://schemas.microsoft.com/office/drawing/2014/main" id="{00000000-0008-0000-1300-000032080000}"/>
            </a:ext>
          </a:extLst>
        </xdr:cNvPr>
        <xdr:cNvCxnSpPr/>
      </xdr:nvCxnSpPr>
      <xdr:spPr>
        <a:xfrm>
          <a:off x="10604500" y="177704750"/>
          <a:ext cx="518583" cy="169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1121834</xdr:colOff>
      <xdr:row>1373</xdr:row>
      <xdr:rowOff>105834</xdr:rowOff>
    </xdr:from>
    <xdr:to>
      <xdr:col>16</xdr:col>
      <xdr:colOff>0</xdr:colOff>
      <xdr:row>1377</xdr:row>
      <xdr:rowOff>84667</xdr:rowOff>
    </xdr:to>
    <xdr:cxnSp macro="">
      <xdr:nvCxnSpPr>
        <xdr:cNvPr id="2099" name="Straight Arrow Connector 2098">
          <a:extLst>
            <a:ext uri="{FF2B5EF4-FFF2-40B4-BE49-F238E27FC236}">
              <a16:creationId xmlns:a16="http://schemas.microsoft.com/office/drawing/2014/main" id="{00000000-0008-0000-1300-000033080000}"/>
            </a:ext>
          </a:extLst>
        </xdr:cNvPr>
        <xdr:cNvCxnSpPr/>
      </xdr:nvCxnSpPr>
      <xdr:spPr>
        <a:xfrm>
          <a:off x="10519834" y="177651834"/>
          <a:ext cx="624416"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1381</xdr:row>
      <xdr:rowOff>52916</xdr:rowOff>
    </xdr:from>
    <xdr:to>
      <xdr:col>16</xdr:col>
      <xdr:colOff>0</xdr:colOff>
      <xdr:row>1383</xdr:row>
      <xdr:rowOff>0</xdr:rowOff>
    </xdr:to>
    <xdr:cxnSp macro="">
      <xdr:nvCxnSpPr>
        <xdr:cNvPr id="2100" name="Straight Arrow Connector 2099">
          <a:extLst>
            <a:ext uri="{FF2B5EF4-FFF2-40B4-BE49-F238E27FC236}">
              <a16:creationId xmlns:a16="http://schemas.microsoft.com/office/drawing/2014/main" id="{00000000-0008-0000-1300-000034080000}"/>
            </a:ext>
          </a:extLst>
        </xdr:cNvPr>
        <xdr:cNvCxnSpPr/>
      </xdr:nvCxnSpPr>
      <xdr:spPr>
        <a:xfrm flipV="1">
          <a:off x="10541000" y="1791229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1383</xdr:row>
      <xdr:rowOff>21167</xdr:rowOff>
    </xdr:from>
    <xdr:to>
      <xdr:col>15</xdr:col>
      <xdr:colOff>582083</xdr:colOff>
      <xdr:row>1384</xdr:row>
      <xdr:rowOff>42333</xdr:rowOff>
    </xdr:to>
    <xdr:cxnSp macro="">
      <xdr:nvCxnSpPr>
        <xdr:cNvPr id="2101" name="Straight Arrow Connector 2100">
          <a:extLst>
            <a:ext uri="{FF2B5EF4-FFF2-40B4-BE49-F238E27FC236}">
              <a16:creationId xmlns:a16="http://schemas.microsoft.com/office/drawing/2014/main" id="{00000000-0008-0000-1300-000035080000}"/>
            </a:ext>
          </a:extLst>
        </xdr:cNvPr>
        <xdr:cNvCxnSpPr/>
      </xdr:nvCxnSpPr>
      <xdr:spPr>
        <a:xfrm>
          <a:off x="10551583" y="179472167"/>
          <a:ext cx="571500" cy="211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1383</xdr:row>
      <xdr:rowOff>21167</xdr:rowOff>
    </xdr:from>
    <xdr:to>
      <xdr:col>16</xdr:col>
      <xdr:colOff>42333</xdr:colOff>
      <xdr:row>1388</xdr:row>
      <xdr:rowOff>21168</xdr:rowOff>
    </xdr:to>
    <xdr:cxnSp macro="">
      <xdr:nvCxnSpPr>
        <xdr:cNvPr id="2102" name="Straight Arrow Connector 2101">
          <a:extLst>
            <a:ext uri="{FF2B5EF4-FFF2-40B4-BE49-F238E27FC236}">
              <a16:creationId xmlns:a16="http://schemas.microsoft.com/office/drawing/2014/main" id="{00000000-0008-0000-1300-000036080000}"/>
            </a:ext>
          </a:extLst>
        </xdr:cNvPr>
        <xdr:cNvCxnSpPr/>
      </xdr:nvCxnSpPr>
      <xdr:spPr>
        <a:xfrm>
          <a:off x="10530417" y="179472167"/>
          <a:ext cx="656166" cy="9525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1383</xdr:row>
      <xdr:rowOff>31750</xdr:rowOff>
    </xdr:from>
    <xdr:to>
      <xdr:col>16</xdr:col>
      <xdr:colOff>42334</xdr:colOff>
      <xdr:row>1390</xdr:row>
      <xdr:rowOff>63501</xdr:rowOff>
    </xdr:to>
    <xdr:cxnSp macro="">
      <xdr:nvCxnSpPr>
        <xdr:cNvPr id="2103" name="Straight Arrow Connector 2102">
          <a:extLst>
            <a:ext uri="{FF2B5EF4-FFF2-40B4-BE49-F238E27FC236}">
              <a16:creationId xmlns:a16="http://schemas.microsoft.com/office/drawing/2014/main" id="{00000000-0008-0000-1300-000037080000}"/>
            </a:ext>
          </a:extLst>
        </xdr:cNvPr>
        <xdr:cNvCxnSpPr/>
      </xdr:nvCxnSpPr>
      <xdr:spPr>
        <a:xfrm>
          <a:off x="10541000" y="179482750"/>
          <a:ext cx="645584"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10583</xdr:colOff>
      <xdr:row>1420</xdr:row>
      <xdr:rowOff>42333</xdr:rowOff>
    </xdr:from>
    <xdr:to>
      <xdr:col>9</xdr:col>
      <xdr:colOff>592666</xdr:colOff>
      <xdr:row>1428</xdr:row>
      <xdr:rowOff>42333</xdr:rowOff>
    </xdr:to>
    <xdr:cxnSp macro="">
      <xdr:nvCxnSpPr>
        <xdr:cNvPr id="2104" name="Straight Arrow Connector 2103">
          <a:extLst>
            <a:ext uri="{FF2B5EF4-FFF2-40B4-BE49-F238E27FC236}">
              <a16:creationId xmlns:a16="http://schemas.microsoft.com/office/drawing/2014/main" id="{00000000-0008-0000-1300-000038080000}"/>
            </a:ext>
          </a:extLst>
        </xdr:cNvPr>
        <xdr:cNvCxnSpPr/>
      </xdr:nvCxnSpPr>
      <xdr:spPr>
        <a:xfrm flipV="1">
          <a:off x="6392333" y="186732333"/>
          <a:ext cx="582083" cy="152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1430</xdr:row>
      <xdr:rowOff>169334</xdr:rowOff>
    </xdr:from>
    <xdr:to>
      <xdr:col>9</xdr:col>
      <xdr:colOff>603250</xdr:colOff>
      <xdr:row>1439</xdr:row>
      <xdr:rowOff>31750</xdr:rowOff>
    </xdr:to>
    <xdr:cxnSp macro="">
      <xdr:nvCxnSpPr>
        <xdr:cNvPr id="2105" name="Straight Arrow Connector 2104">
          <a:extLst>
            <a:ext uri="{FF2B5EF4-FFF2-40B4-BE49-F238E27FC236}">
              <a16:creationId xmlns:a16="http://schemas.microsoft.com/office/drawing/2014/main" id="{00000000-0008-0000-1300-000039080000}"/>
            </a:ext>
          </a:extLst>
        </xdr:cNvPr>
        <xdr:cNvCxnSpPr/>
      </xdr:nvCxnSpPr>
      <xdr:spPr>
        <a:xfrm>
          <a:off x="6413500" y="188764334"/>
          <a:ext cx="571500" cy="1576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571500</xdr:colOff>
      <xdr:row>1436</xdr:row>
      <xdr:rowOff>158750</xdr:rowOff>
    </xdr:from>
    <xdr:to>
      <xdr:col>11</xdr:col>
      <xdr:colOff>571500</xdr:colOff>
      <xdr:row>1439</xdr:row>
      <xdr:rowOff>0</xdr:rowOff>
    </xdr:to>
    <xdr:cxnSp macro="">
      <xdr:nvCxnSpPr>
        <xdr:cNvPr id="2106" name="Straight Arrow Connector 2105">
          <a:extLst>
            <a:ext uri="{FF2B5EF4-FFF2-40B4-BE49-F238E27FC236}">
              <a16:creationId xmlns:a16="http://schemas.microsoft.com/office/drawing/2014/main" id="{00000000-0008-0000-1300-00003A080000}"/>
            </a:ext>
          </a:extLst>
        </xdr:cNvPr>
        <xdr:cNvCxnSpPr/>
      </xdr:nvCxnSpPr>
      <xdr:spPr>
        <a:xfrm flipV="1">
          <a:off x="7556500" y="189896750"/>
          <a:ext cx="603250" cy="412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1394</xdr:row>
      <xdr:rowOff>0</xdr:rowOff>
    </xdr:from>
    <xdr:to>
      <xdr:col>15</xdr:col>
      <xdr:colOff>603250</xdr:colOff>
      <xdr:row>1396</xdr:row>
      <xdr:rowOff>1</xdr:rowOff>
    </xdr:to>
    <xdr:cxnSp macro="">
      <xdr:nvCxnSpPr>
        <xdr:cNvPr id="2107" name="Straight Arrow Connector 2106">
          <a:extLst>
            <a:ext uri="{FF2B5EF4-FFF2-40B4-BE49-F238E27FC236}">
              <a16:creationId xmlns:a16="http://schemas.microsoft.com/office/drawing/2014/main" id="{00000000-0008-0000-1300-00003B080000}"/>
            </a:ext>
          </a:extLst>
        </xdr:cNvPr>
        <xdr:cNvCxnSpPr/>
      </xdr:nvCxnSpPr>
      <xdr:spPr>
        <a:xfrm flipV="1">
          <a:off x="10530417" y="1817370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1396</xdr:row>
      <xdr:rowOff>10584</xdr:rowOff>
    </xdr:from>
    <xdr:to>
      <xdr:col>15</xdr:col>
      <xdr:colOff>592666</xdr:colOff>
      <xdr:row>1397</xdr:row>
      <xdr:rowOff>95250</xdr:rowOff>
    </xdr:to>
    <xdr:cxnSp macro="">
      <xdr:nvCxnSpPr>
        <xdr:cNvPr id="2108" name="Straight Arrow Connector 2107">
          <a:extLst>
            <a:ext uri="{FF2B5EF4-FFF2-40B4-BE49-F238E27FC236}">
              <a16:creationId xmlns:a16="http://schemas.microsoft.com/office/drawing/2014/main" id="{00000000-0008-0000-1300-00003C080000}"/>
            </a:ext>
          </a:extLst>
        </xdr:cNvPr>
        <xdr:cNvCxnSpPr/>
      </xdr:nvCxnSpPr>
      <xdr:spPr>
        <a:xfrm>
          <a:off x="10572750" y="1821285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1396</xdr:row>
      <xdr:rowOff>10584</xdr:rowOff>
    </xdr:from>
    <xdr:to>
      <xdr:col>15</xdr:col>
      <xdr:colOff>560916</xdr:colOff>
      <xdr:row>1400</xdr:row>
      <xdr:rowOff>52917</xdr:rowOff>
    </xdr:to>
    <xdr:cxnSp macro="">
      <xdr:nvCxnSpPr>
        <xdr:cNvPr id="2109" name="Straight Arrow Connector 2108">
          <a:extLst>
            <a:ext uri="{FF2B5EF4-FFF2-40B4-BE49-F238E27FC236}">
              <a16:creationId xmlns:a16="http://schemas.microsoft.com/office/drawing/2014/main" id="{00000000-0008-0000-1300-00003D080000}"/>
            </a:ext>
          </a:extLst>
        </xdr:cNvPr>
        <xdr:cNvCxnSpPr/>
      </xdr:nvCxnSpPr>
      <xdr:spPr>
        <a:xfrm>
          <a:off x="10551583" y="1821285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1396</xdr:row>
      <xdr:rowOff>31750</xdr:rowOff>
    </xdr:from>
    <xdr:to>
      <xdr:col>16</xdr:col>
      <xdr:colOff>21167</xdr:colOff>
      <xdr:row>1403</xdr:row>
      <xdr:rowOff>95250</xdr:rowOff>
    </xdr:to>
    <xdr:cxnSp macro="">
      <xdr:nvCxnSpPr>
        <xdr:cNvPr id="2110" name="Straight Arrow Connector 2109">
          <a:extLst>
            <a:ext uri="{FF2B5EF4-FFF2-40B4-BE49-F238E27FC236}">
              <a16:creationId xmlns:a16="http://schemas.microsoft.com/office/drawing/2014/main" id="{00000000-0008-0000-1300-00003E080000}"/>
            </a:ext>
          </a:extLst>
        </xdr:cNvPr>
        <xdr:cNvCxnSpPr/>
      </xdr:nvCxnSpPr>
      <xdr:spPr>
        <a:xfrm>
          <a:off x="10583333" y="1821497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1410</xdr:row>
      <xdr:rowOff>0</xdr:rowOff>
    </xdr:from>
    <xdr:to>
      <xdr:col>16</xdr:col>
      <xdr:colOff>0</xdr:colOff>
      <xdr:row>1410</xdr:row>
      <xdr:rowOff>42334</xdr:rowOff>
    </xdr:to>
    <xdr:cxnSp macro="">
      <xdr:nvCxnSpPr>
        <xdr:cNvPr id="2111" name="Straight Arrow Connector 2110">
          <a:extLst>
            <a:ext uri="{FF2B5EF4-FFF2-40B4-BE49-F238E27FC236}">
              <a16:creationId xmlns:a16="http://schemas.microsoft.com/office/drawing/2014/main" id="{00000000-0008-0000-1300-00003F080000}"/>
            </a:ext>
          </a:extLst>
        </xdr:cNvPr>
        <xdr:cNvCxnSpPr/>
      </xdr:nvCxnSpPr>
      <xdr:spPr>
        <a:xfrm>
          <a:off x="10562166" y="1847850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1410</xdr:row>
      <xdr:rowOff>21166</xdr:rowOff>
    </xdr:from>
    <xdr:to>
      <xdr:col>15</xdr:col>
      <xdr:colOff>560916</xdr:colOff>
      <xdr:row>1413</xdr:row>
      <xdr:rowOff>84667</xdr:rowOff>
    </xdr:to>
    <xdr:cxnSp macro="">
      <xdr:nvCxnSpPr>
        <xdr:cNvPr id="2112" name="Straight Arrow Connector 2111">
          <a:extLst>
            <a:ext uri="{FF2B5EF4-FFF2-40B4-BE49-F238E27FC236}">
              <a16:creationId xmlns:a16="http://schemas.microsoft.com/office/drawing/2014/main" id="{00000000-0008-0000-1300-000040080000}"/>
            </a:ext>
          </a:extLst>
        </xdr:cNvPr>
        <xdr:cNvCxnSpPr/>
      </xdr:nvCxnSpPr>
      <xdr:spPr>
        <a:xfrm>
          <a:off x="10615083" y="1848061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1410</xdr:row>
      <xdr:rowOff>52916</xdr:rowOff>
    </xdr:from>
    <xdr:to>
      <xdr:col>15</xdr:col>
      <xdr:colOff>592666</xdr:colOff>
      <xdr:row>1416</xdr:row>
      <xdr:rowOff>63501</xdr:rowOff>
    </xdr:to>
    <xdr:cxnSp macro="">
      <xdr:nvCxnSpPr>
        <xdr:cNvPr id="2113" name="Straight Arrow Connector 2112">
          <a:extLst>
            <a:ext uri="{FF2B5EF4-FFF2-40B4-BE49-F238E27FC236}">
              <a16:creationId xmlns:a16="http://schemas.microsoft.com/office/drawing/2014/main" id="{00000000-0008-0000-1300-000041080000}"/>
            </a:ext>
          </a:extLst>
        </xdr:cNvPr>
        <xdr:cNvCxnSpPr/>
      </xdr:nvCxnSpPr>
      <xdr:spPr>
        <a:xfrm>
          <a:off x="10572750" y="1848379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1424</xdr:row>
      <xdr:rowOff>116416</xdr:rowOff>
    </xdr:from>
    <xdr:to>
      <xdr:col>15</xdr:col>
      <xdr:colOff>592666</xdr:colOff>
      <xdr:row>1427</xdr:row>
      <xdr:rowOff>158750</xdr:rowOff>
    </xdr:to>
    <xdr:cxnSp macro="">
      <xdr:nvCxnSpPr>
        <xdr:cNvPr id="2114" name="Straight Arrow Connector 2113">
          <a:extLst>
            <a:ext uri="{FF2B5EF4-FFF2-40B4-BE49-F238E27FC236}">
              <a16:creationId xmlns:a16="http://schemas.microsoft.com/office/drawing/2014/main" id="{00000000-0008-0000-1300-000042080000}"/>
            </a:ext>
          </a:extLst>
        </xdr:cNvPr>
        <xdr:cNvCxnSpPr/>
      </xdr:nvCxnSpPr>
      <xdr:spPr>
        <a:xfrm flipV="1">
          <a:off x="10562166" y="187568416"/>
          <a:ext cx="571500" cy="613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1426</xdr:row>
      <xdr:rowOff>95250</xdr:rowOff>
    </xdr:from>
    <xdr:to>
      <xdr:col>15</xdr:col>
      <xdr:colOff>582083</xdr:colOff>
      <xdr:row>1428</xdr:row>
      <xdr:rowOff>52917</xdr:rowOff>
    </xdr:to>
    <xdr:cxnSp macro="">
      <xdr:nvCxnSpPr>
        <xdr:cNvPr id="2115" name="Straight Arrow Connector 2114">
          <a:extLst>
            <a:ext uri="{FF2B5EF4-FFF2-40B4-BE49-F238E27FC236}">
              <a16:creationId xmlns:a16="http://schemas.microsoft.com/office/drawing/2014/main" id="{00000000-0008-0000-1300-000043080000}"/>
            </a:ext>
          </a:extLst>
        </xdr:cNvPr>
        <xdr:cNvCxnSpPr/>
      </xdr:nvCxnSpPr>
      <xdr:spPr>
        <a:xfrm flipV="1">
          <a:off x="10604500" y="187928250"/>
          <a:ext cx="518583" cy="338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1428</xdr:row>
      <xdr:rowOff>116417</xdr:rowOff>
    </xdr:from>
    <xdr:to>
      <xdr:col>15</xdr:col>
      <xdr:colOff>592666</xdr:colOff>
      <xdr:row>1432</xdr:row>
      <xdr:rowOff>95250</xdr:rowOff>
    </xdr:to>
    <xdr:cxnSp macro="">
      <xdr:nvCxnSpPr>
        <xdr:cNvPr id="2116" name="Straight Arrow Connector 2115">
          <a:extLst>
            <a:ext uri="{FF2B5EF4-FFF2-40B4-BE49-F238E27FC236}">
              <a16:creationId xmlns:a16="http://schemas.microsoft.com/office/drawing/2014/main" id="{00000000-0008-0000-1300-000044080000}"/>
            </a:ext>
          </a:extLst>
        </xdr:cNvPr>
        <xdr:cNvCxnSpPr/>
      </xdr:nvCxnSpPr>
      <xdr:spPr>
        <a:xfrm>
          <a:off x="10593916" y="188330417"/>
          <a:ext cx="53975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1439</xdr:row>
      <xdr:rowOff>116416</xdr:rowOff>
    </xdr:from>
    <xdr:to>
      <xdr:col>16</xdr:col>
      <xdr:colOff>0</xdr:colOff>
      <xdr:row>1446</xdr:row>
      <xdr:rowOff>74084</xdr:rowOff>
    </xdr:to>
    <xdr:cxnSp macro="">
      <xdr:nvCxnSpPr>
        <xdr:cNvPr id="2117" name="Straight Arrow Connector 2116">
          <a:extLst>
            <a:ext uri="{FF2B5EF4-FFF2-40B4-BE49-F238E27FC236}">
              <a16:creationId xmlns:a16="http://schemas.microsoft.com/office/drawing/2014/main" id="{00000000-0008-0000-1300-000045080000}"/>
            </a:ext>
          </a:extLst>
        </xdr:cNvPr>
        <xdr:cNvCxnSpPr/>
      </xdr:nvCxnSpPr>
      <xdr:spPr>
        <a:xfrm>
          <a:off x="10572750" y="190425916"/>
          <a:ext cx="571500" cy="12911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1407</xdr:row>
      <xdr:rowOff>52917</xdr:rowOff>
    </xdr:from>
    <xdr:to>
      <xdr:col>15</xdr:col>
      <xdr:colOff>603250</xdr:colOff>
      <xdr:row>1409</xdr:row>
      <xdr:rowOff>148167</xdr:rowOff>
    </xdr:to>
    <xdr:cxnSp macro="">
      <xdr:nvCxnSpPr>
        <xdr:cNvPr id="2118" name="Straight Arrow Connector 2117">
          <a:extLst>
            <a:ext uri="{FF2B5EF4-FFF2-40B4-BE49-F238E27FC236}">
              <a16:creationId xmlns:a16="http://schemas.microsoft.com/office/drawing/2014/main" id="{00000000-0008-0000-1300-000046080000}"/>
            </a:ext>
          </a:extLst>
        </xdr:cNvPr>
        <xdr:cNvCxnSpPr/>
      </xdr:nvCxnSpPr>
      <xdr:spPr>
        <a:xfrm flipV="1">
          <a:off x="10583333" y="1842664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1442</xdr:row>
      <xdr:rowOff>42333</xdr:rowOff>
    </xdr:from>
    <xdr:to>
      <xdr:col>11</xdr:col>
      <xdr:colOff>603250</xdr:colOff>
      <xdr:row>1454</xdr:row>
      <xdr:rowOff>10583</xdr:rowOff>
    </xdr:to>
    <xdr:cxnSp macro="">
      <xdr:nvCxnSpPr>
        <xdr:cNvPr id="2119" name="Straight Arrow Connector 2118">
          <a:extLst>
            <a:ext uri="{FF2B5EF4-FFF2-40B4-BE49-F238E27FC236}">
              <a16:creationId xmlns:a16="http://schemas.microsoft.com/office/drawing/2014/main" id="{00000000-0008-0000-1300-000047080000}"/>
            </a:ext>
          </a:extLst>
        </xdr:cNvPr>
        <xdr:cNvCxnSpPr/>
      </xdr:nvCxnSpPr>
      <xdr:spPr>
        <a:xfrm>
          <a:off x="7598834" y="1909233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1432</xdr:row>
      <xdr:rowOff>21167</xdr:rowOff>
    </xdr:from>
    <xdr:to>
      <xdr:col>13</xdr:col>
      <xdr:colOff>592667</xdr:colOff>
      <xdr:row>1434</xdr:row>
      <xdr:rowOff>0</xdr:rowOff>
    </xdr:to>
    <xdr:cxnSp macro="">
      <xdr:nvCxnSpPr>
        <xdr:cNvPr id="2120" name="Straight Arrow Connector 2119">
          <a:extLst>
            <a:ext uri="{FF2B5EF4-FFF2-40B4-BE49-F238E27FC236}">
              <a16:creationId xmlns:a16="http://schemas.microsoft.com/office/drawing/2014/main" id="{00000000-0008-0000-1300-000048080000}"/>
            </a:ext>
          </a:extLst>
        </xdr:cNvPr>
        <xdr:cNvCxnSpPr/>
      </xdr:nvCxnSpPr>
      <xdr:spPr>
        <a:xfrm flipV="1">
          <a:off x="8794750" y="1889971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1437</xdr:row>
      <xdr:rowOff>21166</xdr:rowOff>
    </xdr:from>
    <xdr:to>
      <xdr:col>13</xdr:col>
      <xdr:colOff>592667</xdr:colOff>
      <xdr:row>1438</xdr:row>
      <xdr:rowOff>169334</xdr:rowOff>
    </xdr:to>
    <xdr:cxnSp macro="">
      <xdr:nvCxnSpPr>
        <xdr:cNvPr id="2121" name="Straight Arrow Connector 2120">
          <a:extLst>
            <a:ext uri="{FF2B5EF4-FFF2-40B4-BE49-F238E27FC236}">
              <a16:creationId xmlns:a16="http://schemas.microsoft.com/office/drawing/2014/main" id="{00000000-0008-0000-1300-000049080000}"/>
            </a:ext>
          </a:extLst>
        </xdr:cNvPr>
        <xdr:cNvCxnSpPr/>
      </xdr:nvCxnSpPr>
      <xdr:spPr>
        <a:xfrm>
          <a:off x="8784166" y="1899496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1452</xdr:row>
      <xdr:rowOff>21167</xdr:rowOff>
    </xdr:from>
    <xdr:to>
      <xdr:col>13</xdr:col>
      <xdr:colOff>592667</xdr:colOff>
      <xdr:row>1454</xdr:row>
      <xdr:rowOff>63500</xdr:rowOff>
    </xdr:to>
    <xdr:cxnSp macro="">
      <xdr:nvCxnSpPr>
        <xdr:cNvPr id="2122" name="Straight Arrow Connector 2121">
          <a:extLst>
            <a:ext uri="{FF2B5EF4-FFF2-40B4-BE49-F238E27FC236}">
              <a16:creationId xmlns:a16="http://schemas.microsoft.com/office/drawing/2014/main" id="{00000000-0008-0000-1300-00004A080000}"/>
            </a:ext>
          </a:extLst>
        </xdr:cNvPr>
        <xdr:cNvCxnSpPr/>
      </xdr:nvCxnSpPr>
      <xdr:spPr>
        <a:xfrm flipV="1">
          <a:off x="8794750" y="1929976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1457</xdr:row>
      <xdr:rowOff>0</xdr:rowOff>
    </xdr:from>
    <xdr:to>
      <xdr:col>14</xdr:col>
      <xdr:colOff>10584</xdr:colOff>
      <xdr:row>1465</xdr:row>
      <xdr:rowOff>148167</xdr:rowOff>
    </xdr:to>
    <xdr:cxnSp macro="">
      <xdr:nvCxnSpPr>
        <xdr:cNvPr id="2123" name="Straight Arrow Connector 2122">
          <a:extLst>
            <a:ext uri="{FF2B5EF4-FFF2-40B4-BE49-F238E27FC236}">
              <a16:creationId xmlns:a16="http://schemas.microsoft.com/office/drawing/2014/main" id="{00000000-0008-0000-1300-00004B080000}"/>
            </a:ext>
          </a:extLst>
        </xdr:cNvPr>
        <xdr:cNvCxnSpPr/>
      </xdr:nvCxnSpPr>
      <xdr:spPr>
        <a:xfrm>
          <a:off x="8805333" y="1939290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1428</xdr:row>
      <xdr:rowOff>95250</xdr:rowOff>
    </xdr:from>
    <xdr:to>
      <xdr:col>15</xdr:col>
      <xdr:colOff>582083</xdr:colOff>
      <xdr:row>1430</xdr:row>
      <xdr:rowOff>137583</xdr:rowOff>
    </xdr:to>
    <xdr:cxnSp macro="">
      <xdr:nvCxnSpPr>
        <xdr:cNvPr id="2124" name="Straight Arrow Connector 2123">
          <a:extLst>
            <a:ext uri="{FF2B5EF4-FFF2-40B4-BE49-F238E27FC236}">
              <a16:creationId xmlns:a16="http://schemas.microsoft.com/office/drawing/2014/main" id="{00000000-0008-0000-1300-00004C080000}"/>
            </a:ext>
          </a:extLst>
        </xdr:cNvPr>
        <xdr:cNvCxnSpPr/>
      </xdr:nvCxnSpPr>
      <xdr:spPr>
        <a:xfrm>
          <a:off x="10593916" y="188309250"/>
          <a:ext cx="5291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1437</xdr:row>
      <xdr:rowOff>52916</xdr:rowOff>
    </xdr:from>
    <xdr:to>
      <xdr:col>16</xdr:col>
      <xdr:colOff>0</xdr:colOff>
      <xdr:row>1439</xdr:row>
      <xdr:rowOff>0</xdr:rowOff>
    </xdr:to>
    <xdr:cxnSp macro="">
      <xdr:nvCxnSpPr>
        <xdr:cNvPr id="2125" name="Straight Arrow Connector 2124">
          <a:extLst>
            <a:ext uri="{FF2B5EF4-FFF2-40B4-BE49-F238E27FC236}">
              <a16:creationId xmlns:a16="http://schemas.microsoft.com/office/drawing/2014/main" id="{00000000-0008-0000-1300-00004D080000}"/>
            </a:ext>
          </a:extLst>
        </xdr:cNvPr>
        <xdr:cNvCxnSpPr/>
      </xdr:nvCxnSpPr>
      <xdr:spPr>
        <a:xfrm flipV="1">
          <a:off x="10541000" y="1899814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1439</xdr:row>
      <xdr:rowOff>21167</xdr:rowOff>
    </xdr:from>
    <xdr:to>
      <xdr:col>15</xdr:col>
      <xdr:colOff>592666</xdr:colOff>
      <xdr:row>1440</xdr:row>
      <xdr:rowOff>84667</xdr:rowOff>
    </xdr:to>
    <xdr:cxnSp macro="">
      <xdr:nvCxnSpPr>
        <xdr:cNvPr id="2126" name="Straight Arrow Connector 2125">
          <a:extLst>
            <a:ext uri="{FF2B5EF4-FFF2-40B4-BE49-F238E27FC236}">
              <a16:creationId xmlns:a16="http://schemas.microsoft.com/office/drawing/2014/main" id="{00000000-0008-0000-1300-00004E080000}"/>
            </a:ext>
          </a:extLst>
        </xdr:cNvPr>
        <xdr:cNvCxnSpPr/>
      </xdr:nvCxnSpPr>
      <xdr:spPr>
        <a:xfrm>
          <a:off x="10530417" y="190330667"/>
          <a:ext cx="603249" cy="25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1439</xdr:row>
      <xdr:rowOff>0</xdr:rowOff>
    </xdr:from>
    <xdr:to>
      <xdr:col>16</xdr:col>
      <xdr:colOff>0</xdr:colOff>
      <xdr:row>1443</xdr:row>
      <xdr:rowOff>42334</xdr:rowOff>
    </xdr:to>
    <xdr:cxnSp macro="">
      <xdr:nvCxnSpPr>
        <xdr:cNvPr id="2127" name="Straight Arrow Connector 2126">
          <a:extLst>
            <a:ext uri="{FF2B5EF4-FFF2-40B4-BE49-F238E27FC236}">
              <a16:creationId xmlns:a16="http://schemas.microsoft.com/office/drawing/2014/main" id="{00000000-0008-0000-1300-00004F080000}"/>
            </a:ext>
          </a:extLst>
        </xdr:cNvPr>
        <xdr:cNvCxnSpPr/>
      </xdr:nvCxnSpPr>
      <xdr:spPr>
        <a:xfrm>
          <a:off x="10530417" y="190309500"/>
          <a:ext cx="613833" cy="804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1450</xdr:row>
      <xdr:rowOff>0</xdr:rowOff>
    </xdr:from>
    <xdr:to>
      <xdr:col>15</xdr:col>
      <xdr:colOff>603250</xdr:colOff>
      <xdr:row>1452</xdr:row>
      <xdr:rowOff>1</xdr:rowOff>
    </xdr:to>
    <xdr:cxnSp macro="">
      <xdr:nvCxnSpPr>
        <xdr:cNvPr id="2128" name="Straight Arrow Connector 2127">
          <a:extLst>
            <a:ext uri="{FF2B5EF4-FFF2-40B4-BE49-F238E27FC236}">
              <a16:creationId xmlns:a16="http://schemas.microsoft.com/office/drawing/2014/main" id="{00000000-0008-0000-1300-000050080000}"/>
            </a:ext>
          </a:extLst>
        </xdr:cNvPr>
        <xdr:cNvCxnSpPr/>
      </xdr:nvCxnSpPr>
      <xdr:spPr>
        <a:xfrm flipV="1">
          <a:off x="10530417" y="1925955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1452</xdr:row>
      <xdr:rowOff>10584</xdr:rowOff>
    </xdr:from>
    <xdr:to>
      <xdr:col>15</xdr:col>
      <xdr:colOff>592666</xdr:colOff>
      <xdr:row>1453</xdr:row>
      <xdr:rowOff>95250</xdr:rowOff>
    </xdr:to>
    <xdr:cxnSp macro="">
      <xdr:nvCxnSpPr>
        <xdr:cNvPr id="2129" name="Straight Arrow Connector 2128">
          <a:extLst>
            <a:ext uri="{FF2B5EF4-FFF2-40B4-BE49-F238E27FC236}">
              <a16:creationId xmlns:a16="http://schemas.microsoft.com/office/drawing/2014/main" id="{00000000-0008-0000-1300-000051080000}"/>
            </a:ext>
          </a:extLst>
        </xdr:cNvPr>
        <xdr:cNvCxnSpPr/>
      </xdr:nvCxnSpPr>
      <xdr:spPr>
        <a:xfrm>
          <a:off x="10572750" y="1929870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1452</xdr:row>
      <xdr:rowOff>10584</xdr:rowOff>
    </xdr:from>
    <xdr:to>
      <xdr:col>15</xdr:col>
      <xdr:colOff>560916</xdr:colOff>
      <xdr:row>1456</xdr:row>
      <xdr:rowOff>52917</xdr:rowOff>
    </xdr:to>
    <xdr:cxnSp macro="">
      <xdr:nvCxnSpPr>
        <xdr:cNvPr id="2130" name="Straight Arrow Connector 2129">
          <a:extLst>
            <a:ext uri="{FF2B5EF4-FFF2-40B4-BE49-F238E27FC236}">
              <a16:creationId xmlns:a16="http://schemas.microsoft.com/office/drawing/2014/main" id="{00000000-0008-0000-1300-000052080000}"/>
            </a:ext>
          </a:extLst>
        </xdr:cNvPr>
        <xdr:cNvCxnSpPr/>
      </xdr:nvCxnSpPr>
      <xdr:spPr>
        <a:xfrm>
          <a:off x="10551583" y="1929870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1452</xdr:row>
      <xdr:rowOff>31750</xdr:rowOff>
    </xdr:from>
    <xdr:to>
      <xdr:col>16</xdr:col>
      <xdr:colOff>21167</xdr:colOff>
      <xdr:row>1459</xdr:row>
      <xdr:rowOff>95250</xdr:rowOff>
    </xdr:to>
    <xdr:cxnSp macro="">
      <xdr:nvCxnSpPr>
        <xdr:cNvPr id="2131" name="Straight Arrow Connector 2130">
          <a:extLst>
            <a:ext uri="{FF2B5EF4-FFF2-40B4-BE49-F238E27FC236}">
              <a16:creationId xmlns:a16="http://schemas.microsoft.com/office/drawing/2014/main" id="{00000000-0008-0000-1300-000053080000}"/>
            </a:ext>
          </a:extLst>
        </xdr:cNvPr>
        <xdr:cNvCxnSpPr/>
      </xdr:nvCxnSpPr>
      <xdr:spPr>
        <a:xfrm>
          <a:off x="10583333" y="1930082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698500</xdr:colOff>
      <xdr:row>1507</xdr:row>
      <xdr:rowOff>95250</xdr:rowOff>
    </xdr:from>
    <xdr:to>
      <xdr:col>8</xdr:col>
      <xdr:colOff>21167</xdr:colOff>
      <xdr:row>1539</xdr:row>
      <xdr:rowOff>148166</xdr:rowOff>
    </xdr:to>
    <xdr:cxnSp macro="">
      <xdr:nvCxnSpPr>
        <xdr:cNvPr id="2136" name="Straight Arrow Connector 2135">
          <a:extLst>
            <a:ext uri="{FF2B5EF4-FFF2-40B4-BE49-F238E27FC236}">
              <a16:creationId xmlns:a16="http://schemas.microsoft.com/office/drawing/2014/main" id="{00000000-0008-0000-1300-000058080000}"/>
            </a:ext>
          </a:extLst>
        </xdr:cNvPr>
        <xdr:cNvCxnSpPr/>
      </xdr:nvCxnSpPr>
      <xdr:spPr>
        <a:xfrm>
          <a:off x="5080000" y="203739750"/>
          <a:ext cx="719667" cy="6148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1478</xdr:row>
      <xdr:rowOff>137583</xdr:rowOff>
    </xdr:from>
    <xdr:to>
      <xdr:col>9</xdr:col>
      <xdr:colOff>603250</xdr:colOff>
      <xdr:row>1484</xdr:row>
      <xdr:rowOff>21166</xdr:rowOff>
    </xdr:to>
    <xdr:cxnSp macro="">
      <xdr:nvCxnSpPr>
        <xdr:cNvPr id="2137" name="Straight Arrow Connector 2136">
          <a:extLst>
            <a:ext uri="{FF2B5EF4-FFF2-40B4-BE49-F238E27FC236}">
              <a16:creationId xmlns:a16="http://schemas.microsoft.com/office/drawing/2014/main" id="{00000000-0008-0000-1300-000059080000}"/>
            </a:ext>
          </a:extLst>
        </xdr:cNvPr>
        <xdr:cNvCxnSpPr/>
      </xdr:nvCxnSpPr>
      <xdr:spPr>
        <a:xfrm flipV="1">
          <a:off x="6381750" y="198067083"/>
          <a:ext cx="603250" cy="1026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1487</xdr:row>
      <xdr:rowOff>0</xdr:rowOff>
    </xdr:from>
    <xdr:to>
      <xdr:col>9</xdr:col>
      <xdr:colOff>582083</xdr:colOff>
      <xdr:row>1495</xdr:row>
      <xdr:rowOff>10583</xdr:rowOff>
    </xdr:to>
    <xdr:cxnSp macro="">
      <xdr:nvCxnSpPr>
        <xdr:cNvPr id="2138" name="Straight Arrow Connector 2137">
          <a:extLst>
            <a:ext uri="{FF2B5EF4-FFF2-40B4-BE49-F238E27FC236}">
              <a16:creationId xmlns:a16="http://schemas.microsoft.com/office/drawing/2014/main" id="{00000000-0008-0000-1300-00005A080000}"/>
            </a:ext>
          </a:extLst>
        </xdr:cNvPr>
        <xdr:cNvCxnSpPr/>
      </xdr:nvCxnSpPr>
      <xdr:spPr>
        <a:xfrm>
          <a:off x="6413500" y="199644000"/>
          <a:ext cx="550333" cy="1534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21167</xdr:colOff>
      <xdr:row>1492</xdr:row>
      <xdr:rowOff>169333</xdr:rowOff>
    </xdr:from>
    <xdr:to>
      <xdr:col>11</xdr:col>
      <xdr:colOff>603250</xdr:colOff>
      <xdr:row>1495</xdr:row>
      <xdr:rowOff>21167</xdr:rowOff>
    </xdr:to>
    <xdr:cxnSp macro="">
      <xdr:nvCxnSpPr>
        <xdr:cNvPr id="2139" name="Straight Arrow Connector 2138">
          <a:extLst>
            <a:ext uri="{FF2B5EF4-FFF2-40B4-BE49-F238E27FC236}">
              <a16:creationId xmlns:a16="http://schemas.microsoft.com/office/drawing/2014/main" id="{00000000-0008-0000-1300-00005B080000}"/>
            </a:ext>
          </a:extLst>
        </xdr:cNvPr>
        <xdr:cNvCxnSpPr/>
      </xdr:nvCxnSpPr>
      <xdr:spPr>
        <a:xfrm flipV="1">
          <a:off x="7609417" y="200765833"/>
          <a:ext cx="582083" cy="423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1498</xdr:row>
      <xdr:rowOff>42333</xdr:rowOff>
    </xdr:from>
    <xdr:to>
      <xdr:col>11</xdr:col>
      <xdr:colOff>603250</xdr:colOff>
      <xdr:row>1510</xdr:row>
      <xdr:rowOff>10583</xdr:rowOff>
    </xdr:to>
    <xdr:cxnSp macro="">
      <xdr:nvCxnSpPr>
        <xdr:cNvPr id="2140" name="Straight Arrow Connector 2139">
          <a:extLst>
            <a:ext uri="{FF2B5EF4-FFF2-40B4-BE49-F238E27FC236}">
              <a16:creationId xmlns:a16="http://schemas.microsoft.com/office/drawing/2014/main" id="{00000000-0008-0000-1300-00005C080000}"/>
            </a:ext>
          </a:extLst>
        </xdr:cNvPr>
        <xdr:cNvCxnSpPr/>
      </xdr:nvCxnSpPr>
      <xdr:spPr>
        <a:xfrm>
          <a:off x="7598834" y="2017818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1488</xdr:row>
      <xdr:rowOff>21167</xdr:rowOff>
    </xdr:from>
    <xdr:to>
      <xdr:col>13</xdr:col>
      <xdr:colOff>592667</xdr:colOff>
      <xdr:row>1490</xdr:row>
      <xdr:rowOff>0</xdr:rowOff>
    </xdr:to>
    <xdr:cxnSp macro="">
      <xdr:nvCxnSpPr>
        <xdr:cNvPr id="2141" name="Straight Arrow Connector 2140">
          <a:extLst>
            <a:ext uri="{FF2B5EF4-FFF2-40B4-BE49-F238E27FC236}">
              <a16:creationId xmlns:a16="http://schemas.microsoft.com/office/drawing/2014/main" id="{00000000-0008-0000-1300-00005D080000}"/>
            </a:ext>
          </a:extLst>
        </xdr:cNvPr>
        <xdr:cNvCxnSpPr/>
      </xdr:nvCxnSpPr>
      <xdr:spPr>
        <a:xfrm flipV="1">
          <a:off x="8794750" y="1998556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1493</xdr:row>
      <xdr:rowOff>21166</xdr:rowOff>
    </xdr:from>
    <xdr:to>
      <xdr:col>13</xdr:col>
      <xdr:colOff>592667</xdr:colOff>
      <xdr:row>1494</xdr:row>
      <xdr:rowOff>169334</xdr:rowOff>
    </xdr:to>
    <xdr:cxnSp macro="">
      <xdr:nvCxnSpPr>
        <xdr:cNvPr id="2142" name="Straight Arrow Connector 2141">
          <a:extLst>
            <a:ext uri="{FF2B5EF4-FFF2-40B4-BE49-F238E27FC236}">
              <a16:creationId xmlns:a16="http://schemas.microsoft.com/office/drawing/2014/main" id="{00000000-0008-0000-1300-00005E080000}"/>
            </a:ext>
          </a:extLst>
        </xdr:cNvPr>
        <xdr:cNvCxnSpPr/>
      </xdr:nvCxnSpPr>
      <xdr:spPr>
        <a:xfrm>
          <a:off x="8784166" y="2008081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1508</xdr:row>
      <xdr:rowOff>21167</xdr:rowOff>
    </xdr:from>
    <xdr:to>
      <xdr:col>13</xdr:col>
      <xdr:colOff>592667</xdr:colOff>
      <xdr:row>1510</xdr:row>
      <xdr:rowOff>63500</xdr:rowOff>
    </xdr:to>
    <xdr:cxnSp macro="">
      <xdr:nvCxnSpPr>
        <xdr:cNvPr id="2143" name="Straight Arrow Connector 2142">
          <a:extLst>
            <a:ext uri="{FF2B5EF4-FFF2-40B4-BE49-F238E27FC236}">
              <a16:creationId xmlns:a16="http://schemas.microsoft.com/office/drawing/2014/main" id="{00000000-0008-0000-1300-00005F080000}"/>
            </a:ext>
          </a:extLst>
        </xdr:cNvPr>
        <xdr:cNvCxnSpPr/>
      </xdr:nvCxnSpPr>
      <xdr:spPr>
        <a:xfrm flipV="1">
          <a:off x="8794750" y="2038561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1513</xdr:row>
      <xdr:rowOff>0</xdr:rowOff>
    </xdr:from>
    <xdr:to>
      <xdr:col>14</xdr:col>
      <xdr:colOff>10584</xdr:colOff>
      <xdr:row>1521</xdr:row>
      <xdr:rowOff>148167</xdr:rowOff>
    </xdr:to>
    <xdr:cxnSp macro="">
      <xdr:nvCxnSpPr>
        <xdr:cNvPr id="2144" name="Straight Arrow Connector 2143">
          <a:extLst>
            <a:ext uri="{FF2B5EF4-FFF2-40B4-BE49-F238E27FC236}">
              <a16:creationId xmlns:a16="http://schemas.microsoft.com/office/drawing/2014/main" id="{00000000-0008-0000-1300-000060080000}"/>
            </a:ext>
          </a:extLst>
        </xdr:cNvPr>
        <xdr:cNvCxnSpPr/>
      </xdr:nvCxnSpPr>
      <xdr:spPr>
        <a:xfrm>
          <a:off x="8805333" y="2047875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1480</xdr:row>
      <xdr:rowOff>0</xdr:rowOff>
    </xdr:from>
    <xdr:to>
      <xdr:col>15</xdr:col>
      <xdr:colOff>603250</xdr:colOff>
      <xdr:row>1485</xdr:row>
      <xdr:rowOff>31750</xdr:rowOff>
    </xdr:to>
    <xdr:cxnSp macro="">
      <xdr:nvCxnSpPr>
        <xdr:cNvPr id="2145" name="Straight Arrow Connector 2144">
          <a:extLst>
            <a:ext uri="{FF2B5EF4-FFF2-40B4-BE49-F238E27FC236}">
              <a16:creationId xmlns:a16="http://schemas.microsoft.com/office/drawing/2014/main" id="{00000000-0008-0000-1300-000061080000}"/>
            </a:ext>
          </a:extLst>
        </xdr:cNvPr>
        <xdr:cNvCxnSpPr/>
      </xdr:nvCxnSpPr>
      <xdr:spPr>
        <a:xfrm flipV="1">
          <a:off x="10541000" y="198310500"/>
          <a:ext cx="603250" cy="984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1483</xdr:row>
      <xdr:rowOff>52917</xdr:rowOff>
    </xdr:from>
    <xdr:to>
      <xdr:col>15</xdr:col>
      <xdr:colOff>603250</xdr:colOff>
      <xdr:row>1485</xdr:row>
      <xdr:rowOff>95250</xdr:rowOff>
    </xdr:to>
    <xdr:cxnSp macro="">
      <xdr:nvCxnSpPr>
        <xdr:cNvPr id="2146" name="Straight Arrow Connector 2145">
          <a:extLst>
            <a:ext uri="{FF2B5EF4-FFF2-40B4-BE49-F238E27FC236}">
              <a16:creationId xmlns:a16="http://schemas.microsoft.com/office/drawing/2014/main" id="{00000000-0008-0000-1300-000062080000}"/>
            </a:ext>
          </a:extLst>
        </xdr:cNvPr>
        <xdr:cNvCxnSpPr/>
      </xdr:nvCxnSpPr>
      <xdr:spPr>
        <a:xfrm flipV="1">
          <a:off x="10583333" y="198934917"/>
          <a:ext cx="56091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1485</xdr:row>
      <xdr:rowOff>158750</xdr:rowOff>
    </xdr:from>
    <xdr:to>
      <xdr:col>15</xdr:col>
      <xdr:colOff>582083</xdr:colOff>
      <xdr:row>1486</xdr:row>
      <xdr:rowOff>137583</xdr:rowOff>
    </xdr:to>
    <xdr:cxnSp macro="">
      <xdr:nvCxnSpPr>
        <xdr:cNvPr id="2147" name="Straight Arrow Connector 2146">
          <a:extLst>
            <a:ext uri="{FF2B5EF4-FFF2-40B4-BE49-F238E27FC236}">
              <a16:creationId xmlns:a16="http://schemas.microsoft.com/office/drawing/2014/main" id="{00000000-0008-0000-1300-000063080000}"/>
            </a:ext>
          </a:extLst>
        </xdr:cNvPr>
        <xdr:cNvCxnSpPr/>
      </xdr:nvCxnSpPr>
      <xdr:spPr>
        <a:xfrm>
          <a:off x="10604500" y="199421750"/>
          <a:ext cx="518583" cy="169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1121834</xdr:colOff>
      <xdr:row>1485</xdr:row>
      <xdr:rowOff>105834</xdr:rowOff>
    </xdr:from>
    <xdr:to>
      <xdr:col>16</xdr:col>
      <xdr:colOff>0</xdr:colOff>
      <xdr:row>1489</xdr:row>
      <xdr:rowOff>84667</xdr:rowOff>
    </xdr:to>
    <xdr:cxnSp macro="">
      <xdr:nvCxnSpPr>
        <xdr:cNvPr id="2148" name="Straight Arrow Connector 2147">
          <a:extLst>
            <a:ext uri="{FF2B5EF4-FFF2-40B4-BE49-F238E27FC236}">
              <a16:creationId xmlns:a16="http://schemas.microsoft.com/office/drawing/2014/main" id="{00000000-0008-0000-1300-000064080000}"/>
            </a:ext>
          </a:extLst>
        </xdr:cNvPr>
        <xdr:cNvCxnSpPr/>
      </xdr:nvCxnSpPr>
      <xdr:spPr>
        <a:xfrm>
          <a:off x="10519834" y="199368834"/>
          <a:ext cx="624416"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1493</xdr:row>
      <xdr:rowOff>52916</xdr:rowOff>
    </xdr:from>
    <xdr:to>
      <xdr:col>16</xdr:col>
      <xdr:colOff>0</xdr:colOff>
      <xdr:row>1495</xdr:row>
      <xdr:rowOff>0</xdr:rowOff>
    </xdr:to>
    <xdr:cxnSp macro="">
      <xdr:nvCxnSpPr>
        <xdr:cNvPr id="2149" name="Straight Arrow Connector 2148">
          <a:extLst>
            <a:ext uri="{FF2B5EF4-FFF2-40B4-BE49-F238E27FC236}">
              <a16:creationId xmlns:a16="http://schemas.microsoft.com/office/drawing/2014/main" id="{00000000-0008-0000-1300-000065080000}"/>
            </a:ext>
          </a:extLst>
        </xdr:cNvPr>
        <xdr:cNvCxnSpPr/>
      </xdr:nvCxnSpPr>
      <xdr:spPr>
        <a:xfrm flipV="1">
          <a:off x="10541000" y="2008399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1495</xdr:row>
      <xdr:rowOff>21167</xdr:rowOff>
    </xdr:from>
    <xdr:to>
      <xdr:col>15</xdr:col>
      <xdr:colOff>582083</xdr:colOff>
      <xdr:row>1496</xdr:row>
      <xdr:rowOff>42333</xdr:rowOff>
    </xdr:to>
    <xdr:cxnSp macro="">
      <xdr:nvCxnSpPr>
        <xdr:cNvPr id="2150" name="Straight Arrow Connector 2149">
          <a:extLst>
            <a:ext uri="{FF2B5EF4-FFF2-40B4-BE49-F238E27FC236}">
              <a16:creationId xmlns:a16="http://schemas.microsoft.com/office/drawing/2014/main" id="{00000000-0008-0000-1300-000066080000}"/>
            </a:ext>
          </a:extLst>
        </xdr:cNvPr>
        <xdr:cNvCxnSpPr/>
      </xdr:nvCxnSpPr>
      <xdr:spPr>
        <a:xfrm>
          <a:off x="10551583" y="201189167"/>
          <a:ext cx="571500" cy="211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1495</xdr:row>
      <xdr:rowOff>21167</xdr:rowOff>
    </xdr:from>
    <xdr:to>
      <xdr:col>16</xdr:col>
      <xdr:colOff>42333</xdr:colOff>
      <xdr:row>1500</xdr:row>
      <xdr:rowOff>21168</xdr:rowOff>
    </xdr:to>
    <xdr:cxnSp macro="">
      <xdr:nvCxnSpPr>
        <xdr:cNvPr id="2151" name="Straight Arrow Connector 2150">
          <a:extLst>
            <a:ext uri="{FF2B5EF4-FFF2-40B4-BE49-F238E27FC236}">
              <a16:creationId xmlns:a16="http://schemas.microsoft.com/office/drawing/2014/main" id="{00000000-0008-0000-1300-000067080000}"/>
            </a:ext>
          </a:extLst>
        </xdr:cNvPr>
        <xdr:cNvCxnSpPr/>
      </xdr:nvCxnSpPr>
      <xdr:spPr>
        <a:xfrm>
          <a:off x="10530417" y="201189167"/>
          <a:ext cx="656166" cy="9525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1495</xdr:row>
      <xdr:rowOff>31750</xdr:rowOff>
    </xdr:from>
    <xdr:to>
      <xdr:col>16</xdr:col>
      <xdr:colOff>42334</xdr:colOff>
      <xdr:row>1502</xdr:row>
      <xdr:rowOff>63501</xdr:rowOff>
    </xdr:to>
    <xdr:cxnSp macro="">
      <xdr:nvCxnSpPr>
        <xdr:cNvPr id="2152" name="Straight Arrow Connector 2151">
          <a:extLst>
            <a:ext uri="{FF2B5EF4-FFF2-40B4-BE49-F238E27FC236}">
              <a16:creationId xmlns:a16="http://schemas.microsoft.com/office/drawing/2014/main" id="{00000000-0008-0000-1300-000068080000}"/>
            </a:ext>
          </a:extLst>
        </xdr:cNvPr>
        <xdr:cNvCxnSpPr/>
      </xdr:nvCxnSpPr>
      <xdr:spPr>
        <a:xfrm>
          <a:off x="10541000" y="201199750"/>
          <a:ext cx="645584"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10583</xdr:colOff>
      <xdr:row>1532</xdr:row>
      <xdr:rowOff>42333</xdr:rowOff>
    </xdr:from>
    <xdr:to>
      <xdr:col>9</xdr:col>
      <xdr:colOff>592666</xdr:colOff>
      <xdr:row>1540</xdr:row>
      <xdr:rowOff>42333</xdr:rowOff>
    </xdr:to>
    <xdr:cxnSp macro="">
      <xdr:nvCxnSpPr>
        <xdr:cNvPr id="2153" name="Straight Arrow Connector 2152">
          <a:extLst>
            <a:ext uri="{FF2B5EF4-FFF2-40B4-BE49-F238E27FC236}">
              <a16:creationId xmlns:a16="http://schemas.microsoft.com/office/drawing/2014/main" id="{00000000-0008-0000-1300-000069080000}"/>
            </a:ext>
          </a:extLst>
        </xdr:cNvPr>
        <xdr:cNvCxnSpPr/>
      </xdr:nvCxnSpPr>
      <xdr:spPr>
        <a:xfrm flipV="1">
          <a:off x="6392333" y="208449333"/>
          <a:ext cx="582083" cy="152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1542</xdr:row>
      <xdr:rowOff>169334</xdr:rowOff>
    </xdr:from>
    <xdr:to>
      <xdr:col>9</xdr:col>
      <xdr:colOff>603250</xdr:colOff>
      <xdr:row>1551</xdr:row>
      <xdr:rowOff>31750</xdr:rowOff>
    </xdr:to>
    <xdr:cxnSp macro="">
      <xdr:nvCxnSpPr>
        <xdr:cNvPr id="2154" name="Straight Arrow Connector 2153">
          <a:extLst>
            <a:ext uri="{FF2B5EF4-FFF2-40B4-BE49-F238E27FC236}">
              <a16:creationId xmlns:a16="http://schemas.microsoft.com/office/drawing/2014/main" id="{00000000-0008-0000-1300-00006A080000}"/>
            </a:ext>
          </a:extLst>
        </xdr:cNvPr>
        <xdr:cNvCxnSpPr/>
      </xdr:nvCxnSpPr>
      <xdr:spPr>
        <a:xfrm>
          <a:off x="6413500" y="210481334"/>
          <a:ext cx="571500" cy="1576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571500</xdr:colOff>
      <xdr:row>1548</xdr:row>
      <xdr:rowOff>158750</xdr:rowOff>
    </xdr:from>
    <xdr:to>
      <xdr:col>11</xdr:col>
      <xdr:colOff>571500</xdr:colOff>
      <xdr:row>1551</xdr:row>
      <xdr:rowOff>0</xdr:rowOff>
    </xdr:to>
    <xdr:cxnSp macro="">
      <xdr:nvCxnSpPr>
        <xdr:cNvPr id="2155" name="Straight Arrow Connector 2154">
          <a:extLst>
            <a:ext uri="{FF2B5EF4-FFF2-40B4-BE49-F238E27FC236}">
              <a16:creationId xmlns:a16="http://schemas.microsoft.com/office/drawing/2014/main" id="{00000000-0008-0000-1300-00006B080000}"/>
            </a:ext>
          </a:extLst>
        </xdr:cNvPr>
        <xdr:cNvCxnSpPr/>
      </xdr:nvCxnSpPr>
      <xdr:spPr>
        <a:xfrm flipV="1">
          <a:off x="7556500" y="211613750"/>
          <a:ext cx="603250" cy="412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1506</xdr:row>
      <xdr:rowOff>0</xdr:rowOff>
    </xdr:from>
    <xdr:to>
      <xdr:col>15</xdr:col>
      <xdr:colOff>603250</xdr:colOff>
      <xdr:row>1508</xdr:row>
      <xdr:rowOff>1</xdr:rowOff>
    </xdr:to>
    <xdr:cxnSp macro="">
      <xdr:nvCxnSpPr>
        <xdr:cNvPr id="2156" name="Straight Arrow Connector 2155">
          <a:extLst>
            <a:ext uri="{FF2B5EF4-FFF2-40B4-BE49-F238E27FC236}">
              <a16:creationId xmlns:a16="http://schemas.microsoft.com/office/drawing/2014/main" id="{00000000-0008-0000-1300-00006C080000}"/>
            </a:ext>
          </a:extLst>
        </xdr:cNvPr>
        <xdr:cNvCxnSpPr/>
      </xdr:nvCxnSpPr>
      <xdr:spPr>
        <a:xfrm flipV="1">
          <a:off x="10530417" y="2034540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1508</xdr:row>
      <xdr:rowOff>10584</xdr:rowOff>
    </xdr:from>
    <xdr:to>
      <xdr:col>15</xdr:col>
      <xdr:colOff>592666</xdr:colOff>
      <xdr:row>1509</xdr:row>
      <xdr:rowOff>95250</xdr:rowOff>
    </xdr:to>
    <xdr:cxnSp macro="">
      <xdr:nvCxnSpPr>
        <xdr:cNvPr id="2157" name="Straight Arrow Connector 2156">
          <a:extLst>
            <a:ext uri="{FF2B5EF4-FFF2-40B4-BE49-F238E27FC236}">
              <a16:creationId xmlns:a16="http://schemas.microsoft.com/office/drawing/2014/main" id="{00000000-0008-0000-1300-00006D080000}"/>
            </a:ext>
          </a:extLst>
        </xdr:cNvPr>
        <xdr:cNvCxnSpPr/>
      </xdr:nvCxnSpPr>
      <xdr:spPr>
        <a:xfrm>
          <a:off x="10572750" y="2038455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1508</xdr:row>
      <xdr:rowOff>10584</xdr:rowOff>
    </xdr:from>
    <xdr:to>
      <xdr:col>15</xdr:col>
      <xdr:colOff>560916</xdr:colOff>
      <xdr:row>1512</xdr:row>
      <xdr:rowOff>52917</xdr:rowOff>
    </xdr:to>
    <xdr:cxnSp macro="">
      <xdr:nvCxnSpPr>
        <xdr:cNvPr id="2158" name="Straight Arrow Connector 2157">
          <a:extLst>
            <a:ext uri="{FF2B5EF4-FFF2-40B4-BE49-F238E27FC236}">
              <a16:creationId xmlns:a16="http://schemas.microsoft.com/office/drawing/2014/main" id="{00000000-0008-0000-1300-00006E080000}"/>
            </a:ext>
          </a:extLst>
        </xdr:cNvPr>
        <xdr:cNvCxnSpPr/>
      </xdr:nvCxnSpPr>
      <xdr:spPr>
        <a:xfrm>
          <a:off x="10551583" y="2038455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1508</xdr:row>
      <xdr:rowOff>31750</xdr:rowOff>
    </xdr:from>
    <xdr:to>
      <xdr:col>16</xdr:col>
      <xdr:colOff>21167</xdr:colOff>
      <xdr:row>1515</xdr:row>
      <xdr:rowOff>95250</xdr:rowOff>
    </xdr:to>
    <xdr:cxnSp macro="">
      <xdr:nvCxnSpPr>
        <xdr:cNvPr id="2159" name="Straight Arrow Connector 2158">
          <a:extLst>
            <a:ext uri="{FF2B5EF4-FFF2-40B4-BE49-F238E27FC236}">
              <a16:creationId xmlns:a16="http://schemas.microsoft.com/office/drawing/2014/main" id="{00000000-0008-0000-1300-00006F080000}"/>
            </a:ext>
          </a:extLst>
        </xdr:cNvPr>
        <xdr:cNvCxnSpPr/>
      </xdr:nvCxnSpPr>
      <xdr:spPr>
        <a:xfrm>
          <a:off x="10583333" y="2038667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1522</xdr:row>
      <xdr:rowOff>0</xdr:rowOff>
    </xdr:from>
    <xdr:to>
      <xdr:col>16</xdr:col>
      <xdr:colOff>0</xdr:colOff>
      <xdr:row>1522</xdr:row>
      <xdr:rowOff>42334</xdr:rowOff>
    </xdr:to>
    <xdr:cxnSp macro="">
      <xdr:nvCxnSpPr>
        <xdr:cNvPr id="2160" name="Straight Arrow Connector 2159">
          <a:extLst>
            <a:ext uri="{FF2B5EF4-FFF2-40B4-BE49-F238E27FC236}">
              <a16:creationId xmlns:a16="http://schemas.microsoft.com/office/drawing/2014/main" id="{00000000-0008-0000-1300-000070080000}"/>
            </a:ext>
          </a:extLst>
        </xdr:cNvPr>
        <xdr:cNvCxnSpPr/>
      </xdr:nvCxnSpPr>
      <xdr:spPr>
        <a:xfrm>
          <a:off x="10562166" y="2065020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1522</xdr:row>
      <xdr:rowOff>21166</xdr:rowOff>
    </xdr:from>
    <xdr:to>
      <xdr:col>15</xdr:col>
      <xdr:colOff>560916</xdr:colOff>
      <xdr:row>1525</xdr:row>
      <xdr:rowOff>84667</xdr:rowOff>
    </xdr:to>
    <xdr:cxnSp macro="">
      <xdr:nvCxnSpPr>
        <xdr:cNvPr id="2161" name="Straight Arrow Connector 2160">
          <a:extLst>
            <a:ext uri="{FF2B5EF4-FFF2-40B4-BE49-F238E27FC236}">
              <a16:creationId xmlns:a16="http://schemas.microsoft.com/office/drawing/2014/main" id="{00000000-0008-0000-1300-000071080000}"/>
            </a:ext>
          </a:extLst>
        </xdr:cNvPr>
        <xdr:cNvCxnSpPr/>
      </xdr:nvCxnSpPr>
      <xdr:spPr>
        <a:xfrm>
          <a:off x="10615083" y="2065231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1522</xdr:row>
      <xdr:rowOff>52916</xdr:rowOff>
    </xdr:from>
    <xdr:to>
      <xdr:col>15</xdr:col>
      <xdr:colOff>592666</xdr:colOff>
      <xdr:row>1528</xdr:row>
      <xdr:rowOff>63501</xdr:rowOff>
    </xdr:to>
    <xdr:cxnSp macro="">
      <xdr:nvCxnSpPr>
        <xdr:cNvPr id="2162" name="Straight Arrow Connector 2161">
          <a:extLst>
            <a:ext uri="{FF2B5EF4-FFF2-40B4-BE49-F238E27FC236}">
              <a16:creationId xmlns:a16="http://schemas.microsoft.com/office/drawing/2014/main" id="{00000000-0008-0000-1300-000072080000}"/>
            </a:ext>
          </a:extLst>
        </xdr:cNvPr>
        <xdr:cNvCxnSpPr/>
      </xdr:nvCxnSpPr>
      <xdr:spPr>
        <a:xfrm>
          <a:off x="10572750" y="2065549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1536</xdr:row>
      <xdr:rowOff>116416</xdr:rowOff>
    </xdr:from>
    <xdr:to>
      <xdr:col>15</xdr:col>
      <xdr:colOff>592666</xdr:colOff>
      <xdr:row>1539</xdr:row>
      <xdr:rowOff>158750</xdr:rowOff>
    </xdr:to>
    <xdr:cxnSp macro="">
      <xdr:nvCxnSpPr>
        <xdr:cNvPr id="2163" name="Straight Arrow Connector 2162">
          <a:extLst>
            <a:ext uri="{FF2B5EF4-FFF2-40B4-BE49-F238E27FC236}">
              <a16:creationId xmlns:a16="http://schemas.microsoft.com/office/drawing/2014/main" id="{00000000-0008-0000-1300-000073080000}"/>
            </a:ext>
          </a:extLst>
        </xdr:cNvPr>
        <xdr:cNvCxnSpPr/>
      </xdr:nvCxnSpPr>
      <xdr:spPr>
        <a:xfrm flipV="1">
          <a:off x="10562166" y="209285416"/>
          <a:ext cx="571500" cy="613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1538</xdr:row>
      <xdr:rowOff>95250</xdr:rowOff>
    </xdr:from>
    <xdr:to>
      <xdr:col>15</xdr:col>
      <xdr:colOff>582083</xdr:colOff>
      <xdr:row>1540</xdr:row>
      <xdr:rowOff>52917</xdr:rowOff>
    </xdr:to>
    <xdr:cxnSp macro="">
      <xdr:nvCxnSpPr>
        <xdr:cNvPr id="2164" name="Straight Arrow Connector 2163">
          <a:extLst>
            <a:ext uri="{FF2B5EF4-FFF2-40B4-BE49-F238E27FC236}">
              <a16:creationId xmlns:a16="http://schemas.microsoft.com/office/drawing/2014/main" id="{00000000-0008-0000-1300-000074080000}"/>
            </a:ext>
          </a:extLst>
        </xdr:cNvPr>
        <xdr:cNvCxnSpPr/>
      </xdr:nvCxnSpPr>
      <xdr:spPr>
        <a:xfrm flipV="1">
          <a:off x="10604500" y="209645250"/>
          <a:ext cx="518583" cy="338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1540</xdr:row>
      <xdr:rowOff>116417</xdr:rowOff>
    </xdr:from>
    <xdr:to>
      <xdr:col>15</xdr:col>
      <xdr:colOff>592666</xdr:colOff>
      <xdr:row>1544</xdr:row>
      <xdr:rowOff>95250</xdr:rowOff>
    </xdr:to>
    <xdr:cxnSp macro="">
      <xdr:nvCxnSpPr>
        <xdr:cNvPr id="2165" name="Straight Arrow Connector 2164">
          <a:extLst>
            <a:ext uri="{FF2B5EF4-FFF2-40B4-BE49-F238E27FC236}">
              <a16:creationId xmlns:a16="http://schemas.microsoft.com/office/drawing/2014/main" id="{00000000-0008-0000-1300-000075080000}"/>
            </a:ext>
          </a:extLst>
        </xdr:cNvPr>
        <xdr:cNvCxnSpPr/>
      </xdr:nvCxnSpPr>
      <xdr:spPr>
        <a:xfrm>
          <a:off x="10593916" y="210047417"/>
          <a:ext cx="53975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1551</xdr:row>
      <xdr:rowOff>116416</xdr:rowOff>
    </xdr:from>
    <xdr:to>
      <xdr:col>16</xdr:col>
      <xdr:colOff>0</xdr:colOff>
      <xdr:row>1558</xdr:row>
      <xdr:rowOff>74084</xdr:rowOff>
    </xdr:to>
    <xdr:cxnSp macro="">
      <xdr:nvCxnSpPr>
        <xdr:cNvPr id="2166" name="Straight Arrow Connector 2165">
          <a:extLst>
            <a:ext uri="{FF2B5EF4-FFF2-40B4-BE49-F238E27FC236}">
              <a16:creationId xmlns:a16="http://schemas.microsoft.com/office/drawing/2014/main" id="{00000000-0008-0000-1300-000076080000}"/>
            </a:ext>
          </a:extLst>
        </xdr:cNvPr>
        <xdr:cNvCxnSpPr/>
      </xdr:nvCxnSpPr>
      <xdr:spPr>
        <a:xfrm>
          <a:off x="10572750" y="212142916"/>
          <a:ext cx="571500" cy="12911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1519</xdr:row>
      <xdr:rowOff>52917</xdr:rowOff>
    </xdr:from>
    <xdr:to>
      <xdr:col>15</xdr:col>
      <xdr:colOff>603250</xdr:colOff>
      <xdr:row>1521</xdr:row>
      <xdr:rowOff>148167</xdr:rowOff>
    </xdr:to>
    <xdr:cxnSp macro="">
      <xdr:nvCxnSpPr>
        <xdr:cNvPr id="2167" name="Straight Arrow Connector 2166">
          <a:extLst>
            <a:ext uri="{FF2B5EF4-FFF2-40B4-BE49-F238E27FC236}">
              <a16:creationId xmlns:a16="http://schemas.microsoft.com/office/drawing/2014/main" id="{00000000-0008-0000-1300-000077080000}"/>
            </a:ext>
          </a:extLst>
        </xdr:cNvPr>
        <xdr:cNvCxnSpPr/>
      </xdr:nvCxnSpPr>
      <xdr:spPr>
        <a:xfrm flipV="1">
          <a:off x="10583333" y="2059834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1554</xdr:row>
      <xdr:rowOff>42333</xdr:rowOff>
    </xdr:from>
    <xdr:to>
      <xdr:col>11</xdr:col>
      <xdr:colOff>603250</xdr:colOff>
      <xdr:row>1566</xdr:row>
      <xdr:rowOff>10583</xdr:rowOff>
    </xdr:to>
    <xdr:cxnSp macro="">
      <xdr:nvCxnSpPr>
        <xdr:cNvPr id="2168" name="Straight Arrow Connector 2167">
          <a:extLst>
            <a:ext uri="{FF2B5EF4-FFF2-40B4-BE49-F238E27FC236}">
              <a16:creationId xmlns:a16="http://schemas.microsoft.com/office/drawing/2014/main" id="{00000000-0008-0000-1300-000078080000}"/>
            </a:ext>
          </a:extLst>
        </xdr:cNvPr>
        <xdr:cNvCxnSpPr/>
      </xdr:nvCxnSpPr>
      <xdr:spPr>
        <a:xfrm>
          <a:off x="7598834" y="2126403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1544</xdr:row>
      <xdr:rowOff>21167</xdr:rowOff>
    </xdr:from>
    <xdr:to>
      <xdr:col>13</xdr:col>
      <xdr:colOff>592667</xdr:colOff>
      <xdr:row>1546</xdr:row>
      <xdr:rowOff>0</xdr:rowOff>
    </xdr:to>
    <xdr:cxnSp macro="">
      <xdr:nvCxnSpPr>
        <xdr:cNvPr id="2169" name="Straight Arrow Connector 2168">
          <a:extLst>
            <a:ext uri="{FF2B5EF4-FFF2-40B4-BE49-F238E27FC236}">
              <a16:creationId xmlns:a16="http://schemas.microsoft.com/office/drawing/2014/main" id="{00000000-0008-0000-1300-000079080000}"/>
            </a:ext>
          </a:extLst>
        </xdr:cNvPr>
        <xdr:cNvCxnSpPr/>
      </xdr:nvCxnSpPr>
      <xdr:spPr>
        <a:xfrm flipV="1">
          <a:off x="8794750" y="2107141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1549</xdr:row>
      <xdr:rowOff>21166</xdr:rowOff>
    </xdr:from>
    <xdr:to>
      <xdr:col>13</xdr:col>
      <xdr:colOff>592667</xdr:colOff>
      <xdr:row>1550</xdr:row>
      <xdr:rowOff>169334</xdr:rowOff>
    </xdr:to>
    <xdr:cxnSp macro="">
      <xdr:nvCxnSpPr>
        <xdr:cNvPr id="2170" name="Straight Arrow Connector 2169">
          <a:extLst>
            <a:ext uri="{FF2B5EF4-FFF2-40B4-BE49-F238E27FC236}">
              <a16:creationId xmlns:a16="http://schemas.microsoft.com/office/drawing/2014/main" id="{00000000-0008-0000-1300-00007A080000}"/>
            </a:ext>
          </a:extLst>
        </xdr:cNvPr>
        <xdr:cNvCxnSpPr/>
      </xdr:nvCxnSpPr>
      <xdr:spPr>
        <a:xfrm>
          <a:off x="8784166" y="2116666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1564</xdr:row>
      <xdr:rowOff>21167</xdr:rowOff>
    </xdr:from>
    <xdr:to>
      <xdr:col>13</xdr:col>
      <xdr:colOff>592667</xdr:colOff>
      <xdr:row>1566</xdr:row>
      <xdr:rowOff>63500</xdr:rowOff>
    </xdr:to>
    <xdr:cxnSp macro="">
      <xdr:nvCxnSpPr>
        <xdr:cNvPr id="2171" name="Straight Arrow Connector 2170">
          <a:extLst>
            <a:ext uri="{FF2B5EF4-FFF2-40B4-BE49-F238E27FC236}">
              <a16:creationId xmlns:a16="http://schemas.microsoft.com/office/drawing/2014/main" id="{00000000-0008-0000-1300-00007B080000}"/>
            </a:ext>
          </a:extLst>
        </xdr:cNvPr>
        <xdr:cNvCxnSpPr/>
      </xdr:nvCxnSpPr>
      <xdr:spPr>
        <a:xfrm flipV="1">
          <a:off x="8794750" y="2147146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1569</xdr:row>
      <xdr:rowOff>0</xdr:rowOff>
    </xdr:from>
    <xdr:to>
      <xdr:col>14</xdr:col>
      <xdr:colOff>10584</xdr:colOff>
      <xdr:row>1577</xdr:row>
      <xdr:rowOff>148167</xdr:rowOff>
    </xdr:to>
    <xdr:cxnSp macro="">
      <xdr:nvCxnSpPr>
        <xdr:cNvPr id="2172" name="Straight Arrow Connector 2171">
          <a:extLst>
            <a:ext uri="{FF2B5EF4-FFF2-40B4-BE49-F238E27FC236}">
              <a16:creationId xmlns:a16="http://schemas.microsoft.com/office/drawing/2014/main" id="{00000000-0008-0000-1300-00007C080000}"/>
            </a:ext>
          </a:extLst>
        </xdr:cNvPr>
        <xdr:cNvCxnSpPr/>
      </xdr:nvCxnSpPr>
      <xdr:spPr>
        <a:xfrm>
          <a:off x="8805333" y="2156460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1540</xdr:row>
      <xdr:rowOff>95250</xdr:rowOff>
    </xdr:from>
    <xdr:to>
      <xdr:col>15</xdr:col>
      <xdr:colOff>582083</xdr:colOff>
      <xdr:row>1542</xdr:row>
      <xdr:rowOff>137583</xdr:rowOff>
    </xdr:to>
    <xdr:cxnSp macro="">
      <xdr:nvCxnSpPr>
        <xdr:cNvPr id="2173" name="Straight Arrow Connector 2172">
          <a:extLst>
            <a:ext uri="{FF2B5EF4-FFF2-40B4-BE49-F238E27FC236}">
              <a16:creationId xmlns:a16="http://schemas.microsoft.com/office/drawing/2014/main" id="{00000000-0008-0000-1300-00007D080000}"/>
            </a:ext>
          </a:extLst>
        </xdr:cNvPr>
        <xdr:cNvCxnSpPr/>
      </xdr:nvCxnSpPr>
      <xdr:spPr>
        <a:xfrm>
          <a:off x="10593916" y="210026250"/>
          <a:ext cx="5291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1549</xdr:row>
      <xdr:rowOff>52916</xdr:rowOff>
    </xdr:from>
    <xdr:to>
      <xdr:col>16</xdr:col>
      <xdr:colOff>0</xdr:colOff>
      <xdr:row>1551</xdr:row>
      <xdr:rowOff>0</xdr:rowOff>
    </xdr:to>
    <xdr:cxnSp macro="">
      <xdr:nvCxnSpPr>
        <xdr:cNvPr id="2174" name="Straight Arrow Connector 2173">
          <a:extLst>
            <a:ext uri="{FF2B5EF4-FFF2-40B4-BE49-F238E27FC236}">
              <a16:creationId xmlns:a16="http://schemas.microsoft.com/office/drawing/2014/main" id="{00000000-0008-0000-1300-00007E080000}"/>
            </a:ext>
          </a:extLst>
        </xdr:cNvPr>
        <xdr:cNvCxnSpPr/>
      </xdr:nvCxnSpPr>
      <xdr:spPr>
        <a:xfrm flipV="1">
          <a:off x="10541000" y="2116984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1551</xdr:row>
      <xdr:rowOff>21167</xdr:rowOff>
    </xdr:from>
    <xdr:to>
      <xdr:col>15</xdr:col>
      <xdr:colOff>592666</xdr:colOff>
      <xdr:row>1552</xdr:row>
      <xdr:rowOff>84667</xdr:rowOff>
    </xdr:to>
    <xdr:cxnSp macro="">
      <xdr:nvCxnSpPr>
        <xdr:cNvPr id="2175" name="Straight Arrow Connector 2174">
          <a:extLst>
            <a:ext uri="{FF2B5EF4-FFF2-40B4-BE49-F238E27FC236}">
              <a16:creationId xmlns:a16="http://schemas.microsoft.com/office/drawing/2014/main" id="{00000000-0008-0000-1300-00007F080000}"/>
            </a:ext>
          </a:extLst>
        </xdr:cNvPr>
        <xdr:cNvCxnSpPr/>
      </xdr:nvCxnSpPr>
      <xdr:spPr>
        <a:xfrm>
          <a:off x="10530417" y="212047667"/>
          <a:ext cx="603249" cy="25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1551</xdr:row>
      <xdr:rowOff>0</xdr:rowOff>
    </xdr:from>
    <xdr:to>
      <xdr:col>16</xdr:col>
      <xdr:colOff>0</xdr:colOff>
      <xdr:row>1555</xdr:row>
      <xdr:rowOff>42334</xdr:rowOff>
    </xdr:to>
    <xdr:cxnSp macro="">
      <xdr:nvCxnSpPr>
        <xdr:cNvPr id="2176" name="Straight Arrow Connector 2175">
          <a:extLst>
            <a:ext uri="{FF2B5EF4-FFF2-40B4-BE49-F238E27FC236}">
              <a16:creationId xmlns:a16="http://schemas.microsoft.com/office/drawing/2014/main" id="{00000000-0008-0000-1300-000080080000}"/>
            </a:ext>
          </a:extLst>
        </xdr:cNvPr>
        <xdr:cNvCxnSpPr/>
      </xdr:nvCxnSpPr>
      <xdr:spPr>
        <a:xfrm>
          <a:off x="10530417" y="212026500"/>
          <a:ext cx="613833" cy="804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1562</xdr:row>
      <xdr:rowOff>0</xdr:rowOff>
    </xdr:from>
    <xdr:to>
      <xdr:col>15</xdr:col>
      <xdr:colOff>603250</xdr:colOff>
      <xdr:row>1564</xdr:row>
      <xdr:rowOff>1</xdr:rowOff>
    </xdr:to>
    <xdr:cxnSp macro="">
      <xdr:nvCxnSpPr>
        <xdr:cNvPr id="2177" name="Straight Arrow Connector 2176">
          <a:extLst>
            <a:ext uri="{FF2B5EF4-FFF2-40B4-BE49-F238E27FC236}">
              <a16:creationId xmlns:a16="http://schemas.microsoft.com/office/drawing/2014/main" id="{00000000-0008-0000-1300-000081080000}"/>
            </a:ext>
          </a:extLst>
        </xdr:cNvPr>
        <xdr:cNvCxnSpPr/>
      </xdr:nvCxnSpPr>
      <xdr:spPr>
        <a:xfrm flipV="1">
          <a:off x="10530417" y="2143125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1564</xdr:row>
      <xdr:rowOff>10584</xdr:rowOff>
    </xdr:from>
    <xdr:to>
      <xdr:col>15</xdr:col>
      <xdr:colOff>592666</xdr:colOff>
      <xdr:row>1565</xdr:row>
      <xdr:rowOff>95250</xdr:rowOff>
    </xdr:to>
    <xdr:cxnSp macro="">
      <xdr:nvCxnSpPr>
        <xdr:cNvPr id="2178" name="Straight Arrow Connector 2177">
          <a:extLst>
            <a:ext uri="{FF2B5EF4-FFF2-40B4-BE49-F238E27FC236}">
              <a16:creationId xmlns:a16="http://schemas.microsoft.com/office/drawing/2014/main" id="{00000000-0008-0000-1300-000082080000}"/>
            </a:ext>
          </a:extLst>
        </xdr:cNvPr>
        <xdr:cNvCxnSpPr/>
      </xdr:nvCxnSpPr>
      <xdr:spPr>
        <a:xfrm>
          <a:off x="10572750" y="2147040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1564</xdr:row>
      <xdr:rowOff>10584</xdr:rowOff>
    </xdr:from>
    <xdr:to>
      <xdr:col>15</xdr:col>
      <xdr:colOff>560916</xdr:colOff>
      <xdr:row>1568</xdr:row>
      <xdr:rowOff>52917</xdr:rowOff>
    </xdr:to>
    <xdr:cxnSp macro="">
      <xdr:nvCxnSpPr>
        <xdr:cNvPr id="2179" name="Straight Arrow Connector 2178">
          <a:extLst>
            <a:ext uri="{FF2B5EF4-FFF2-40B4-BE49-F238E27FC236}">
              <a16:creationId xmlns:a16="http://schemas.microsoft.com/office/drawing/2014/main" id="{00000000-0008-0000-1300-000083080000}"/>
            </a:ext>
          </a:extLst>
        </xdr:cNvPr>
        <xdr:cNvCxnSpPr/>
      </xdr:nvCxnSpPr>
      <xdr:spPr>
        <a:xfrm>
          <a:off x="10551583" y="2147040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1564</xdr:row>
      <xdr:rowOff>31750</xdr:rowOff>
    </xdr:from>
    <xdr:to>
      <xdr:col>16</xdr:col>
      <xdr:colOff>21167</xdr:colOff>
      <xdr:row>1571</xdr:row>
      <xdr:rowOff>95250</xdr:rowOff>
    </xdr:to>
    <xdr:cxnSp macro="">
      <xdr:nvCxnSpPr>
        <xdr:cNvPr id="2180" name="Straight Arrow Connector 2179">
          <a:extLst>
            <a:ext uri="{FF2B5EF4-FFF2-40B4-BE49-F238E27FC236}">
              <a16:creationId xmlns:a16="http://schemas.microsoft.com/office/drawing/2014/main" id="{00000000-0008-0000-1300-000084080000}"/>
            </a:ext>
          </a:extLst>
        </xdr:cNvPr>
        <xdr:cNvCxnSpPr/>
      </xdr:nvCxnSpPr>
      <xdr:spPr>
        <a:xfrm>
          <a:off x="10583333" y="2147252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1578</xdr:row>
      <xdr:rowOff>0</xdr:rowOff>
    </xdr:from>
    <xdr:to>
      <xdr:col>16</xdr:col>
      <xdr:colOff>0</xdr:colOff>
      <xdr:row>1578</xdr:row>
      <xdr:rowOff>42334</xdr:rowOff>
    </xdr:to>
    <xdr:cxnSp macro="">
      <xdr:nvCxnSpPr>
        <xdr:cNvPr id="2181" name="Straight Arrow Connector 2180">
          <a:extLst>
            <a:ext uri="{FF2B5EF4-FFF2-40B4-BE49-F238E27FC236}">
              <a16:creationId xmlns:a16="http://schemas.microsoft.com/office/drawing/2014/main" id="{00000000-0008-0000-1300-000085080000}"/>
            </a:ext>
          </a:extLst>
        </xdr:cNvPr>
        <xdr:cNvCxnSpPr/>
      </xdr:nvCxnSpPr>
      <xdr:spPr>
        <a:xfrm>
          <a:off x="10562166" y="2173605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1578</xdr:row>
      <xdr:rowOff>21166</xdr:rowOff>
    </xdr:from>
    <xdr:to>
      <xdr:col>15</xdr:col>
      <xdr:colOff>560916</xdr:colOff>
      <xdr:row>1581</xdr:row>
      <xdr:rowOff>84667</xdr:rowOff>
    </xdr:to>
    <xdr:cxnSp macro="">
      <xdr:nvCxnSpPr>
        <xdr:cNvPr id="2182" name="Straight Arrow Connector 2181">
          <a:extLst>
            <a:ext uri="{FF2B5EF4-FFF2-40B4-BE49-F238E27FC236}">
              <a16:creationId xmlns:a16="http://schemas.microsoft.com/office/drawing/2014/main" id="{00000000-0008-0000-1300-000086080000}"/>
            </a:ext>
          </a:extLst>
        </xdr:cNvPr>
        <xdr:cNvCxnSpPr/>
      </xdr:nvCxnSpPr>
      <xdr:spPr>
        <a:xfrm>
          <a:off x="10615083" y="2173816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1578</xdr:row>
      <xdr:rowOff>52916</xdr:rowOff>
    </xdr:from>
    <xdr:to>
      <xdr:col>15</xdr:col>
      <xdr:colOff>592666</xdr:colOff>
      <xdr:row>1584</xdr:row>
      <xdr:rowOff>63501</xdr:rowOff>
    </xdr:to>
    <xdr:cxnSp macro="">
      <xdr:nvCxnSpPr>
        <xdr:cNvPr id="2183" name="Straight Arrow Connector 2182">
          <a:extLst>
            <a:ext uri="{FF2B5EF4-FFF2-40B4-BE49-F238E27FC236}">
              <a16:creationId xmlns:a16="http://schemas.microsoft.com/office/drawing/2014/main" id="{00000000-0008-0000-1300-000087080000}"/>
            </a:ext>
          </a:extLst>
        </xdr:cNvPr>
        <xdr:cNvCxnSpPr/>
      </xdr:nvCxnSpPr>
      <xdr:spPr>
        <a:xfrm>
          <a:off x="10572750" y="2174134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1575</xdr:row>
      <xdr:rowOff>52917</xdr:rowOff>
    </xdr:from>
    <xdr:to>
      <xdr:col>15</xdr:col>
      <xdr:colOff>603250</xdr:colOff>
      <xdr:row>1577</xdr:row>
      <xdr:rowOff>148167</xdr:rowOff>
    </xdr:to>
    <xdr:cxnSp macro="">
      <xdr:nvCxnSpPr>
        <xdr:cNvPr id="2184" name="Straight Arrow Connector 2183">
          <a:extLst>
            <a:ext uri="{FF2B5EF4-FFF2-40B4-BE49-F238E27FC236}">
              <a16:creationId xmlns:a16="http://schemas.microsoft.com/office/drawing/2014/main" id="{00000000-0008-0000-1300-000088080000}"/>
            </a:ext>
          </a:extLst>
        </xdr:cNvPr>
        <xdr:cNvCxnSpPr/>
      </xdr:nvCxnSpPr>
      <xdr:spPr>
        <a:xfrm flipV="1">
          <a:off x="10583333" y="2168419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31750</xdr:colOff>
      <xdr:row>1486</xdr:row>
      <xdr:rowOff>127000</xdr:rowOff>
    </xdr:from>
    <xdr:to>
      <xdr:col>8</xdr:col>
      <xdr:colOff>63500</xdr:colOff>
      <xdr:row>1505</xdr:row>
      <xdr:rowOff>0</xdr:rowOff>
    </xdr:to>
    <xdr:cxnSp macro="">
      <xdr:nvCxnSpPr>
        <xdr:cNvPr id="2185" name="Straight Arrow Connector 2184">
          <a:extLst>
            <a:ext uri="{FF2B5EF4-FFF2-40B4-BE49-F238E27FC236}">
              <a16:creationId xmlns:a16="http://schemas.microsoft.com/office/drawing/2014/main" id="{00000000-0008-0000-1300-000089080000}"/>
            </a:ext>
          </a:extLst>
        </xdr:cNvPr>
        <xdr:cNvCxnSpPr/>
      </xdr:nvCxnSpPr>
      <xdr:spPr>
        <a:xfrm flipV="1">
          <a:off x="5207000" y="199580500"/>
          <a:ext cx="635000" cy="3587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825500</xdr:colOff>
      <xdr:row>1623</xdr:row>
      <xdr:rowOff>1</xdr:rowOff>
    </xdr:from>
    <xdr:to>
      <xdr:col>6</xdr:col>
      <xdr:colOff>0</xdr:colOff>
      <xdr:row>1657</xdr:row>
      <xdr:rowOff>116417</xdr:rowOff>
    </xdr:to>
    <xdr:cxnSp macro="">
      <xdr:nvCxnSpPr>
        <xdr:cNvPr id="2186" name="Straight Arrow Connector 2185">
          <a:extLst>
            <a:ext uri="{FF2B5EF4-FFF2-40B4-BE49-F238E27FC236}">
              <a16:creationId xmlns:a16="http://schemas.microsoft.com/office/drawing/2014/main" id="{00000000-0008-0000-1300-00008A080000}"/>
            </a:ext>
          </a:extLst>
        </xdr:cNvPr>
        <xdr:cNvCxnSpPr/>
      </xdr:nvCxnSpPr>
      <xdr:spPr>
        <a:xfrm flipV="1">
          <a:off x="3714750" y="226123501"/>
          <a:ext cx="666750" cy="65934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21167</xdr:colOff>
      <xdr:row>1660</xdr:row>
      <xdr:rowOff>169334</xdr:rowOff>
    </xdr:from>
    <xdr:to>
      <xdr:col>5</xdr:col>
      <xdr:colOff>571500</xdr:colOff>
      <xdr:row>1729</xdr:row>
      <xdr:rowOff>0</xdr:rowOff>
    </xdr:to>
    <xdr:cxnSp macro="">
      <xdr:nvCxnSpPr>
        <xdr:cNvPr id="2187" name="Straight Arrow Connector 2186">
          <a:extLst>
            <a:ext uri="{FF2B5EF4-FFF2-40B4-BE49-F238E27FC236}">
              <a16:creationId xmlns:a16="http://schemas.microsoft.com/office/drawing/2014/main" id="{00000000-0008-0000-1300-00008B080000}"/>
            </a:ext>
          </a:extLst>
        </xdr:cNvPr>
        <xdr:cNvCxnSpPr/>
      </xdr:nvCxnSpPr>
      <xdr:spPr>
        <a:xfrm>
          <a:off x="3799417" y="233341334"/>
          <a:ext cx="550333" cy="133244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1598</xdr:row>
      <xdr:rowOff>148167</xdr:rowOff>
    </xdr:from>
    <xdr:to>
      <xdr:col>7</xdr:col>
      <xdr:colOff>603250</xdr:colOff>
      <xdr:row>1620</xdr:row>
      <xdr:rowOff>31750</xdr:rowOff>
    </xdr:to>
    <xdr:cxnSp macro="">
      <xdr:nvCxnSpPr>
        <xdr:cNvPr id="2188" name="Straight Arrow Connector 2187">
          <a:extLst>
            <a:ext uri="{FF2B5EF4-FFF2-40B4-BE49-F238E27FC236}">
              <a16:creationId xmlns:a16="http://schemas.microsoft.com/office/drawing/2014/main" id="{00000000-0008-0000-1300-00008C080000}"/>
            </a:ext>
          </a:extLst>
        </xdr:cNvPr>
        <xdr:cNvCxnSpPr/>
      </xdr:nvCxnSpPr>
      <xdr:spPr>
        <a:xfrm flipV="1">
          <a:off x="5175250" y="221318667"/>
          <a:ext cx="603250" cy="42650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1623</xdr:row>
      <xdr:rowOff>10584</xdr:rowOff>
    </xdr:from>
    <xdr:to>
      <xdr:col>8</xdr:col>
      <xdr:colOff>21167</xdr:colOff>
      <xdr:row>1651</xdr:row>
      <xdr:rowOff>148166</xdr:rowOff>
    </xdr:to>
    <xdr:cxnSp macro="">
      <xdr:nvCxnSpPr>
        <xdr:cNvPr id="2189" name="Straight Arrow Connector 2188">
          <a:extLst>
            <a:ext uri="{FF2B5EF4-FFF2-40B4-BE49-F238E27FC236}">
              <a16:creationId xmlns:a16="http://schemas.microsoft.com/office/drawing/2014/main" id="{00000000-0008-0000-1300-00008D080000}"/>
            </a:ext>
          </a:extLst>
        </xdr:cNvPr>
        <xdr:cNvCxnSpPr/>
      </xdr:nvCxnSpPr>
      <xdr:spPr>
        <a:xfrm>
          <a:off x="5175250" y="226134084"/>
          <a:ext cx="624417" cy="547158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1590</xdr:row>
      <xdr:rowOff>137583</xdr:rowOff>
    </xdr:from>
    <xdr:to>
      <xdr:col>9</xdr:col>
      <xdr:colOff>603250</xdr:colOff>
      <xdr:row>1596</xdr:row>
      <xdr:rowOff>21166</xdr:rowOff>
    </xdr:to>
    <xdr:cxnSp macro="">
      <xdr:nvCxnSpPr>
        <xdr:cNvPr id="2190" name="Straight Arrow Connector 2189">
          <a:extLst>
            <a:ext uri="{FF2B5EF4-FFF2-40B4-BE49-F238E27FC236}">
              <a16:creationId xmlns:a16="http://schemas.microsoft.com/office/drawing/2014/main" id="{00000000-0008-0000-1300-00008E080000}"/>
            </a:ext>
          </a:extLst>
        </xdr:cNvPr>
        <xdr:cNvCxnSpPr/>
      </xdr:nvCxnSpPr>
      <xdr:spPr>
        <a:xfrm flipV="1">
          <a:off x="6381750" y="219784083"/>
          <a:ext cx="603250" cy="1026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1599</xdr:row>
      <xdr:rowOff>0</xdr:rowOff>
    </xdr:from>
    <xdr:to>
      <xdr:col>9</xdr:col>
      <xdr:colOff>582083</xdr:colOff>
      <xdr:row>1607</xdr:row>
      <xdr:rowOff>10583</xdr:rowOff>
    </xdr:to>
    <xdr:cxnSp macro="">
      <xdr:nvCxnSpPr>
        <xdr:cNvPr id="2191" name="Straight Arrow Connector 2190">
          <a:extLst>
            <a:ext uri="{FF2B5EF4-FFF2-40B4-BE49-F238E27FC236}">
              <a16:creationId xmlns:a16="http://schemas.microsoft.com/office/drawing/2014/main" id="{00000000-0008-0000-1300-00008F080000}"/>
            </a:ext>
          </a:extLst>
        </xdr:cNvPr>
        <xdr:cNvCxnSpPr/>
      </xdr:nvCxnSpPr>
      <xdr:spPr>
        <a:xfrm>
          <a:off x="6413500" y="221361000"/>
          <a:ext cx="550333" cy="1534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21167</xdr:colOff>
      <xdr:row>1604</xdr:row>
      <xdr:rowOff>169333</xdr:rowOff>
    </xdr:from>
    <xdr:to>
      <xdr:col>11</xdr:col>
      <xdr:colOff>603250</xdr:colOff>
      <xdr:row>1607</xdr:row>
      <xdr:rowOff>21167</xdr:rowOff>
    </xdr:to>
    <xdr:cxnSp macro="">
      <xdr:nvCxnSpPr>
        <xdr:cNvPr id="2192" name="Straight Arrow Connector 2191">
          <a:extLst>
            <a:ext uri="{FF2B5EF4-FFF2-40B4-BE49-F238E27FC236}">
              <a16:creationId xmlns:a16="http://schemas.microsoft.com/office/drawing/2014/main" id="{00000000-0008-0000-1300-000090080000}"/>
            </a:ext>
          </a:extLst>
        </xdr:cNvPr>
        <xdr:cNvCxnSpPr/>
      </xdr:nvCxnSpPr>
      <xdr:spPr>
        <a:xfrm flipV="1">
          <a:off x="7609417" y="222482833"/>
          <a:ext cx="582083" cy="423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1610</xdr:row>
      <xdr:rowOff>42333</xdr:rowOff>
    </xdr:from>
    <xdr:to>
      <xdr:col>11</xdr:col>
      <xdr:colOff>603250</xdr:colOff>
      <xdr:row>1622</xdr:row>
      <xdr:rowOff>10583</xdr:rowOff>
    </xdr:to>
    <xdr:cxnSp macro="">
      <xdr:nvCxnSpPr>
        <xdr:cNvPr id="2193" name="Straight Arrow Connector 2192">
          <a:extLst>
            <a:ext uri="{FF2B5EF4-FFF2-40B4-BE49-F238E27FC236}">
              <a16:creationId xmlns:a16="http://schemas.microsoft.com/office/drawing/2014/main" id="{00000000-0008-0000-1300-000091080000}"/>
            </a:ext>
          </a:extLst>
        </xdr:cNvPr>
        <xdr:cNvCxnSpPr/>
      </xdr:nvCxnSpPr>
      <xdr:spPr>
        <a:xfrm>
          <a:off x="7598834" y="2234988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1600</xdr:row>
      <xdr:rowOff>21167</xdr:rowOff>
    </xdr:from>
    <xdr:to>
      <xdr:col>13</xdr:col>
      <xdr:colOff>592667</xdr:colOff>
      <xdr:row>1602</xdr:row>
      <xdr:rowOff>0</xdr:rowOff>
    </xdr:to>
    <xdr:cxnSp macro="">
      <xdr:nvCxnSpPr>
        <xdr:cNvPr id="2194" name="Straight Arrow Connector 2193">
          <a:extLst>
            <a:ext uri="{FF2B5EF4-FFF2-40B4-BE49-F238E27FC236}">
              <a16:creationId xmlns:a16="http://schemas.microsoft.com/office/drawing/2014/main" id="{00000000-0008-0000-1300-000092080000}"/>
            </a:ext>
          </a:extLst>
        </xdr:cNvPr>
        <xdr:cNvCxnSpPr/>
      </xdr:nvCxnSpPr>
      <xdr:spPr>
        <a:xfrm flipV="1">
          <a:off x="8794750" y="2215726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1605</xdr:row>
      <xdr:rowOff>21166</xdr:rowOff>
    </xdr:from>
    <xdr:to>
      <xdr:col>13</xdr:col>
      <xdr:colOff>592667</xdr:colOff>
      <xdr:row>1606</xdr:row>
      <xdr:rowOff>169334</xdr:rowOff>
    </xdr:to>
    <xdr:cxnSp macro="">
      <xdr:nvCxnSpPr>
        <xdr:cNvPr id="2195" name="Straight Arrow Connector 2194">
          <a:extLst>
            <a:ext uri="{FF2B5EF4-FFF2-40B4-BE49-F238E27FC236}">
              <a16:creationId xmlns:a16="http://schemas.microsoft.com/office/drawing/2014/main" id="{00000000-0008-0000-1300-000093080000}"/>
            </a:ext>
          </a:extLst>
        </xdr:cNvPr>
        <xdr:cNvCxnSpPr/>
      </xdr:nvCxnSpPr>
      <xdr:spPr>
        <a:xfrm>
          <a:off x="8784166" y="2225251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1620</xdr:row>
      <xdr:rowOff>21167</xdr:rowOff>
    </xdr:from>
    <xdr:to>
      <xdr:col>13</xdr:col>
      <xdr:colOff>592667</xdr:colOff>
      <xdr:row>1622</xdr:row>
      <xdr:rowOff>63500</xdr:rowOff>
    </xdr:to>
    <xdr:cxnSp macro="">
      <xdr:nvCxnSpPr>
        <xdr:cNvPr id="2196" name="Straight Arrow Connector 2195">
          <a:extLst>
            <a:ext uri="{FF2B5EF4-FFF2-40B4-BE49-F238E27FC236}">
              <a16:creationId xmlns:a16="http://schemas.microsoft.com/office/drawing/2014/main" id="{00000000-0008-0000-1300-000094080000}"/>
            </a:ext>
          </a:extLst>
        </xdr:cNvPr>
        <xdr:cNvCxnSpPr/>
      </xdr:nvCxnSpPr>
      <xdr:spPr>
        <a:xfrm flipV="1">
          <a:off x="8794750" y="2255731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1625</xdr:row>
      <xdr:rowOff>0</xdr:rowOff>
    </xdr:from>
    <xdr:to>
      <xdr:col>14</xdr:col>
      <xdr:colOff>10584</xdr:colOff>
      <xdr:row>1633</xdr:row>
      <xdr:rowOff>148167</xdr:rowOff>
    </xdr:to>
    <xdr:cxnSp macro="">
      <xdr:nvCxnSpPr>
        <xdr:cNvPr id="2197" name="Straight Arrow Connector 2196">
          <a:extLst>
            <a:ext uri="{FF2B5EF4-FFF2-40B4-BE49-F238E27FC236}">
              <a16:creationId xmlns:a16="http://schemas.microsoft.com/office/drawing/2014/main" id="{00000000-0008-0000-1300-000095080000}"/>
            </a:ext>
          </a:extLst>
        </xdr:cNvPr>
        <xdr:cNvCxnSpPr/>
      </xdr:nvCxnSpPr>
      <xdr:spPr>
        <a:xfrm>
          <a:off x="8805333" y="2265045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1592</xdr:row>
      <xdr:rowOff>0</xdr:rowOff>
    </xdr:from>
    <xdr:to>
      <xdr:col>15</xdr:col>
      <xdr:colOff>603250</xdr:colOff>
      <xdr:row>1597</xdr:row>
      <xdr:rowOff>31750</xdr:rowOff>
    </xdr:to>
    <xdr:cxnSp macro="">
      <xdr:nvCxnSpPr>
        <xdr:cNvPr id="2198" name="Straight Arrow Connector 2197">
          <a:extLst>
            <a:ext uri="{FF2B5EF4-FFF2-40B4-BE49-F238E27FC236}">
              <a16:creationId xmlns:a16="http://schemas.microsoft.com/office/drawing/2014/main" id="{00000000-0008-0000-1300-000096080000}"/>
            </a:ext>
          </a:extLst>
        </xdr:cNvPr>
        <xdr:cNvCxnSpPr/>
      </xdr:nvCxnSpPr>
      <xdr:spPr>
        <a:xfrm flipV="1">
          <a:off x="10541000" y="220027500"/>
          <a:ext cx="603250" cy="984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1595</xdr:row>
      <xdr:rowOff>52917</xdr:rowOff>
    </xdr:from>
    <xdr:to>
      <xdr:col>15</xdr:col>
      <xdr:colOff>603250</xdr:colOff>
      <xdr:row>1597</xdr:row>
      <xdr:rowOff>95250</xdr:rowOff>
    </xdr:to>
    <xdr:cxnSp macro="">
      <xdr:nvCxnSpPr>
        <xdr:cNvPr id="2199" name="Straight Arrow Connector 2198">
          <a:extLst>
            <a:ext uri="{FF2B5EF4-FFF2-40B4-BE49-F238E27FC236}">
              <a16:creationId xmlns:a16="http://schemas.microsoft.com/office/drawing/2014/main" id="{00000000-0008-0000-1300-000097080000}"/>
            </a:ext>
          </a:extLst>
        </xdr:cNvPr>
        <xdr:cNvCxnSpPr/>
      </xdr:nvCxnSpPr>
      <xdr:spPr>
        <a:xfrm flipV="1">
          <a:off x="10583333" y="220651917"/>
          <a:ext cx="56091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1597</xdr:row>
      <xdr:rowOff>158750</xdr:rowOff>
    </xdr:from>
    <xdr:to>
      <xdr:col>15</xdr:col>
      <xdr:colOff>582083</xdr:colOff>
      <xdr:row>1598</xdr:row>
      <xdr:rowOff>137583</xdr:rowOff>
    </xdr:to>
    <xdr:cxnSp macro="">
      <xdr:nvCxnSpPr>
        <xdr:cNvPr id="2200" name="Straight Arrow Connector 2199">
          <a:extLst>
            <a:ext uri="{FF2B5EF4-FFF2-40B4-BE49-F238E27FC236}">
              <a16:creationId xmlns:a16="http://schemas.microsoft.com/office/drawing/2014/main" id="{00000000-0008-0000-1300-000098080000}"/>
            </a:ext>
          </a:extLst>
        </xdr:cNvPr>
        <xdr:cNvCxnSpPr/>
      </xdr:nvCxnSpPr>
      <xdr:spPr>
        <a:xfrm>
          <a:off x="10604500" y="221138750"/>
          <a:ext cx="518583" cy="169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1121834</xdr:colOff>
      <xdr:row>1597</xdr:row>
      <xdr:rowOff>105834</xdr:rowOff>
    </xdr:from>
    <xdr:to>
      <xdr:col>16</xdr:col>
      <xdr:colOff>0</xdr:colOff>
      <xdr:row>1601</xdr:row>
      <xdr:rowOff>84667</xdr:rowOff>
    </xdr:to>
    <xdr:cxnSp macro="">
      <xdr:nvCxnSpPr>
        <xdr:cNvPr id="2201" name="Straight Arrow Connector 2200">
          <a:extLst>
            <a:ext uri="{FF2B5EF4-FFF2-40B4-BE49-F238E27FC236}">
              <a16:creationId xmlns:a16="http://schemas.microsoft.com/office/drawing/2014/main" id="{00000000-0008-0000-1300-000099080000}"/>
            </a:ext>
          </a:extLst>
        </xdr:cNvPr>
        <xdr:cNvCxnSpPr/>
      </xdr:nvCxnSpPr>
      <xdr:spPr>
        <a:xfrm>
          <a:off x="10519834" y="221085834"/>
          <a:ext cx="624416"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1605</xdr:row>
      <xdr:rowOff>52916</xdr:rowOff>
    </xdr:from>
    <xdr:to>
      <xdr:col>16</xdr:col>
      <xdr:colOff>0</xdr:colOff>
      <xdr:row>1607</xdr:row>
      <xdr:rowOff>0</xdr:rowOff>
    </xdr:to>
    <xdr:cxnSp macro="">
      <xdr:nvCxnSpPr>
        <xdr:cNvPr id="2202" name="Straight Arrow Connector 2201">
          <a:extLst>
            <a:ext uri="{FF2B5EF4-FFF2-40B4-BE49-F238E27FC236}">
              <a16:creationId xmlns:a16="http://schemas.microsoft.com/office/drawing/2014/main" id="{00000000-0008-0000-1300-00009A080000}"/>
            </a:ext>
          </a:extLst>
        </xdr:cNvPr>
        <xdr:cNvCxnSpPr/>
      </xdr:nvCxnSpPr>
      <xdr:spPr>
        <a:xfrm flipV="1">
          <a:off x="10541000" y="2225569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1607</xdr:row>
      <xdr:rowOff>21167</xdr:rowOff>
    </xdr:from>
    <xdr:to>
      <xdr:col>15</xdr:col>
      <xdr:colOff>582083</xdr:colOff>
      <xdr:row>1608</xdr:row>
      <xdr:rowOff>42333</xdr:rowOff>
    </xdr:to>
    <xdr:cxnSp macro="">
      <xdr:nvCxnSpPr>
        <xdr:cNvPr id="2203" name="Straight Arrow Connector 2202">
          <a:extLst>
            <a:ext uri="{FF2B5EF4-FFF2-40B4-BE49-F238E27FC236}">
              <a16:creationId xmlns:a16="http://schemas.microsoft.com/office/drawing/2014/main" id="{00000000-0008-0000-1300-00009B080000}"/>
            </a:ext>
          </a:extLst>
        </xdr:cNvPr>
        <xdr:cNvCxnSpPr/>
      </xdr:nvCxnSpPr>
      <xdr:spPr>
        <a:xfrm>
          <a:off x="10551583" y="222906167"/>
          <a:ext cx="571500" cy="211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1607</xdr:row>
      <xdr:rowOff>21167</xdr:rowOff>
    </xdr:from>
    <xdr:to>
      <xdr:col>16</xdr:col>
      <xdr:colOff>42333</xdr:colOff>
      <xdr:row>1612</xdr:row>
      <xdr:rowOff>21168</xdr:rowOff>
    </xdr:to>
    <xdr:cxnSp macro="">
      <xdr:nvCxnSpPr>
        <xdr:cNvPr id="2204" name="Straight Arrow Connector 2203">
          <a:extLst>
            <a:ext uri="{FF2B5EF4-FFF2-40B4-BE49-F238E27FC236}">
              <a16:creationId xmlns:a16="http://schemas.microsoft.com/office/drawing/2014/main" id="{00000000-0008-0000-1300-00009C080000}"/>
            </a:ext>
          </a:extLst>
        </xdr:cNvPr>
        <xdr:cNvCxnSpPr/>
      </xdr:nvCxnSpPr>
      <xdr:spPr>
        <a:xfrm>
          <a:off x="10530417" y="222906167"/>
          <a:ext cx="656166" cy="9525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1607</xdr:row>
      <xdr:rowOff>31750</xdr:rowOff>
    </xdr:from>
    <xdr:to>
      <xdr:col>16</xdr:col>
      <xdr:colOff>42334</xdr:colOff>
      <xdr:row>1614</xdr:row>
      <xdr:rowOff>63501</xdr:rowOff>
    </xdr:to>
    <xdr:cxnSp macro="">
      <xdr:nvCxnSpPr>
        <xdr:cNvPr id="2205" name="Straight Arrow Connector 2204">
          <a:extLst>
            <a:ext uri="{FF2B5EF4-FFF2-40B4-BE49-F238E27FC236}">
              <a16:creationId xmlns:a16="http://schemas.microsoft.com/office/drawing/2014/main" id="{00000000-0008-0000-1300-00009D080000}"/>
            </a:ext>
          </a:extLst>
        </xdr:cNvPr>
        <xdr:cNvCxnSpPr/>
      </xdr:nvCxnSpPr>
      <xdr:spPr>
        <a:xfrm>
          <a:off x="10541000" y="222916750"/>
          <a:ext cx="645584"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10583</xdr:colOff>
      <xdr:row>1644</xdr:row>
      <xdr:rowOff>42333</xdr:rowOff>
    </xdr:from>
    <xdr:to>
      <xdr:col>9</xdr:col>
      <xdr:colOff>592666</xdr:colOff>
      <xdr:row>1652</xdr:row>
      <xdr:rowOff>42333</xdr:rowOff>
    </xdr:to>
    <xdr:cxnSp macro="">
      <xdr:nvCxnSpPr>
        <xdr:cNvPr id="2206" name="Straight Arrow Connector 2205">
          <a:extLst>
            <a:ext uri="{FF2B5EF4-FFF2-40B4-BE49-F238E27FC236}">
              <a16:creationId xmlns:a16="http://schemas.microsoft.com/office/drawing/2014/main" id="{00000000-0008-0000-1300-00009E080000}"/>
            </a:ext>
          </a:extLst>
        </xdr:cNvPr>
        <xdr:cNvCxnSpPr/>
      </xdr:nvCxnSpPr>
      <xdr:spPr>
        <a:xfrm flipV="1">
          <a:off x="6392333" y="230166333"/>
          <a:ext cx="582083" cy="152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1654</xdr:row>
      <xdr:rowOff>169334</xdr:rowOff>
    </xdr:from>
    <xdr:to>
      <xdr:col>9</xdr:col>
      <xdr:colOff>603250</xdr:colOff>
      <xdr:row>1663</xdr:row>
      <xdr:rowOff>31750</xdr:rowOff>
    </xdr:to>
    <xdr:cxnSp macro="">
      <xdr:nvCxnSpPr>
        <xdr:cNvPr id="2207" name="Straight Arrow Connector 2206">
          <a:extLst>
            <a:ext uri="{FF2B5EF4-FFF2-40B4-BE49-F238E27FC236}">
              <a16:creationId xmlns:a16="http://schemas.microsoft.com/office/drawing/2014/main" id="{00000000-0008-0000-1300-00009F080000}"/>
            </a:ext>
          </a:extLst>
        </xdr:cNvPr>
        <xdr:cNvCxnSpPr/>
      </xdr:nvCxnSpPr>
      <xdr:spPr>
        <a:xfrm>
          <a:off x="6413500" y="232198334"/>
          <a:ext cx="571500" cy="1576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571500</xdr:colOff>
      <xdr:row>1660</xdr:row>
      <xdr:rowOff>158750</xdr:rowOff>
    </xdr:from>
    <xdr:to>
      <xdr:col>11</xdr:col>
      <xdr:colOff>571500</xdr:colOff>
      <xdr:row>1663</xdr:row>
      <xdr:rowOff>0</xdr:rowOff>
    </xdr:to>
    <xdr:cxnSp macro="">
      <xdr:nvCxnSpPr>
        <xdr:cNvPr id="2208" name="Straight Arrow Connector 2207">
          <a:extLst>
            <a:ext uri="{FF2B5EF4-FFF2-40B4-BE49-F238E27FC236}">
              <a16:creationId xmlns:a16="http://schemas.microsoft.com/office/drawing/2014/main" id="{00000000-0008-0000-1300-0000A0080000}"/>
            </a:ext>
          </a:extLst>
        </xdr:cNvPr>
        <xdr:cNvCxnSpPr/>
      </xdr:nvCxnSpPr>
      <xdr:spPr>
        <a:xfrm flipV="1">
          <a:off x="7556500" y="233330750"/>
          <a:ext cx="603250" cy="412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1618</xdr:row>
      <xdr:rowOff>0</xdr:rowOff>
    </xdr:from>
    <xdr:to>
      <xdr:col>15</xdr:col>
      <xdr:colOff>603250</xdr:colOff>
      <xdr:row>1620</xdr:row>
      <xdr:rowOff>1</xdr:rowOff>
    </xdr:to>
    <xdr:cxnSp macro="">
      <xdr:nvCxnSpPr>
        <xdr:cNvPr id="2209" name="Straight Arrow Connector 2208">
          <a:extLst>
            <a:ext uri="{FF2B5EF4-FFF2-40B4-BE49-F238E27FC236}">
              <a16:creationId xmlns:a16="http://schemas.microsoft.com/office/drawing/2014/main" id="{00000000-0008-0000-1300-0000A1080000}"/>
            </a:ext>
          </a:extLst>
        </xdr:cNvPr>
        <xdr:cNvCxnSpPr/>
      </xdr:nvCxnSpPr>
      <xdr:spPr>
        <a:xfrm flipV="1">
          <a:off x="10530417" y="2251710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1620</xdr:row>
      <xdr:rowOff>10584</xdr:rowOff>
    </xdr:from>
    <xdr:to>
      <xdr:col>15</xdr:col>
      <xdr:colOff>592666</xdr:colOff>
      <xdr:row>1621</xdr:row>
      <xdr:rowOff>95250</xdr:rowOff>
    </xdr:to>
    <xdr:cxnSp macro="">
      <xdr:nvCxnSpPr>
        <xdr:cNvPr id="2210" name="Straight Arrow Connector 2209">
          <a:extLst>
            <a:ext uri="{FF2B5EF4-FFF2-40B4-BE49-F238E27FC236}">
              <a16:creationId xmlns:a16="http://schemas.microsoft.com/office/drawing/2014/main" id="{00000000-0008-0000-1300-0000A2080000}"/>
            </a:ext>
          </a:extLst>
        </xdr:cNvPr>
        <xdr:cNvCxnSpPr/>
      </xdr:nvCxnSpPr>
      <xdr:spPr>
        <a:xfrm>
          <a:off x="10572750" y="2255625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1620</xdr:row>
      <xdr:rowOff>10584</xdr:rowOff>
    </xdr:from>
    <xdr:to>
      <xdr:col>15</xdr:col>
      <xdr:colOff>560916</xdr:colOff>
      <xdr:row>1624</xdr:row>
      <xdr:rowOff>52917</xdr:rowOff>
    </xdr:to>
    <xdr:cxnSp macro="">
      <xdr:nvCxnSpPr>
        <xdr:cNvPr id="2211" name="Straight Arrow Connector 2210">
          <a:extLst>
            <a:ext uri="{FF2B5EF4-FFF2-40B4-BE49-F238E27FC236}">
              <a16:creationId xmlns:a16="http://schemas.microsoft.com/office/drawing/2014/main" id="{00000000-0008-0000-1300-0000A3080000}"/>
            </a:ext>
          </a:extLst>
        </xdr:cNvPr>
        <xdr:cNvCxnSpPr/>
      </xdr:nvCxnSpPr>
      <xdr:spPr>
        <a:xfrm>
          <a:off x="10551583" y="2255625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1620</xdr:row>
      <xdr:rowOff>31750</xdr:rowOff>
    </xdr:from>
    <xdr:to>
      <xdr:col>16</xdr:col>
      <xdr:colOff>21167</xdr:colOff>
      <xdr:row>1627</xdr:row>
      <xdr:rowOff>95250</xdr:rowOff>
    </xdr:to>
    <xdr:cxnSp macro="">
      <xdr:nvCxnSpPr>
        <xdr:cNvPr id="2212" name="Straight Arrow Connector 2211">
          <a:extLst>
            <a:ext uri="{FF2B5EF4-FFF2-40B4-BE49-F238E27FC236}">
              <a16:creationId xmlns:a16="http://schemas.microsoft.com/office/drawing/2014/main" id="{00000000-0008-0000-1300-0000A4080000}"/>
            </a:ext>
          </a:extLst>
        </xdr:cNvPr>
        <xdr:cNvCxnSpPr/>
      </xdr:nvCxnSpPr>
      <xdr:spPr>
        <a:xfrm>
          <a:off x="10583333" y="2255837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1634</xdr:row>
      <xdr:rowOff>0</xdr:rowOff>
    </xdr:from>
    <xdr:to>
      <xdr:col>16</xdr:col>
      <xdr:colOff>0</xdr:colOff>
      <xdr:row>1634</xdr:row>
      <xdr:rowOff>42334</xdr:rowOff>
    </xdr:to>
    <xdr:cxnSp macro="">
      <xdr:nvCxnSpPr>
        <xdr:cNvPr id="2213" name="Straight Arrow Connector 2212">
          <a:extLst>
            <a:ext uri="{FF2B5EF4-FFF2-40B4-BE49-F238E27FC236}">
              <a16:creationId xmlns:a16="http://schemas.microsoft.com/office/drawing/2014/main" id="{00000000-0008-0000-1300-0000A5080000}"/>
            </a:ext>
          </a:extLst>
        </xdr:cNvPr>
        <xdr:cNvCxnSpPr/>
      </xdr:nvCxnSpPr>
      <xdr:spPr>
        <a:xfrm>
          <a:off x="10562166" y="2282190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1634</xdr:row>
      <xdr:rowOff>21166</xdr:rowOff>
    </xdr:from>
    <xdr:to>
      <xdr:col>15</xdr:col>
      <xdr:colOff>560916</xdr:colOff>
      <xdr:row>1637</xdr:row>
      <xdr:rowOff>84667</xdr:rowOff>
    </xdr:to>
    <xdr:cxnSp macro="">
      <xdr:nvCxnSpPr>
        <xdr:cNvPr id="2214" name="Straight Arrow Connector 2213">
          <a:extLst>
            <a:ext uri="{FF2B5EF4-FFF2-40B4-BE49-F238E27FC236}">
              <a16:creationId xmlns:a16="http://schemas.microsoft.com/office/drawing/2014/main" id="{00000000-0008-0000-1300-0000A6080000}"/>
            </a:ext>
          </a:extLst>
        </xdr:cNvPr>
        <xdr:cNvCxnSpPr/>
      </xdr:nvCxnSpPr>
      <xdr:spPr>
        <a:xfrm>
          <a:off x="10615083" y="2282401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1634</xdr:row>
      <xdr:rowOff>52916</xdr:rowOff>
    </xdr:from>
    <xdr:to>
      <xdr:col>15</xdr:col>
      <xdr:colOff>592666</xdr:colOff>
      <xdr:row>1640</xdr:row>
      <xdr:rowOff>63501</xdr:rowOff>
    </xdr:to>
    <xdr:cxnSp macro="">
      <xdr:nvCxnSpPr>
        <xdr:cNvPr id="2215" name="Straight Arrow Connector 2214">
          <a:extLst>
            <a:ext uri="{FF2B5EF4-FFF2-40B4-BE49-F238E27FC236}">
              <a16:creationId xmlns:a16="http://schemas.microsoft.com/office/drawing/2014/main" id="{00000000-0008-0000-1300-0000A7080000}"/>
            </a:ext>
          </a:extLst>
        </xdr:cNvPr>
        <xdr:cNvCxnSpPr/>
      </xdr:nvCxnSpPr>
      <xdr:spPr>
        <a:xfrm>
          <a:off x="10572750" y="2282719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1648</xdr:row>
      <xdr:rowOff>116416</xdr:rowOff>
    </xdr:from>
    <xdr:to>
      <xdr:col>15</xdr:col>
      <xdr:colOff>592666</xdr:colOff>
      <xdr:row>1651</xdr:row>
      <xdr:rowOff>158750</xdr:rowOff>
    </xdr:to>
    <xdr:cxnSp macro="">
      <xdr:nvCxnSpPr>
        <xdr:cNvPr id="2216" name="Straight Arrow Connector 2215">
          <a:extLst>
            <a:ext uri="{FF2B5EF4-FFF2-40B4-BE49-F238E27FC236}">
              <a16:creationId xmlns:a16="http://schemas.microsoft.com/office/drawing/2014/main" id="{00000000-0008-0000-1300-0000A8080000}"/>
            </a:ext>
          </a:extLst>
        </xdr:cNvPr>
        <xdr:cNvCxnSpPr/>
      </xdr:nvCxnSpPr>
      <xdr:spPr>
        <a:xfrm flipV="1">
          <a:off x="10562166" y="231002416"/>
          <a:ext cx="571500" cy="613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1650</xdr:row>
      <xdr:rowOff>95250</xdr:rowOff>
    </xdr:from>
    <xdr:to>
      <xdr:col>15</xdr:col>
      <xdr:colOff>582083</xdr:colOff>
      <xdr:row>1652</xdr:row>
      <xdr:rowOff>52917</xdr:rowOff>
    </xdr:to>
    <xdr:cxnSp macro="">
      <xdr:nvCxnSpPr>
        <xdr:cNvPr id="2217" name="Straight Arrow Connector 2216">
          <a:extLst>
            <a:ext uri="{FF2B5EF4-FFF2-40B4-BE49-F238E27FC236}">
              <a16:creationId xmlns:a16="http://schemas.microsoft.com/office/drawing/2014/main" id="{00000000-0008-0000-1300-0000A9080000}"/>
            </a:ext>
          </a:extLst>
        </xdr:cNvPr>
        <xdr:cNvCxnSpPr/>
      </xdr:nvCxnSpPr>
      <xdr:spPr>
        <a:xfrm flipV="1">
          <a:off x="10604500" y="231362250"/>
          <a:ext cx="518583" cy="338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1652</xdr:row>
      <xdr:rowOff>116417</xdr:rowOff>
    </xdr:from>
    <xdr:to>
      <xdr:col>15</xdr:col>
      <xdr:colOff>592666</xdr:colOff>
      <xdr:row>1656</xdr:row>
      <xdr:rowOff>95250</xdr:rowOff>
    </xdr:to>
    <xdr:cxnSp macro="">
      <xdr:nvCxnSpPr>
        <xdr:cNvPr id="2218" name="Straight Arrow Connector 2217">
          <a:extLst>
            <a:ext uri="{FF2B5EF4-FFF2-40B4-BE49-F238E27FC236}">
              <a16:creationId xmlns:a16="http://schemas.microsoft.com/office/drawing/2014/main" id="{00000000-0008-0000-1300-0000AA080000}"/>
            </a:ext>
          </a:extLst>
        </xdr:cNvPr>
        <xdr:cNvCxnSpPr/>
      </xdr:nvCxnSpPr>
      <xdr:spPr>
        <a:xfrm>
          <a:off x="10593916" y="231764417"/>
          <a:ext cx="53975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1663</xdr:row>
      <xdr:rowOff>116416</xdr:rowOff>
    </xdr:from>
    <xdr:to>
      <xdr:col>16</xdr:col>
      <xdr:colOff>0</xdr:colOff>
      <xdr:row>1670</xdr:row>
      <xdr:rowOff>74084</xdr:rowOff>
    </xdr:to>
    <xdr:cxnSp macro="">
      <xdr:nvCxnSpPr>
        <xdr:cNvPr id="2219" name="Straight Arrow Connector 2218">
          <a:extLst>
            <a:ext uri="{FF2B5EF4-FFF2-40B4-BE49-F238E27FC236}">
              <a16:creationId xmlns:a16="http://schemas.microsoft.com/office/drawing/2014/main" id="{00000000-0008-0000-1300-0000AB080000}"/>
            </a:ext>
          </a:extLst>
        </xdr:cNvPr>
        <xdr:cNvCxnSpPr/>
      </xdr:nvCxnSpPr>
      <xdr:spPr>
        <a:xfrm>
          <a:off x="10572750" y="233859916"/>
          <a:ext cx="571500" cy="12911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1631</xdr:row>
      <xdr:rowOff>52917</xdr:rowOff>
    </xdr:from>
    <xdr:to>
      <xdr:col>15</xdr:col>
      <xdr:colOff>603250</xdr:colOff>
      <xdr:row>1633</xdr:row>
      <xdr:rowOff>148167</xdr:rowOff>
    </xdr:to>
    <xdr:cxnSp macro="">
      <xdr:nvCxnSpPr>
        <xdr:cNvPr id="2220" name="Straight Arrow Connector 2219">
          <a:extLst>
            <a:ext uri="{FF2B5EF4-FFF2-40B4-BE49-F238E27FC236}">
              <a16:creationId xmlns:a16="http://schemas.microsoft.com/office/drawing/2014/main" id="{00000000-0008-0000-1300-0000AC080000}"/>
            </a:ext>
          </a:extLst>
        </xdr:cNvPr>
        <xdr:cNvCxnSpPr/>
      </xdr:nvCxnSpPr>
      <xdr:spPr>
        <a:xfrm flipV="1">
          <a:off x="10583333" y="2277004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1666</xdr:row>
      <xdr:rowOff>42333</xdr:rowOff>
    </xdr:from>
    <xdr:to>
      <xdr:col>11</xdr:col>
      <xdr:colOff>603250</xdr:colOff>
      <xdr:row>1678</xdr:row>
      <xdr:rowOff>10583</xdr:rowOff>
    </xdr:to>
    <xdr:cxnSp macro="">
      <xdr:nvCxnSpPr>
        <xdr:cNvPr id="2221" name="Straight Arrow Connector 2220">
          <a:extLst>
            <a:ext uri="{FF2B5EF4-FFF2-40B4-BE49-F238E27FC236}">
              <a16:creationId xmlns:a16="http://schemas.microsoft.com/office/drawing/2014/main" id="{00000000-0008-0000-1300-0000AD080000}"/>
            </a:ext>
          </a:extLst>
        </xdr:cNvPr>
        <xdr:cNvCxnSpPr/>
      </xdr:nvCxnSpPr>
      <xdr:spPr>
        <a:xfrm>
          <a:off x="7598834" y="2343573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1656</xdr:row>
      <xdr:rowOff>21167</xdr:rowOff>
    </xdr:from>
    <xdr:to>
      <xdr:col>13</xdr:col>
      <xdr:colOff>592667</xdr:colOff>
      <xdr:row>1658</xdr:row>
      <xdr:rowOff>0</xdr:rowOff>
    </xdr:to>
    <xdr:cxnSp macro="">
      <xdr:nvCxnSpPr>
        <xdr:cNvPr id="2222" name="Straight Arrow Connector 2221">
          <a:extLst>
            <a:ext uri="{FF2B5EF4-FFF2-40B4-BE49-F238E27FC236}">
              <a16:creationId xmlns:a16="http://schemas.microsoft.com/office/drawing/2014/main" id="{00000000-0008-0000-1300-0000AE080000}"/>
            </a:ext>
          </a:extLst>
        </xdr:cNvPr>
        <xdr:cNvCxnSpPr/>
      </xdr:nvCxnSpPr>
      <xdr:spPr>
        <a:xfrm flipV="1">
          <a:off x="8794750" y="2324311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1661</xdr:row>
      <xdr:rowOff>21166</xdr:rowOff>
    </xdr:from>
    <xdr:to>
      <xdr:col>13</xdr:col>
      <xdr:colOff>592667</xdr:colOff>
      <xdr:row>1662</xdr:row>
      <xdr:rowOff>169334</xdr:rowOff>
    </xdr:to>
    <xdr:cxnSp macro="">
      <xdr:nvCxnSpPr>
        <xdr:cNvPr id="2223" name="Straight Arrow Connector 2222">
          <a:extLst>
            <a:ext uri="{FF2B5EF4-FFF2-40B4-BE49-F238E27FC236}">
              <a16:creationId xmlns:a16="http://schemas.microsoft.com/office/drawing/2014/main" id="{00000000-0008-0000-1300-0000AF080000}"/>
            </a:ext>
          </a:extLst>
        </xdr:cNvPr>
        <xdr:cNvCxnSpPr/>
      </xdr:nvCxnSpPr>
      <xdr:spPr>
        <a:xfrm>
          <a:off x="8784166" y="2333836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1676</xdr:row>
      <xdr:rowOff>21167</xdr:rowOff>
    </xdr:from>
    <xdr:to>
      <xdr:col>13</xdr:col>
      <xdr:colOff>592667</xdr:colOff>
      <xdr:row>1678</xdr:row>
      <xdr:rowOff>63500</xdr:rowOff>
    </xdr:to>
    <xdr:cxnSp macro="">
      <xdr:nvCxnSpPr>
        <xdr:cNvPr id="2224" name="Straight Arrow Connector 2223">
          <a:extLst>
            <a:ext uri="{FF2B5EF4-FFF2-40B4-BE49-F238E27FC236}">
              <a16:creationId xmlns:a16="http://schemas.microsoft.com/office/drawing/2014/main" id="{00000000-0008-0000-1300-0000B0080000}"/>
            </a:ext>
          </a:extLst>
        </xdr:cNvPr>
        <xdr:cNvCxnSpPr/>
      </xdr:nvCxnSpPr>
      <xdr:spPr>
        <a:xfrm flipV="1">
          <a:off x="8794750" y="2364316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1681</xdr:row>
      <xdr:rowOff>0</xdr:rowOff>
    </xdr:from>
    <xdr:to>
      <xdr:col>14</xdr:col>
      <xdr:colOff>10584</xdr:colOff>
      <xdr:row>1689</xdr:row>
      <xdr:rowOff>148167</xdr:rowOff>
    </xdr:to>
    <xdr:cxnSp macro="">
      <xdr:nvCxnSpPr>
        <xdr:cNvPr id="2225" name="Straight Arrow Connector 2224">
          <a:extLst>
            <a:ext uri="{FF2B5EF4-FFF2-40B4-BE49-F238E27FC236}">
              <a16:creationId xmlns:a16="http://schemas.microsoft.com/office/drawing/2014/main" id="{00000000-0008-0000-1300-0000B1080000}"/>
            </a:ext>
          </a:extLst>
        </xdr:cNvPr>
        <xdr:cNvCxnSpPr/>
      </xdr:nvCxnSpPr>
      <xdr:spPr>
        <a:xfrm>
          <a:off x="8805333" y="2373630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1652</xdr:row>
      <xdr:rowOff>95250</xdr:rowOff>
    </xdr:from>
    <xdr:to>
      <xdr:col>15</xdr:col>
      <xdr:colOff>582083</xdr:colOff>
      <xdr:row>1654</xdr:row>
      <xdr:rowOff>137583</xdr:rowOff>
    </xdr:to>
    <xdr:cxnSp macro="">
      <xdr:nvCxnSpPr>
        <xdr:cNvPr id="2226" name="Straight Arrow Connector 2225">
          <a:extLst>
            <a:ext uri="{FF2B5EF4-FFF2-40B4-BE49-F238E27FC236}">
              <a16:creationId xmlns:a16="http://schemas.microsoft.com/office/drawing/2014/main" id="{00000000-0008-0000-1300-0000B2080000}"/>
            </a:ext>
          </a:extLst>
        </xdr:cNvPr>
        <xdr:cNvCxnSpPr/>
      </xdr:nvCxnSpPr>
      <xdr:spPr>
        <a:xfrm>
          <a:off x="10593916" y="231743250"/>
          <a:ext cx="5291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1661</xdr:row>
      <xdr:rowOff>52916</xdr:rowOff>
    </xdr:from>
    <xdr:to>
      <xdr:col>16</xdr:col>
      <xdr:colOff>0</xdr:colOff>
      <xdr:row>1663</xdr:row>
      <xdr:rowOff>0</xdr:rowOff>
    </xdr:to>
    <xdr:cxnSp macro="">
      <xdr:nvCxnSpPr>
        <xdr:cNvPr id="2227" name="Straight Arrow Connector 2226">
          <a:extLst>
            <a:ext uri="{FF2B5EF4-FFF2-40B4-BE49-F238E27FC236}">
              <a16:creationId xmlns:a16="http://schemas.microsoft.com/office/drawing/2014/main" id="{00000000-0008-0000-1300-0000B3080000}"/>
            </a:ext>
          </a:extLst>
        </xdr:cNvPr>
        <xdr:cNvCxnSpPr/>
      </xdr:nvCxnSpPr>
      <xdr:spPr>
        <a:xfrm flipV="1">
          <a:off x="10541000" y="2334154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1663</xdr:row>
      <xdr:rowOff>21167</xdr:rowOff>
    </xdr:from>
    <xdr:to>
      <xdr:col>15</xdr:col>
      <xdr:colOff>592666</xdr:colOff>
      <xdr:row>1664</xdr:row>
      <xdr:rowOff>84667</xdr:rowOff>
    </xdr:to>
    <xdr:cxnSp macro="">
      <xdr:nvCxnSpPr>
        <xdr:cNvPr id="2228" name="Straight Arrow Connector 2227">
          <a:extLst>
            <a:ext uri="{FF2B5EF4-FFF2-40B4-BE49-F238E27FC236}">
              <a16:creationId xmlns:a16="http://schemas.microsoft.com/office/drawing/2014/main" id="{00000000-0008-0000-1300-0000B4080000}"/>
            </a:ext>
          </a:extLst>
        </xdr:cNvPr>
        <xdr:cNvCxnSpPr/>
      </xdr:nvCxnSpPr>
      <xdr:spPr>
        <a:xfrm>
          <a:off x="10530417" y="233764667"/>
          <a:ext cx="603249" cy="25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1663</xdr:row>
      <xdr:rowOff>0</xdr:rowOff>
    </xdr:from>
    <xdr:to>
      <xdr:col>16</xdr:col>
      <xdr:colOff>0</xdr:colOff>
      <xdr:row>1667</xdr:row>
      <xdr:rowOff>42334</xdr:rowOff>
    </xdr:to>
    <xdr:cxnSp macro="">
      <xdr:nvCxnSpPr>
        <xdr:cNvPr id="2229" name="Straight Arrow Connector 2228">
          <a:extLst>
            <a:ext uri="{FF2B5EF4-FFF2-40B4-BE49-F238E27FC236}">
              <a16:creationId xmlns:a16="http://schemas.microsoft.com/office/drawing/2014/main" id="{00000000-0008-0000-1300-0000B5080000}"/>
            </a:ext>
          </a:extLst>
        </xdr:cNvPr>
        <xdr:cNvCxnSpPr/>
      </xdr:nvCxnSpPr>
      <xdr:spPr>
        <a:xfrm>
          <a:off x="10530417" y="233743500"/>
          <a:ext cx="613833" cy="804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1674</xdr:row>
      <xdr:rowOff>0</xdr:rowOff>
    </xdr:from>
    <xdr:to>
      <xdr:col>15</xdr:col>
      <xdr:colOff>603250</xdr:colOff>
      <xdr:row>1676</xdr:row>
      <xdr:rowOff>1</xdr:rowOff>
    </xdr:to>
    <xdr:cxnSp macro="">
      <xdr:nvCxnSpPr>
        <xdr:cNvPr id="2230" name="Straight Arrow Connector 2229">
          <a:extLst>
            <a:ext uri="{FF2B5EF4-FFF2-40B4-BE49-F238E27FC236}">
              <a16:creationId xmlns:a16="http://schemas.microsoft.com/office/drawing/2014/main" id="{00000000-0008-0000-1300-0000B6080000}"/>
            </a:ext>
          </a:extLst>
        </xdr:cNvPr>
        <xdr:cNvCxnSpPr/>
      </xdr:nvCxnSpPr>
      <xdr:spPr>
        <a:xfrm flipV="1">
          <a:off x="10530417" y="2360295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1676</xdr:row>
      <xdr:rowOff>10584</xdr:rowOff>
    </xdr:from>
    <xdr:to>
      <xdr:col>15</xdr:col>
      <xdr:colOff>592666</xdr:colOff>
      <xdr:row>1677</xdr:row>
      <xdr:rowOff>95250</xdr:rowOff>
    </xdr:to>
    <xdr:cxnSp macro="">
      <xdr:nvCxnSpPr>
        <xdr:cNvPr id="2231" name="Straight Arrow Connector 2230">
          <a:extLst>
            <a:ext uri="{FF2B5EF4-FFF2-40B4-BE49-F238E27FC236}">
              <a16:creationId xmlns:a16="http://schemas.microsoft.com/office/drawing/2014/main" id="{00000000-0008-0000-1300-0000B7080000}"/>
            </a:ext>
          </a:extLst>
        </xdr:cNvPr>
        <xdr:cNvCxnSpPr/>
      </xdr:nvCxnSpPr>
      <xdr:spPr>
        <a:xfrm>
          <a:off x="10572750" y="2364210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1676</xdr:row>
      <xdr:rowOff>10584</xdr:rowOff>
    </xdr:from>
    <xdr:to>
      <xdr:col>15</xdr:col>
      <xdr:colOff>560916</xdr:colOff>
      <xdr:row>1680</xdr:row>
      <xdr:rowOff>52917</xdr:rowOff>
    </xdr:to>
    <xdr:cxnSp macro="">
      <xdr:nvCxnSpPr>
        <xdr:cNvPr id="2232" name="Straight Arrow Connector 2231">
          <a:extLst>
            <a:ext uri="{FF2B5EF4-FFF2-40B4-BE49-F238E27FC236}">
              <a16:creationId xmlns:a16="http://schemas.microsoft.com/office/drawing/2014/main" id="{00000000-0008-0000-1300-0000B8080000}"/>
            </a:ext>
          </a:extLst>
        </xdr:cNvPr>
        <xdr:cNvCxnSpPr/>
      </xdr:nvCxnSpPr>
      <xdr:spPr>
        <a:xfrm>
          <a:off x="10551583" y="2364210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2233" name="Straight Arrow Connector 2232">
          <a:extLst>
            <a:ext uri="{FF2B5EF4-FFF2-40B4-BE49-F238E27FC236}">
              <a16:creationId xmlns:a16="http://schemas.microsoft.com/office/drawing/2014/main" id="{00000000-0008-0000-1300-0000B9080000}"/>
            </a:ext>
          </a:extLst>
        </xdr:cNvPr>
        <xdr:cNvCxnSpPr/>
      </xdr:nvCxnSpPr>
      <xdr:spPr>
        <a:xfrm>
          <a:off x="10583333" y="2364422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1690</xdr:row>
      <xdr:rowOff>0</xdr:rowOff>
    </xdr:from>
    <xdr:to>
      <xdr:col>16</xdr:col>
      <xdr:colOff>0</xdr:colOff>
      <xdr:row>1690</xdr:row>
      <xdr:rowOff>42334</xdr:rowOff>
    </xdr:to>
    <xdr:cxnSp macro="">
      <xdr:nvCxnSpPr>
        <xdr:cNvPr id="2234" name="Straight Arrow Connector 2233">
          <a:extLst>
            <a:ext uri="{FF2B5EF4-FFF2-40B4-BE49-F238E27FC236}">
              <a16:creationId xmlns:a16="http://schemas.microsoft.com/office/drawing/2014/main" id="{00000000-0008-0000-1300-0000BA080000}"/>
            </a:ext>
          </a:extLst>
        </xdr:cNvPr>
        <xdr:cNvCxnSpPr/>
      </xdr:nvCxnSpPr>
      <xdr:spPr>
        <a:xfrm>
          <a:off x="10562166" y="2390775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1690</xdr:row>
      <xdr:rowOff>21166</xdr:rowOff>
    </xdr:from>
    <xdr:to>
      <xdr:col>15</xdr:col>
      <xdr:colOff>560916</xdr:colOff>
      <xdr:row>1693</xdr:row>
      <xdr:rowOff>84667</xdr:rowOff>
    </xdr:to>
    <xdr:cxnSp macro="">
      <xdr:nvCxnSpPr>
        <xdr:cNvPr id="2235" name="Straight Arrow Connector 2234">
          <a:extLst>
            <a:ext uri="{FF2B5EF4-FFF2-40B4-BE49-F238E27FC236}">
              <a16:creationId xmlns:a16="http://schemas.microsoft.com/office/drawing/2014/main" id="{00000000-0008-0000-1300-0000BB080000}"/>
            </a:ext>
          </a:extLst>
        </xdr:cNvPr>
        <xdr:cNvCxnSpPr/>
      </xdr:nvCxnSpPr>
      <xdr:spPr>
        <a:xfrm>
          <a:off x="10615083" y="2390986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1690</xdr:row>
      <xdr:rowOff>52916</xdr:rowOff>
    </xdr:from>
    <xdr:to>
      <xdr:col>15</xdr:col>
      <xdr:colOff>592666</xdr:colOff>
      <xdr:row>1696</xdr:row>
      <xdr:rowOff>63501</xdr:rowOff>
    </xdr:to>
    <xdr:cxnSp macro="">
      <xdr:nvCxnSpPr>
        <xdr:cNvPr id="2236" name="Straight Arrow Connector 2235">
          <a:extLst>
            <a:ext uri="{FF2B5EF4-FFF2-40B4-BE49-F238E27FC236}">
              <a16:creationId xmlns:a16="http://schemas.microsoft.com/office/drawing/2014/main" id="{00000000-0008-0000-1300-0000BC080000}"/>
            </a:ext>
          </a:extLst>
        </xdr:cNvPr>
        <xdr:cNvCxnSpPr/>
      </xdr:nvCxnSpPr>
      <xdr:spPr>
        <a:xfrm>
          <a:off x="10572750" y="2391304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1687</xdr:row>
      <xdr:rowOff>52917</xdr:rowOff>
    </xdr:from>
    <xdr:to>
      <xdr:col>15</xdr:col>
      <xdr:colOff>603250</xdr:colOff>
      <xdr:row>1689</xdr:row>
      <xdr:rowOff>148167</xdr:rowOff>
    </xdr:to>
    <xdr:cxnSp macro="">
      <xdr:nvCxnSpPr>
        <xdr:cNvPr id="2237" name="Straight Arrow Connector 2236">
          <a:extLst>
            <a:ext uri="{FF2B5EF4-FFF2-40B4-BE49-F238E27FC236}">
              <a16:creationId xmlns:a16="http://schemas.microsoft.com/office/drawing/2014/main" id="{00000000-0008-0000-1300-0000BD080000}"/>
            </a:ext>
          </a:extLst>
        </xdr:cNvPr>
        <xdr:cNvCxnSpPr/>
      </xdr:nvCxnSpPr>
      <xdr:spPr>
        <a:xfrm flipV="1">
          <a:off x="10583333" y="2385589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698500</xdr:colOff>
      <xdr:row>1731</xdr:row>
      <xdr:rowOff>95250</xdr:rowOff>
    </xdr:from>
    <xdr:to>
      <xdr:col>8</xdr:col>
      <xdr:colOff>21167</xdr:colOff>
      <xdr:row>1763</xdr:row>
      <xdr:rowOff>148166</xdr:rowOff>
    </xdr:to>
    <xdr:cxnSp macro="">
      <xdr:nvCxnSpPr>
        <xdr:cNvPr id="2238" name="Straight Arrow Connector 2237">
          <a:extLst>
            <a:ext uri="{FF2B5EF4-FFF2-40B4-BE49-F238E27FC236}">
              <a16:creationId xmlns:a16="http://schemas.microsoft.com/office/drawing/2014/main" id="{00000000-0008-0000-1300-0000BE080000}"/>
            </a:ext>
          </a:extLst>
        </xdr:cNvPr>
        <xdr:cNvCxnSpPr/>
      </xdr:nvCxnSpPr>
      <xdr:spPr>
        <a:xfrm>
          <a:off x="5080000" y="247173750"/>
          <a:ext cx="719667" cy="6148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1702</xdr:row>
      <xdr:rowOff>137583</xdr:rowOff>
    </xdr:from>
    <xdr:to>
      <xdr:col>9</xdr:col>
      <xdr:colOff>603250</xdr:colOff>
      <xdr:row>1708</xdr:row>
      <xdr:rowOff>21166</xdr:rowOff>
    </xdr:to>
    <xdr:cxnSp macro="">
      <xdr:nvCxnSpPr>
        <xdr:cNvPr id="2239" name="Straight Arrow Connector 2238">
          <a:extLst>
            <a:ext uri="{FF2B5EF4-FFF2-40B4-BE49-F238E27FC236}">
              <a16:creationId xmlns:a16="http://schemas.microsoft.com/office/drawing/2014/main" id="{00000000-0008-0000-1300-0000BF080000}"/>
            </a:ext>
          </a:extLst>
        </xdr:cNvPr>
        <xdr:cNvCxnSpPr/>
      </xdr:nvCxnSpPr>
      <xdr:spPr>
        <a:xfrm flipV="1">
          <a:off x="6381750" y="241501083"/>
          <a:ext cx="603250" cy="1026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1711</xdr:row>
      <xdr:rowOff>0</xdr:rowOff>
    </xdr:from>
    <xdr:to>
      <xdr:col>9</xdr:col>
      <xdr:colOff>582083</xdr:colOff>
      <xdr:row>1719</xdr:row>
      <xdr:rowOff>10583</xdr:rowOff>
    </xdr:to>
    <xdr:cxnSp macro="">
      <xdr:nvCxnSpPr>
        <xdr:cNvPr id="2240" name="Straight Arrow Connector 2239">
          <a:extLst>
            <a:ext uri="{FF2B5EF4-FFF2-40B4-BE49-F238E27FC236}">
              <a16:creationId xmlns:a16="http://schemas.microsoft.com/office/drawing/2014/main" id="{00000000-0008-0000-1300-0000C0080000}"/>
            </a:ext>
          </a:extLst>
        </xdr:cNvPr>
        <xdr:cNvCxnSpPr/>
      </xdr:nvCxnSpPr>
      <xdr:spPr>
        <a:xfrm>
          <a:off x="6413500" y="243078000"/>
          <a:ext cx="550333" cy="1534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21167</xdr:colOff>
      <xdr:row>1716</xdr:row>
      <xdr:rowOff>169333</xdr:rowOff>
    </xdr:from>
    <xdr:to>
      <xdr:col>11</xdr:col>
      <xdr:colOff>603250</xdr:colOff>
      <xdr:row>1719</xdr:row>
      <xdr:rowOff>21167</xdr:rowOff>
    </xdr:to>
    <xdr:cxnSp macro="">
      <xdr:nvCxnSpPr>
        <xdr:cNvPr id="2241" name="Straight Arrow Connector 2240">
          <a:extLst>
            <a:ext uri="{FF2B5EF4-FFF2-40B4-BE49-F238E27FC236}">
              <a16:creationId xmlns:a16="http://schemas.microsoft.com/office/drawing/2014/main" id="{00000000-0008-0000-1300-0000C1080000}"/>
            </a:ext>
          </a:extLst>
        </xdr:cNvPr>
        <xdr:cNvCxnSpPr/>
      </xdr:nvCxnSpPr>
      <xdr:spPr>
        <a:xfrm flipV="1">
          <a:off x="7609417" y="244199833"/>
          <a:ext cx="582083" cy="423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1722</xdr:row>
      <xdr:rowOff>42333</xdr:rowOff>
    </xdr:from>
    <xdr:to>
      <xdr:col>11</xdr:col>
      <xdr:colOff>603250</xdr:colOff>
      <xdr:row>1734</xdr:row>
      <xdr:rowOff>10583</xdr:rowOff>
    </xdr:to>
    <xdr:cxnSp macro="">
      <xdr:nvCxnSpPr>
        <xdr:cNvPr id="2242" name="Straight Arrow Connector 2241">
          <a:extLst>
            <a:ext uri="{FF2B5EF4-FFF2-40B4-BE49-F238E27FC236}">
              <a16:creationId xmlns:a16="http://schemas.microsoft.com/office/drawing/2014/main" id="{00000000-0008-0000-1300-0000C2080000}"/>
            </a:ext>
          </a:extLst>
        </xdr:cNvPr>
        <xdr:cNvCxnSpPr/>
      </xdr:nvCxnSpPr>
      <xdr:spPr>
        <a:xfrm>
          <a:off x="7598834" y="2452158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1712</xdr:row>
      <xdr:rowOff>21167</xdr:rowOff>
    </xdr:from>
    <xdr:to>
      <xdr:col>13</xdr:col>
      <xdr:colOff>592667</xdr:colOff>
      <xdr:row>1714</xdr:row>
      <xdr:rowOff>0</xdr:rowOff>
    </xdr:to>
    <xdr:cxnSp macro="">
      <xdr:nvCxnSpPr>
        <xdr:cNvPr id="2243" name="Straight Arrow Connector 2242">
          <a:extLst>
            <a:ext uri="{FF2B5EF4-FFF2-40B4-BE49-F238E27FC236}">
              <a16:creationId xmlns:a16="http://schemas.microsoft.com/office/drawing/2014/main" id="{00000000-0008-0000-1300-0000C3080000}"/>
            </a:ext>
          </a:extLst>
        </xdr:cNvPr>
        <xdr:cNvCxnSpPr/>
      </xdr:nvCxnSpPr>
      <xdr:spPr>
        <a:xfrm flipV="1">
          <a:off x="8794750" y="2432896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1717</xdr:row>
      <xdr:rowOff>21166</xdr:rowOff>
    </xdr:from>
    <xdr:to>
      <xdr:col>13</xdr:col>
      <xdr:colOff>592667</xdr:colOff>
      <xdr:row>1718</xdr:row>
      <xdr:rowOff>169334</xdr:rowOff>
    </xdr:to>
    <xdr:cxnSp macro="">
      <xdr:nvCxnSpPr>
        <xdr:cNvPr id="2244" name="Straight Arrow Connector 2243">
          <a:extLst>
            <a:ext uri="{FF2B5EF4-FFF2-40B4-BE49-F238E27FC236}">
              <a16:creationId xmlns:a16="http://schemas.microsoft.com/office/drawing/2014/main" id="{00000000-0008-0000-1300-0000C4080000}"/>
            </a:ext>
          </a:extLst>
        </xdr:cNvPr>
        <xdr:cNvCxnSpPr/>
      </xdr:nvCxnSpPr>
      <xdr:spPr>
        <a:xfrm>
          <a:off x="8784166" y="2442421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1732</xdr:row>
      <xdr:rowOff>21167</xdr:rowOff>
    </xdr:from>
    <xdr:to>
      <xdr:col>13</xdr:col>
      <xdr:colOff>592667</xdr:colOff>
      <xdr:row>1734</xdr:row>
      <xdr:rowOff>63500</xdr:rowOff>
    </xdr:to>
    <xdr:cxnSp macro="">
      <xdr:nvCxnSpPr>
        <xdr:cNvPr id="2245" name="Straight Arrow Connector 2244">
          <a:extLst>
            <a:ext uri="{FF2B5EF4-FFF2-40B4-BE49-F238E27FC236}">
              <a16:creationId xmlns:a16="http://schemas.microsoft.com/office/drawing/2014/main" id="{00000000-0008-0000-1300-0000C5080000}"/>
            </a:ext>
          </a:extLst>
        </xdr:cNvPr>
        <xdr:cNvCxnSpPr/>
      </xdr:nvCxnSpPr>
      <xdr:spPr>
        <a:xfrm flipV="1">
          <a:off x="8794750" y="2472901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1737</xdr:row>
      <xdr:rowOff>0</xdr:rowOff>
    </xdr:from>
    <xdr:to>
      <xdr:col>14</xdr:col>
      <xdr:colOff>10584</xdr:colOff>
      <xdr:row>1745</xdr:row>
      <xdr:rowOff>148167</xdr:rowOff>
    </xdr:to>
    <xdr:cxnSp macro="">
      <xdr:nvCxnSpPr>
        <xdr:cNvPr id="2246" name="Straight Arrow Connector 2245">
          <a:extLst>
            <a:ext uri="{FF2B5EF4-FFF2-40B4-BE49-F238E27FC236}">
              <a16:creationId xmlns:a16="http://schemas.microsoft.com/office/drawing/2014/main" id="{00000000-0008-0000-1300-0000C6080000}"/>
            </a:ext>
          </a:extLst>
        </xdr:cNvPr>
        <xdr:cNvCxnSpPr/>
      </xdr:nvCxnSpPr>
      <xdr:spPr>
        <a:xfrm>
          <a:off x="8805333" y="2482215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1704</xdr:row>
      <xdr:rowOff>0</xdr:rowOff>
    </xdr:from>
    <xdr:to>
      <xdr:col>15</xdr:col>
      <xdr:colOff>603250</xdr:colOff>
      <xdr:row>1709</xdr:row>
      <xdr:rowOff>31750</xdr:rowOff>
    </xdr:to>
    <xdr:cxnSp macro="">
      <xdr:nvCxnSpPr>
        <xdr:cNvPr id="2247" name="Straight Arrow Connector 2246">
          <a:extLst>
            <a:ext uri="{FF2B5EF4-FFF2-40B4-BE49-F238E27FC236}">
              <a16:creationId xmlns:a16="http://schemas.microsoft.com/office/drawing/2014/main" id="{00000000-0008-0000-1300-0000C7080000}"/>
            </a:ext>
          </a:extLst>
        </xdr:cNvPr>
        <xdr:cNvCxnSpPr/>
      </xdr:nvCxnSpPr>
      <xdr:spPr>
        <a:xfrm flipV="1">
          <a:off x="10541000" y="241744500"/>
          <a:ext cx="603250" cy="984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1707</xdr:row>
      <xdr:rowOff>52917</xdr:rowOff>
    </xdr:from>
    <xdr:to>
      <xdr:col>15</xdr:col>
      <xdr:colOff>603250</xdr:colOff>
      <xdr:row>1709</xdr:row>
      <xdr:rowOff>95250</xdr:rowOff>
    </xdr:to>
    <xdr:cxnSp macro="">
      <xdr:nvCxnSpPr>
        <xdr:cNvPr id="2248" name="Straight Arrow Connector 2247">
          <a:extLst>
            <a:ext uri="{FF2B5EF4-FFF2-40B4-BE49-F238E27FC236}">
              <a16:creationId xmlns:a16="http://schemas.microsoft.com/office/drawing/2014/main" id="{00000000-0008-0000-1300-0000C8080000}"/>
            </a:ext>
          </a:extLst>
        </xdr:cNvPr>
        <xdr:cNvCxnSpPr/>
      </xdr:nvCxnSpPr>
      <xdr:spPr>
        <a:xfrm flipV="1">
          <a:off x="10583333" y="242368917"/>
          <a:ext cx="56091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1709</xdr:row>
      <xdr:rowOff>158750</xdr:rowOff>
    </xdr:from>
    <xdr:to>
      <xdr:col>15</xdr:col>
      <xdr:colOff>582083</xdr:colOff>
      <xdr:row>1710</xdr:row>
      <xdr:rowOff>137583</xdr:rowOff>
    </xdr:to>
    <xdr:cxnSp macro="">
      <xdr:nvCxnSpPr>
        <xdr:cNvPr id="2249" name="Straight Arrow Connector 2248">
          <a:extLst>
            <a:ext uri="{FF2B5EF4-FFF2-40B4-BE49-F238E27FC236}">
              <a16:creationId xmlns:a16="http://schemas.microsoft.com/office/drawing/2014/main" id="{00000000-0008-0000-1300-0000C9080000}"/>
            </a:ext>
          </a:extLst>
        </xdr:cNvPr>
        <xdr:cNvCxnSpPr/>
      </xdr:nvCxnSpPr>
      <xdr:spPr>
        <a:xfrm>
          <a:off x="10604500" y="242855750"/>
          <a:ext cx="518583" cy="169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1121834</xdr:colOff>
      <xdr:row>1709</xdr:row>
      <xdr:rowOff>105834</xdr:rowOff>
    </xdr:from>
    <xdr:to>
      <xdr:col>16</xdr:col>
      <xdr:colOff>0</xdr:colOff>
      <xdr:row>1713</xdr:row>
      <xdr:rowOff>84667</xdr:rowOff>
    </xdr:to>
    <xdr:cxnSp macro="">
      <xdr:nvCxnSpPr>
        <xdr:cNvPr id="2250" name="Straight Arrow Connector 2249">
          <a:extLst>
            <a:ext uri="{FF2B5EF4-FFF2-40B4-BE49-F238E27FC236}">
              <a16:creationId xmlns:a16="http://schemas.microsoft.com/office/drawing/2014/main" id="{00000000-0008-0000-1300-0000CA080000}"/>
            </a:ext>
          </a:extLst>
        </xdr:cNvPr>
        <xdr:cNvCxnSpPr/>
      </xdr:nvCxnSpPr>
      <xdr:spPr>
        <a:xfrm>
          <a:off x="10519834" y="242802834"/>
          <a:ext cx="624416"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1717</xdr:row>
      <xdr:rowOff>52916</xdr:rowOff>
    </xdr:from>
    <xdr:to>
      <xdr:col>16</xdr:col>
      <xdr:colOff>0</xdr:colOff>
      <xdr:row>1719</xdr:row>
      <xdr:rowOff>0</xdr:rowOff>
    </xdr:to>
    <xdr:cxnSp macro="">
      <xdr:nvCxnSpPr>
        <xdr:cNvPr id="2251" name="Straight Arrow Connector 2250">
          <a:extLst>
            <a:ext uri="{FF2B5EF4-FFF2-40B4-BE49-F238E27FC236}">
              <a16:creationId xmlns:a16="http://schemas.microsoft.com/office/drawing/2014/main" id="{00000000-0008-0000-1300-0000CB080000}"/>
            </a:ext>
          </a:extLst>
        </xdr:cNvPr>
        <xdr:cNvCxnSpPr/>
      </xdr:nvCxnSpPr>
      <xdr:spPr>
        <a:xfrm flipV="1">
          <a:off x="10541000" y="2442739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1719</xdr:row>
      <xdr:rowOff>21167</xdr:rowOff>
    </xdr:from>
    <xdr:to>
      <xdr:col>15</xdr:col>
      <xdr:colOff>582083</xdr:colOff>
      <xdr:row>1720</xdr:row>
      <xdr:rowOff>42333</xdr:rowOff>
    </xdr:to>
    <xdr:cxnSp macro="">
      <xdr:nvCxnSpPr>
        <xdr:cNvPr id="2252" name="Straight Arrow Connector 2251">
          <a:extLst>
            <a:ext uri="{FF2B5EF4-FFF2-40B4-BE49-F238E27FC236}">
              <a16:creationId xmlns:a16="http://schemas.microsoft.com/office/drawing/2014/main" id="{00000000-0008-0000-1300-0000CC080000}"/>
            </a:ext>
          </a:extLst>
        </xdr:cNvPr>
        <xdr:cNvCxnSpPr/>
      </xdr:nvCxnSpPr>
      <xdr:spPr>
        <a:xfrm>
          <a:off x="10551583" y="244623167"/>
          <a:ext cx="571500" cy="211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1719</xdr:row>
      <xdr:rowOff>21167</xdr:rowOff>
    </xdr:from>
    <xdr:to>
      <xdr:col>16</xdr:col>
      <xdr:colOff>42333</xdr:colOff>
      <xdr:row>1724</xdr:row>
      <xdr:rowOff>21168</xdr:rowOff>
    </xdr:to>
    <xdr:cxnSp macro="">
      <xdr:nvCxnSpPr>
        <xdr:cNvPr id="2253" name="Straight Arrow Connector 2252">
          <a:extLst>
            <a:ext uri="{FF2B5EF4-FFF2-40B4-BE49-F238E27FC236}">
              <a16:creationId xmlns:a16="http://schemas.microsoft.com/office/drawing/2014/main" id="{00000000-0008-0000-1300-0000CD080000}"/>
            </a:ext>
          </a:extLst>
        </xdr:cNvPr>
        <xdr:cNvCxnSpPr/>
      </xdr:nvCxnSpPr>
      <xdr:spPr>
        <a:xfrm>
          <a:off x="10530417" y="244623167"/>
          <a:ext cx="656166" cy="9525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1719</xdr:row>
      <xdr:rowOff>31750</xdr:rowOff>
    </xdr:from>
    <xdr:to>
      <xdr:col>16</xdr:col>
      <xdr:colOff>42334</xdr:colOff>
      <xdr:row>1726</xdr:row>
      <xdr:rowOff>63501</xdr:rowOff>
    </xdr:to>
    <xdr:cxnSp macro="">
      <xdr:nvCxnSpPr>
        <xdr:cNvPr id="2254" name="Straight Arrow Connector 2253">
          <a:extLst>
            <a:ext uri="{FF2B5EF4-FFF2-40B4-BE49-F238E27FC236}">
              <a16:creationId xmlns:a16="http://schemas.microsoft.com/office/drawing/2014/main" id="{00000000-0008-0000-1300-0000CE080000}"/>
            </a:ext>
          </a:extLst>
        </xdr:cNvPr>
        <xdr:cNvCxnSpPr/>
      </xdr:nvCxnSpPr>
      <xdr:spPr>
        <a:xfrm>
          <a:off x="10541000" y="244633750"/>
          <a:ext cx="645584"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10583</xdr:colOff>
      <xdr:row>1756</xdr:row>
      <xdr:rowOff>42333</xdr:rowOff>
    </xdr:from>
    <xdr:to>
      <xdr:col>9</xdr:col>
      <xdr:colOff>592666</xdr:colOff>
      <xdr:row>1764</xdr:row>
      <xdr:rowOff>42333</xdr:rowOff>
    </xdr:to>
    <xdr:cxnSp macro="">
      <xdr:nvCxnSpPr>
        <xdr:cNvPr id="2255" name="Straight Arrow Connector 2254">
          <a:extLst>
            <a:ext uri="{FF2B5EF4-FFF2-40B4-BE49-F238E27FC236}">
              <a16:creationId xmlns:a16="http://schemas.microsoft.com/office/drawing/2014/main" id="{00000000-0008-0000-1300-0000CF080000}"/>
            </a:ext>
          </a:extLst>
        </xdr:cNvPr>
        <xdr:cNvCxnSpPr/>
      </xdr:nvCxnSpPr>
      <xdr:spPr>
        <a:xfrm flipV="1">
          <a:off x="6392333" y="251883333"/>
          <a:ext cx="582083" cy="152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1766</xdr:row>
      <xdr:rowOff>169334</xdr:rowOff>
    </xdr:from>
    <xdr:to>
      <xdr:col>9</xdr:col>
      <xdr:colOff>603250</xdr:colOff>
      <xdr:row>1775</xdr:row>
      <xdr:rowOff>31750</xdr:rowOff>
    </xdr:to>
    <xdr:cxnSp macro="">
      <xdr:nvCxnSpPr>
        <xdr:cNvPr id="2256" name="Straight Arrow Connector 2255">
          <a:extLst>
            <a:ext uri="{FF2B5EF4-FFF2-40B4-BE49-F238E27FC236}">
              <a16:creationId xmlns:a16="http://schemas.microsoft.com/office/drawing/2014/main" id="{00000000-0008-0000-1300-0000D0080000}"/>
            </a:ext>
          </a:extLst>
        </xdr:cNvPr>
        <xdr:cNvCxnSpPr/>
      </xdr:nvCxnSpPr>
      <xdr:spPr>
        <a:xfrm>
          <a:off x="6413500" y="253915334"/>
          <a:ext cx="571500" cy="1576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571500</xdr:colOff>
      <xdr:row>1772</xdr:row>
      <xdr:rowOff>158750</xdr:rowOff>
    </xdr:from>
    <xdr:to>
      <xdr:col>11</xdr:col>
      <xdr:colOff>571500</xdr:colOff>
      <xdr:row>1775</xdr:row>
      <xdr:rowOff>0</xdr:rowOff>
    </xdr:to>
    <xdr:cxnSp macro="">
      <xdr:nvCxnSpPr>
        <xdr:cNvPr id="2257" name="Straight Arrow Connector 2256">
          <a:extLst>
            <a:ext uri="{FF2B5EF4-FFF2-40B4-BE49-F238E27FC236}">
              <a16:creationId xmlns:a16="http://schemas.microsoft.com/office/drawing/2014/main" id="{00000000-0008-0000-1300-0000D1080000}"/>
            </a:ext>
          </a:extLst>
        </xdr:cNvPr>
        <xdr:cNvCxnSpPr/>
      </xdr:nvCxnSpPr>
      <xdr:spPr>
        <a:xfrm flipV="1">
          <a:off x="7556500" y="255047750"/>
          <a:ext cx="603250" cy="412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1730</xdr:row>
      <xdr:rowOff>0</xdr:rowOff>
    </xdr:from>
    <xdr:to>
      <xdr:col>15</xdr:col>
      <xdr:colOff>603250</xdr:colOff>
      <xdr:row>1732</xdr:row>
      <xdr:rowOff>1</xdr:rowOff>
    </xdr:to>
    <xdr:cxnSp macro="">
      <xdr:nvCxnSpPr>
        <xdr:cNvPr id="2258" name="Straight Arrow Connector 2257">
          <a:extLst>
            <a:ext uri="{FF2B5EF4-FFF2-40B4-BE49-F238E27FC236}">
              <a16:creationId xmlns:a16="http://schemas.microsoft.com/office/drawing/2014/main" id="{00000000-0008-0000-1300-0000D2080000}"/>
            </a:ext>
          </a:extLst>
        </xdr:cNvPr>
        <xdr:cNvCxnSpPr/>
      </xdr:nvCxnSpPr>
      <xdr:spPr>
        <a:xfrm flipV="1">
          <a:off x="10530417" y="2468880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1732</xdr:row>
      <xdr:rowOff>10584</xdr:rowOff>
    </xdr:from>
    <xdr:to>
      <xdr:col>15</xdr:col>
      <xdr:colOff>592666</xdr:colOff>
      <xdr:row>1733</xdr:row>
      <xdr:rowOff>95250</xdr:rowOff>
    </xdr:to>
    <xdr:cxnSp macro="">
      <xdr:nvCxnSpPr>
        <xdr:cNvPr id="2259" name="Straight Arrow Connector 2258">
          <a:extLst>
            <a:ext uri="{FF2B5EF4-FFF2-40B4-BE49-F238E27FC236}">
              <a16:creationId xmlns:a16="http://schemas.microsoft.com/office/drawing/2014/main" id="{00000000-0008-0000-1300-0000D3080000}"/>
            </a:ext>
          </a:extLst>
        </xdr:cNvPr>
        <xdr:cNvCxnSpPr/>
      </xdr:nvCxnSpPr>
      <xdr:spPr>
        <a:xfrm>
          <a:off x="10572750" y="2472795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1732</xdr:row>
      <xdr:rowOff>10584</xdr:rowOff>
    </xdr:from>
    <xdr:to>
      <xdr:col>15</xdr:col>
      <xdr:colOff>560916</xdr:colOff>
      <xdr:row>1736</xdr:row>
      <xdr:rowOff>52917</xdr:rowOff>
    </xdr:to>
    <xdr:cxnSp macro="">
      <xdr:nvCxnSpPr>
        <xdr:cNvPr id="2260" name="Straight Arrow Connector 2259">
          <a:extLst>
            <a:ext uri="{FF2B5EF4-FFF2-40B4-BE49-F238E27FC236}">
              <a16:creationId xmlns:a16="http://schemas.microsoft.com/office/drawing/2014/main" id="{00000000-0008-0000-1300-0000D4080000}"/>
            </a:ext>
          </a:extLst>
        </xdr:cNvPr>
        <xdr:cNvCxnSpPr/>
      </xdr:nvCxnSpPr>
      <xdr:spPr>
        <a:xfrm>
          <a:off x="10551583" y="2472795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2261" name="Straight Arrow Connector 2260">
          <a:extLst>
            <a:ext uri="{FF2B5EF4-FFF2-40B4-BE49-F238E27FC236}">
              <a16:creationId xmlns:a16="http://schemas.microsoft.com/office/drawing/2014/main" id="{00000000-0008-0000-1300-0000D5080000}"/>
            </a:ext>
          </a:extLst>
        </xdr:cNvPr>
        <xdr:cNvCxnSpPr/>
      </xdr:nvCxnSpPr>
      <xdr:spPr>
        <a:xfrm>
          <a:off x="10583333" y="2473007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1746</xdr:row>
      <xdr:rowOff>0</xdr:rowOff>
    </xdr:from>
    <xdr:to>
      <xdr:col>16</xdr:col>
      <xdr:colOff>0</xdr:colOff>
      <xdr:row>1746</xdr:row>
      <xdr:rowOff>42334</xdr:rowOff>
    </xdr:to>
    <xdr:cxnSp macro="">
      <xdr:nvCxnSpPr>
        <xdr:cNvPr id="2262" name="Straight Arrow Connector 2261">
          <a:extLst>
            <a:ext uri="{FF2B5EF4-FFF2-40B4-BE49-F238E27FC236}">
              <a16:creationId xmlns:a16="http://schemas.microsoft.com/office/drawing/2014/main" id="{00000000-0008-0000-1300-0000D6080000}"/>
            </a:ext>
          </a:extLst>
        </xdr:cNvPr>
        <xdr:cNvCxnSpPr/>
      </xdr:nvCxnSpPr>
      <xdr:spPr>
        <a:xfrm>
          <a:off x="10562166" y="2499360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1746</xdr:row>
      <xdr:rowOff>21166</xdr:rowOff>
    </xdr:from>
    <xdr:to>
      <xdr:col>15</xdr:col>
      <xdr:colOff>560916</xdr:colOff>
      <xdr:row>1749</xdr:row>
      <xdr:rowOff>84667</xdr:rowOff>
    </xdr:to>
    <xdr:cxnSp macro="">
      <xdr:nvCxnSpPr>
        <xdr:cNvPr id="2263" name="Straight Arrow Connector 2262">
          <a:extLst>
            <a:ext uri="{FF2B5EF4-FFF2-40B4-BE49-F238E27FC236}">
              <a16:creationId xmlns:a16="http://schemas.microsoft.com/office/drawing/2014/main" id="{00000000-0008-0000-1300-0000D7080000}"/>
            </a:ext>
          </a:extLst>
        </xdr:cNvPr>
        <xdr:cNvCxnSpPr/>
      </xdr:nvCxnSpPr>
      <xdr:spPr>
        <a:xfrm>
          <a:off x="10615083" y="2499571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1746</xdr:row>
      <xdr:rowOff>52916</xdr:rowOff>
    </xdr:from>
    <xdr:to>
      <xdr:col>15</xdr:col>
      <xdr:colOff>592666</xdr:colOff>
      <xdr:row>1752</xdr:row>
      <xdr:rowOff>63501</xdr:rowOff>
    </xdr:to>
    <xdr:cxnSp macro="">
      <xdr:nvCxnSpPr>
        <xdr:cNvPr id="2264" name="Straight Arrow Connector 2263">
          <a:extLst>
            <a:ext uri="{FF2B5EF4-FFF2-40B4-BE49-F238E27FC236}">
              <a16:creationId xmlns:a16="http://schemas.microsoft.com/office/drawing/2014/main" id="{00000000-0008-0000-1300-0000D8080000}"/>
            </a:ext>
          </a:extLst>
        </xdr:cNvPr>
        <xdr:cNvCxnSpPr/>
      </xdr:nvCxnSpPr>
      <xdr:spPr>
        <a:xfrm>
          <a:off x="10572750" y="2499889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1760</xdr:row>
      <xdr:rowOff>116416</xdr:rowOff>
    </xdr:from>
    <xdr:to>
      <xdr:col>15</xdr:col>
      <xdr:colOff>592666</xdr:colOff>
      <xdr:row>1763</xdr:row>
      <xdr:rowOff>158750</xdr:rowOff>
    </xdr:to>
    <xdr:cxnSp macro="">
      <xdr:nvCxnSpPr>
        <xdr:cNvPr id="2265" name="Straight Arrow Connector 2264">
          <a:extLst>
            <a:ext uri="{FF2B5EF4-FFF2-40B4-BE49-F238E27FC236}">
              <a16:creationId xmlns:a16="http://schemas.microsoft.com/office/drawing/2014/main" id="{00000000-0008-0000-1300-0000D9080000}"/>
            </a:ext>
          </a:extLst>
        </xdr:cNvPr>
        <xdr:cNvCxnSpPr/>
      </xdr:nvCxnSpPr>
      <xdr:spPr>
        <a:xfrm flipV="1">
          <a:off x="10562166" y="252719416"/>
          <a:ext cx="571500" cy="613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1762</xdr:row>
      <xdr:rowOff>95250</xdr:rowOff>
    </xdr:from>
    <xdr:to>
      <xdr:col>15</xdr:col>
      <xdr:colOff>582083</xdr:colOff>
      <xdr:row>1764</xdr:row>
      <xdr:rowOff>52917</xdr:rowOff>
    </xdr:to>
    <xdr:cxnSp macro="">
      <xdr:nvCxnSpPr>
        <xdr:cNvPr id="2266" name="Straight Arrow Connector 2265">
          <a:extLst>
            <a:ext uri="{FF2B5EF4-FFF2-40B4-BE49-F238E27FC236}">
              <a16:creationId xmlns:a16="http://schemas.microsoft.com/office/drawing/2014/main" id="{00000000-0008-0000-1300-0000DA080000}"/>
            </a:ext>
          </a:extLst>
        </xdr:cNvPr>
        <xdr:cNvCxnSpPr/>
      </xdr:nvCxnSpPr>
      <xdr:spPr>
        <a:xfrm flipV="1">
          <a:off x="10604500" y="253079250"/>
          <a:ext cx="518583" cy="338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1764</xdr:row>
      <xdr:rowOff>116417</xdr:rowOff>
    </xdr:from>
    <xdr:to>
      <xdr:col>15</xdr:col>
      <xdr:colOff>592666</xdr:colOff>
      <xdr:row>1768</xdr:row>
      <xdr:rowOff>95250</xdr:rowOff>
    </xdr:to>
    <xdr:cxnSp macro="">
      <xdr:nvCxnSpPr>
        <xdr:cNvPr id="2267" name="Straight Arrow Connector 2266">
          <a:extLst>
            <a:ext uri="{FF2B5EF4-FFF2-40B4-BE49-F238E27FC236}">
              <a16:creationId xmlns:a16="http://schemas.microsoft.com/office/drawing/2014/main" id="{00000000-0008-0000-1300-0000DB080000}"/>
            </a:ext>
          </a:extLst>
        </xdr:cNvPr>
        <xdr:cNvCxnSpPr/>
      </xdr:nvCxnSpPr>
      <xdr:spPr>
        <a:xfrm>
          <a:off x="10593916" y="253481417"/>
          <a:ext cx="53975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1775</xdr:row>
      <xdr:rowOff>116416</xdr:rowOff>
    </xdr:from>
    <xdr:to>
      <xdr:col>16</xdr:col>
      <xdr:colOff>0</xdr:colOff>
      <xdr:row>1782</xdr:row>
      <xdr:rowOff>74084</xdr:rowOff>
    </xdr:to>
    <xdr:cxnSp macro="">
      <xdr:nvCxnSpPr>
        <xdr:cNvPr id="2268" name="Straight Arrow Connector 2267">
          <a:extLst>
            <a:ext uri="{FF2B5EF4-FFF2-40B4-BE49-F238E27FC236}">
              <a16:creationId xmlns:a16="http://schemas.microsoft.com/office/drawing/2014/main" id="{00000000-0008-0000-1300-0000DC080000}"/>
            </a:ext>
          </a:extLst>
        </xdr:cNvPr>
        <xdr:cNvCxnSpPr/>
      </xdr:nvCxnSpPr>
      <xdr:spPr>
        <a:xfrm>
          <a:off x="10572750" y="255576916"/>
          <a:ext cx="571500" cy="12911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1743</xdr:row>
      <xdr:rowOff>52917</xdr:rowOff>
    </xdr:from>
    <xdr:to>
      <xdr:col>15</xdr:col>
      <xdr:colOff>603250</xdr:colOff>
      <xdr:row>1745</xdr:row>
      <xdr:rowOff>148167</xdr:rowOff>
    </xdr:to>
    <xdr:cxnSp macro="">
      <xdr:nvCxnSpPr>
        <xdr:cNvPr id="2269" name="Straight Arrow Connector 2268">
          <a:extLst>
            <a:ext uri="{FF2B5EF4-FFF2-40B4-BE49-F238E27FC236}">
              <a16:creationId xmlns:a16="http://schemas.microsoft.com/office/drawing/2014/main" id="{00000000-0008-0000-1300-0000DD080000}"/>
            </a:ext>
          </a:extLst>
        </xdr:cNvPr>
        <xdr:cNvCxnSpPr/>
      </xdr:nvCxnSpPr>
      <xdr:spPr>
        <a:xfrm flipV="1">
          <a:off x="10583333" y="2494174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1778</xdr:row>
      <xdr:rowOff>42333</xdr:rowOff>
    </xdr:from>
    <xdr:to>
      <xdr:col>11</xdr:col>
      <xdr:colOff>603250</xdr:colOff>
      <xdr:row>1790</xdr:row>
      <xdr:rowOff>10583</xdr:rowOff>
    </xdr:to>
    <xdr:cxnSp macro="">
      <xdr:nvCxnSpPr>
        <xdr:cNvPr id="2270" name="Straight Arrow Connector 2269">
          <a:extLst>
            <a:ext uri="{FF2B5EF4-FFF2-40B4-BE49-F238E27FC236}">
              <a16:creationId xmlns:a16="http://schemas.microsoft.com/office/drawing/2014/main" id="{00000000-0008-0000-1300-0000DE080000}"/>
            </a:ext>
          </a:extLst>
        </xdr:cNvPr>
        <xdr:cNvCxnSpPr/>
      </xdr:nvCxnSpPr>
      <xdr:spPr>
        <a:xfrm>
          <a:off x="7598834" y="2560743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1768</xdr:row>
      <xdr:rowOff>21167</xdr:rowOff>
    </xdr:from>
    <xdr:to>
      <xdr:col>13</xdr:col>
      <xdr:colOff>592667</xdr:colOff>
      <xdr:row>1770</xdr:row>
      <xdr:rowOff>0</xdr:rowOff>
    </xdr:to>
    <xdr:cxnSp macro="">
      <xdr:nvCxnSpPr>
        <xdr:cNvPr id="2271" name="Straight Arrow Connector 2270">
          <a:extLst>
            <a:ext uri="{FF2B5EF4-FFF2-40B4-BE49-F238E27FC236}">
              <a16:creationId xmlns:a16="http://schemas.microsoft.com/office/drawing/2014/main" id="{00000000-0008-0000-1300-0000DF080000}"/>
            </a:ext>
          </a:extLst>
        </xdr:cNvPr>
        <xdr:cNvCxnSpPr/>
      </xdr:nvCxnSpPr>
      <xdr:spPr>
        <a:xfrm flipV="1">
          <a:off x="8794750" y="2541481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1773</xdr:row>
      <xdr:rowOff>21166</xdr:rowOff>
    </xdr:from>
    <xdr:to>
      <xdr:col>13</xdr:col>
      <xdr:colOff>592667</xdr:colOff>
      <xdr:row>1774</xdr:row>
      <xdr:rowOff>169334</xdr:rowOff>
    </xdr:to>
    <xdr:cxnSp macro="">
      <xdr:nvCxnSpPr>
        <xdr:cNvPr id="2272" name="Straight Arrow Connector 2271">
          <a:extLst>
            <a:ext uri="{FF2B5EF4-FFF2-40B4-BE49-F238E27FC236}">
              <a16:creationId xmlns:a16="http://schemas.microsoft.com/office/drawing/2014/main" id="{00000000-0008-0000-1300-0000E0080000}"/>
            </a:ext>
          </a:extLst>
        </xdr:cNvPr>
        <xdr:cNvCxnSpPr/>
      </xdr:nvCxnSpPr>
      <xdr:spPr>
        <a:xfrm>
          <a:off x="8784166" y="2551006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1788</xdr:row>
      <xdr:rowOff>21167</xdr:rowOff>
    </xdr:from>
    <xdr:to>
      <xdr:col>13</xdr:col>
      <xdr:colOff>592667</xdr:colOff>
      <xdr:row>1790</xdr:row>
      <xdr:rowOff>63500</xdr:rowOff>
    </xdr:to>
    <xdr:cxnSp macro="">
      <xdr:nvCxnSpPr>
        <xdr:cNvPr id="2273" name="Straight Arrow Connector 2272">
          <a:extLst>
            <a:ext uri="{FF2B5EF4-FFF2-40B4-BE49-F238E27FC236}">
              <a16:creationId xmlns:a16="http://schemas.microsoft.com/office/drawing/2014/main" id="{00000000-0008-0000-1300-0000E1080000}"/>
            </a:ext>
          </a:extLst>
        </xdr:cNvPr>
        <xdr:cNvCxnSpPr/>
      </xdr:nvCxnSpPr>
      <xdr:spPr>
        <a:xfrm flipV="1">
          <a:off x="8794750" y="2581486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1793</xdr:row>
      <xdr:rowOff>0</xdr:rowOff>
    </xdr:from>
    <xdr:to>
      <xdr:col>14</xdr:col>
      <xdr:colOff>10584</xdr:colOff>
      <xdr:row>1801</xdr:row>
      <xdr:rowOff>148167</xdr:rowOff>
    </xdr:to>
    <xdr:cxnSp macro="">
      <xdr:nvCxnSpPr>
        <xdr:cNvPr id="2274" name="Straight Arrow Connector 2273">
          <a:extLst>
            <a:ext uri="{FF2B5EF4-FFF2-40B4-BE49-F238E27FC236}">
              <a16:creationId xmlns:a16="http://schemas.microsoft.com/office/drawing/2014/main" id="{00000000-0008-0000-1300-0000E2080000}"/>
            </a:ext>
          </a:extLst>
        </xdr:cNvPr>
        <xdr:cNvCxnSpPr/>
      </xdr:nvCxnSpPr>
      <xdr:spPr>
        <a:xfrm>
          <a:off x="8805333" y="2590800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1764</xdr:row>
      <xdr:rowOff>95250</xdr:rowOff>
    </xdr:from>
    <xdr:to>
      <xdr:col>15</xdr:col>
      <xdr:colOff>582083</xdr:colOff>
      <xdr:row>1766</xdr:row>
      <xdr:rowOff>137583</xdr:rowOff>
    </xdr:to>
    <xdr:cxnSp macro="">
      <xdr:nvCxnSpPr>
        <xdr:cNvPr id="2275" name="Straight Arrow Connector 2274">
          <a:extLst>
            <a:ext uri="{FF2B5EF4-FFF2-40B4-BE49-F238E27FC236}">
              <a16:creationId xmlns:a16="http://schemas.microsoft.com/office/drawing/2014/main" id="{00000000-0008-0000-1300-0000E3080000}"/>
            </a:ext>
          </a:extLst>
        </xdr:cNvPr>
        <xdr:cNvCxnSpPr/>
      </xdr:nvCxnSpPr>
      <xdr:spPr>
        <a:xfrm>
          <a:off x="10593916" y="253460250"/>
          <a:ext cx="5291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1773</xdr:row>
      <xdr:rowOff>52916</xdr:rowOff>
    </xdr:from>
    <xdr:to>
      <xdr:col>16</xdr:col>
      <xdr:colOff>0</xdr:colOff>
      <xdr:row>1775</xdr:row>
      <xdr:rowOff>0</xdr:rowOff>
    </xdr:to>
    <xdr:cxnSp macro="">
      <xdr:nvCxnSpPr>
        <xdr:cNvPr id="2276" name="Straight Arrow Connector 2275">
          <a:extLst>
            <a:ext uri="{FF2B5EF4-FFF2-40B4-BE49-F238E27FC236}">
              <a16:creationId xmlns:a16="http://schemas.microsoft.com/office/drawing/2014/main" id="{00000000-0008-0000-1300-0000E4080000}"/>
            </a:ext>
          </a:extLst>
        </xdr:cNvPr>
        <xdr:cNvCxnSpPr/>
      </xdr:nvCxnSpPr>
      <xdr:spPr>
        <a:xfrm flipV="1">
          <a:off x="10541000" y="2551324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1775</xdr:row>
      <xdr:rowOff>21167</xdr:rowOff>
    </xdr:from>
    <xdr:to>
      <xdr:col>15</xdr:col>
      <xdr:colOff>592666</xdr:colOff>
      <xdr:row>1776</xdr:row>
      <xdr:rowOff>84667</xdr:rowOff>
    </xdr:to>
    <xdr:cxnSp macro="">
      <xdr:nvCxnSpPr>
        <xdr:cNvPr id="2277" name="Straight Arrow Connector 2276">
          <a:extLst>
            <a:ext uri="{FF2B5EF4-FFF2-40B4-BE49-F238E27FC236}">
              <a16:creationId xmlns:a16="http://schemas.microsoft.com/office/drawing/2014/main" id="{00000000-0008-0000-1300-0000E5080000}"/>
            </a:ext>
          </a:extLst>
        </xdr:cNvPr>
        <xdr:cNvCxnSpPr/>
      </xdr:nvCxnSpPr>
      <xdr:spPr>
        <a:xfrm>
          <a:off x="10530417" y="255481667"/>
          <a:ext cx="603249" cy="25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1775</xdr:row>
      <xdr:rowOff>0</xdr:rowOff>
    </xdr:from>
    <xdr:to>
      <xdr:col>16</xdr:col>
      <xdr:colOff>0</xdr:colOff>
      <xdr:row>1779</xdr:row>
      <xdr:rowOff>42334</xdr:rowOff>
    </xdr:to>
    <xdr:cxnSp macro="">
      <xdr:nvCxnSpPr>
        <xdr:cNvPr id="2278" name="Straight Arrow Connector 2277">
          <a:extLst>
            <a:ext uri="{FF2B5EF4-FFF2-40B4-BE49-F238E27FC236}">
              <a16:creationId xmlns:a16="http://schemas.microsoft.com/office/drawing/2014/main" id="{00000000-0008-0000-1300-0000E6080000}"/>
            </a:ext>
          </a:extLst>
        </xdr:cNvPr>
        <xdr:cNvCxnSpPr/>
      </xdr:nvCxnSpPr>
      <xdr:spPr>
        <a:xfrm>
          <a:off x="10530417" y="255460500"/>
          <a:ext cx="613833" cy="804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1786</xdr:row>
      <xdr:rowOff>0</xdr:rowOff>
    </xdr:from>
    <xdr:to>
      <xdr:col>15</xdr:col>
      <xdr:colOff>603250</xdr:colOff>
      <xdr:row>1788</xdr:row>
      <xdr:rowOff>1</xdr:rowOff>
    </xdr:to>
    <xdr:cxnSp macro="">
      <xdr:nvCxnSpPr>
        <xdr:cNvPr id="2279" name="Straight Arrow Connector 2278">
          <a:extLst>
            <a:ext uri="{FF2B5EF4-FFF2-40B4-BE49-F238E27FC236}">
              <a16:creationId xmlns:a16="http://schemas.microsoft.com/office/drawing/2014/main" id="{00000000-0008-0000-1300-0000E7080000}"/>
            </a:ext>
          </a:extLst>
        </xdr:cNvPr>
        <xdr:cNvCxnSpPr/>
      </xdr:nvCxnSpPr>
      <xdr:spPr>
        <a:xfrm flipV="1">
          <a:off x="10530417" y="2577465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1788</xdr:row>
      <xdr:rowOff>10584</xdr:rowOff>
    </xdr:from>
    <xdr:to>
      <xdr:col>15</xdr:col>
      <xdr:colOff>592666</xdr:colOff>
      <xdr:row>1789</xdr:row>
      <xdr:rowOff>95250</xdr:rowOff>
    </xdr:to>
    <xdr:cxnSp macro="">
      <xdr:nvCxnSpPr>
        <xdr:cNvPr id="2280" name="Straight Arrow Connector 2279">
          <a:extLst>
            <a:ext uri="{FF2B5EF4-FFF2-40B4-BE49-F238E27FC236}">
              <a16:creationId xmlns:a16="http://schemas.microsoft.com/office/drawing/2014/main" id="{00000000-0008-0000-1300-0000E8080000}"/>
            </a:ext>
          </a:extLst>
        </xdr:cNvPr>
        <xdr:cNvCxnSpPr/>
      </xdr:nvCxnSpPr>
      <xdr:spPr>
        <a:xfrm>
          <a:off x="10572750" y="2581380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1788</xdr:row>
      <xdr:rowOff>10584</xdr:rowOff>
    </xdr:from>
    <xdr:to>
      <xdr:col>15</xdr:col>
      <xdr:colOff>560916</xdr:colOff>
      <xdr:row>1792</xdr:row>
      <xdr:rowOff>52917</xdr:rowOff>
    </xdr:to>
    <xdr:cxnSp macro="">
      <xdr:nvCxnSpPr>
        <xdr:cNvPr id="2281" name="Straight Arrow Connector 2280">
          <a:extLst>
            <a:ext uri="{FF2B5EF4-FFF2-40B4-BE49-F238E27FC236}">
              <a16:creationId xmlns:a16="http://schemas.microsoft.com/office/drawing/2014/main" id="{00000000-0008-0000-1300-0000E9080000}"/>
            </a:ext>
          </a:extLst>
        </xdr:cNvPr>
        <xdr:cNvCxnSpPr/>
      </xdr:nvCxnSpPr>
      <xdr:spPr>
        <a:xfrm>
          <a:off x="10551583" y="2581380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2282" name="Straight Arrow Connector 2281">
          <a:extLst>
            <a:ext uri="{FF2B5EF4-FFF2-40B4-BE49-F238E27FC236}">
              <a16:creationId xmlns:a16="http://schemas.microsoft.com/office/drawing/2014/main" id="{00000000-0008-0000-1300-0000EA080000}"/>
            </a:ext>
          </a:extLst>
        </xdr:cNvPr>
        <xdr:cNvCxnSpPr/>
      </xdr:nvCxnSpPr>
      <xdr:spPr>
        <a:xfrm>
          <a:off x="10583333" y="2581592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1802</xdr:row>
      <xdr:rowOff>0</xdr:rowOff>
    </xdr:from>
    <xdr:to>
      <xdr:col>16</xdr:col>
      <xdr:colOff>0</xdr:colOff>
      <xdr:row>1802</xdr:row>
      <xdr:rowOff>42334</xdr:rowOff>
    </xdr:to>
    <xdr:cxnSp macro="">
      <xdr:nvCxnSpPr>
        <xdr:cNvPr id="2283" name="Straight Arrow Connector 2282">
          <a:extLst>
            <a:ext uri="{FF2B5EF4-FFF2-40B4-BE49-F238E27FC236}">
              <a16:creationId xmlns:a16="http://schemas.microsoft.com/office/drawing/2014/main" id="{00000000-0008-0000-1300-0000EB080000}"/>
            </a:ext>
          </a:extLst>
        </xdr:cNvPr>
        <xdr:cNvCxnSpPr/>
      </xdr:nvCxnSpPr>
      <xdr:spPr>
        <a:xfrm>
          <a:off x="10562166" y="2607945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1802</xdr:row>
      <xdr:rowOff>21166</xdr:rowOff>
    </xdr:from>
    <xdr:to>
      <xdr:col>15</xdr:col>
      <xdr:colOff>560916</xdr:colOff>
      <xdr:row>1805</xdr:row>
      <xdr:rowOff>84667</xdr:rowOff>
    </xdr:to>
    <xdr:cxnSp macro="">
      <xdr:nvCxnSpPr>
        <xdr:cNvPr id="2284" name="Straight Arrow Connector 2283">
          <a:extLst>
            <a:ext uri="{FF2B5EF4-FFF2-40B4-BE49-F238E27FC236}">
              <a16:creationId xmlns:a16="http://schemas.microsoft.com/office/drawing/2014/main" id="{00000000-0008-0000-1300-0000EC080000}"/>
            </a:ext>
          </a:extLst>
        </xdr:cNvPr>
        <xdr:cNvCxnSpPr/>
      </xdr:nvCxnSpPr>
      <xdr:spPr>
        <a:xfrm>
          <a:off x="10615083" y="2608156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1802</xdr:row>
      <xdr:rowOff>52916</xdr:rowOff>
    </xdr:from>
    <xdr:to>
      <xdr:col>15</xdr:col>
      <xdr:colOff>592666</xdr:colOff>
      <xdr:row>1808</xdr:row>
      <xdr:rowOff>63501</xdr:rowOff>
    </xdr:to>
    <xdr:cxnSp macro="">
      <xdr:nvCxnSpPr>
        <xdr:cNvPr id="2285" name="Straight Arrow Connector 2284">
          <a:extLst>
            <a:ext uri="{FF2B5EF4-FFF2-40B4-BE49-F238E27FC236}">
              <a16:creationId xmlns:a16="http://schemas.microsoft.com/office/drawing/2014/main" id="{00000000-0008-0000-1300-0000ED080000}"/>
            </a:ext>
          </a:extLst>
        </xdr:cNvPr>
        <xdr:cNvCxnSpPr/>
      </xdr:nvCxnSpPr>
      <xdr:spPr>
        <a:xfrm>
          <a:off x="10572750" y="2608474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1799</xdr:row>
      <xdr:rowOff>52917</xdr:rowOff>
    </xdr:from>
    <xdr:to>
      <xdr:col>15</xdr:col>
      <xdr:colOff>603250</xdr:colOff>
      <xdr:row>1801</xdr:row>
      <xdr:rowOff>148167</xdr:rowOff>
    </xdr:to>
    <xdr:cxnSp macro="">
      <xdr:nvCxnSpPr>
        <xdr:cNvPr id="2286" name="Straight Arrow Connector 2285">
          <a:extLst>
            <a:ext uri="{FF2B5EF4-FFF2-40B4-BE49-F238E27FC236}">
              <a16:creationId xmlns:a16="http://schemas.microsoft.com/office/drawing/2014/main" id="{00000000-0008-0000-1300-0000EE080000}"/>
            </a:ext>
          </a:extLst>
        </xdr:cNvPr>
        <xdr:cNvCxnSpPr/>
      </xdr:nvCxnSpPr>
      <xdr:spPr>
        <a:xfrm flipV="1">
          <a:off x="10583333" y="2602759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31750</xdr:colOff>
      <xdr:row>1710</xdr:row>
      <xdr:rowOff>127000</xdr:rowOff>
    </xdr:from>
    <xdr:to>
      <xdr:col>8</xdr:col>
      <xdr:colOff>63500</xdr:colOff>
      <xdr:row>1729</xdr:row>
      <xdr:rowOff>0</xdr:rowOff>
    </xdr:to>
    <xdr:cxnSp macro="">
      <xdr:nvCxnSpPr>
        <xdr:cNvPr id="2287" name="Straight Arrow Connector 2286">
          <a:extLst>
            <a:ext uri="{FF2B5EF4-FFF2-40B4-BE49-F238E27FC236}">
              <a16:creationId xmlns:a16="http://schemas.microsoft.com/office/drawing/2014/main" id="{00000000-0008-0000-1300-0000EF080000}"/>
            </a:ext>
          </a:extLst>
        </xdr:cNvPr>
        <xdr:cNvCxnSpPr/>
      </xdr:nvCxnSpPr>
      <xdr:spPr>
        <a:xfrm flipV="1">
          <a:off x="5207000" y="243014500"/>
          <a:ext cx="635000" cy="3587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603250</xdr:colOff>
      <xdr:row>1364</xdr:row>
      <xdr:rowOff>10584</xdr:rowOff>
    </xdr:from>
    <xdr:to>
      <xdr:col>1</xdr:col>
      <xdr:colOff>603250</xdr:colOff>
      <xdr:row>1457</xdr:row>
      <xdr:rowOff>158750</xdr:rowOff>
    </xdr:to>
    <xdr:cxnSp macro="">
      <xdr:nvCxnSpPr>
        <xdr:cNvPr id="2288" name="Straight Arrow Connector 2287">
          <a:extLst>
            <a:ext uri="{FF2B5EF4-FFF2-40B4-BE49-F238E27FC236}">
              <a16:creationId xmlns:a16="http://schemas.microsoft.com/office/drawing/2014/main" id="{00000000-0008-0000-1300-0000F0080000}"/>
            </a:ext>
          </a:extLst>
        </xdr:cNvPr>
        <xdr:cNvCxnSpPr/>
      </xdr:nvCxnSpPr>
      <xdr:spPr>
        <a:xfrm flipV="1">
          <a:off x="603250" y="175842084"/>
          <a:ext cx="603250" cy="18245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603250</xdr:colOff>
      <xdr:row>1460</xdr:row>
      <xdr:rowOff>169333</xdr:rowOff>
    </xdr:from>
    <xdr:to>
      <xdr:col>1</xdr:col>
      <xdr:colOff>603250</xdr:colOff>
      <xdr:row>1502</xdr:row>
      <xdr:rowOff>148167</xdr:rowOff>
    </xdr:to>
    <xdr:cxnSp macro="">
      <xdr:nvCxnSpPr>
        <xdr:cNvPr id="2289" name="Straight Arrow Connector 2288">
          <a:extLst>
            <a:ext uri="{FF2B5EF4-FFF2-40B4-BE49-F238E27FC236}">
              <a16:creationId xmlns:a16="http://schemas.microsoft.com/office/drawing/2014/main" id="{00000000-0008-0000-1300-0000F1080000}"/>
            </a:ext>
          </a:extLst>
        </xdr:cNvPr>
        <xdr:cNvCxnSpPr/>
      </xdr:nvCxnSpPr>
      <xdr:spPr>
        <a:xfrm>
          <a:off x="603250" y="194669833"/>
          <a:ext cx="603250" cy="7979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10584</xdr:colOff>
      <xdr:row>1436</xdr:row>
      <xdr:rowOff>158750</xdr:rowOff>
    </xdr:from>
    <xdr:to>
      <xdr:col>3</xdr:col>
      <xdr:colOff>603250</xdr:colOff>
      <xdr:row>1503</xdr:row>
      <xdr:rowOff>10583</xdr:rowOff>
    </xdr:to>
    <xdr:cxnSp macro="">
      <xdr:nvCxnSpPr>
        <xdr:cNvPr id="2290" name="Straight Arrow Connector 2289">
          <a:extLst>
            <a:ext uri="{FF2B5EF4-FFF2-40B4-BE49-F238E27FC236}">
              <a16:creationId xmlns:a16="http://schemas.microsoft.com/office/drawing/2014/main" id="{00000000-0008-0000-1300-0000F2080000}"/>
            </a:ext>
          </a:extLst>
        </xdr:cNvPr>
        <xdr:cNvCxnSpPr/>
      </xdr:nvCxnSpPr>
      <xdr:spPr>
        <a:xfrm flipV="1">
          <a:off x="2296584" y="189896750"/>
          <a:ext cx="592666" cy="12805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21167</xdr:colOff>
      <xdr:row>1505</xdr:row>
      <xdr:rowOff>10583</xdr:rowOff>
    </xdr:from>
    <xdr:to>
      <xdr:col>4</xdr:col>
      <xdr:colOff>63500</xdr:colOff>
      <xdr:row>1656</xdr:row>
      <xdr:rowOff>158750</xdr:rowOff>
    </xdr:to>
    <xdr:cxnSp macro="">
      <xdr:nvCxnSpPr>
        <xdr:cNvPr id="2291" name="Straight Arrow Connector 2290">
          <a:extLst>
            <a:ext uri="{FF2B5EF4-FFF2-40B4-BE49-F238E27FC236}">
              <a16:creationId xmlns:a16="http://schemas.microsoft.com/office/drawing/2014/main" id="{00000000-0008-0000-1300-0000F3080000}"/>
            </a:ext>
          </a:extLst>
        </xdr:cNvPr>
        <xdr:cNvCxnSpPr/>
      </xdr:nvCxnSpPr>
      <xdr:spPr>
        <a:xfrm>
          <a:off x="2307167" y="203274083"/>
          <a:ext cx="645583" cy="29294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825500</xdr:colOff>
      <xdr:row>1399</xdr:row>
      <xdr:rowOff>1</xdr:rowOff>
    </xdr:from>
    <xdr:to>
      <xdr:col>6</xdr:col>
      <xdr:colOff>0</xdr:colOff>
      <xdr:row>1433</xdr:row>
      <xdr:rowOff>116417</xdr:rowOff>
    </xdr:to>
    <xdr:cxnSp macro="">
      <xdr:nvCxnSpPr>
        <xdr:cNvPr id="2292" name="Straight Arrow Connector 2291">
          <a:extLst>
            <a:ext uri="{FF2B5EF4-FFF2-40B4-BE49-F238E27FC236}">
              <a16:creationId xmlns:a16="http://schemas.microsoft.com/office/drawing/2014/main" id="{00000000-0008-0000-1300-0000F4080000}"/>
            </a:ext>
          </a:extLst>
        </xdr:cNvPr>
        <xdr:cNvCxnSpPr/>
      </xdr:nvCxnSpPr>
      <xdr:spPr>
        <a:xfrm flipV="1">
          <a:off x="3714750" y="182689501"/>
          <a:ext cx="666750" cy="65934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21167</xdr:colOff>
      <xdr:row>1436</xdr:row>
      <xdr:rowOff>169334</xdr:rowOff>
    </xdr:from>
    <xdr:to>
      <xdr:col>5</xdr:col>
      <xdr:colOff>571500</xdr:colOff>
      <xdr:row>1505</xdr:row>
      <xdr:rowOff>0</xdr:rowOff>
    </xdr:to>
    <xdr:cxnSp macro="">
      <xdr:nvCxnSpPr>
        <xdr:cNvPr id="2293" name="Straight Arrow Connector 2292">
          <a:extLst>
            <a:ext uri="{FF2B5EF4-FFF2-40B4-BE49-F238E27FC236}">
              <a16:creationId xmlns:a16="http://schemas.microsoft.com/office/drawing/2014/main" id="{00000000-0008-0000-1300-0000F5080000}"/>
            </a:ext>
          </a:extLst>
        </xdr:cNvPr>
        <xdr:cNvCxnSpPr/>
      </xdr:nvCxnSpPr>
      <xdr:spPr>
        <a:xfrm>
          <a:off x="3799417" y="189907334"/>
          <a:ext cx="550333" cy="133244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1374</xdr:row>
      <xdr:rowOff>148167</xdr:rowOff>
    </xdr:from>
    <xdr:to>
      <xdr:col>7</xdr:col>
      <xdr:colOff>603250</xdr:colOff>
      <xdr:row>1396</xdr:row>
      <xdr:rowOff>31750</xdr:rowOff>
    </xdr:to>
    <xdr:cxnSp macro="">
      <xdr:nvCxnSpPr>
        <xdr:cNvPr id="2294" name="Straight Arrow Connector 2293">
          <a:extLst>
            <a:ext uri="{FF2B5EF4-FFF2-40B4-BE49-F238E27FC236}">
              <a16:creationId xmlns:a16="http://schemas.microsoft.com/office/drawing/2014/main" id="{00000000-0008-0000-1300-0000F6080000}"/>
            </a:ext>
          </a:extLst>
        </xdr:cNvPr>
        <xdr:cNvCxnSpPr/>
      </xdr:nvCxnSpPr>
      <xdr:spPr>
        <a:xfrm flipV="1">
          <a:off x="5175250" y="177884667"/>
          <a:ext cx="603250" cy="42650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1399</xdr:row>
      <xdr:rowOff>10584</xdr:rowOff>
    </xdr:from>
    <xdr:to>
      <xdr:col>8</xdr:col>
      <xdr:colOff>21167</xdr:colOff>
      <xdr:row>1427</xdr:row>
      <xdr:rowOff>148166</xdr:rowOff>
    </xdr:to>
    <xdr:cxnSp macro="">
      <xdr:nvCxnSpPr>
        <xdr:cNvPr id="2295" name="Straight Arrow Connector 2294">
          <a:extLst>
            <a:ext uri="{FF2B5EF4-FFF2-40B4-BE49-F238E27FC236}">
              <a16:creationId xmlns:a16="http://schemas.microsoft.com/office/drawing/2014/main" id="{00000000-0008-0000-1300-0000F7080000}"/>
            </a:ext>
          </a:extLst>
        </xdr:cNvPr>
        <xdr:cNvCxnSpPr/>
      </xdr:nvCxnSpPr>
      <xdr:spPr>
        <a:xfrm>
          <a:off x="5175250" y="182700084"/>
          <a:ext cx="624417" cy="547158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1366</xdr:row>
      <xdr:rowOff>137583</xdr:rowOff>
    </xdr:from>
    <xdr:to>
      <xdr:col>9</xdr:col>
      <xdr:colOff>603250</xdr:colOff>
      <xdr:row>1372</xdr:row>
      <xdr:rowOff>21166</xdr:rowOff>
    </xdr:to>
    <xdr:cxnSp macro="">
      <xdr:nvCxnSpPr>
        <xdr:cNvPr id="2296" name="Straight Arrow Connector 2295">
          <a:extLst>
            <a:ext uri="{FF2B5EF4-FFF2-40B4-BE49-F238E27FC236}">
              <a16:creationId xmlns:a16="http://schemas.microsoft.com/office/drawing/2014/main" id="{00000000-0008-0000-1300-0000F8080000}"/>
            </a:ext>
          </a:extLst>
        </xdr:cNvPr>
        <xdr:cNvCxnSpPr/>
      </xdr:nvCxnSpPr>
      <xdr:spPr>
        <a:xfrm flipV="1">
          <a:off x="6381750" y="176350083"/>
          <a:ext cx="603250" cy="1026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1375</xdr:row>
      <xdr:rowOff>0</xdr:rowOff>
    </xdr:from>
    <xdr:to>
      <xdr:col>9</xdr:col>
      <xdr:colOff>582083</xdr:colOff>
      <xdr:row>1383</xdr:row>
      <xdr:rowOff>10583</xdr:rowOff>
    </xdr:to>
    <xdr:cxnSp macro="">
      <xdr:nvCxnSpPr>
        <xdr:cNvPr id="2297" name="Straight Arrow Connector 2296">
          <a:extLst>
            <a:ext uri="{FF2B5EF4-FFF2-40B4-BE49-F238E27FC236}">
              <a16:creationId xmlns:a16="http://schemas.microsoft.com/office/drawing/2014/main" id="{00000000-0008-0000-1300-0000F9080000}"/>
            </a:ext>
          </a:extLst>
        </xdr:cNvPr>
        <xdr:cNvCxnSpPr/>
      </xdr:nvCxnSpPr>
      <xdr:spPr>
        <a:xfrm>
          <a:off x="6413500" y="177927000"/>
          <a:ext cx="550333" cy="1534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21167</xdr:colOff>
      <xdr:row>1380</xdr:row>
      <xdr:rowOff>169333</xdr:rowOff>
    </xdr:from>
    <xdr:to>
      <xdr:col>11</xdr:col>
      <xdr:colOff>603250</xdr:colOff>
      <xdr:row>1383</xdr:row>
      <xdr:rowOff>21167</xdr:rowOff>
    </xdr:to>
    <xdr:cxnSp macro="">
      <xdr:nvCxnSpPr>
        <xdr:cNvPr id="2298" name="Straight Arrow Connector 2297">
          <a:extLst>
            <a:ext uri="{FF2B5EF4-FFF2-40B4-BE49-F238E27FC236}">
              <a16:creationId xmlns:a16="http://schemas.microsoft.com/office/drawing/2014/main" id="{00000000-0008-0000-1300-0000FA080000}"/>
            </a:ext>
          </a:extLst>
        </xdr:cNvPr>
        <xdr:cNvCxnSpPr/>
      </xdr:nvCxnSpPr>
      <xdr:spPr>
        <a:xfrm flipV="1">
          <a:off x="7609417" y="179048833"/>
          <a:ext cx="582083" cy="423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1386</xdr:row>
      <xdr:rowOff>42333</xdr:rowOff>
    </xdr:from>
    <xdr:to>
      <xdr:col>11</xdr:col>
      <xdr:colOff>603250</xdr:colOff>
      <xdr:row>1398</xdr:row>
      <xdr:rowOff>10583</xdr:rowOff>
    </xdr:to>
    <xdr:cxnSp macro="">
      <xdr:nvCxnSpPr>
        <xdr:cNvPr id="2299" name="Straight Arrow Connector 2298">
          <a:extLst>
            <a:ext uri="{FF2B5EF4-FFF2-40B4-BE49-F238E27FC236}">
              <a16:creationId xmlns:a16="http://schemas.microsoft.com/office/drawing/2014/main" id="{00000000-0008-0000-1300-0000FB080000}"/>
            </a:ext>
          </a:extLst>
        </xdr:cNvPr>
        <xdr:cNvCxnSpPr/>
      </xdr:nvCxnSpPr>
      <xdr:spPr>
        <a:xfrm>
          <a:off x="7598834" y="1800648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1376</xdr:row>
      <xdr:rowOff>21167</xdr:rowOff>
    </xdr:from>
    <xdr:to>
      <xdr:col>13</xdr:col>
      <xdr:colOff>592667</xdr:colOff>
      <xdr:row>1378</xdr:row>
      <xdr:rowOff>0</xdr:rowOff>
    </xdr:to>
    <xdr:cxnSp macro="">
      <xdr:nvCxnSpPr>
        <xdr:cNvPr id="2300" name="Straight Arrow Connector 2299">
          <a:extLst>
            <a:ext uri="{FF2B5EF4-FFF2-40B4-BE49-F238E27FC236}">
              <a16:creationId xmlns:a16="http://schemas.microsoft.com/office/drawing/2014/main" id="{00000000-0008-0000-1300-0000FC080000}"/>
            </a:ext>
          </a:extLst>
        </xdr:cNvPr>
        <xdr:cNvCxnSpPr/>
      </xdr:nvCxnSpPr>
      <xdr:spPr>
        <a:xfrm flipV="1">
          <a:off x="8794750" y="1781386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1381</xdr:row>
      <xdr:rowOff>21166</xdr:rowOff>
    </xdr:from>
    <xdr:to>
      <xdr:col>13</xdr:col>
      <xdr:colOff>592667</xdr:colOff>
      <xdr:row>1382</xdr:row>
      <xdr:rowOff>169334</xdr:rowOff>
    </xdr:to>
    <xdr:cxnSp macro="">
      <xdr:nvCxnSpPr>
        <xdr:cNvPr id="2301" name="Straight Arrow Connector 2300">
          <a:extLst>
            <a:ext uri="{FF2B5EF4-FFF2-40B4-BE49-F238E27FC236}">
              <a16:creationId xmlns:a16="http://schemas.microsoft.com/office/drawing/2014/main" id="{00000000-0008-0000-1300-0000FD080000}"/>
            </a:ext>
          </a:extLst>
        </xdr:cNvPr>
        <xdr:cNvCxnSpPr/>
      </xdr:nvCxnSpPr>
      <xdr:spPr>
        <a:xfrm>
          <a:off x="8784166" y="1790911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1396</xdr:row>
      <xdr:rowOff>21167</xdr:rowOff>
    </xdr:from>
    <xdr:to>
      <xdr:col>13</xdr:col>
      <xdr:colOff>592667</xdr:colOff>
      <xdr:row>1398</xdr:row>
      <xdr:rowOff>63500</xdr:rowOff>
    </xdr:to>
    <xdr:cxnSp macro="">
      <xdr:nvCxnSpPr>
        <xdr:cNvPr id="2302" name="Straight Arrow Connector 2301">
          <a:extLst>
            <a:ext uri="{FF2B5EF4-FFF2-40B4-BE49-F238E27FC236}">
              <a16:creationId xmlns:a16="http://schemas.microsoft.com/office/drawing/2014/main" id="{00000000-0008-0000-1300-0000FE080000}"/>
            </a:ext>
          </a:extLst>
        </xdr:cNvPr>
        <xdr:cNvCxnSpPr/>
      </xdr:nvCxnSpPr>
      <xdr:spPr>
        <a:xfrm flipV="1">
          <a:off x="8794750" y="1821391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1401</xdr:row>
      <xdr:rowOff>0</xdr:rowOff>
    </xdr:from>
    <xdr:to>
      <xdr:col>14</xdr:col>
      <xdr:colOff>10584</xdr:colOff>
      <xdr:row>1409</xdr:row>
      <xdr:rowOff>148167</xdr:rowOff>
    </xdr:to>
    <xdr:cxnSp macro="">
      <xdr:nvCxnSpPr>
        <xdr:cNvPr id="2303" name="Straight Arrow Connector 2302">
          <a:extLst>
            <a:ext uri="{FF2B5EF4-FFF2-40B4-BE49-F238E27FC236}">
              <a16:creationId xmlns:a16="http://schemas.microsoft.com/office/drawing/2014/main" id="{00000000-0008-0000-1300-0000FF080000}"/>
            </a:ext>
          </a:extLst>
        </xdr:cNvPr>
        <xdr:cNvCxnSpPr/>
      </xdr:nvCxnSpPr>
      <xdr:spPr>
        <a:xfrm>
          <a:off x="8805333" y="1830705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1368</xdr:row>
      <xdr:rowOff>0</xdr:rowOff>
    </xdr:from>
    <xdr:to>
      <xdr:col>15</xdr:col>
      <xdr:colOff>603250</xdr:colOff>
      <xdr:row>1373</xdr:row>
      <xdr:rowOff>31750</xdr:rowOff>
    </xdr:to>
    <xdr:cxnSp macro="">
      <xdr:nvCxnSpPr>
        <xdr:cNvPr id="2304" name="Straight Arrow Connector 2303">
          <a:extLst>
            <a:ext uri="{FF2B5EF4-FFF2-40B4-BE49-F238E27FC236}">
              <a16:creationId xmlns:a16="http://schemas.microsoft.com/office/drawing/2014/main" id="{00000000-0008-0000-1300-000000090000}"/>
            </a:ext>
          </a:extLst>
        </xdr:cNvPr>
        <xdr:cNvCxnSpPr/>
      </xdr:nvCxnSpPr>
      <xdr:spPr>
        <a:xfrm flipV="1">
          <a:off x="10541000" y="176593500"/>
          <a:ext cx="603250" cy="984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1371</xdr:row>
      <xdr:rowOff>52917</xdr:rowOff>
    </xdr:from>
    <xdr:to>
      <xdr:col>15</xdr:col>
      <xdr:colOff>603250</xdr:colOff>
      <xdr:row>1373</xdr:row>
      <xdr:rowOff>95250</xdr:rowOff>
    </xdr:to>
    <xdr:cxnSp macro="">
      <xdr:nvCxnSpPr>
        <xdr:cNvPr id="2305" name="Straight Arrow Connector 2304">
          <a:extLst>
            <a:ext uri="{FF2B5EF4-FFF2-40B4-BE49-F238E27FC236}">
              <a16:creationId xmlns:a16="http://schemas.microsoft.com/office/drawing/2014/main" id="{00000000-0008-0000-1300-000001090000}"/>
            </a:ext>
          </a:extLst>
        </xdr:cNvPr>
        <xdr:cNvCxnSpPr/>
      </xdr:nvCxnSpPr>
      <xdr:spPr>
        <a:xfrm flipV="1">
          <a:off x="10583333" y="177217917"/>
          <a:ext cx="56091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1373</xdr:row>
      <xdr:rowOff>158750</xdr:rowOff>
    </xdr:from>
    <xdr:to>
      <xdr:col>15</xdr:col>
      <xdr:colOff>582083</xdr:colOff>
      <xdr:row>1374</xdr:row>
      <xdr:rowOff>137583</xdr:rowOff>
    </xdr:to>
    <xdr:cxnSp macro="">
      <xdr:nvCxnSpPr>
        <xdr:cNvPr id="2306" name="Straight Arrow Connector 2305">
          <a:extLst>
            <a:ext uri="{FF2B5EF4-FFF2-40B4-BE49-F238E27FC236}">
              <a16:creationId xmlns:a16="http://schemas.microsoft.com/office/drawing/2014/main" id="{00000000-0008-0000-1300-000002090000}"/>
            </a:ext>
          </a:extLst>
        </xdr:cNvPr>
        <xdr:cNvCxnSpPr/>
      </xdr:nvCxnSpPr>
      <xdr:spPr>
        <a:xfrm>
          <a:off x="10604500" y="177704750"/>
          <a:ext cx="518583" cy="169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1121834</xdr:colOff>
      <xdr:row>1373</xdr:row>
      <xdr:rowOff>105834</xdr:rowOff>
    </xdr:from>
    <xdr:to>
      <xdr:col>16</xdr:col>
      <xdr:colOff>0</xdr:colOff>
      <xdr:row>1377</xdr:row>
      <xdr:rowOff>84667</xdr:rowOff>
    </xdr:to>
    <xdr:cxnSp macro="">
      <xdr:nvCxnSpPr>
        <xdr:cNvPr id="2307" name="Straight Arrow Connector 2306">
          <a:extLst>
            <a:ext uri="{FF2B5EF4-FFF2-40B4-BE49-F238E27FC236}">
              <a16:creationId xmlns:a16="http://schemas.microsoft.com/office/drawing/2014/main" id="{00000000-0008-0000-1300-000003090000}"/>
            </a:ext>
          </a:extLst>
        </xdr:cNvPr>
        <xdr:cNvCxnSpPr/>
      </xdr:nvCxnSpPr>
      <xdr:spPr>
        <a:xfrm>
          <a:off x="10519834" y="177651834"/>
          <a:ext cx="624416"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1381</xdr:row>
      <xdr:rowOff>52916</xdr:rowOff>
    </xdr:from>
    <xdr:to>
      <xdr:col>16</xdr:col>
      <xdr:colOff>0</xdr:colOff>
      <xdr:row>1383</xdr:row>
      <xdr:rowOff>0</xdr:rowOff>
    </xdr:to>
    <xdr:cxnSp macro="">
      <xdr:nvCxnSpPr>
        <xdr:cNvPr id="2308" name="Straight Arrow Connector 2307">
          <a:extLst>
            <a:ext uri="{FF2B5EF4-FFF2-40B4-BE49-F238E27FC236}">
              <a16:creationId xmlns:a16="http://schemas.microsoft.com/office/drawing/2014/main" id="{00000000-0008-0000-1300-000004090000}"/>
            </a:ext>
          </a:extLst>
        </xdr:cNvPr>
        <xdr:cNvCxnSpPr/>
      </xdr:nvCxnSpPr>
      <xdr:spPr>
        <a:xfrm flipV="1">
          <a:off x="10541000" y="1791229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1383</xdr:row>
      <xdr:rowOff>21167</xdr:rowOff>
    </xdr:from>
    <xdr:to>
      <xdr:col>15</xdr:col>
      <xdr:colOff>582083</xdr:colOff>
      <xdr:row>1384</xdr:row>
      <xdr:rowOff>42333</xdr:rowOff>
    </xdr:to>
    <xdr:cxnSp macro="">
      <xdr:nvCxnSpPr>
        <xdr:cNvPr id="2309" name="Straight Arrow Connector 2308">
          <a:extLst>
            <a:ext uri="{FF2B5EF4-FFF2-40B4-BE49-F238E27FC236}">
              <a16:creationId xmlns:a16="http://schemas.microsoft.com/office/drawing/2014/main" id="{00000000-0008-0000-1300-000005090000}"/>
            </a:ext>
          </a:extLst>
        </xdr:cNvPr>
        <xdr:cNvCxnSpPr/>
      </xdr:nvCxnSpPr>
      <xdr:spPr>
        <a:xfrm>
          <a:off x="10551583" y="179472167"/>
          <a:ext cx="571500" cy="211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1383</xdr:row>
      <xdr:rowOff>21167</xdr:rowOff>
    </xdr:from>
    <xdr:to>
      <xdr:col>16</xdr:col>
      <xdr:colOff>42333</xdr:colOff>
      <xdr:row>1388</xdr:row>
      <xdr:rowOff>21168</xdr:rowOff>
    </xdr:to>
    <xdr:cxnSp macro="">
      <xdr:nvCxnSpPr>
        <xdr:cNvPr id="2310" name="Straight Arrow Connector 2309">
          <a:extLst>
            <a:ext uri="{FF2B5EF4-FFF2-40B4-BE49-F238E27FC236}">
              <a16:creationId xmlns:a16="http://schemas.microsoft.com/office/drawing/2014/main" id="{00000000-0008-0000-1300-000006090000}"/>
            </a:ext>
          </a:extLst>
        </xdr:cNvPr>
        <xdr:cNvCxnSpPr/>
      </xdr:nvCxnSpPr>
      <xdr:spPr>
        <a:xfrm>
          <a:off x="10530417" y="179472167"/>
          <a:ext cx="656166" cy="9525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1383</xdr:row>
      <xdr:rowOff>31750</xdr:rowOff>
    </xdr:from>
    <xdr:to>
      <xdr:col>16</xdr:col>
      <xdr:colOff>42334</xdr:colOff>
      <xdr:row>1390</xdr:row>
      <xdr:rowOff>63501</xdr:rowOff>
    </xdr:to>
    <xdr:cxnSp macro="">
      <xdr:nvCxnSpPr>
        <xdr:cNvPr id="2311" name="Straight Arrow Connector 2310">
          <a:extLst>
            <a:ext uri="{FF2B5EF4-FFF2-40B4-BE49-F238E27FC236}">
              <a16:creationId xmlns:a16="http://schemas.microsoft.com/office/drawing/2014/main" id="{00000000-0008-0000-1300-000007090000}"/>
            </a:ext>
          </a:extLst>
        </xdr:cNvPr>
        <xdr:cNvCxnSpPr/>
      </xdr:nvCxnSpPr>
      <xdr:spPr>
        <a:xfrm>
          <a:off x="10541000" y="179482750"/>
          <a:ext cx="645584"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10583</xdr:colOff>
      <xdr:row>1420</xdr:row>
      <xdr:rowOff>42333</xdr:rowOff>
    </xdr:from>
    <xdr:to>
      <xdr:col>9</xdr:col>
      <xdr:colOff>592666</xdr:colOff>
      <xdr:row>1428</xdr:row>
      <xdr:rowOff>42333</xdr:rowOff>
    </xdr:to>
    <xdr:cxnSp macro="">
      <xdr:nvCxnSpPr>
        <xdr:cNvPr id="2312" name="Straight Arrow Connector 2311">
          <a:extLst>
            <a:ext uri="{FF2B5EF4-FFF2-40B4-BE49-F238E27FC236}">
              <a16:creationId xmlns:a16="http://schemas.microsoft.com/office/drawing/2014/main" id="{00000000-0008-0000-1300-000008090000}"/>
            </a:ext>
          </a:extLst>
        </xdr:cNvPr>
        <xdr:cNvCxnSpPr/>
      </xdr:nvCxnSpPr>
      <xdr:spPr>
        <a:xfrm flipV="1">
          <a:off x="6392333" y="186732333"/>
          <a:ext cx="582083" cy="152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1430</xdr:row>
      <xdr:rowOff>169334</xdr:rowOff>
    </xdr:from>
    <xdr:to>
      <xdr:col>9</xdr:col>
      <xdr:colOff>603250</xdr:colOff>
      <xdr:row>1439</xdr:row>
      <xdr:rowOff>31750</xdr:rowOff>
    </xdr:to>
    <xdr:cxnSp macro="">
      <xdr:nvCxnSpPr>
        <xdr:cNvPr id="2313" name="Straight Arrow Connector 2312">
          <a:extLst>
            <a:ext uri="{FF2B5EF4-FFF2-40B4-BE49-F238E27FC236}">
              <a16:creationId xmlns:a16="http://schemas.microsoft.com/office/drawing/2014/main" id="{00000000-0008-0000-1300-000009090000}"/>
            </a:ext>
          </a:extLst>
        </xdr:cNvPr>
        <xdr:cNvCxnSpPr/>
      </xdr:nvCxnSpPr>
      <xdr:spPr>
        <a:xfrm>
          <a:off x="6413500" y="188764334"/>
          <a:ext cx="571500" cy="1576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571500</xdr:colOff>
      <xdr:row>1436</xdr:row>
      <xdr:rowOff>158750</xdr:rowOff>
    </xdr:from>
    <xdr:to>
      <xdr:col>11</xdr:col>
      <xdr:colOff>571500</xdr:colOff>
      <xdr:row>1439</xdr:row>
      <xdr:rowOff>0</xdr:rowOff>
    </xdr:to>
    <xdr:cxnSp macro="">
      <xdr:nvCxnSpPr>
        <xdr:cNvPr id="2314" name="Straight Arrow Connector 2313">
          <a:extLst>
            <a:ext uri="{FF2B5EF4-FFF2-40B4-BE49-F238E27FC236}">
              <a16:creationId xmlns:a16="http://schemas.microsoft.com/office/drawing/2014/main" id="{00000000-0008-0000-1300-00000A090000}"/>
            </a:ext>
          </a:extLst>
        </xdr:cNvPr>
        <xdr:cNvCxnSpPr/>
      </xdr:nvCxnSpPr>
      <xdr:spPr>
        <a:xfrm flipV="1">
          <a:off x="7556500" y="189896750"/>
          <a:ext cx="603250" cy="412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1394</xdr:row>
      <xdr:rowOff>0</xdr:rowOff>
    </xdr:from>
    <xdr:to>
      <xdr:col>15</xdr:col>
      <xdr:colOff>603250</xdr:colOff>
      <xdr:row>1396</xdr:row>
      <xdr:rowOff>1</xdr:rowOff>
    </xdr:to>
    <xdr:cxnSp macro="">
      <xdr:nvCxnSpPr>
        <xdr:cNvPr id="2315" name="Straight Arrow Connector 2314">
          <a:extLst>
            <a:ext uri="{FF2B5EF4-FFF2-40B4-BE49-F238E27FC236}">
              <a16:creationId xmlns:a16="http://schemas.microsoft.com/office/drawing/2014/main" id="{00000000-0008-0000-1300-00000B090000}"/>
            </a:ext>
          </a:extLst>
        </xdr:cNvPr>
        <xdr:cNvCxnSpPr/>
      </xdr:nvCxnSpPr>
      <xdr:spPr>
        <a:xfrm flipV="1">
          <a:off x="10530417" y="1817370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1396</xdr:row>
      <xdr:rowOff>10584</xdr:rowOff>
    </xdr:from>
    <xdr:to>
      <xdr:col>15</xdr:col>
      <xdr:colOff>592666</xdr:colOff>
      <xdr:row>1397</xdr:row>
      <xdr:rowOff>95250</xdr:rowOff>
    </xdr:to>
    <xdr:cxnSp macro="">
      <xdr:nvCxnSpPr>
        <xdr:cNvPr id="2316" name="Straight Arrow Connector 2315">
          <a:extLst>
            <a:ext uri="{FF2B5EF4-FFF2-40B4-BE49-F238E27FC236}">
              <a16:creationId xmlns:a16="http://schemas.microsoft.com/office/drawing/2014/main" id="{00000000-0008-0000-1300-00000C090000}"/>
            </a:ext>
          </a:extLst>
        </xdr:cNvPr>
        <xdr:cNvCxnSpPr/>
      </xdr:nvCxnSpPr>
      <xdr:spPr>
        <a:xfrm>
          <a:off x="10572750" y="1821285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1396</xdr:row>
      <xdr:rowOff>10584</xdr:rowOff>
    </xdr:from>
    <xdr:to>
      <xdr:col>15</xdr:col>
      <xdr:colOff>560916</xdr:colOff>
      <xdr:row>1400</xdr:row>
      <xdr:rowOff>52917</xdr:rowOff>
    </xdr:to>
    <xdr:cxnSp macro="">
      <xdr:nvCxnSpPr>
        <xdr:cNvPr id="2317" name="Straight Arrow Connector 2316">
          <a:extLst>
            <a:ext uri="{FF2B5EF4-FFF2-40B4-BE49-F238E27FC236}">
              <a16:creationId xmlns:a16="http://schemas.microsoft.com/office/drawing/2014/main" id="{00000000-0008-0000-1300-00000D090000}"/>
            </a:ext>
          </a:extLst>
        </xdr:cNvPr>
        <xdr:cNvCxnSpPr/>
      </xdr:nvCxnSpPr>
      <xdr:spPr>
        <a:xfrm>
          <a:off x="10551583" y="1821285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1396</xdr:row>
      <xdr:rowOff>31750</xdr:rowOff>
    </xdr:from>
    <xdr:to>
      <xdr:col>16</xdr:col>
      <xdr:colOff>21167</xdr:colOff>
      <xdr:row>1403</xdr:row>
      <xdr:rowOff>95250</xdr:rowOff>
    </xdr:to>
    <xdr:cxnSp macro="">
      <xdr:nvCxnSpPr>
        <xdr:cNvPr id="2318" name="Straight Arrow Connector 2317">
          <a:extLst>
            <a:ext uri="{FF2B5EF4-FFF2-40B4-BE49-F238E27FC236}">
              <a16:creationId xmlns:a16="http://schemas.microsoft.com/office/drawing/2014/main" id="{00000000-0008-0000-1300-00000E090000}"/>
            </a:ext>
          </a:extLst>
        </xdr:cNvPr>
        <xdr:cNvCxnSpPr/>
      </xdr:nvCxnSpPr>
      <xdr:spPr>
        <a:xfrm>
          <a:off x="10583333" y="1821497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1410</xdr:row>
      <xdr:rowOff>0</xdr:rowOff>
    </xdr:from>
    <xdr:to>
      <xdr:col>16</xdr:col>
      <xdr:colOff>0</xdr:colOff>
      <xdr:row>1410</xdr:row>
      <xdr:rowOff>42334</xdr:rowOff>
    </xdr:to>
    <xdr:cxnSp macro="">
      <xdr:nvCxnSpPr>
        <xdr:cNvPr id="2319" name="Straight Arrow Connector 2318">
          <a:extLst>
            <a:ext uri="{FF2B5EF4-FFF2-40B4-BE49-F238E27FC236}">
              <a16:creationId xmlns:a16="http://schemas.microsoft.com/office/drawing/2014/main" id="{00000000-0008-0000-1300-00000F090000}"/>
            </a:ext>
          </a:extLst>
        </xdr:cNvPr>
        <xdr:cNvCxnSpPr/>
      </xdr:nvCxnSpPr>
      <xdr:spPr>
        <a:xfrm>
          <a:off x="10562166" y="1847850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1410</xdr:row>
      <xdr:rowOff>21166</xdr:rowOff>
    </xdr:from>
    <xdr:to>
      <xdr:col>15</xdr:col>
      <xdr:colOff>560916</xdr:colOff>
      <xdr:row>1413</xdr:row>
      <xdr:rowOff>84667</xdr:rowOff>
    </xdr:to>
    <xdr:cxnSp macro="">
      <xdr:nvCxnSpPr>
        <xdr:cNvPr id="2320" name="Straight Arrow Connector 2319">
          <a:extLst>
            <a:ext uri="{FF2B5EF4-FFF2-40B4-BE49-F238E27FC236}">
              <a16:creationId xmlns:a16="http://schemas.microsoft.com/office/drawing/2014/main" id="{00000000-0008-0000-1300-000010090000}"/>
            </a:ext>
          </a:extLst>
        </xdr:cNvPr>
        <xdr:cNvCxnSpPr/>
      </xdr:nvCxnSpPr>
      <xdr:spPr>
        <a:xfrm>
          <a:off x="10615083" y="1848061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1410</xdr:row>
      <xdr:rowOff>52916</xdr:rowOff>
    </xdr:from>
    <xdr:to>
      <xdr:col>15</xdr:col>
      <xdr:colOff>592666</xdr:colOff>
      <xdr:row>1416</xdr:row>
      <xdr:rowOff>63501</xdr:rowOff>
    </xdr:to>
    <xdr:cxnSp macro="">
      <xdr:nvCxnSpPr>
        <xdr:cNvPr id="2321" name="Straight Arrow Connector 2320">
          <a:extLst>
            <a:ext uri="{FF2B5EF4-FFF2-40B4-BE49-F238E27FC236}">
              <a16:creationId xmlns:a16="http://schemas.microsoft.com/office/drawing/2014/main" id="{00000000-0008-0000-1300-000011090000}"/>
            </a:ext>
          </a:extLst>
        </xdr:cNvPr>
        <xdr:cNvCxnSpPr/>
      </xdr:nvCxnSpPr>
      <xdr:spPr>
        <a:xfrm>
          <a:off x="10572750" y="1848379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1424</xdr:row>
      <xdr:rowOff>116416</xdr:rowOff>
    </xdr:from>
    <xdr:to>
      <xdr:col>15</xdr:col>
      <xdr:colOff>592666</xdr:colOff>
      <xdr:row>1427</xdr:row>
      <xdr:rowOff>158750</xdr:rowOff>
    </xdr:to>
    <xdr:cxnSp macro="">
      <xdr:nvCxnSpPr>
        <xdr:cNvPr id="2322" name="Straight Arrow Connector 2321">
          <a:extLst>
            <a:ext uri="{FF2B5EF4-FFF2-40B4-BE49-F238E27FC236}">
              <a16:creationId xmlns:a16="http://schemas.microsoft.com/office/drawing/2014/main" id="{00000000-0008-0000-1300-000012090000}"/>
            </a:ext>
          </a:extLst>
        </xdr:cNvPr>
        <xdr:cNvCxnSpPr/>
      </xdr:nvCxnSpPr>
      <xdr:spPr>
        <a:xfrm flipV="1">
          <a:off x="10562166" y="187568416"/>
          <a:ext cx="571500" cy="613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1426</xdr:row>
      <xdr:rowOff>95250</xdr:rowOff>
    </xdr:from>
    <xdr:to>
      <xdr:col>15</xdr:col>
      <xdr:colOff>582083</xdr:colOff>
      <xdr:row>1428</xdr:row>
      <xdr:rowOff>52917</xdr:rowOff>
    </xdr:to>
    <xdr:cxnSp macro="">
      <xdr:nvCxnSpPr>
        <xdr:cNvPr id="2323" name="Straight Arrow Connector 2322">
          <a:extLst>
            <a:ext uri="{FF2B5EF4-FFF2-40B4-BE49-F238E27FC236}">
              <a16:creationId xmlns:a16="http://schemas.microsoft.com/office/drawing/2014/main" id="{00000000-0008-0000-1300-000013090000}"/>
            </a:ext>
          </a:extLst>
        </xdr:cNvPr>
        <xdr:cNvCxnSpPr/>
      </xdr:nvCxnSpPr>
      <xdr:spPr>
        <a:xfrm flipV="1">
          <a:off x="10604500" y="187928250"/>
          <a:ext cx="518583" cy="338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1428</xdr:row>
      <xdr:rowOff>116417</xdr:rowOff>
    </xdr:from>
    <xdr:to>
      <xdr:col>15</xdr:col>
      <xdr:colOff>592666</xdr:colOff>
      <xdr:row>1432</xdr:row>
      <xdr:rowOff>95250</xdr:rowOff>
    </xdr:to>
    <xdr:cxnSp macro="">
      <xdr:nvCxnSpPr>
        <xdr:cNvPr id="2324" name="Straight Arrow Connector 2323">
          <a:extLst>
            <a:ext uri="{FF2B5EF4-FFF2-40B4-BE49-F238E27FC236}">
              <a16:creationId xmlns:a16="http://schemas.microsoft.com/office/drawing/2014/main" id="{00000000-0008-0000-1300-000014090000}"/>
            </a:ext>
          </a:extLst>
        </xdr:cNvPr>
        <xdr:cNvCxnSpPr/>
      </xdr:nvCxnSpPr>
      <xdr:spPr>
        <a:xfrm>
          <a:off x="10593916" y="188330417"/>
          <a:ext cx="53975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1439</xdr:row>
      <xdr:rowOff>116416</xdr:rowOff>
    </xdr:from>
    <xdr:to>
      <xdr:col>16</xdr:col>
      <xdr:colOff>0</xdr:colOff>
      <xdr:row>1446</xdr:row>
      <xdr:rowOff>74084</xdr:rowOff>
    </xdr:to>
    <xdr:cxnSp macro="">
      <xdr:nvCxnSpPr>
        <xdr:cNvPr id="2325" name="Straight Arrow Connector 2324">
          <a:extLst>
            <a:ext uri="{FF2B5EF4-FFF2-40B4-BE49-F238E27FC236}">
              <a16:creationId xmlns:a16="http://schemas.microsoft.com/office/drawing/2014/main" id="{00000000-0008-0000-1300-000015090000}"/>
            </a:ext>
          </a:extLst>
        </xdr:cNvPr>
        <xdr:cNvCxnSpPr/>
      </xdr:nvCxnSpPr>
      <xdr:spPr>
        <a:xfrm>
          <a:off x="10572750" y="190425916"/>
          <a:ext cx="571500" cy="12911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1407</xdr:row>
      <xdr:rowOff>52917</xdr:rowOff>
    </xdr:from>
    <xdr:to>
      <xdr:col>15</xdr:col>
      <xdr:colOff>603250</xdr:colOff>
      <xdr:row>1409</xdr:row>
      <xdr:rowOff>148167</xdr:rowOff>
    </xdr:to>
    <xdr:cxnSp macro="">
      <xdr:nvCxnSpPr>
        <xdr:cNvPr id="2326" name="Straight Arrow Connector 2325">
          <a:extLst>
            <a:ext uri="{FF2B5EF4-FFF2-40B4-BE49-F238E27FC236}">
              <a16:creationId xmlns:a16="http://schemas.microsoft.com/office/drawing/2014/main" id="{00000000-0008-0000-1300-000016090000}"/>
            </a:ext>
          </a:extLst>
        </xdr:cNvPr>
        <xdr:cNvCxnSpPr/>
      </xdr:nvCxnSpPr>
      <xdr:spPr>
        <a:xfrm flipV="1">
          <a:off x="10583333" y="1842664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1442</xdr:row>
      <xdr:rowOff>42333</xdr:rowOff>
    </xdr:from>
    <xdr:to>
      <xdr:col>11</xdr:col>
      <xdr:colOff>603250</xdr:colOff>
      <xdr:row>1454</xdr:row>
      <xdr:rowOff>10583</xdr:rowOff>
    </xdr:to>
    <xdr:cxnSp macro="">
      <xdr:nvCxnSpPr>
        <xdr:cNvPr id="2327" name="Straight Arrow Connector 2326">
          <a:extLst>
            <a:ext uri="{FF2B5EF4-FFF2-40B4-BE49-F238E27FC236}">
              <a16:creationId xmlns:a16="http://schemas.microsoft.com/office/drawing/2014/main" id="{00000000-0008-0000-1300-000017090000}"/>
            </a:ext>
          </a:extLst>
        </xdr:cNvPr>
        <xdr:cNvCxnSpPr/>
      </xdr:nvCxnSpPr>
      <xdr:spPr>
        <a:xfrm>
          <a:off x="7598834" y="1909233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1432</xdr:row>
      <xdr:rowOff>21167</xdr:rowOff>
    </xdr:from>
    <xdr:to>
      <xdr:col>13</xdr:col>
      <xdr:colOff>592667</xdr:colOff>
      <xdr:row>1434</xdr:row>
      <xdr:rowOff>0</xdr:rowOff>
    </xdr:to>
    <xdr:cxnSp macro="">
      <xdr:nvCxnSpPr>
        <xdr:cNvPr id="2328" name="Straight Arrow Connector 2327">
          <a:extLst>
            <a:ext uri="{FF2B5EF4-FFF2-40B4-BE49-F238E27FC236}">
              <a16:creationId xmlns:a16="http://schemas.microsoft.com/office/drawing/2014/main" id="{00000000-0008-0000-1300-000018090000}"/>
            </a:ext>
          </a:extLst>
        </xdr:cNvPr>
        <xdr:cNvCxnSpPr/>
      </xdr:nvCxnSpPr>
      <xdr:spPr>
        <a:xfrm flipV="1">
          <a:off x="8794750" y="1889971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1437</xdr:row>
      <xdr:rowOff>21166</xdr:rowOff>
    </xdr:from>
    <xdr:to>
      <xdr:col>13</xdr:col>
      <xdr:colOff>592667</xdr:colOff>
      <xdr:row>1438</xdr:row>
      <xdr:rowOff>169334</xdr:rowOff>
    </xdr:to>
    <xdr:cxnSp macro="">
      <xdr:nvCxnSpPr>
        <xdr:cNvPr id="2329" name="Straight Arrow Connector 2328">
          <a:extLst>
            <a:ext uri="{FF2B5EF4-FFF2-40B4-BE49-F238E27FC236}">
              <a16:creationId xmlns:a16="http://schemas.microsoft.com/office/drawing/2014/main" id="{00000000-0008-0000-1300-000019090000}"/>
            </a:ext>
          </a:extLst>
        </xdr:cNvPr>
        <xdr:cNvCxnSpPr/>
      </xdr:nvCxnSpPr>
      <xdr:spPr>
        <a:xfrm>
          <a:off x="8784166" y="1899496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1452</xdr:row>
      <xdr:rowOff>21167</xdr:rowOff>
    </xdr:from>
    <xdr:to>
      <xdr:col>13</xdr:col>
      <xdr:colOff>592667</xdr:colOff>
      <xdr:row>1454</xdr:row>
      <xdr:rowOff>63500</xdr:rowOff>
    </xdr:to>
    <xdr:cxnSp macro="">
      <xdr:nvCxnSpPr>
        <xdr:cNvPr id="2330" name="Straight Arrow Connector 2329">
          <a:extLst>
            <a:ext uri="{FF2B5EF4-FFF2-40B4-BE49-F238E27FC236}">
              <a16:creationId xmlns:a16="http://schemas.microsoft.com/office/drawing/2014/main" id="{00000000-0008-0000-1300-00001A090000}"/>
            </a:ext>
          </a:extLst>
        </xdr:cNvPr>
        <xdr:cNvCxnSpPr/>
      </xdr:nvCxnSpPr>
      <xdr:spPr>
        <a:xfrm flipV="1">
          <a:off x="8794750" y="1929976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1457</xdr:row>
      <xdr:rowOff>0</xdr:rowOff>
    </xdr:from>
    <xdr:to>
      <xdr:col>14</xdr:col>
      <xdr:colOff>10584</xdr:colOff>
      <xdr:row>1465</xdr:row>
      <xdr:rowOff>148167</xdr:rowOff>
    </xdr:to>
    <xdr:cxnSp macro="">
      <xdr:nvCxnSpPr>
        <xdr:cNvPr id="2331" name="Straight Arrow Connector 2330">
          <a:extLst>
            <a:ext uri="{FF2B5EF4-FFF2-40B4-BE49-F238E27FC236}">
              <a16:creationId xmlns:a16="http://schemas.microsoft.com/office/drawing/2014/main" id="{00000000-0008-0000-1300-00001B090000}"/>
            </a:ext>
          </a:extLst>
        </xdr:cNvPr>
        <xdr:cNvCxnSpPr/>
      </xdr:nvCxnSpPr>
      <xdr:spPr>
        <a:xfrm>
          <a:off x="8805333" y="1939290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1428</xdr:row>
      <xdr:rowOff>95250</xdr:rowOff>
    </xdr:from>
    <xdr:to>
      <xdr:col>15</xdr:col>
      <xdr:colOff>582083</xdr:colOff>
      <xdr:row>1430</xdr:row>
      <xdr:rowOff>137583</xdr:rowOff>
    </xdr:to>
    <xdr:cxnSp macro="">
      <xdr:nvCxnSpPr>
        <xdr:cNvPr id="2332" name="Straight Arrow Connector 2331">
          <a:extLst>
            <a:ext uri="{FF2B5EF4-FFF2-40B4-BE49-F238E27FC236}">
              <a16:creationId xmlns:a16="http://schemas.microsoft.com/office/drawing/2014/main" id="{00000000-0008-0000-1300-00001C090000}"/>
            </a:ext>
          </a:extLst>
        </xdr:cNvPr>
        <xdr:cNvCxnSpPr/>
      </xdr:nvCxnSpPr>
      <xdr:spPr>
        <a:xfrm>
          <a:off x="10593916" y="188309250"/>
          <a:ext cx="5291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1437</xdr:row>
      <xdr:rowOff>52916</xdr:rowOff>
    </xdr:from>
    <xdr:to>
      <xdr:col>16</xdr:col>
      <xdr:colOff>0</xdr:colOff>
      <xdr:row>1439</xdr:row>
      <xdr:rowOff>0</xdr:rowOff>
    </xdr:to>
    <xdr:cxnSp macro="">
      <xdr:nvCxnSpPr>
        <xdr:cNvPr id="2333" name="Straight Arrow Connector 2332">
          <a:extLst>
            <a:ext uri="{FF2B5EF4-FFF2-40B4-BE49-F238E27FC236}">
              <a16:creationId xmlns:a16="http://schemas.microsoft.com/office/drawing/2014/main" id="{00000000-0008-0000-1300-00001D090000}"/>
            </a:ext>
          </a:extLst>
        </xdr:cNvPr>
        <xdr:cNvCxnSpPr/>
      </xdr:nvCxnSpPr>
      <xdr:spPr>
        <a:xfrm flipV="1">
          <a:off x="10541000" y="1899814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1439</xdr:row>
      <xdr:rowOff>21167</xdr:rowOff>
    </xdr:from>
    <xdr:to>
      <xdr:col>15</xdr:col>
      <xdr:colOff>592666</xdr:colOff>
      <xdr:row>1440</xdr:row>
      <xdr:rowOff>84667</xdr:rowOff>
    </xdr:to>
    <xdr:cxnSp macro="">
      <xdr:nvCxnSpPr>
        <xdr:cNvPr id="2334" name="Straight Arrow Connector 2333">
          <a:extLst>
            <a:ext uri="{FF2B5EF4-FFF2-40B4-BE49-F238E27FC236}">
              <a16:creationId xmlns:a16="http://schemas.microsoft.com/office/drawing/2014/main" id="{00000000-0008-0000-1300-00001E090000}"/>
            </a:ext>
          </a:extLst>
        </xdr:cNvPr>
        <xdr:cNvCxnSpPr/>
      </xdr:nvCxnSpPr>
      <xdr:spPr>
        <a:xfrm>
          <a:off x="10530417" y="190330667"/>
          <a:ext cx="603249" cy="25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1439</xdr:row>
      <xdr:rowOff>0</xdr:rowOff>
    </xdr:from>
    <xdr:to>
      <xdr:col>16</xdr:col>
      <xdr:colOff>0</xdr:colOff>
      <xdr:row>1443</xdr:row>
      <xdr:rowOff>42334</xdr:rowOff>
    </xdr:to>
    <xdr:cxnSp macro="">
      <xdr:nvCxnSpPr>
        <xdr:cNvPr id="2335" name="Straight Arrow Connector 2334">
          <a:extLst>
            <a:ext uri="{FF2B5EF4-FFF2-40B4-BE49-F238E27FC236}">
              <a16:creationId xmlns:a16="http://schemas.microsoft.com/office/drawing/2014/main" id="{00000000-0008-0000-1300-00001F090000}"/>
            </a:ext>
          </a:extLst>
        </xdr:cNvPr>
        <xdr:cNvCxnSpPr/>
      </xdr:nvCxnSpPr>
      <xdr:spPr>
        <a:xfrm>
          <a:off x="10530417" y="190309500"/>
          <a:ext cx="613833" cy="804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1450</xdr:row>
      <xdr:rowOff>0</xdr:rowOff>
    </xdr:from>
    <xdr:to>
      <xdr:col>15</xdr:col>
      <xdr:colOff>603250</xdr:colOff>
      <xdr:row>1452</xdr:row>
      <xdr:rowOff>1</xdr:rowOff>
    </xdr:to>
    <xdr:cxnSp macro="">
      <xdr:nvCxnSpPr>
        <xdr:cNvPr id="2336" name="Straight Arrow Connector 2335">
          <a:extLst>
            <a:ext uri="{FF2B5EF4-FFF2-40B4-BE49-F238E27FC236}">
              <a16:creationId xmlns:a16="http://schemas.microsoft.com/office/drawing/2014/main" id="{00000000-0008-0000-1300-000020090000}"/>
            </a:ext>
          </a:extLst>
        </xdr:cNvPr>
        <xdr:cNvCxnSpPr/>
      </xdr:nvCxnSpPr>
      <xdr:spPr>
        <a:xfrm flipV="1">
          <a:off x="10530417" y="1925955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1452</xdr:row>
      <xdr:rowOff>10584</xdr:rowOff>
    </xdr:from>
    <xdr:to>
      <xdr:col>15</xdr:col>
      <xdr:colOff>592666</xdr:colOff>
      <xdr:row>1453</xdr:row>
      <xdr:rowOff>95250</xdr:rowOff>
    </xdr:to>
    <xdr:cxnSp macro="">
      <xdr:nvCxnSpPr>
        <xdr:cNvPr id="2337" name="Straight Arrow Connector 2336">
          <a:extLst>
            <a:ext uri="{FF2B5EF4-FFF2-40B4-BE49-F238E27FC236}">
              <a16:creationId xmlns:a16="http://schemas.microsoft.com/office/drawing/2014/main" id="{00000000-0008-0000-1300-000021090000}"/>
            </a:ext>
          </a:extLst>
        </xdr:cNvPr>
        <xdr:cNvCxnSpPr/>
      </xdr:nvCxnSpPr>
      <xdr:spPr>
        <a:xfrm>
          <a:off x="10572750" y="1929870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1452</xdr:row>
      <xdr:rowOff>10584</xdr:rowOff>
    </xdr:from>
    <xdr:to>
      <xdr:col>15</xdr:col>
      <xdr:colOff>560916</xdr:colOff>
      <xdr:row>1456</xdr:row>
      <xdr:rowOff>52917</xdr:rowOff>
    </xdr:to>
    <xdr:cxnSp macro="">
      <xdr:nvCxnSpPr>
        <xdr:cNvPr id="2338" name="Straight Arrow Connector 2337">
          <a:extLst>
            <a:ext uri="{FF2B5EF4-FFF2-40B4-BE49-F238E27FC236}">
              <a16:creationId xmlns:a16="http://schemas.microsoft.com/office/drawing/2014/main" id="{00000000-0008-0000-1300-000022090000}"/>
            </a:ext>
          </a:extLst>
        </xdr:cNvPr>
        <xdr:cNvCxnSpPr/>
      </xdr:nvCxnSpPr>
      <xdr:spPr>
        <a:xfrm>
          <a:off x="10551583" y="1929870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1452</xdr:row>
      <xdr:rowOff>31750</xdr:rowOff>
    </xdr:from>
    <xdr:to>
      <xdr:col>16</xdr:col>
      <xdr:colOff>21167</xdr:colOff>
      <xdr:row>1459</xdr:row>
      <xdr:rowOff>95250</xdr:rowOff>
    </xdr:to>
    <xdr:cxnSp macro="">
      <xdr:nvCxnSpPr>
        <xdr:cNvPr id="2339" name="Straight Arrow Connector 2338">
          <a:extLst>
            <a:ext uri="{FF2B5EF4-FFF2-40B4-BE49-F238E27FC236}">
              <a16:creationId xmlns:a16="http://schemas.microsoft.com/office/drawing/2014/main" id="{00000000-0008-0000-1300-000023090000}"/>
            </a:ext>
          </a:extLst>
        </xdr:cNvPr>
        <xdr:cNvCxnSpPr/>
      </xdr:nvCxnSpPr>
      <xdr:spPr>
        <a:xfrm>
          <a:off x="10583333" y="1930082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698500</xdr:colOff>
      <xdr:row>1507</xdr:row>
      <xdr:rowOff>95250</xdr:rowOff>
    </xdr:from>
    <xdr:to>
      <xdr:col>8</xdr:col>
      <xdr:colOff>21167</xdr:colOff>
      <xdr:row>1539</xdr:row>
      <xdr:rowOff>148166</xdr:rowOff>
    </xdr:to>
    <xdr:cxnSp macro="">
      <xdr:nvCxnSpPr>
        <xdr:cNvPr id="2344" name="Straight Arrow Connector 2343">
          <a:extLst>
            <a:ext uri="{FF2B5EF4-FFF2-40B4-BE49-F238E27FC236}">
              <a16:creationId xmlns:a16="http://schemas.microsoft.com/office/drawing/2014/main" id="{00000000-0008-0000-1300-000028090000}"/>
            </a:ext>
          </a:extLst>
        </xdr:cNvPr>
        <xdr:cNvCxnSpPr/>
      </xdr:nvCxnSpPr>
      <xdr:spPr>
        <a:xfrm>
          <a:off x="5080000" y="203739750"/>
          <a:ext cx="719667" cy="6148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1478</xdr:row>
      <xdr:rowOff>137583</xdr:rowOff>
    </xdr:from>
    <xdr:to>
      <xdr:col>9</xdr:col>
      <xdr:colOff>603250</xdr:colOff>
      <xdr:row>1484</xdr:row>
      <xdr:rowOff>21166</xdr:rowOff>
    </xdr:to>
    <xdr:cxnSp macro="">
      <xdr:nvCxnSpPr>
        <xdr:cNvPr id="2345" name="Straight Arrow Connector 2344">
          <a:extLst>
            <a:ext uri="{FF2B5EF4-FFF2-40B4-BE49-F238E27FC236}">
              <a16:creationId xmlns:a16="http://schemas.microsoft.com/office/drawing/2014/main" id="{00000000-0008-0000-1300-000029090000}"/>
            </a:ext>
          </a:extLst>
        </xdr:cNvPr>
        <xdr:cNvCxnSpPr/>
      </xdr:nvCxnSpPr>
      <xdr:spPr>
        <a:xfrm flipV="1">
          <a:off x="6381750" y="198067083"/>
          <a:ext cx="603250" cy="1026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1487</xdr:row>
      <xdr:rowOff>0</xdr:rowOff>
    </xdr:from>
    <xdr:to>
      <xdr:col>9</xdr:col>
      <xdr:colOff>582083</xdr:colOff>
      <xdr:row>1495</xdr:row>
      <xdr:rowOff>10583</xdr:rowOff>
    </xdr:to>
    <xdr:cxnSp macro="">
      <xdr:nvCxnSpPr>
        <xdr:cNvPr id="2346" name="Straight Arrow Connector 2345">
          <a:extLst>
            <a:ext uri="{FF2B5EF4-FFF2-40B4-BE49-F238E27FC236}">
              <a16:creationId xmlns:a16="http://schemas.microsoft.com/office/drawing/2014/main" id="{00000000-0008-0000-1300-00002A090000}"/>
            </a:ext>
          </a:extLst>
        </xdr:cNvPr>
        <xdr:cNvCxnSpPr/>
      </xdr:nvCxnSpPr>
      <xdr:spPr>
        <a:xfrm>
          <a:off x="6413500" y="199644000"/>
          <a:ext cx="550333" cy="1534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21167</xdr:colOff>
      <xdr:row>1492</xdr:row>
      <xdr:rowOff>169333</xdr:rowOff>
    </xdr:from>
    <xdr:to>
      <xdr:col>11</xdr:col>
      <xdr:colOff>603250</xdr:colOff>
      <xdr:row>1495</xdr:row>
      <xdr:rowOff>21167</xdr:rowOff>
    </xdr:to>
    <xdr:cxnSp macro="">
      <xdr:nvCxnSpPr>
        <xdr:cNvPr id="2347" name="Straight Arrow Connector 2346">
          <a:extLst>
            <a:ext uri="{FF2B5EF4-FFF2-40B4-BE49-F238E27FC236}">
              <a16:creationId xmlns:a16="http://schemas.microsoft.com/office/drawing/2014/main" id="{00000000-0008-0000-1300-00002B090000}"/>
            </a:ext>
          </a:extLst>
        </xdr:cNvPr>
        <xdr:cNvCxnSpPr/>
      </xdr:nvCxnSpPr>
      <xdr:spPr>
        <a:xfrm flipV="1">
          <a:off x="7609417" y="200765833"/>
          <a:ext cx="582083" cy="423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1498</xdr:row>
      <xdr:rowOff>42333</xdr:rowOff>
    </xdr:from>
    <xdr:to>
      <xdr:col>11</xdr:col>
      <xdr:colOff>603250</xdr:colOff>
      <xdr:row>1510</xdr:row>
      <xdr:rowOff>10583</xdr:rowOff>
    </xdr:to>
    <xdr:cxnSp macro="">
      <xdr:nvCxnSpPr>
        <xdr:cNvPr id="2348" name="Straight Arrow Connector 2347">
          <a:extLst>
            <a:ext uri="{FF2B5EF4-FFF2-40B4-BE49-F238E27FC236}">
              <a16:creationId xmlns:a16="http://schemas.microsoft.com/office/drawing/2014/main" id="{00000000-0008-0000-1300-00002C090000}"/>
            </a:ext>
          </a:extLst>
        </xdr:cNvPr>
        <xdr:cNvCxnSpPr/>
      </xdr:nvCxnSpPr>
      <xdr:spPr>
        <a:xfrm>
          <a:off x="7598834" y="2017818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1488</xdr:row>
      <xdr:rowOff>21167</xdr:rowOff>
    </xdr:from>
    <xdr:to>
      <xdr:col>13</xdr:col>
      <xdr:colOff>592667</xdr:colOff>
      <xdr:row>1490</xdr:row>
      <xdr:rowOff>0</xdr:rowOff>
    </xdr:to>
    <xdr:cxnSp macro="">
      <xdr:nvCxnSpPr>
        <xdr:cNvPr id="2349" name="Straight Arrow Connector 2348">
          <a:extLst>
            <a:ext uri="{FF2B5EF4-FFF2-40B4-BE49-F238E27FC236}">
              <a16:creationId xmlns:a16="http://schemas.microsoft.com/office/drawing/2014/main" id="{00000000-0008-0000-1300-00002D090000}"/>
            </a:ext>
          </a:extLst>
        </xdr:cNvPr>
        <xdr:cNvCxnSpPr/>
      </xdr:nvCxnSpPr>
      <xdr:spPr>
        <a:xfrm flipV="1">
          <a:off x="8794750" y="1998556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1493</xdr:row>
      <xdr:rowOff>21166</xdr:rowOff>
    </xdr:from>
    <xdr:to>
      <xdr:col>13</xdr:col>
      <xdr:colOff>592667</xdr:colOff>
      <xdr:row>1494</xdr:row>
      <xdr:rowOff>169334</xdr:rowOff>
    </xdr:to>
    <xdr:cxnSp macro="">
      <xdr:nvCxnSpPr>
        <xdr:cNvPr id="2350" name="Straight Arrow Connector 2349">
          <a:extLst>
            <a:ext uri="{FF2B5EF4-FFF2-40B4-BE49-F238E27FC236}">
              <a16:creationId xmlns:a16="http://schemas.microsoft.com/office/drawing/2014/main" id="{00000000-0008-0000-1300-00002E090000}"/>
            </a:ext>
          </a:extLst>
        </xdr:cNvPr>
        <xdr:cNvCxnSpPr/>
      </xdr:nvCxnSpPr>
      <xdr:spPr>
        <a:xfrm>
          <a:off x="8784166" y="2008081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1508</xdr:row>
      <xdr:rowOff>21167</xdr:rowOff>
    </xdr:from>
    <xdr:to>
      <xdr:col>13</xdr:col>
      <xdr:colOff>592667</xdr:colOff>
      <xdr:row>1510</xdr:row>
      <xdr:rowOff>63500</xdr:rowOff>
    </xdr:to>
    <xdr:cxnSp macro="">
      <xdr:nvCxnSpPr>
        <xdr:cNvPr id="2351" name="Straight Arrow Connector 2350">
          <a:extLst>
            <a:ext uri="{FF2B5EF4-FFF2-40B4-BE49-F238E27FC236}">
              <a16:creationId xmlns:a16="http://schemas.microsoft.com/office/drawing/2014/main" id="{00000000-0008-0000-1300-00002F090000}"/>
            </a:ext>
          </a:extLst>
        </xdr:cNvPr>
        <xdr:cNvCxnSpPr/>
      </xdr:nvCxnSpPr>
      <xdr:spPr>
        <a:xfrm flipV="1">
          <a:off x="8794750" y="2038561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1513</xdr:row>
      <xdr:rowOff>0</xdr:rowOff>
    </xdr:from>
    <xdr:to>
      <xdr:col>14</xdr:col>
      <xdr:colOff>10584</xdr:colOff>
      <xdr:row>1521</xdr:row>
      <xdr:rowOff>148167</xdr:rowOff>
    </xdr:to>
    <xdr:cxnSp macro="">
      <xdr:nvCxnSpPr>
        <xdr:cNvPr id="2352" name="Straight Arrow Connector 2351">
          <a:extLst>
            <a:ext uri="{FF2B5EF4-FFF2-40B4-BE49-F238E27FC236}">
              <a16:creationId xmlns:a16="http://schemas.microsoft.com/office/drawing/2014/main" id="{00000000-0008-0000-1300-000030090000}"/>
            </a:ext>
          </a:extLst>
        </xdr:cNvPr>
        <xdr:cNvCxnSpPr/>
      </xdr:nvCxnSpPr>
      <xdr:spPr>
        <a:xfrm>
          <a:off x="8805333" y="2047875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1480</xdr:row>
      <xdr:rowOff>0</xdr:rowOff>
    </xdr:from>
    <xdr:to>
      <xdr:col>15</xdr:col>
      <xdr:colOff>603250</xdr:colOff>
      <xdr:row>1485</xdr:row>
      <xdr:rowOff>31750</xdr:rowOff>
    </xdr:to>
    <xdr:cxnSp macro="">
      <xdr:nvCxnSpPr>
        <xdr:cNvPr id="2353" name="Straight Arrow Connector 2352">
          <a:extLst>
            <a:ext uri="{FF2B5EF4-FFF2-40B4-BE49-F238E27FC236}">
              <a16:creationId xmlns:a16="http://schemas.microsoft.com/office/drawing/2014/main" id="{00000000-0008-0000-1300-000031090000}"/>
            </a:ext>
          </a:extLst>
        </xdr:cNvPr>
        <xdr:cNvCxnSpPr/>
      </xdr:nvCxnSpPr>
      <xdr:spPr>
        <a:xfrm flipV="1">
          <a:off x="10541000" y="198310500"/>
          <a:ext cx="603250" cy="984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1483</xdr:row>
      <xdr:rowOff>52917</xdr:rowOff>
    </xdr:from>
    <xdr:to>
      <xdr:col>15</xdr:col>
      <xdr:colOff>603250</xdr:colOff>
      <xdr:row>1485</xdr:row>
      <xdr:rowOff>95250</xdr:rowOff>
    </xdr:to>
    <xdr:cxnSp macro="">
      <xdr:nvCxnSpPr>
        <xdr:cNvPr id="2354" name="Straight Arrow Connector 2353">
          <a:extLst>
            <a:ext uri="{FF2B5EF4-FFF2-40B4-BE49-F238E27FC236}">
              <a16:creationId xmlns:a16="http://schemas.microsoft.com/office/drawing/2014/main" id="{00000000-0008-0000-1300-000032090000}"/>
            </a:ext>
          </a:extLst>
        </xdr:cNvPr>
        <xdr:cNvCxnSpPr/>
      </xdr:nvCxnSpPr>
      <xdr:spPr>
        <a:xfrm flipV="1">
          <a:off x="10583333" y="198934917"/>
          <a:ext cx="56091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1485</xdr:row>
      <xdr:rowOff>158750</xdr:rowOff>
    </xdr:from>
    <xdr:to>
      <xdr:col>15</xdr:col>
      <xdr:colOff>582083</xdr:colOff>
      <xdr:row>1486</xdr:row>
      <xdr:rowOff>137583</xdr:rowOff>
    </xdr:to>
    <xdr:cxnSp macro="">
      <xdr:nvCxnSpPr>
        <xdr:cNvPr id="2355" name="Straight Arrow Connector 2354">
          <a:extLst>
            <a:ext uri="{FF2B5EF4-FFF2-40B4-BE49-F238E27FC236}">
              <a16:creationId xmlns:a16="http://schemas.microsoft.com/office/drawing/2014/main" id="{00000000-0008-0000-1300-000033090000}"/>
            </a:ext>
          </a:extLst>
        </xdr:cNvPr>
        <xdr:cNvCxnSpPr/>
      </xdr:nvCxnSpPr>
      <xdr:spPr>
        <a:xfrm>
          <a:off x="10604500" y="199421750"/>
          <a:ext cx="518583" cy="169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1121834</xdr:colOff>
      <xdr:row>1485</xdr:row>
      <xdr:rowOff>105834</xdr:rowOff>
    </xdr:from>
    <xdr:to>
      <xdr:col>16</xdr:col>
      <xdr:colOff>0</xdr:colOff>
      <xdr:row>1489</xdr:row>
      <xdr:rowOff>84667</xdr:rowOff>
    </xdr:to>
    <xdr:cxnSp macro="">
      <xdr:nvCxnSpPr>
        <xdr:cNvPr id="2356" name="Straight Arrow Connector 2355">
          <a:extLst>
            <a:ext uri="{FF2B5EF4-FFF2-40B4-BE49-F238E27FC236}">
              <a16:creationId xmlns:a16="http://schemas.microsoft.com/office/drawing/2014/main" id="{00000000-0008-0000-1300-000034090000}"/>
            </a:ext>
          </a:extLst>
        </xdr:cNvPr>
        <xdr:cNvCxnSpPr/>
      </xdr:nvCxnSpPr>
      <xdr:spPr>
        <a:xfrm>
          <a:off x="10519834" y="199368834"/>
          <a:ext cx="624416"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1493</xdr:row>
      <xdr:rowOff>52916</xdr:rowOff>
    </xdr:from>
    <xdr:to>
      <xdr:col>16</xdr:col>
      <xdr:colOff>0</xdr:colOff>
      <xdr:row>1495</xdr:row>
      <xdr:rowOff>0</xdr:rowOff>
    </xdr:to>
    <xdr:cxnSp macro="">
      <xdr:nvCxnSpPr>
        <xdr:cNvPr id="2357" name="Straight Arrow Connector 2356">
          <a:extLst>
            <a:ext uri="{FF2B5EF4-FFF2-40B4-BE49-F238E27FC236}">
              <a16:creationId xmlns:a16="http://schemas.microsoft.com/office/drawing/2014/main" id="{00000000-0008-0000-1300-000035090000}"/>
            </a:ext>
          </a:extLst>
        </xdr:cNvPr>
        <xdr:cNvCxnSpPr/>
      </xdr:nvCxnSpPr>
      <xdr:spPr>
        <a:xfrm flipV="1">
          <a:off x="10541000" y="2008399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1495</xdr:row>
      <xdr:rowOff>21167</xdr:rowOff>
    </xdr:from>
    <xdr:to>
      <xdr:col>15</xdr:col>
      <xdr:colOff>582083</xdr:colOff>
      <xdr:row>1496</xdr:row>
      <xdr:rowOff>42333</xdr:rowOff>
    </xdr:to>
    <xdr:cxnSp macro="">
      <xdr:nvCxnSpPr>
        <xdr:cNvPr id="2358" name="Straight Arrow Connector 2357">
          <a:extLst>
            <a:ext uri="{FF2B5EF4-FFF2-40B4-BE49-F238E27FC236}">
              <a16:creationId xmlns:a16="http://schemas.microsoft.com/office/drawing/2014/main" id="{00000000-0008-0000-1300-000036090000}"/>
            </a:ext>
          </a:extLst>
        </xdr:cNvPr>
        <xdr:cNvCxnSpPr/>
      </xdr:nvCxnSpPr>
      <xdr:spPr>
        <a:xfrm>
          <a:off x="10551583" y="201189167"/>
          <a:ext cx="571500" cy="211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1495</xdr:row>
      <xdr:rowOff>21167</xdr:rowOff>
    </xdr:from>
    <xdr:to>
      <xdr:col>16</xdr:col>
      <xdr:colOff>42333</xdr:colOff>
      <xdr:row>1500</xdr:row>
      <xdr:rowOff>21168</xdr:rowOff>
    </xdr:to>
    <xdr:cxnSp macro="">
      <xdr:nvCxnSpPr>
        <xdr:cNvPr id="2359" name="Straight Arrow Connector 2358">
          <a:extLst>
            <a:ext uri="{FF2B5EF4-FFF2-40B4-BE49-F238E27FC236}">
              <a16:creationId xmlns:a16="http://schemas.microsoft.com/office/drawing/2014/main" id="{00000000-0008-0000-1300-000037090000}"/>
            </a:ext>
          </a:extLst>
        </xdr:cNvPr>
        <xdr:cNvCxnSpPr/>
      </xdr:nvCxnSpPr>
      <xdr:spPr>
        <a:xfrm>
          <a:off x="10530417" y="201189167"/>
          <a:ext cx="656166" cy="9525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1495</xdr:row>
      <xdr:rowOff>31750</xdr:rowOff>
    </xdr:from>
    <xdr:to>
      <xdr:col>16</xdr:col>
      <xdr:colOff>42334</xdr:colOff>
      <xdr:row>1502</xdr:row>
      <xdr:rowOff>63501</xdr:rowOff>
    </xdr:to>
    <xdr:cxnSp macro="">
      <xdr:nvCxnSpPr>
        <xdr:cNvPr id="2360" name="Straight Arrow Connector 2359">
          <a:extLst>
            <a:ext uri="{FF2B5EF4-FFF2-40B4-BE49-F238E27FC236}">
              <a16:creationId xmlns:a16="http://schemas.microsoft.com/office/drawing/2014/main" id="{00000000-0008-0000-1300-000038090000}"/>
            </a:ext>
          </a:extLst>
        </xdr:cNvPr>
        <xdr:cNvCxnSpPr/>
      </xdr:nvCxnSpPr>
      <xdr:spPr>
        <a:xfrm>
          <a:off x="10541000" y="201199750"/>
          <a:ext cx="645584"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10583</xdr:colOff>
      <xdr:row>1532</xdr:row>
      <xdr:rowOff>42333</xdr:rowOff>
    </xdr:from>
    <xdr:to>
      <xdr:col>9</xdr:col>
      <xdr:colOff>592666</xdr:colOff>
      <xdr:row>1540</xdr:row>
      <xdr:rowOff>42333</xdr:rowOff>
    </xdr:to>
    <xdr:cxnSp macro="">
      <xdr:nvCxnSpPr>
        <xdr:cNvPr id="2361" name="Straight Arrow Connector 2360">
          <a:extLst>
            <a:ext uri="{FF2B5EF4-FFF2-40B4-BE49-F238E27FC236}">
              <a16:creationId xmlns:a16="http://schemas.microsoft.com/office/drawing/2014/main" id="{00000000-0008-0000-1300-000039090000}"/>
            </a:ext>
          </a:extLst>
        </xdr:cNvPr>
        <xdr:cNvCxnSpPr/>
      </xdr:nvCxnSpPr>
      <xdr:spPr>
        <a:xfrm flipV="1">
          <a:off x="6392333" y="208449333"/>
          <a:ext cx="582083" cy="152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1542</xdr:row>
      <xdr:rowOff>169334</xdr:rowOff>
    </xdr:from>
    <xdr:to>
      <xdr:col>9</xdr:col>
      <xdr:colOff>603250</xdr:colOff>
      <xdr:row>1551</xdr:row>
      <xdr:rowOff>31750</xdr:rowOff>
    </xdr:to>
    <xdr:cxnSp macro="">
      <xdr:nvCxnSpPr>
        <xdr:cNvPr id="2362" name="Straight Arrow Connector 2361">
          <a:extLst>
            <a:ext uri="{FF2B5EF4-FFF2-40B4-BE49-F238E27FC236}">
              <a16:creationId xmlns:a16="http://schemas.microsoft.com/office/drawing/2014/main" id="{00000000-0008-0000-1300-00003A090000}"/>
            </a:ext>
          </a:extLst>
        </xdr:cNvPr>
        <xdr:cNvCxnSpPr/>
      </xdr:nvCxnSpPr>
      <xdr:spPr>
        <a:xfrm>
          <a:off x="6413500" y="210481334"/>
          <a:ext cx="571500" cy="1576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571500</xdr:colOff>
      <xdr:row>1548</xdr:row>
      <xdr:rowOff>158750</xdr:rowOff>
    </xdr:from>
    <xdr:to>
      <xdr:col>11</xdr:col>
      <xdr:colOff>571500</xdr:colOff>
      <xdr:row>1551</xdr:row>
      <xdr:rowOff>0</xdr:rowOff>
    </xdr:to>
    <xdr:cxnSp macro="">
      <xdr:nvCxnSpPr>
        <xdr:cNvPr id="2363" name="Straight Arrow Connector 2362">
          <a:extLst>
            <a:ext uri="{FF2B5EF4-FFF2-40B4-BE49-F238E27FC236}">
              <a16:creationId xmlns:a16="http://schemas.microsoft.com/office/drawing/2014/main" id="{00000000-0008-0000-1300-00003B090000}"/>
            </a:ext>
          </a:extLst>
        </xdr:cNvPr>
        <xdr:cNvCxnSpPr/>
      </xdr:nvCxnSpPr>
      <xdr:spPr>
        <a:xfrm flipV="1">
          <a:off x="7556500" y="211613750"/>
          <a:ext cx="603250" cy="412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1506</xdr:row>
      <xdr:rowOff>0</xdr:rowOff>
    </xdr:from>
    <xdr:to>
      <xdr:col>15</xdr:col>
      <xdr:colOff>603250</xdr:colOff>
      <xdr:row>1508</xdr:row>
      <xdr:rowOff>1</xdr:rowOff>
    </xdr:to>
    <xdr:cxnSp macro="">
      <xdr:nvCxnSpPr>
        <xdr:cNvPr id="2364" name="Straight Arrow Connector 2363">
          <a:extLst>
            <a:ext uri="{FF2B5EF4-FFF2-40B4-BE49-F238E27FC236}">
              <a16:creationId xmlns:a16="http://schemas.microsoft.com/office/drawing/2014/main" id="{00000000-0008-0000-1300-00003C090000}"/>
            </a:ext>
          </a:extLst>
        </xdr:cNvPr>
        <xdr:cNvCxnSpPr/>
      </xdr:nvCxnSpPr>
      <xdr:spPr>
        <a:xfrm flipV="1">
          <a:off x="10530417" y="2034540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1508</xdr:row>
      <xdr:rowOff>10584</xdr:rowOff>
    </xdr:from>
    <xdr:to>
      <xdr:col>15</xdr:col>
      <xdr:colOff>592666</xdr:colOff>
      <xdr:row>1509</xdr:row>
      <xdr:rowOff>95250</xdr:rowOff>
    </xdr:to>
    <xdr:cxnSp macro="">
      <xdr:nvCxnSpPr>
        <xdr:cNvPr id="2365" name="Straight Arrow Connector 2364">
          <a:extLst>
            <a:ext uri="{FF2B5EF4-FFF2-40B4-BE49-F238E27FC236}">
              <a16:creationId xmlns:a16="http://schemas.microsoft.com/office/drawing/2014/main" id="{00000000-0008-0000-1300-00003D090000}"/>
            </a:ext>
          </a:extLst>
        </xdr:cNvPr>
        <xdr:cNvCxnSpPr/>
      </xdr:nvCxnSpPr>
      <xdr:spPr>
        <a:xfrm>
          <a:off x="10572750" y="2038455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1508</xdr:row>
      <xdr:rowOff>10584</xdr:rowOff>
    </xdr:from>
    <xdr:to>
      <xdr:col>15</xdr:col>
      <xdr:colOff>560916</xdr:colOff>
      <xdr:row>1512</xdr:row>
      <xdr:rowOff>52917</xdr:rowOff>
    </xdr:to>
    <xdr:cxnSp macro="">
      <xdr:nvCxnSpPr>
        <xdr:cNvPr id="2366" name="Straight Arrow Connector 2365">
          <a:extLst>
            <a:ext uri="{FF2B5EF4-FFF2-40B4-BE49-F238E27FC236}">
              <a16:creationId xmlns:a16="http://schemas.microsoft.com/office/drawing/2014/main" id="{00000000-0008-0000-1300-00003E090000}"/>
            </a:ext>
          </a:extLst>
        </xdr:cNvPr>
        <xdr:cNvCxnSpPr/>
      </xdr:nvCxnSpPr>
      <xdr:spPr>
        <a:xfrm>
          <a:off x="10551583" y="2038455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1508</xdr:row>
      <xdr:rowOff>31750</xdr:rowOff>
    </xdr:from>
    <xdr:to>
      <xdr:col>16</xdr:col>
      <xdr:colOff>21167</xdr:colOff>
      <xdr:row>1515</xdr:row>
      <xdr:rowOff>95250</xdr:rowOff>
    </xdr:to>
    <xdr:cxnSp macro="">
      <xdr:nvCxnSpPr>
        <xdr:cNvPr id="2367" name="Straight Arrow Connector 2366">
          <a:extLst>
            <a:ext uri="{FF2B5EF4-FFF2-40B4-BE49-F238E27FC236}">
              <a16:creationId xmlns:a16="http://schemas.microsoft.com/office/drawing/2014/main" id="{00000000-0008-0000-1300-00003F090000}"/>
            </a:ext>
          </a:extLst>
        </xdr:cNvPr>
        <xdr:cNvCxnSpPr/>
      </xdr:nvCxnSpPr>
      <xdr:spPr>
        <a:xfrm>
          <a:off x="10583333" y="2038667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1522</xdr:row>
      <xdr:rowOff>0</xdr:rowOff>
    </xdr:from>
    <xdr:to>
      <xdr:col>16</xdr:col>
      <xdr:colOff>0</xdr:colOff>
      <xdr:row>1522</xdr:row>
      <xdr:rowOff>42334</xdr:rowOff>
    </xdr:to>
    <xdr:cxnSp macro="">
      <xdr:nvCxnSpPr>
        <xdr:cNvPr id="2368" name="Straight Arrow Connector 2367">
          <a:extLst>
            <a:ext uri="{FF2B5EF4-FFF2-40B4-BE49-F238E27FC236}">
              <a16:creationId xmlns:a16="http://schemas.microsoft.com/office/drawing/2014/main" id="{00000000-0008-0000-1300-000040090000}"/>
            </a:ext>
          </a:extLst>
        </xdr:cNvPr>
        <xdr:cNvCxnSpPr/>
      </xdr:nvCxnSpPr>
      <xdr:spPr>
        <a:xfrm>
          <a:off x="10562166" y="2065020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1522</xdr:row>
      <xdr:rowOff>21166</xdr:rowOff>
    </xdr:from>
    <xdr:to>
      <xdr:col>15</xdr:col>
      <xdr:colOff>560916</xdr:colOff>
      <xdr:row>1525</xdr:row>
      <xdr:rowOff>84667</xdr:rowOff>
    </xdr:to>
    <xdr:cxnSp macro="">
      <xdr:nvCxnSpPr>
        <xdr:cNvPr id="2369" name="Straight Arrow Connector 2368">
          <a:extLst>
            <a:ext uri="{FF2B5EF4-FFF2-40B4-BE49-F238E27FC236}">
              <a16:creationId xmlns:a16="http://schemas.microsoft.com/office/drawing/2014/main" id="{00000000-0008-0000-1300-000041090000}"/>
            </a:ext>
          </a:extLst>
        </xdr:cNvPr>
        <xdr:cNvCxnSpPr/>
      </xdr:nvCxnSpPr>
      <xdr:spPr>
        <a:xfrm>
          <a:off x="10615083" y="2065231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1522</xdr:row>
      <xdr:rowOff>52916</xdr:rowOff>
    </xdr:from>
    <xdr:to>
      <xdr:col>15</xdr:col>
      <xdr:colOff>592666</xdr:colOff>
      <xdr:row>1528</xdr:row>
      <xdr:rowOff>63501</xdr:rowOff>
    </xdr:to>
    <xdr:cxnSp macro="">
      <xdr:nvCxnSpPr>
        <xdr:cNvPr id="2370" name="Straight Arrow Connector 2369">
          <a:extLst>
            <a:ext uri="{FF2B5EF4-FFF2-40B4-BE49-F238E27FC236}">
              <a16:creationId xmlns:a16="http://schemas.microsoft.com/office/drawing/2014/main" id="{00000000-0008-0000-1300-000042090000}"/>
            </a:ext>
          </a:extLst>
        </xdr:cNvPr>
        <xdr:cNvCxnSpPr/>
      </xdr:nvCxnSpPr>
      <xdr:spPr>
        <a:xfrm>
          <a:off x="10572750" y="2065549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1536</xdr:row>
      <xdr:rowOff>116416</xdr:rowOff>
    </xdr:from>
    <xdr:to>
      <xdr:col>15</xdr:col>
      <xdr:colOff>592666</xdr:colOff>
      <xdr:row>1539</xdr:row>
      <xdr:rowOff>158750</xdr:rowOff>
    </xdr:to>
    <xdr:cxnSp macro="">
      <xdr:nvCxnSpPr>
        <xdr:cNvPr id="2371" name="Straight Arrow Connector 2370">
          <a:extLst>
            <a:ext uri="{FF2B5EF4-FFF2-40B4-BE49-F238E27FC236}">
              <a16:creationId xmlns:a16="http://schemas.microsoft.com/office/drawing/2014/main" id="{00000000-0008-0000-1300-000043090000}"/>
            </a:ext>
          </a:extLst>
        </xdr:cNvPr>
        <xdr:cNvCxnSpPr/>
      </xdr:nvCxnSpPr>
      <xdr:spPr>
        <a:xfrm flipV="1">
          <a:off x="10562166" y="209285416"/>
          <a:ext cx="571500" cy="613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1538</xdr:row>
      <xdr:rowOff>95250</xdr:rowOff>
    </xdr:from>
    <xdr:to>
      <xdr:col>15</xdr:col>
      <xdr:colOff>582083</xdr:colOff>
      <xdr:row>1540</xdr:row>
      <xdr:rowOff>52917</xdr:rowOff>
    </xdr:to>
    <xdr:cxnSp macro="">
      <xdr:nvCxnSpPr>
        <xdr:cNvPr id="2372" name="Straight Arrow Connector 2371">
          <a:extLst>
            <a:ext uri="{FF2B5EF4-FFF2-40B4-BE49-F238E27FC236}">
              <a16:creationId xmlns:a16="http://schemas.microsoft.com/office/drawing/2014/main" id="{00000000-0008-0000-1300-000044090000}"/>
            </a:ext>
          </a:extLst>
        </xdr:cNvPr>
        <xdr:cNvCxnSpPr/>
      </xdr:nvCxnSpPr>
      <xdr:spPr>
        <a:xfrm flipV="1">
          <a:off x="10604500" y="209645250"/>
          <a:ext cx="518583" cy="338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1540</xdr:row>
      <xdr:rowOff>116417</xdr:rowOff>
    </xdr:from>
    <xdr:to>
      <xdr:col>15</xdr:col>
      <xdr:colOff>592666</xdr:colOff>
      <xdr:row>1544</xdr:row>
      <xdr:rowOff>95250</xdr:rowOff>
    </xdr:to>
    <xdr:cxnSp macro="">
      <xdr:nvCxnSpPr>
        <xdr:cNvPr id="2373" name="Straight Arrow Connector 2372">
          <a:extLst>
            <a:ext uri="{FF2B5EF4-FFF2-40B4-BE49-F238E27FC236}">
              <a16:creationId xmlns:a16="http://schemas.microsoft.com/office/drawing/2014/main" id="{00000000-0008-0000-1300-000045090000}"/>
            </a:ext>
          </a:extLst>
        </xdr:cNvPr>
        <xdr:cNvCxnSpPr/>
      </xdr:nvCxnSpPr>
      <xdr:spPr>
        <a:xfrm>
          <a:off x="10593916" y="210047417"/>
          <a:ext cx="53975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1551</xdr:row>
      <xdr:rowOff>116416</xdr:rowOff>
    </xdr:from>
    <xdr:to>
      <xdr:col>16</xdr:col>
      <xdr:colOff>0</xdr:colOff>
      <xdr:row>1558</xdr:row>
      <xdr:rowOff>74084</xdr:rowOff>
    </xdr:to>
    <xdr:cxnSp macro="">
      <xdr:nvCxnSpPr>
        <xdr:cNvPr id="2374" name="Straight Arrow Connector 2373">
          <a:extLst>
            <a:ext uri="{FF2B5EF4-FFF2-40B4-BE49-F238E27FC236}">
              <a16:creationId xmlns:a16="http://schemas.microsoft.com/office/drawing/2014/main" id="{00000000-0008-0000-1300-000046090000}"/>
            </a:ext>
          </a:extLst>
        </xdr:cNvPr>
        <xdr:cNvCxnSpPr/>
      </xdr:nvCxnSpPr>
      <xdr:spPr>
        <a:xfrm>
          <a:off x="10572750" y="212142916"/>
          <a:ext cx="571500" cy="12911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1519</xdr:row>
      <xdr:rowOff>52917</xdr:rowOff>
    </xdr:from>
    <xdr:to>
      <xdr:col>15</xdr:col>
      <xdr:colOff>603250</xdr:colOff>
      <xdr:row>1521</xdr:row>
      <xdr:rowOff>148167</xdr:rowOff>
    </xdr:to>
    <xdr:cxnSp macro="">
      <xdr:nvCxnSpPr>
        <xdr:cNvPr id="2375" name="Straight Arrow Connector 2374">
          <a:extLst>
            <a:ext uri="{FF2B5EF4-FFF2-40B4-BE49-F238E27FC236}">
              <a16:creationId xmlns:a16="http://schemas.microsoft.com/office/drawing/2014/main" id="{00000000-0008-0000-1300-000047090000}"/>
            </a:ext>
          </a:extLst>
        </xdr:cNvPr>
        <xdr:cNvCxnSpPr/>
      </xdr:nvCxnSpPr>
      <xdr:spPr>
        <a:xfrm flipV="1">
          <a:off x="10583333" y="2059834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1554</xdr:row>
      <xdr:rowOff>42333</xdr:rowOff>
    </xdr:from>
    <xdr:to>
      <xdr:col>11</xdr:col>
      <xdr:colOff>603250</xdr:colOff>
      <xdr:row>1566</xdr:row>
      <xdr:rowOff>10583</xdr:rowOff>
    </xdr:to>
    <xdr:cxnSp macro="">
      <xdr:nvCxnSpPr>
        <xdr:cNvPr id="2376" name="Straight Arrow Connector 2375">
          <a:extLst>
            <a:ext uri="{FF2B5EF4-FFF2-40B4-BE49-F238E27FC236}">
              <a16:creationId xmlns:a16="http://schemas.microsoft.com/office/drawing/2014/main" id="{00000000-0008-0000-1300-000048090000}"/>
            </a:ext>
          </a:extLst>
        </xdr:cNvPr>
        <xdr:cNvCxnSpPr/>
      </xdr:nvCxnSpPr>
      <xdr:spPr>
        <a:xfrm>
          <a:off x="7598834" y="2126403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1544</xdr:row>
      <xdr:rowOff>21167</xdr:rowOff>
    </xdr:from>
    <xdr:to>
      <xdr:col>13</xdr:col>
      <xdr:colOff>592667</xdr:colOff>
      <xdr:row>1546</xdr:row>
      <xdr:rowOff>0</xdr:rowOff>
    </xdr:to>
    <xdr:cxnSp macro="">
      <xdr:nvCxnSpPr>
        <xdr:cNvPr id="2377" name="Straight Arrow Connector 2376">
          <a:extLst>
            <a:ext uri="{FF2B5EF4-FFF2-40B4-BE49-F238E27FC236}">
              <a16:creationId xmlns:a16="http://schemas.microsoft.com/office/drawing/2014/main" id="{00000000-0008-0000-1300-000049090000}"/>
            </a:ext>
          </a:extLst>
        </xdr:cNvPr>
        <xdr:cNvCxnSpPr/>
      </xdr:nvCxnSpPr>
      <xdr:spPr>
        <a:xfrm flipV="1">
          <a:off x="8794750" y="2107141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1549</xdr:row>
      <xdr:rowOff>21166</xdr:rowOff>
    </xdr:from>
    <xdr:to>
      <xdr:col>13</xdr:col>
      <xdr:colOff>592667</xdr:colOff>
      <xdr:row>1550</xdr:row>
      <xdr:rowOff>169334</xdr:rowOff>
    </xdr:to>
    <xdr:cxnSp macro="">
      <xdr:nvCxnSpPr>
        <xdr:cNvPr id="2378" name="Straight Arrow Connector 2377">
          <a:extLst>
            <a:ext uri="{FF2B5EF4-FFF2-40B4-BE49-F238E27FC236}">
              <a16:creationId xmlns:a16="http://schemas.microsoft.com/office/drawing/2014/main" id="{00000000-0008-0000-1300-00004A090000}"/>
            </a:ext>
          </a:extLst>
        </xdr:cNvPr>
        <xdr:cNvCxnSpPr/>
      </xdr:nvCxnSpPr>
      <xdr:spPr>
        <a:xfrm>
          <a:off x="8784166" y="2116666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1564</xdr:row>
      <xdr:rowOff>21167</xdr:rowOff>
    </xdr:from>
    <xdr:to>
      <xdr:col>13</xdr:col>
      <xdr:colOff>592667</xdr:colOff>
      <xdr:row>1566</xdr:row>
      <xdr:rowOff>63500</xdr:rowOff>
    </xdr:to>
    <xdr:cxnSp macro="">
      <xdr:nvCxnSpPr>
        <xdr:cNvPr id="2379" name="Straight Arrow Connector 2378">
          <a:extLst>
            <a:ext uri="{FF2B5EF4-FFF2-40B4-BE49-F238E27FC236}">
              <a16:creationId xmlns:a16="http://schemas.microsoft.com/office/drawing/2014/main" id="{00000000-0008-0000-1300-00004B090000}"/>
            </a:ext>
          </a:extLst>
        </xdr:cNvPr>
        <xdr:cNvCxnSpPr/>
      </xdr:nvCxnSpPr>
      <xdr:spPr>
        <a:xfrm flipV="1">
          <a:off x="8794750" y="2147146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1569</xdr:row>
      <xdr:rowOff>0</xdr:rowOff>
    </xdr:from>
    <xdr:to>
      <xdr:col>14</xdr:col>
      <xdr:colOff>10584</xdr:colOff>
      <xdr:row>1577</xdr:row>
      <xdr:rowOff>148167</xdr:rowOff>
    </xdr:to>
    <xdr:cxnSp macro="">
      <xdr:nvCxnSpPr>
        <xdr:cNvPr id="2380" name="Straight Arrow Connector 2379">
          <a:extLst>
            <a:ext uri="{FF2B5EF4-FFF2-40B4-BE49-F238E27FC236}">
              <a16:creationId xmlns:a16="http://schemas.microsoft.com/office/drawing/2014/main" id="{00000000-0008-0000-1300-00004C090000}"/>
            </a:ext>
          </a:extLst>
        </xdr:cNvPr>
        <xdr:cNvCxnSpPr/>
      </xdr:nvCxnSpPr>
      <xdr:spPr>
        <a:xfrm>
          <a:off x="8805333" y="2156460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1540</xdr:row>
      <xdr:rowOff>95250</xdr:rowOff>
    </xdr:from>
    <xdr:to>
      <xdr:col>15</xdr:col>
      <xdr:colOff>582083</xdr:colOff>
      <xdr:row>1542</xdr:row>
      <xdr:rowOff>137583</xdr:rowOff>
    </xdr:to>
    <xdr:cxnSp macro="">
      <xdr:nvCxnSpPr>
        <xdr:cNvPr id="2381" name="Straight Arrow Connector 2380">
          <a:extLst>
            <a:ext uri="{FF2B5EF4-FFF2-40B4-BE49-F238E27FC236}">
              <a16:creationId xmlns:a16="http://schemas.microsoft.com/office/drawing/2014/main" id="{00000000-0008-0000-1300-00004D090000}"/>
            </a:ext>
          </a:extLst>
        </xdr:cNvPr>
        <xdr:cNvCxnSpPr/>
      </xdr:nvCxnSpPr>
      <xdr:spPr>
        <a:xfrm>
          <a:off x="10593916" y="210026250"/>
          <a:ext cx="5291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1549</xdr:row>
      <xdr:rowOff>52916</xdr:rowOff>
    </xdr:from>
    <xdr:to>
      <xdr:col>16</xdr:col>
      <xdr:colOff>0</xdr:colOff>
      <xdr:row>1551</xdr:row>
      <xdr:rowOff>0</xdr:rowOff>
    </xdr:to>
    <xdr:cxnSp macro="">
      <xdr:nvCxnSpPr>
        <xdr:cNvPr id="2382" name="Straight Arrow Connector 2381">
          <a:extLst>
            <a:ext uri="{FF2B5EF4-FFF2-40B4-BE49-F238E27FC236}">
              <a16:creationId xmlns:a16="http://schemas.microsoft.com/office/drawing/2014/main" id="{00000000-0008-0000-1300-00004E090000}"/>
            </a:ext>
          </a:extLst>
        </xdr:cNvPr>
        <xdr:cNvCxnSpPr/>
      </xdr:nvCxnSpPr>
      <xdr:spPr>
        <a:xfrm flipV="1">
          <a:off x="10541000" y="2116984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1551</xdr:row>
      <xdr:rowOff>21167</xdr:rowOff>
    </xdr:from>
    <xdr:to>
      <xdr:col>15</xdr:col>
      <xdr:colOff>592666</xdr:colOff>
      <xdr:row>1552</xdr:row>
      <xdr:rowOff>84667</xdr:rowOff>
    </xdr:to>
    <xdr:cxnSp macro="">
      <xdr:nvCxnSpPr>
        <xdr:cNvPr id="2383" name="Straight Arrow Connector 2382">
          <a:extLst>
            <a:ext uri="{FF2B5EF4-FFF2-40B4-BE49-F238E27FC236}">
              <a16:creationId xmlns:a16="http://schemas.microsoft.com/office/drawing/2014/main" id="{00000000-0008-0000-1300-00004F090000}"/>
            </a:ext>
          </a:extLst>
        </xdr:cNvPr>
        <xdr:cNvCxnSpPr/>
      </xdr:nvCxnSpPr>
      <xdr:spPr>
        <a:xfrm>
          <a:off x="10530417" y="212047667"/>
          <a:ext cx="603249" cy="25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1551</xdr:row>
      <xdr:rowOff>0</xdr:rowOff>
    </xdr:from>
    <xdr:to>
      <xdr:col>16</xdr:col>
      <xdr:colOff>0</xdr:colOff>
      <xdr:row>1555</xdr:row>
      <xdr:rowOff>42334</xdr:rowOff>
    </xdr:to>
    <xdr:cxnSp macro="">
      <xdr:nvCxnSpPr>
        <xdr:cNvPr id="2384" name="Straight Arrow Connector 2383">
          <a:extLst>
            <a:ext uri="{FF2B5EF4-FFF2-40B4-BE49-F238E27FC236}">
              <a16:creationId xmlns:a16="http://schemas.microsoft.com/office/drawing/2014/main" id="{00000000-0008-0000-1300-000050090000}"/>
            </a:ext>
          </a:extLst>
        </xdr:cNvPr>
        <xdr:cNvCxnSpPr/>
      </xdr:nvCxnSpPr>
      <xdr:spPr>
        <a:xfrm>
          <a:off x="10530417" y="212026500"/>
          <a:ext cx="613833" cy="804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1562</xdr:row>
      <xdr:rowOff>0</xdr:rowOff>
    </xdr:from>
    <xdr:to>
      <xdr:col>15</xdr:col>
      <xdr:colOff>603250</xdr:colOff>
      <xdr:row>1564</xdr:row>
      <xdr:rowOff>1</xdr:rowOff>
    </xdr:to>
    <xdr:cxnSp macro="">
      <xdr:nvCxnSpPr>
        <xdr:cNvPr id="2385" name="Straight Arrow Connector 2384">
          <a:extLst>
            <a:ext uri="{FF2B5EF4-FFF2-40B4-BE49-F238E27FC236}">
              <a16:creationId xmlns:a16="http://schemas.microsoft.com/office/drawing/2014/main" id="{00000000-0008-0000-1300-000051090000}"/>
            </a:ext>
          </a:extLst>
        </xdr:cNvPr>
        <xdr:cNvCxnSpPr/>
      </xdr:nvCxnSpPr>
      <xdr:spPr>
        <a:xfrm flipV="1">
          <a:off x="10530417" y="2143125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1564</xdr:row>
      <xdr:rowOff>10584</xdr:rowOff>
    </xdr:from>
    <xdr:to>
      <xdr:col>15</xdr:col>
      <xdr:colOff>592666</xdr:colOff>
      <xdr:row>1565</xdr:row>
      <xdr:rowOff>95250</xdr:rowOff>
    </xdr:to>
    <xdr:cxnSp macro="">
      <xdr:nvCxnSpPr>
        <xdr:cNvPr id="2386" name="Straight Arrow Connector 2385">
          <a:extLst>
            <a:ext uri="{FF2B5EF4-FFF2-40B4-BE49-F238E27FC236}">
              <a16:creationId xmlns:a16="http://schemas.microsoft.com/office/drawing/2014/main" id="{00000000-0008-0000-1300-000052090000}"/>
            </a:ext>
          </a:extLst>
        </xdr:cNvPr>
        <xdr:cNvCxnSpPr/>
      </xdr:nvCxnSpPr>
      <xdr:spPr>
        <a:xfrm>
          <a:off x="10572750" y="2147040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1564</xdr:row>
      <xdr:rowOff>10584</xdr:rowOff>
    </xdr:from>
    <xdr:to>
      <xdr:col>15</xdr:col>
      <xdr:colOff>560916</xdr:colOff>
      <xdr:row>1568</xdr:row>
      <xdr:rowOff>52917</xdr:rowOff>
    </xdr:to>
    <xdr:cxnSp macro="">
      <xdr:nvCxnSpPr>
        <xdr:cNvPr id="2387" name="Straight Arrow Connector 2386">
          <a:extLst>
            <a:ext uri="{FF2B5EF4-FFF2-40B4-BE49-F238E27FC236}">
              <a16:creationId xmlns:a16="http://schemas.microsoft.com/office/drawing/2014/main" id="{00000000-0008-0000-1300-000053090000}"/>
            </a:ext>
          </a:extLst>
        </xdr:cNvPr>
        <xdr:cNvCxnSpPr/>
      </xdr:nvCxnSpPr>
      <xdr:spPr>
        <a:xfrm>
          <a:off x="10551583" y="2147040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1564</xdr:row>
      <xdr:rowOff>31750</xdr:rowOff>
    </xdr:from>
    <xdr:to>
      <xdr:col>16</xdr:col>
      <xdr:colOff>21167</xdr:colOff>
      <xdr:row>1571</xdr:row>
      <xdr:rowOff>95250</xdr:rowOff>
    </xdr:to>
    <xdr:cxnSp macro="">
      <xdr:nvCxnSpPr>
        <xdr:cNvPr id="2388" name="Straight Arrow Connector 2387">
          <a:extLst>
            <a:ext uri="{FF2B5EF4-FFF2-40B4-BE49-F238E27FC236}">
              <a16:creationId xmlns:a16="http://schemas.microsoft.com/office/drawing/2014/main" id="{00000000-0008-0000-1300-000054090000}"/>
            </a:ext>
          </a:extLst>
        </xdr:cNvPr>
        <xdr:cNvCxnSpPr/>
      </xdr:nvCxnSpPr>
      <xdr:spPr>
        <a:xfrm>
          <a:off x="10583333" y="2147252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1578</xdr:row>
      <xdr:rowOff>0</xdr:rowOff>
    </xdr:from>
    <xdr:to>
      <xdr:col>16</xdr:col>
      <xdr:colOff>0</xdr:colOff>
      <xdr:row>1578</xdr:row>
      <xdr:rowOff>42334</xdr:rowOff>
    </xdr:to>
    <xdr:cxnSp macro="">
      <xdr:nvCxnSpPr>
        <xdr:cNvPr id="2389" name="Straight Arrow Connector 2388">
          <a:extLst>
            <a:ext uri="{FF2B5EF4-FFF2-40B4-BE49-F238E27FC236}">
              <a16:creationId xmlns:a16="http://schemas.microsoft.com/office/drawing/2014/main" id="{00000000-0008-0000-1300-000055090000}"/>
            </a:ext>
          </a:extLst>
        </xdr:cNvPr>
        <xdr:cNvCxnSpPr/>
      </xdr:nvCxnSpPr>
      <xdr:spPr>
        <a:xfrm>
          <a:off x="10562166" y="2173605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1578</xdr:row>
      <xdr:rowOff>21166</xdr:rowOff>
    </xdr:from>
    <xdr:to>
      <xdr:col>15</xdr:col>
      <xdr:colOff>560916</xdr:colOff>
      <xdr:row>1581</xdr:row>
      <xdr:rowOff>84667</xdr:rowOff>
    </xdr:to>
    <xdr:cxnSp macro="">
      <xdr:nvCxnSpPr>
        <xdr:cNvPr id="2390" name="Straight Arrow Connector 2389">
          <a:extLst>
            <a:ext uri="{FF2B5EF4-FFF2-40B4-BE49-F238E27FC236}">
              <a16:creationId xmlns:a16="http://schemas.microsoft.com/office/drawing/2014/main" id="{00000000-0008-0000-1300-000056090000}"/>
            </a:ext>
          </a:extLst>
        </xdr:cNvPr>
        <xdr:cNvCxnSpPr/>
      </xdr:nvCxnSpPr>
      <xdr:spPr>
        <a:xfrm>
          <a:off x="10615083" y="2173816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1578</xdr:row>
      <xdr:rowOff>52916</xdr:rowOff>
    </xdr:from>
    <xdr:to>
      <xdr:col>15</xdr:col>
      <xdr:colOff>592666</xdr:colOff>
      <xdr:row>1584</xdr:row>
      <xdr:rowOff>63501</xdr:rowOff>
    </xdr:to>
    <xdr:cxnSp macro="">
      <xdr:nvCxnSpPr>
        <xdr:cNvPr id="2391" name="Straight Arrow Connector 2390">
          <a:extLst>
            <a:ext uri="{FF2B5EF4-FFF2-40B4-BE49-F238E27FC236}">
              <a16:creationId xmlns:a16="http://schemas.microsoft.com/office/drawing/2014/main" id="{00000000-0008-0000-1300-000057090000}"/>
            </a:ext>
          </a:extLst>
        </xdr:cNvPr>
        <xdr:cNvCxnSpPr/>
      </xdr:nvCxnSpPr>
      <xdr:spPr>
        <a:xfrm>
          <a:off x="10572750" y="2174134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1575</xdr:row>
      <xdr:rowOff>52917</xdr:rowOff>
    </xdr:from>
    <xdr:to>
      <xdr:col>15</xdr:col>
      <xdr:colOff>603250</xdr:colOff>
      <xdr:row>1577</xdr:row>
      <xdr:rowOff>148167</xdr:rowOff>
    </xdr:to>
    <xdr:cxnSp macro="">
      <xdr:nvCxnSpPr>
        <xdr:cNvPr id="2392" name="Straight Arrow Connector 2391">
          <a:extLst>
            <a:ext uri="{FF2B5EF4-FFF2-40B4-BE49-F238E27FC236}">
              <a16:creationId xmlns:a16="http://schemas.microsoft.com/office/drawing/2014/main" id="{00000000-0008-0000-1300-000058090000}"/>
            </a:ext>
          </a:extLst>
        </xdr:cNvPr>
        <xdr:cNvCxnSpPr/>
      </xdr:nvCxnSpPr>
      <xdr:spPr>
        <a:xfrm flipV="1">
          <a:off x="10583333" y="2168419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31750</xdr:colOff>
      <xdr:row>1486</xdr:row>
      <xdr:rowOff>127000</xdr:rowOff>
    </xdr:from>
    <xdr:to>
      <xdr:col>8</xdr:col>
      <xdr:colOff>63500</xdr:colOff>
      <xdr:row>1505</xdr:row>
      <xdr:rowOff>0</xdr:rowOff>
    </xdr:to>
    <xdr:cxnSp macro="">
      <xdr:nvCxnSpPr>
        <xdr:cNvPr id="2393" name="Straight Arrow Connector 2392">
          <a:extLst>
            <a:ext uri="{FF2B5EF4-FFF2-40B4-BE49-F238E27FC236}">
              <a16:creationId xmlns:a16="http://schemas.microsoft.com/office/drawing/2014/main" id="{00000000-0008-0000-1300-000059090000}"/>
            </a:ext>
          </a:extLst>
        </xdr:cNvPr>
        <xdr:cNvCxnSpPr/>
      </xdr:nvCxnSpPr>
      <xdr:spPr>
        <a:xfrm flipV="1">
          <a:off x="5207000" y="199580500"/>
          <a:ext cx="635000" cy="3587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825500</xdr:colOff>
      <xdr:row>1623</xdr:row>
      <xdr:rowOff>1</xdr:rowOff>
    </xdr:from>
    <xdr:to>
      <xdr:col>6</xdr:col>
      <xdr:colOff>0</xdr:colOff>
      <xdr:row>1657</xdr:row>
      <xdr:rowOff>116417</xdr:rowOff>
    </xdr:to>
    <xdr:cxnSp macro="">
      <xdr:nvCxnSpPr>
        <xdr:cNvPr id="2394" name="Straight Arrow Connector 2393">
          <a:extLst>
            <a:ext uri="{FF2B5EF4-FFF2-40B4-BE49-F238E27FC236}">
              <a16:creationId xmlns:a16="http://schemas.microsoft.com/office/drawing/2014/main" id="{00000000-0008-0000-1300-00005A090000}"/>
            </a:ext>
          </a:extLst>
        </xdr:cNvPr>
        <xdr:cNvCxnSpPr/>
      </xdr:nvCxnSpPr>
      <xdr:spPr>
        <a:xfrm flipV="1">
          <a:off x="3714750" y="226123501"/>
          <a:ext cx="666750" cy="65934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21167</xdr:colOff>
      <xdr:row>1660</xdr:row>
      <xdr:rowOff>169334</xdr:rowOff>
    </xdr:from>
    <xdr:to>
      <xdr:col>5</xdr:col>
      <xdr:colOff>571500</xdr:colOff>
      <xdr:row>1729</xdr:row>
      <xdr:rowOff>0</xdr:rowOff>
    </xdr:to>
    <xdr:cxnSp macro="">
      <xdr:nvCxnSpPr>
        <xdr:cNvPr id="2395" name="Straight Arrow Connector 2394">
          <a:extLst>
            <a:ext uri="{FF2B5EF4-FFF2-40B4-BE49-F238E27FC236}">
              <a16:creationId xmlns:a16="http://schemas.microsoft.com/office/drawing/2014/main" id="{00000000-0008-0000-1300-00005B090000}"/>
            </a:ext>
          </a:extLst>
        </xdr:cNvPr>
        <xdr:cNvCxnSpPr/>
      </xdr:nvCxnSpPr>
      <xdr:spPr>
        <a:xfrm>
          <a:off x="3799417" y="233341334"/>
          <a:ext cx="550333" cy="133244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1598</xdr:row>
      <xdr:rowOff>148167</xdr:rowOff>
    </xdr:from>
    <xdr:to>
      <xdr:col>7</xdr:col>
      <xdr:colOff>603250</xdr:colOff>
      <xdr:row>1620</xdr:row>
      <xdr:rowOff>31750</xdr:rowOff>
    </xdr:to>
    <xdr:cxnSp macro="">
      <xdr:nvCxnSpPr>
        <xdr:cNvPr id="2396" name="Straight Arrow Connector 2395">
          <a:extLst>
            <a:ext uri="{FF2B5EF4-FFF2-40B4-BE49-F238E27FC236}">
              <a16:creationId xmlns:a16="http://schemas.microsoft.com/office/drawing/2014/main" id="{00000000-0008-0000-1300-00005C090000}"/>
            </a:ext>
          </a:extLst>
        </xdr:cNvPr>
        <xdr:cNvCxnSpPr/>
      </xdr:nvCxnSpPr>
      <xdr:spPr>
        <a:xfrm flipV="1">
          <a:off x="5175250" y="221318667"/>
          <a:ext cx="603250" cy="42650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1623</xdr:row>
      <xdr:rowOff>10584</xdr:rowOff>
    </xdr:from>
    <xdr:to>
      <xdr:col>8</xdr:col>
      <xdr:colOff>21167</xdr:colOff>
      <xdr:row>1651</xdr:row>
      <xdr:rowOff>148166</xdr:rowOff>
    </xdr:to>
    <xdr:cxnSp macro="">
      <xdr:nvCxnSpPr>
        <xdr:cNvPr id="2397" name="Straight Arrow Connector 2396">
          <a:extLst>
            <a:ext uri="{FF2B5EF4-FFF2-40B4-BE49-F238E27FC236}">
              <a16:creationId xmlns:a16="http://schemas.microsoft.com/office/drawing/2014/main" id="{00000000-0008-0000-1300-00005D090000}"/>
            </a:ext>
          </a:extLst>
        </xdr:cNvPr>
        <xdr:cNvCxnSpPr/>
      </xdr:nvCxnSpPr>
      <xdr:spPr>
        <a:xfrm>
          <a:off x="5175250" y="226134084"/>
          <a:ext cx="624417" cy="547158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1590</xdr:row>
      <xdr:rowOff>137583</xdr:rowOff>
    </xdr:from>
    <xdr:to>
      <xdr:col>9</xdr:col>
      <xdr:colOff>603250</xdr:colOff>
      <xdr:row>1596</xdr:row>
      <xdr:rowOff>21166</xdr:rowOff>
    </xdr:to>
    <xdr:cxnSp macro="">
      <xdr:nvCxnSpPr>
        <xdr:cNvPr id="2398" name="Straight Arrow Connector 2397">
          <a:extLst>
            <a:ext uri="{FF2B5EF4-FFF2-40B4-BE49-F238E27FC236}">
              <a16:creationId xmlns:a16="http://schemas.microsoft.com/office/drawing/2014/main" id="{00000000-0008-0000-1300-00005E090000}"/>
            </a:ext>
          </a:extLst>
        </xdr:cNvPr>
        <xdr:cNvCxnSpPr/>
      </xdr:nvCxnSpPr>
      <xdr:spPr>
        <a:xfrm flipV="1">
          <a:off x="6381750" y="219784083"/>
          <a:ext cx="603250" cy="1026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1599</xdr:row>
      <xdr:rowOff>0</xdr:rowOff>
    </xdr:from>
    <xdr:to>
      <xdr:col>9</xdr:col>
      <xdr:colOff>582083</xdr:colOff>
      <xdr:row>1607</xdr:row>
      <xdr:rowOff>10583</xdr:rowOff>
    </xdr:to>
    <xdr:cxnSp macro="">
      <xdr:nvCxnSpPr>
        <xdr:cNvPr id="2399" name="Straight Arrow Connector 2398">
          <a:extLst>
            <a:ext uri="{FF2B5EF4-FFF2-40B4-BE49-F238E27FC236}">
              <a16:creationId xmlns:a16="http://schemas.microsoft.com/office/drawing/2014/main" id="{00000000-0008-0000-1300-00005F090000}"/>
            </a:ext>
          </a:extLst>
        </xdr:cNvPr>
        <xdr:cNvCxnSpPr/>
      </xdr:nvCxnSpPr>
      <xdr:spPr>
        <a:xfrm>
          <a:off x="6413500" y="221361000"/>
          <a:ext cx="550333" cy="1534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21167</xdr:colOff>
      <xdr:row>1604</xdr:row>
      <xdr:rowOff>169333</xdr:rowOff>
    </xdr:from>
    <xdr:to>
      <xdr:col>11</xdr:col>
      <xdr:colOff>603250</xdr:colOff>
      <xdr:row>1607</xdr:row>
      <xdr:rowOff>21167</xdr:rowOff>
    </xdr:to>
    <xdr:cxnSp macro="">
      <xdr:nvCxnSpPr>
        <xdr:cNvPr id="2400" name="Straight Arrow Connector 2399">
          <a:extLst>
            <a:ext uri="{FF2B5EF4-FFF2-40B4-BE49-F238E27FC236}">
              <a16:creationId xmlns:a16="http://schemas.microsoft.com/office/drawing/2014/main" id="{00000000-0008-0000-1300-000060090000}"/>
            </a:ext>
          </a:extLst>
        </xdr:cNvPr>
        <xdr:cNvCxnSpPr/>
      </xdr:nvCxnSpPr>
      <xdr:spPr>
        <a:xfrm flipV="1">
          <a:off x="7609417" y="222482833"/>
          <a:ext cx="582083" cy="423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1610</xdr:row>
      <xdr:rowOff>42333</xdr:rowOff>
    </xdr:from>
    <xdr:to>
      <xdr:col>11</xdr:col>
      <xdr:colOff>603250</xdr:colOff>
      <xdr:row>1622</xdr:row>
      <xdr:rowOff>10583</xdr:rowOff>
    </xdr:to>
    <xdr:cxnSp macro="">
      <xdr:nvCxnSpPr>
        <xdr:cNvPr id="2401" name="Straight Arrow Connector 2400">
          <a:extLst>
            <a:ext uri="{FF2B5EF4-FFF2-40B4-BE49-F238E27FC236}">
              <a16:creationId xmlns:a16="http://schemas.microsoft.com/office/drawing/2014/main" id="{00000000-0008-0000-1300-000061090000}"/>
            </a:ext>
          </a:extLst>
        </xdr:cNvPr>
        <xdr:cNvCxnSpPr/>
      </xdr:nvCxnSpPr>
      <xdr:spPr>
        <a:xfrm>
          <a:off x="7598834" y="2234988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1600</xdr:row>
      <xdr:rowOff>21167</xdr:rowOff>
    </xdr:from>
    <xdr:to>
      <xdr:col>13</xdr:col>
      <xdr:colOff>592667</xdr:colOff>
      <xdr:row>1602</xdr:row>
      <xdr:rowOff>0</xdr:rowOff>
    </xdr:to>
    <xdr:cxnSp macro="">
      <xdr:nvCxnSpPr>
        <xdr:cNvPr id="2402" name="Straight Arrow Connector 2401">
          <a:extLst>
            <a:ext uri="{FF2B5EF4-FFF2-40B4-BE49-F238E27FC236}">
              <a16:creationId xmlns:a16="http://schemas.microsoft.com/office/drawing/2014/main" id="{00000000-0008-0000-1300-000062090000}"/>
            </a:ext>
          </a:extLst>
        </xdr:cNvPr>
        <xdr:cNvCxnSpPr/>
      </xdr:nvCxnSpPr>
      <xdr:spPr>
        <a:xfrm flipV="1">
          <a:off x="8794750" y="2215726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1605</xdr:row>
      <xdr:rowOff>21166</xdr:rowOff>
    </xdr:from>
    <xdr:to>
      <xdr:col>13</xdr:col>
      <xdr:colOff>592667</xdr:colOff>
      <xdr:row>1606</xdr:row>
      <xdr:rowOff>169334</xdr:rowOff>
    </xdr:to>
    <xdr:cxnSp macro="">
      <xdr:nvCxnSpPr>
        <xdr:cNvPr id="2403" name="Straight Arrow Connector 2402">
          <a:extLst>
            <a:ext uri="{FF2B5EF4-FFF2-40B4-BE49-F238E27FC236}">
              <a16:creationId xmlns:a16="http://schemas.microsoft.com/office/drawing/2014/main" id="{00000000-0008-0000-1300-000063090000}"/>
            </a:ext>
          </a:extLst>
        </xdr:cNvPr>
        <xdr:cNvCxnSpPr/>
      </xdr:nvCxnSpPr>
      <xdr:spPr>
        <a:xfrm>
          <a:off x="8784166" y="2225251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1620</xdr:row>
      <xdr:rowOff>21167</xdr:rowOff>
    </xdr:from>
    <xdr:to>
      <xdr:col>13</xdr:col>
      <xdr:colOff>592667</xdr:colOff>
      <xdr:row>1622</xdr:row>
      <xdr:rowOff>63500</xdr:rowOff>
    </xdr:to>
    <xdr:cxnSp macro="">
      <xdr:nvCxnSpPr>
        <xdr:cNvPr id="2404" name="Straight Arrow Connector 2403">
          <a:extLst>
            <a:ext uri="{FF2B5EF4-FFF2-40B4-BE49-F238E27FC236}">
              <a16:creationId xmlns:a16="http://schemas.microsoft.com/office/drawing/2014/main" id="{00000000-0008-0000-1300-000064090000}"/>
            </a:ext>
          </a:extLst>
        </xdr:cNvPr>
        <xdr:cNvCxnSpPr/>
      </xdr:nvCxnSpPr>
      <xdr:spPr>
        <a:xfrm flipV="1">
          <a:off x="8794750" y="2255731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1625</xdr:row>
      <xdr:rowOff>0</xdr:rowOff>
    </xdr:from>
    <xdr:to>
      <xdr:col>14</xdr:col>
      <xdr:colOff>10584</xdr:colOff>
      <xdr:row>1633</xdr:row>
      <xdr:rowOff>148167</xdr:rowOff>
    </xdr:to>
    <xdr:cxnSp macro="">
      <xdr:nvCxnSpPr>
        <xdr:cNvPr id="2405" name="Straight Arrow Connector 2404">
          <a:extLst>
            <a:ext uri="{FF2B5EF4-FFF2-40B4-BE49-F238E27FC236}">
              <a16:creationId xmlns:a16="http://schemas.microsoft.com/office/drawing/2014/main" id="{00000000-0008-0000-1300-000065090000}"/>
            </a:ext>
          </a:extLst>
        </xdr:cNvPr>
        <xdr:cNvCxnSpPr/>
      </xdr:nvCxnSpPr>
      <xdr:spPr>
        <a:xfrm>
          <a:off x="8805333" y="2265045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1592</xdr:row>
      <xdr:rowOff>0</xdr:rowOff>
    </xdr:from>
    <xdr:to>
      <xdr:col>15</xdr:col>
      <xdr:colOff>603250</xdr:colOff>
      <xdr:row>1597</xdr:row>
      <xdr:rowOff>31750</xdr:rowOff>
    </xdr:to>
    <xdr:cxnSp macro="">
      <xdr:nvCxnSpPr>
        <xdr:cNvPr id="2406" name="Straight Arrow Connector 2405">
          <a:extLst>
            <a:ext uri="{FF2B5EF4-FFF2-40B4-BE49-F238E27FC236}">
              <a16:creationId xmlns:a16="http://schemas.microsoft.com/office/drawing/2014/main" id="{00000000-0008-0000-1300-000066090000}"/>
            </a:ext>
          </a:extLst>
        </xdr:cNvPr>
        <xdr:cNvCxnSpPr/>
      </xdr:nvCxnSpPr>
      <xdr:spPr>
        <a:xfrm flipV="1">
          <a:off x="10541000" y="220027500"/>
          <a:ext cx="603250" cy="984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1595</xdr:row>
      <xdr:rowOff>52917</xdr:rowOff>
    </xdr:from>
    <xdr:to>
      <xdr:col>15</xdr:col>
      <xdr:colOff>603250</xdr:colOff>
      <xdr:row>1597</xdr:row>
      <xdr:rowOff>95250</xdr:rowOff>
    </xdr:to>
    <xdr:cxnSp macro="">
      <xdr:nvCxnSpPr>
        <xdr:cNvPr id="2407" name="Straight Arrow Connector 2406">
          <a:extLst>
            <a:ext uri="{FF2B5EF4-FFF2-40B4-BE49-F238E27FC236}">
              <a16:creationId xmlns:a16="http://schemas.microsoft.com/office/drawing/2014/main" id="{00000000-0008-0000-1300-000067090000}"/>
            </a:ext>
          </a:extLst>
        </xdr:cNvPr>
        <xdr:cNvCxnSpPr/>
      </xdr:nvCxnSpPr>
      <xdr:spPr>
        <a:xfrm flipV="1">
          <a:off x="10583333" y="220651917"/>
          <a:ext cx="56091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1597</xdr:row>
      <xdr:rowOff>158750</xdr:rowOff>
    </xdr:from>
    <xdr:to>
      <xdr:col>15</xdr:col>
      <xdr:colOff>582083</xdr:colOff>
      <xdr:row>1598</xdr:row>
      <xdr:rowOff>137583</xdr:rowOff>
    </xdr:to>
    <xdr:cxnSp macro="">
      <xdr:nvCxnSpPr>
        <xdr:cNvPr id="2408" name="Straight Arrow Connector 2407">
          <a:extLst>
            <a:ext uri="{FF2B5EF4-FFF2-40B4-BE49-F238E27FC236}">
              <a16:creationId xmlns:a16="http://schemas.microsoft.com/office/drawing/2014/main" id="{00000000-0008-0000-1300-000068090000}"/>
            </a:ext>
          </a:extLst>
        </xdr:cNvPr>
        <xdr:cNvCxnSpPr/>
      </xdr:nvCxnSpPr>
      <xdr:spPr>
        <a:xfrm>
          <a:off x="10604500" y="221138750"/>
          <a:ext cx="518583" cy="169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1121834</xdr:colOff>
      <xdr:row>1597</xdr:row>
      <xdr:rowOff>105834</xdr:rowOff>
    </xdr:from>
    <xdr:to>
      <xdr:col>16</xdr:col>
      <xdr:colOff>0</xdr:colOff>
      <xdr:row>1601</xdr:row>
      <xdr:rowOff>84667</xdr:rowOff>
    </xdr:to>
    <xdr:cxnSp macro="">
      <xdr:nvCxnSpPr>
        <xdr:cNvPr id="2409" name="Straight Arrow Connector 2408">
          <a:extLst>
            <a:ext uri="{FF2B5EF4-FFF2-40B4-BE49-F238E27FC236}">
              <a16:creationId xmlns:a16="http://schemas.microsoft.com/office/drawing/2014/main" id="{00000000-0008-0000-1300-000069090000}"/>
            </a:ext>
          </a:extLst>
        </xdr:cNvPr>
        <xdr:cNvCxnSpPr/>
      </xdr:nvCxnSpPr>
      <xdr:spPr>
        <a:xfrm>
          <a:off x="10519834" y="221085834"/>
          <a:ext cx="624416"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1605</xdr:row>
      <xdr:rowOff>52916</xdr:rowOff>
    </xdr:from>
    <xdr:to>
      <xdr:col>16</xdr:col>
      <xdr:colOff>0</xdr:colOff>
      <xdr:row>1607</xdr:row>
      <xdr:rowOff>0</xdr:rowOff>
    </xdr:to>
    <xdr:cxnSp macro="">
      <xdr:nvCxnSpPr>
        <xdr:cNvPr id="2410" name="Straight Arrow Connector 2409">
          <a:extLst>
            <a:ext uri="{FF2B5EF4-FFF2-40B4-BE49-F238E27FC236}">
              <a16:creationId xmlns:a16="http://schemas.microsoft.com/office/drawing/2014/main" id="{00000000-0008-0000-1300-00006A090000}"/>
            </a:ext>
          </a:extLst>
        </xdr:cNvPr>
        <xdr:cNvCxnSpPr/>
      </xdr:nvCxnSpPr>
      <xdr:spPr>
        <a:xfrm flipV="1">
          <a:off x="10541000" y="2225569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1607</xdr:row>
      <xdr:rowOff>21167</xdr:rowOff>
    </xdr:from>
    <xdr:to>
      <xdr:col>15</xdr:col>
      <xdr:colOff>582083</xdr:colOff>
      <xdr:row>1608</xdr:row>
      <xdr:rowOff>42333</xdr:rowOff>
    </xdr:to>
    <xdr:cxnSp macro="">
      <xdr:nvCxnSpPr>
        <xdr:cNvPr id="2411" name="Straight Arrow Connector 2410">
          <a:extLst>
            <a:ext uri="{FF2B5EF4-FFF2-40B4-BE49-F238E27FC236}">
              <a16:creationId xmlns:a16="http://schemas.microsoft.com/office/drawing/2014/main" id="{00000000-0008-0000-1300-00006B090000}"/>
            </a:ext>
          </a:extLst>
        </xdr:cNvPr>
        <xdr:cNvCxnSpPr/>
      </xdr:nvCxnSpPr>
      <xdr:spPr>
        <a:xfrm>
          <a:off x="10551583" y="222906167"/>
          <a:ext cx="571500" cy="211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1607</xdr:row>
      <xdr:rowOff>21167</xdr:rowOff>
    </xdr:from>
    <xdr:to>
      <xdr:col>16</xdr:col>
      <xdr:colOff>42333</xdr:colOff>
      <xdr:row>1612</xdr:row>
      <xdr:rowOff>21168</xdr:rowOff>
    </xdr:to>
    <xdr:cxnSp macro="">
      <xdr:nvCxnSpPr>
        <xdr:cNvPr id="2412" name="Straight Arrow Connector 2411">
          <a:extLst>
            <a:ext uri="{FF2B5EF4-FFF2-40B4-BE49-F238E27FC236}">
              <a16:creationId xmlns:a16="http://schemas.microsoft.com/office/drawing/2014/main" id="{00000000-0008-0000-1300-00006C090000}"/>
            </a:ext>
          </a:extLst>
        </xdr:cNvPr>
        <xdr:cNvCxnSpPr/>
      </xdr:nvCxnSpPr>
      <xdr:spPr>
        <a:xfrm>
          <a:off x="10530417" y="222906167"/>
          <a:ext cx="656166" cy="9525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1607</xdr:row>
      <xdr:rowOff>31750</xdr:rowOff>
    </xdr:from>
    <xdr:to>
      <xdr:col>16</xdr:col>
      <xdr:colOff>42334</xdr:colOff>
      <xdr:row>1614</xdr:row>
      <xdr:rowOff>63501</xdr:rowOff>
    </xdr:to>
    <xdr:cxnSp macro="">
      <xdr:nvCxnSpPr>
        <xdr:cNvPr id="2413" name="Straight Arrow Connector 2412">
          <a:extLst>
            <a:ext uri="{FF2B5EF4-FFF2-40B4-BE49-F238E27FC236}">
              <a16:creationId xmlns:a16="http://schemas.microsoft.com/office/drawing/2014/main" id="{00000000-0008-0000-1300-00006D090000}"/>
            </a:ext>
          </a:extLst>
        </xdr:cNvPr>
        <xdr:cNvCxnSpPr/>
      </xdr:nvCxnSpPr>
      <xdr:spPr>
        <a:xfrm>
          <a:off x="10541000" y="222916750"/>
          <a:ext cx="645584"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10583</xdr:colOff>
      <xdr:row>1644</xdr:row>
      <xdr:rowOff>42333</xdr:rowOff>
    </xdr:from>
    <xdr:to>
      <xdr:col>9</xdr:col>
      <xdr:colOff>592666</xdr:colOff>
      <xdr:row>1652</xdr:row>
      <xdr:rowOff>42333</xdr:rowOff>
    </xdr:to>
    <xdr:cxnSp macro="">
      <xdr:nvCxnSpPr>
        <xdr:cNvPr id="2414" name="Straight Arrow Connector 2413">
          <a:extLst>
            <a:ext uri="{FF2B5EF4-FFF2-40B4-BE49-F238E27FC236}">
              <a16:creationId xmlns:a16="http://schemas.microsoft.com/office/drawing/2014/main" id="{00000000-0008-0000-1300-00006E090000}"/>
            </a:ext>
          </a:extLst>
        </xdr:cNvPr>
        <xdr:cNvCxnSpPr/>
      </xdr:nvCxnSpPr>
      <xdr:spPr>
        <a:xfrm flipV="1">
          <a:off x="6392333" y="230166333"/>
          <a:ext cx="582083" cy="152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1654</xdr:row>
      <xdr:rowOff>169334</xdr:rowOff>
    </xdr:from>
    <xdr:to>
      <xdr:col>9</xdr:col>
      <xdr:colOff>603250</xdr:colOff>
      <xdr:row>1663</xdr:row>
      <xdr:rowOff>31750</xdr:rowOff>
    </xdr:to>
    <xdr:cxnSp macro="">
      <xdr:nvCxnSpPr>
        <xdr:cNvPr id="2415" name="Straight Arrow Connector 2414">
          <a:extLst>
            <a:ext uri="{FF2B5EF4-FFF2-40B4-BE49-F238E27FC236}">
              <a16:creationId xmlns:a16="http://schemas.microsoft.com/office/drawing/2014/main" id="{00000000-0008-0000-1300-00006F090000}"/>
            </a:ext>
          </a:extLst>
        </xdr:cNvPr>
        <xdr:cNvCxnSpPr/>
      </xdr:nvCxnSpPr>
      <xdr:spPr>
        <a:xfrm>
          <a:off x="6413500" y="232198334"/>
          <a:ext cx="571500" cy="1576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571500</xdr:colOff>
      <xdr:row>1660</xdr:row>
      <xdr:rowOff>158750</xdr:rowOff>
    </xdr:from>
    <xdr:to>
      <xdr:col>11</xdr:col>
      <xdr:colOff>571500</xdr:colOff>
      <xdr:row>1663</xdr:row>
      <xdr:rowOff>0</xdr:rowOff>
    </xdr:to>
    <xdr:cxnSp macro="">
      <xdr:nvCxnSpPr>
        <xdr:cNvPr id="2416" name="Straight Arrow Connector 2415">
          <a:extLst>
            <a:ext uri="{FF2B5EF4-FFF2-40B4-BE49-F238E27FC236}">
              <a16:creationId xmlns:a16="http://schemas.microsoft.com/office/drawing/2014/main" id="{00000000-0008-0000-1300-000070090000}"/>
            </a:ext>
          </a:extLst>
        </xdr:cNvPr>
        <xdr:cNvCxnSpPr/>
      </xdr:nvCxnSpPr>
      <xdr:spPr>
        <a:xfrm flipV="1">
          <a:off x="7556500" y="233330750"/>
          <a:ext cx="603250" cy="412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1618</xdr:row>
      <xdr:rowOff>0</xdr:rowOff>
    </xdr:from>
    <xdr:to>
      <xdr:col>15</xdr:col>
      <xdr:colOff>603250</xdr:colOff>
      <xdr:row>1620</xdr:row>
      <xdr:rowOff>1</xdr:rowOff>
    </xdr:to>
    <xdr:cxnSp macro="">
      <xdr:nvCxnSpPr>
        <xdr:cNvPr id="2417" name="Straight Arrow Connector 2416">
          <a:extLst>
            <a:ext uri="{FF2B5EF4-FFF2-40B4-BE49-F238E27FC236}">
              <a16:creationId xmlns:a16="http://schemas.microsoft.com/office/drawing/2014/main" id="{00000000-0008-0000-1300-000071090000}"/>
            </a:ext>
          </a:extLst>
        </xdr:cNvPr>
        <xdr:cNvCxnSpPr/>
      </xdr:nvCxnSpPr>
      <xdr:spPr>
        <a:xfrm flipV="1">
          <a:off x="10530417" y="2251710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1620</xdr:row>
      <xdr:rowOff>10584</xdr:rowOff>
    </xdr:from>
    <xdr:to>
      <xdr:col>15</xdr:col>
      <xdr:colOff>592666</xdr:colOff>
      <xdr:row>1621</xdr:row>
      <xdr:rowOff>95250</xdr:rowOff>
    </xdr:to>
    <xdr:cxnSp macro="">
      <xdr:nvCxnSpPr>
        <xdr:cNvPr id="2418" name="Straight Arrow Connector 2417">
          <a:extLst>
            <a:ext uri="{FF2B5EF4-FFF2-40B4-BE49-F238E27FC236}">
              <a16:creationId xmlns:a16="http://schemas.microsoft.com/office/drawing/2014/main" id="{00000000-0008-0000-1300-000072090000}"/>
            </a:ext>
          </a:extLst>
        </xdr:cNvPr>
        <xdr:cNvCxnSpPr/>
      </xdr:nvCxnSpPr>
      <xdr:spPr>
        <a:xfrm>
          <a:off x="10572750" y="2255625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1620</xdr:row>
      <xdr:rowOff>10584</xdr:rowOff>
    </xdr:from>
    <xdr:to>
      <xdr:col>15</xdr:col>
      <xdr:colOff>560916</xdr:colOff>
      <xdr:row>1624</xdr:row>
      <xdr:rowOff>52917</xdr:rowOff>
    </xdr:to>
    <xdr:cxnSp macro="">
      <xdr:nvCxnSpPr>
        <xdr:cNvPr id="2419" name="Straight Arrow Connector 2418">
          <a:extLst>
            <a:ext uri="{FF2B5EF4-FFF2-40B4-BE49-F238E27FC236}">
              <a16:creationId xmlns:a16="http://schemas.microsoft.com/office/drawing/2014/main" id="{00000000-0008-0000-1300-000073090000}"/>
            </a:ext>
          </a:extLst>
        </xdr:cNvPr>
        <xdr:cNvCxnSpPr/>
      </xdr:nvCxnSpPr>
      <xdr:spPr>
        <a:xfrm>
          <a:off x="10551583" y="2255625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1620</xdr:row>
      <xdr:rowOff>31750</xdr:rowOff>
    </xdr:from>
    <xdr:to>
      <xdr:col>16</xdr:col>
      <xdr:colOff>21167</xdr:colOff>
      <xdr:row>1627</xdr:row>
      <xdr:rowOff>95250</xdr:rowOff>
    </xdr:to>
    <xdr:cxnSp macro="">
      <xdr:nvCxnSpPr>
        <xdr:cNvPr id="2420" name="Straight Arrow Connector 2419">
          <a:extLst>
            <a:ext uri="{FF2B5EF4-FFF2-40B4-BE49-F238E27FC236}">
              <a16:creationId xmlns:a16="http://schemas.microsoft.com/office/drawing/2014/main" id="{00000000-0008-0000-1300-000074090000}"/>
            </a:ext>
          </a:extLst>
        </xdr:cNvPr>
        <xdr:cNvCxnSpPr/>
      </xdr:nvCxnSpPr>
      <xdr:spPr>
        <a:xfrm>
          <a:off x="10583333" y="2255837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1634</xdr:row>
      <xdr:rowOff>0</xdr:rowOff>
    </xdr:from>
    <xdr:to>
      <xdr:col>16</xdr:col>
      <xdr:colOff>0</xdr:colOff>
      <xdr:row>1634</xdr:row>
      <xdr:rowOff>42334</xdr:rowOff>
    </xdr:to>
    <xdr:cxnSp macro="">
      <xdr:nvCxnSpPr>
        <xdr:cNvPr id="2421" name="Straight Arrow Connector 2420">
          <a:extLst>
            <a:ext uri="{FF2B5EF4-FFF2-40B4-BE49-F238E27FC236}">
              <a16:creationId xmlns:a16="http://schemas.microsoft.com/office/drawing/2014/main" id="{00000000-0008-0000-1300-000075090000}"/>
            </a:ext>
          </a:extLst>
        </xdr:cNvPr>
        <xdr:cNvCxnSpPr/>
      </xdr:nvCxnSpPr>
      <xdr:spPr>
        <a:xfrm>
          <a:off x="10562166" y="2282190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1634</xdr:row>
      <xdr:rowOff>21166</xdr:rowOff>
    </xdr:from>
    <xdr:to>
      <xdr:col>15</xdr:col>
      <xdr:colOff>560916</xdr:colOff>
      <xdr:row>1637</xdr:row>
      <xdr:rowOff>84667</xdr:rowOff>
    </xdr:to>
    <xdr:cxnSp macro="">
      <xdr:nvCxnSpPr>
        <xdr:cNvPr id="2422" name="Straight Arrow Connector 2421">
          <a:extLst>
            <a:ext uri="{FF2B5EF4-FFF2-40B4-BE49-F238E27FC236}">
              <a16:creationId xmlns:a16="http://schemas.microsoft.com/office/drawing/2014/main" id="{00000000-0008-0000-1300-000076090000}"/>
            </a:ext>
          </a:extLst>
        </xdr:cNvPr>
        <xdr:cNvCxnSpPr/>
      </xdr:nvCxnSpPr>
      <xdr:spPr>
        <a:xfrm>
          <a:off x="10615083" y="2282401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1634</xdr:row>
      <xdr:rowOff>52916</xdr:rowOff>
    </xdr:from>
    <xdr:to>
      <xdr:col>15</xdr:col>
      <xdr:colOff>592666</xdr:colOff>
      <xdr:row>1640</xdr:row>
      <xdr:rowOff>63501</xdr:rowOff>
    </xdr:to>
    <xdr:cxnSp macro="">
      <xdr:nvCxnSpPr>
        <xdr:cNvPr id="2423" name="Straight Arrow Connector 2422">
          <a:extLst>
            <a:ext uri="{FF2B5EF4-FFF2-40B4-BE49-F238E27FC236}">
              <a16:creationId xmlns:a16="http://schemas.microsoft.com/office/drawing/2014/main" id="{00000000-0008-0000-1300-000077090000}"/>
            </a:ext>
          </a:extLst>
        </xdr:cNvPr>
        <xdr:cNvCxnSpPr/>
      </xdr:nvCxnSpPr>
      <xdr:spPr>
        <a:xfrm>
          <a:off x="10572750" y="2282719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1648</xdr:row>
      <xdr:rowOff>116416</xdr:rowOff>
    </xdr:from>
    <xdr:to>
      <xdr:col>15</xdr:col>
      <xdr:colOff>592666</xdr:colOff>
      <xdr:row>1651</xdr:row>
      <xdr:rowOff>158750</xdr:rowOff>
    </xdr:to>
    <xdr:cxnSp macro="">
      <xdr:nvCxnSpPr>
        <xdr:cNvPr id="2424" name="Straight Arrow Connector 2423">
          <a:extLst>
            <a:ext uri="{FF2B5EF4-FFF2-40B4-BE49-F238E27FC236}">
              <a16:creationId xmlns:a16="http://schemas.microsoft.com/office/drawing/2014/main" id="{00000000-0008-0000-1300-000078090000}"/>
            </a:ext>
          </a:extLst>
        </xdr:cNvPr>
        <xdr:cNvCxnSpPr/>
      </xdr:nvCxnSpPr>
      <xdr:spPr>
        <a:xfrm flipV="1">
          <a:off x="10562166" y="231002416"/>
          <a:ext cx="571500" cy="613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1650</xdr:row>
      <xdr:rowOff>95250</xdr:rowOff>
    </xdr:from>
    <xdr:to>
      <xdr:col>15</xdr:col>
      <xdr:colOff>582083</xdr:colOff>
      <xdr:row>1652</xdr:row>
      <xdr:rowOff>52917</xdr:rowOff>
    </xdr:to>
    <xdr:cxnSp macro="">
      <xdr:nvCxnSpPr>
        <xdr:cNvPr id="2425" name="Straight Arrow Connector 2424">
          <a:extLst>
            <a:ext uri="{FF2B5EF4-FFF2-40B4-BE49-F238E27FC236}">
              <a16:creationId xmlns:a16="http://schemas.microsoft.com/office/drawing/2014/main" id="{00000000-0008-0000-1300-000079090000}"/>
            </a:ext>
          </a:extLst>
        </xdr:cNvPr>
        <xdr:cNvCxnSpPr/>
      </xdr:nvCxnSpPr>
      <xdr:spPr>
        <a:xfrm flipV="1">
          <a:off x="10604500" y="231362250"/>
          <a:ext cx="518583" cy="338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1652</xdr:row>
      <xdr:rowOff>116417</xdr:rowOff>
    </xdr:from>
    <xdr:to>
      <xdr:col>15</xdr:col>
      <xdr:colOff>592666</xdr:colOff>
      <xdr:row>1656</xdr:row>
      <xdr:rowOff>95250</xdr:rowOff>
    </xdr:to>
    <xdr:cxnSp macro="">
      <xdr:nvCxnSpPr>
        <xdr:cNvPr id="2426" name="Straight Arrow Connector 2425">
          <a:extLst>
            <a:ext uri="{FF2B5EF4-FFF2-40B4-BE49-F238E27FC236}">
              <a16:creationId xmlns:a16="http://schemas.microsoft.com/office/drawing/2014/main" id="{00000000-0008-0000-1300-00007A090000}"/>
            </a:ext>
          </a:extLst>
        </xdr:cNvPr>
        <xdr:cNvCxnSpPr/>
      </xdr:nvCxnSpPr>
      <xdr:spPr>
        <a:xfrm>
          <a:off x="10593916" y="231764417"/>
          <a:ext cx="53975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1663</xdr:row>
      <xdr:rowOff>116416</xdr:rowOff>
    </xdr:from>
    <xdr:to>
      <xdr:col>16</xdr:col>
      <xdr:colOff>0</xdr:colOff>
      <xdr:row>1670</xdr:row>
      <xdr:rowOff>74084</xdr:rowOff>
    </xdr:to>
    <xdr:cxnSp macro="">
      <xdr:nvCxnSpPr>
        <xdr:cNvPr id="2427" name="Straight Arrow Connector 2426">
          <a:extLst>
            <a:ext uri="{FF2B5EF4-FFF2-40B4-BE49-F238E27FC236}">
              <a16:creationId xmlns:a16="http://schemas.microsoft.com/office/drawing/2014/main" id="{00000000-0008-0000-1300-00007B090000}"/>
            </a:ext>
          </a:extLst>
        </xdr:cNvPr>
        <xdr:cNvCxnSpPr/>
      </xdr:nvCxnSpPr>
      <xdr:spPr>
        <a:xfrm>
          <a:off x="10572750" y="233859916"/>
          <a:ext cx="571500" cy="12911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1631</xdr:row>
      <xdr:rowOff>52917</xdr:rowOff>
    </xdr:from>
    <xdr:to>
      <xdr:col>15</xdr:col>
      <xdr:colOff>603250</xdr:colOff>
      <xdr:row>1633</xdr:row>
      <xdr:rowOff>148167</xdr:rowOff>
    </xdr:to>
    <xdr:cxnSp macro="">
      <xdr:nvCxnSpPr>
        <xdr:cNvPr id="2428" name="Straight Arrow Connector 2427">
          <a:extLst>
            <a:ext uri="{FF2B5EF4-FFF2-40B4-BE49-F238E27FC236}">
              <a16:creationId xmlns:a16="http://schemas.microsoft.com/office/drawing/2014/main" id="{00000000-0008-0000-1300-00007C090000}"/>
            </a:ext>
          </a:extLst>
        </xdr:cNvPr>
        <xdr:cNvCxnSpPr/>
      </xdr:nvCxnSpPr>
      <xdr:spPr>
        <a:xfrm flipV="1">
          <a:off x="10583333" y="2277004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1666</xdr:row>
      <xdr:rowOff>42333</xdr:rowOff>
    </xdr:from>
    <xdr:to>
      <xdr:col>11</xdr:col>
      <xdr:colOff>603250</xdr:colOff>
      <xdr:row>1678</xdr:row>
      <xdr:rowOff>10583</xdr:rowOff>
    </xdr:to>
    <xdr:cxnSp macro="">
      <xdr:nvCxnSpPr>
        <xdr:cNvPr id="2429" name="Straight Arrow Connector 2428">
          <a:extLst>
            <a:ext uri="{FF2B5EF4-FFF2-40B4-BE49-F238E27FC236}">
              <a16:creationId xmlns:a16="http://schemas.microsoft.com/office/drawing/2014/main" id="{00000000-0008-0000-1300-00007D090000}"/>
            </a:ext>
          </a:extLst>
        </xdr:cNvPr>
        <xdr:cNvCxnSpPr/>
      </xdr:nvCxnSpPr>
      <xdr:spPr>
        <a:xfrm>
          <a:off x="7598834" y="2343573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1656</xdr:row>
      <xdr:rowOff>21167</xdr:rowOff>
    </xdr:from>
    <xdr:to>
      <xdr:col>13</xdr:col>
      <xdr:colOff>592667</xdr:colOff>
      <xdr:row>1658</xdr:row>
      <xdr:rowOff>0</xdr:rowOff>
    </xdr:to>
    <xdr:cxnSp macro="">
      <xdr:nvCxnSpPr>
        <xdr:cNvPr id="2430" name="Straight Arrow Connector 2429">
          <a:extLst>
            <a:ext uri="{FF2B5EF4-FFF2-40B4-BE49-F238E27FC236}">
              <a16:creationId xmlns:a16="http://schemas.microsoft.com/office/drawing/2014/main" id="{00000000-0008-0000-1300-00007E090000}"/>
            </a:ext>
          </a:extLst>
        </xdr:cNvPr>
        <xdr:cNvCxnSpPr/>
      </xdr:nvCxnSpPr>
      <xdr:spPr>
        <a:xfrm flipV="1">
          <a:off x="8794750" y="2324311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1661</xdr:row>
      <xdr:rowOff>21166</xdr:rowOff>
    </xdr:from>
    <xdr:to>
      <xdr:col>13</xdr:col>
      <xdr:colOff>592667</xdr:colOff>
      <xdr:row>1662</xdr:row>
      <xdr:rowOff>169334</xdr:rowOff>
    </xdr:to>
    <xdr:cxnSp macro="">
      <xdr:nvCxnSpPr>
        <xdr:cNvPr id="2431" name="Straight Arrow Connector 2430">
          <a:extLst>
            <a:ext uri="{FF2B5EF4-FFF2-40B4-BE49-F238E27FC236}">
              <a16:creationId xmlns:a16="http://schemas.microsoft.com/office/drawing/2014/main" id="{00000000-0008-0000-1300-00007F090000}"/>
            </a:ext>
          </a:extLst>
        </xdr:cNvPr>
        <xdr:cNvCxnSpPr/>
      </xdr:nvCxnSpPr>
      <xdr:spPr>
        <a:xfrm>
          <a:off x="8784166" y="2333836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1676</xdr:row>
      <xdr:rowOff>21167</xdr:rowOff>
    </xdr:from>
    <xdr:to>
      <xdr:col>13</xdr:col>
      <xdr:colOff>592667</xdr:colOff>
      <xdr:row>1678</xdr:row>
      <xdr:rowOff>63500</xdr:rowOff>
    </xdr:to>
    <xdr:cxnSp macro="">
      <xdr:nvCxnSpPr>
        <xdr:cNvPr id="2432" name="Straight Arrow Connector 2431">
          <a:extLst>
            <a:ext uri="{FF2B5EF4-FFF2-40B4-BE49-F238E27FC236}">
              <a16:creationId xmlns:a16="http://schemas.microsoft.com/office/drawing/2014/main" id="{00000000-0008-0000-1300-000080090000}"/>
            </a:ext>
          </a:extLst>
        </xdr:cNvPr>
        <xdr:cNvCxnSpPr/>
      </xdr:nvCxnSpPr>
      <xdr:spPr>
        <a:xfrm flipV="1">
          <a:off x="8794750" y="2364316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1681</xdr:row>
      <xdr:rowOff>0</xdr:rowOff>
    </xdr:from>
    <xdr:to>
      <xdr:col>14</xdr:col>
      <xdr:colOff>10584</xdr:colOff>
      <xdr:row>1689</xdr:row>
      <xdr:rowOff>148167</xdr:rowOff>
    </xdr:to>
    <xdr:cxnSp macro="">
      <xdr:nvCxnSpPr>
        <xdr:cNvPr id="2433" name="Straight Arrow Connector 2432">
          <a:extLst>
            <a:ext uri="{FF2B5EF4-FFF2-40B4-BE49-F238E27FC236}">
              <a16:creationId xmlns:a16="http://schemas.microsoft.com/office/drawing/2014/main" id="{00000000-0008-0000-1300-000081090000}"/>
            </a:ext>
          </a:extLst>
        </xdr:cNvPr>
        <xdr:cNvCxnSpPr/>
      </xdr:nvCxnSpPr>
      <xdr:spPr>
        <a:xfrm>
          <a:off x="8805333" y="2373630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1652</xdr:row>
      <xdr:rowOff>95250</xdr:rowOff>
    </xdr:from>
    <xdr:to>
      <xdr:col>15</xdr:col>
      <xdr:colOff>582083</xdr:colOff>
      <xdr:row>1654</xdr:row>
      <xdr:rowOff>137583</xdr:rowOff>
    </xdr:to>
    <xdr:cxnSp macro="">
      <xdr:nvCxnSpPr>
        <xdr:cNvPr id="2434" name="Straight Arrow Connector 2433">
          <a:extLst>
            <a:ext uri="{FF2B5EF4-FFF2-40B4-BE49-F238E27FC236}">
              <a16:creationId xmlns:a16="http://schemas.microsoft.com/office/drawing/2014/main" id="{00000000-0008-0000-1300-000082090000}"/>
            </a:ext>
          </a:extLst>
        </xdr:cNvPr>
        <xdr:cNvCxnSpPr/>
      </xdr:nvCxnSpPr>
      <xdr:spPr>
        <a:xfrm>
          <a:off x="10593916" y="231743250"/>
          <a:ext cx="5291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1661</xdr:row>
      <xdr:rowOff>52916</xdr:rowOff>
    </xdr:from>
    <xdr:to>
      <xdr:col>16</xdr:col>
      <xdr:colOff>0</xdr:colOff>
      <xdr:row>1663</xdr:row>
      <xdr:rowOff>0</xdr:rowOff>
    </xdr:to>
    <xdr:cxnSp macro="">
      <xdr:nvCxnSpPr>
        <xdr:cNvPr id="2435" name="Straight Arrow Connector 2434">
          <a:extLst>
            <a:ext uri="{FF2B5EF4-FFF2-40B4-BE49-F238E27FC236}">
              <a16:creationId xmlns:a16="http://schemas.microsoft.com/office/drawing/2014/main" id="{00000000-0008-0000-1300-000083090000}"/>
            </a:ext>
          </a:extLst>
        </xdr:cNvPr>
        <xdr:cNvCxnSpPr/>
      </xdr:nvCxnSpPr>
      <xdr:spPr>
        <a:xfrm flipV="1">
          <a:off x="10541000" y="2334154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1663</xdr:row>
      <xdr:rowOff>21167</xdr:rowOff>
    </xdr:from>
    <xdr:to>
      <xdr:col>15</xdr:col>
      <xdr:colOff>592666</xdr:colOff>
      <xdr:row>1664</xdr:row>
      <xdr:rowOff>84667</xdr:rowOff>
    </xdr:to>
    <xdr:cxnSp macro="">
      <xdr:nvCxnSpPr>
        <xdr:cNvPr id="2436" name="Straight Arrow Connector 2435">
          <a:extLst>
            <a:ext uri="{FF2B5EF4-FFF2-40B4-BE49-F238E27FC236}">
              <a16:creationId xmlns:a16="http://schemas.microsoft.com/office/drawing/2014/main" id="{00000000-0008-0000-1300-000084090000}"/>
            </a:ext>
          </a:extLst>
        </xdr:cNvPr>
        <xdr:cNvCxnSpPr/>
      </xdr:nvCxnSpPr>
      <xdr:spPr>
        <a:xfrm>
          <a:off x="10530417" y="233764667"/>
          <a:ext cx="603249" cy="25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1663</xdr:row>
      <xdr:rowOff>0</xdr:rowOff>
    </xdr:from>
    <xdr:to>
      <xdr:col>16</xdr:col>
      <xdr:colOff>0</xdr:colOff>
      <xdr:row>1667</xdr:row>
      <xdr:rowOff>42334</xdr:rowOff>
    </xdr:to>
    <xdr:cxnSp macro="">
      <xdr:nvCxnSpPr>
        <xdr:cNvPr id="2437" name="Straight Arrow Connector 2436">
          <a:extLst>
            <a:ext uri="{FF2B5EF4-FFF2-40B4-BE49-F238E27FC236}">
              <a16:creationId xmlns:a16="http://schemas.microsoft.com/office/drawing/2014/main" id="{00000000-0008-0000-1300-000085090000}"/>
            </a:ext>
          </a:extLst>
        </xdr:cNvPr>
        <xdr:cNvCxnSpPr/>
      </xdr:nvCxnSpPr>
      <xdr:spPr>
        <a:xfrm>
          <a:off x="10530417" y="233743500"/>
          <a:ext cx="613833" cy="804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1674</xdr:row>
      <xdr:rowOff>0</xdr:rowOff>
    </xdr:from>
    <xdr:to>
      <xdr:col>15</xdr:col>
      <xdr:colOff>603250</xdr:colOff>
      <xdr:row>1676</xdr:row>
      <xdr:rowOff>1</xdr:rowOff>
    </xdr:to>
    <xdr:cxnSp macro="">
      <xdr:nvCxnSpPr>
        <xdr:cNvPr id="2438" name="Straight Arrow Connector 2437">
          <a:extLst>
            <a:ext uri="{FF2B5EF4-FFF2-40B4-BE49-F238E27FC236}">
              <a16:creationId xmlns:a16="http://schemas.microsoft.com/office/drawing/2014/main" id="{00000000-0008-0000-1300-000086090000}"/>
            </a:ext>
          </a:extLst>
        </xdr:cNvPr>
        <xdr:cNvCxnSpPr/>
      </xdr:nvCxnSpPr>
      <xdr:spPr>
        <a:xfrm flipV="1">
          <a:off x="10530417" y="2360295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1676</xdr:row>
      <xdr:rowOff>10584</xdr:rowOff>
    </xdr:from>
    <xdr:to>
      <xdr:col>15</xdr:col>
      <xdr:colOff>592666</xdr:colOff>
      <xdr:row>1677</xdr:row>
      <xdr:rowOff>95250</xdr:rowOff>
    </xdr:to>
    <xdr:cxnSp macro="">
      <xdr:nvCxnSpPr>
        <xdr:cNvPr id="2439" name="Straight Arrow Connector 2438">
          <a:extLst>
            <a:ext uri="{FF2B5EF4-FFF2-40B4-BE49-F238E27FC236}">
              <a16:creationId xmlns:a16="http://schemas.microsoft.com/office/drawing/2014/main" id="{00000000-0008-0000-1300-000087090000}"/>
            </a:ext>
          </a:extLst>
        </xdr:cNvPr>
        <xdr:cNvCxnSpPr/>
      </xdr:nvCxnSpPr>
      <xdr:spPr>
        <a:xfrm>
          <a:off x="10572750" y="2364210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1676</xdr:row>
      <xdr:rowOff>10584</xdr:rowOff>
    </xdr:from>
    <xdr:to>
      <xdr:col>15</xdr:col>
      <xdr:colOff>560916</xdr:colOff>
      <xdr:row>1680</xdr:row>
      <xdr:rowOff>52917</xdr:rowOff>
    </xdr:to>
    <xdr:cxnSp macro="">
      <xdr:nvCxnSpPr>
        <xdr:cNvPr id="2440" name="Straight Arrow Connector 2439">
          <a:extLst>
            <a:ext uri="{FF2B5EF4-FFF2-40B4-BE49-F238E27FC236}">
              <a16:creationId xmlns:a16="http://schemas.microsoft.com/office/drawing/2014/main" id="{00000000-0008-0000-1300-000088090000}"/>
            </a:ext>
          </a:extLst>
        </xdr:cNvPr>
        <xdr:cNvCxnSpPr/>
      </xdr:nvCxnSpPr>
      <xdr:spPr>
        <a:xfrm>
          <a:off x="10551583" y="2364210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2441" name="Straight Arrow Connector 2440">
          <a:extLst>
            <a:ext uri="{FF2B5EF4-FFF2-40B4-BE49-F238E27FC236}">
              <a16:creationId xmlns:a16="http://schemas.microsoft.com/office/drawing/2014/main" id="{00000000-0008-0000-1300-000089090000}"/>
            </a:ext>
          </a:extLst>
        </xdr:cNvPr>
        <xdr:cNvCxnSpPr/>
      </xdr:nvCxnSpPr>
      <xdr:spPr>
        <a:xfrm>
          <a:off x="10583333" y="2364422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1690</xdr:row>
      <xdr:rowOff>0</xdr:rowOff>
    </xdr:from>
    <xdr:to>
      <xdr:col>16</xdr:col>
      <xdr:colOff>0</xdr:colOff>
      <xdr:row>1690</xdr:row>
      <xdr:rowOff>42334</xdr:rowOff>
    </xdr:to>
    <xdr:cxnSp macro="">
      <xdr:nvCxnSpPr>
        <xdr:cNvPr id="2442" name="Straight Arrow Connector 2441">
          <a:extLst>
            <a:ext uri="{FF2B5EF4-FFF2-40B4-BE49-F238E27FC236}">
              <a16:creationId xmlns:a16="http://schemas.microsoft.com/office/drawing/2014/main" id="{00000000-0008-0000-1300-00008A090000}"/>
            </a:ext>
          </a:extLst>
        </xdr:cNvPr>
        <xdr:cNvCxnSpPr/>
      </xdr:nvCxnSpPr>
      <xdr:spPr>
        <a:xfrm>
          <a:off x="10562166" y="2390775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1690</xdr:row>
      <xdr:rowOff>21166</xdr:rowOff>
    </xdr:from>
    <xdr:to>
      <xdr:col>15</xdr:col>
      <xdr:colOff>560916</xdr:colOff>
      <xdr:row>1693</xdr:row>
      <xdr:rowOff>84667</xdr:rowOff>
    </xdr:to>
    <xdr:cxnSp macro="">
      <xdr:nvCxnSpPr>
        <xdr:cNvPr id="2443" name="Straight Arrow Connector 2442">
          <a:extLst>
            <a:ext uri="{FF2B5EF4-FFF2-40B4-BE49-F238E27FC236}">
              <a16:creationId xmlns:a16="http://schemas.microsoft.com/office/drawing/2014/main" id="{00000000-0008-0000-1300-00008B090000}"/>
            </a:ext>
          </a:extLst>
        </xdr:cNvPr>
        <xdr:cNvCxnSpPr/>
      </xdr:nvCxnSpPr>
      <xdr:spPr>
        <a:xfrm>
          <a:off x="10615083" y="2390986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1690</xdr:row>
      <xdr:rowOff>52916</xdr:rowOff>
    </xdr:from>
    <xdr:to>
      <xdr:col>15</xdr:col>
      <xdr:colOff>592666</xdr:colOff>
      <xdr:row>1696</xdr:row>
      <xdr:rowOff>63501</xdr:rowOff>
    </xdr:to>
    <xdr:cxnSp macro="">
      <xdr:nvCxnSpPr>
        <xdr:cNvPr id="2444" name="Straight Arrow Connector 2443">
          <a:extLst>
            <a:ext uri="{FF2B5EF4-FFF2-40B4-BE49-F238E27FC236}">
              <a16:creationId xmlns:a16="http://schemas.microsoft.com/office/drawing/2014/main" id="{00000000-0008-0000-1300-00008C090000}"/>
            </a:ext>
          </a:extLst>
        </xdr:cNvPr>
        <xdr:cNvCxnSpPr/>
      </xdr:nvCxnSpPr>
      <xdr:spPr>
        <a:xfrm>
          <a:off x="10572750" y="2391304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1687</xdr:row>
      <xdr:rowOff>52917</xdr:rowOff>
    </xdr:from>
    <xdr:to>
      <xdr:col>15</xdr:col>
      <xdr:colOff>603250</xdr:colOff>
      <xdr:row>1689</xdr:row>
      <xdr:rowOff>148167</xdr:rowOff>
    </xdr:to>
    <xdr:cxnSp macro="">
      <xdr:nvCxnSpPr>
        <xdr:cNvPr id="2445" name="Straight Arrow Connector 2444">
          <a:extLst>
            <a:ext uri="{FF2B5EF4-FFF2-40B4-BE49-F238E27FC236}">
              <a16:creationId xmlns:a16="http://schemas.microsoft.com/office/drawing/2014/main" id="{00000000-0008-0000-1300-00008D090000}"/>
            </a:ext>
          </a:extLst>
        </xdr:cNvPr>
        <xdr:cNvCxnSpPr/>
      </xdr:nvCxnSpPr>
      <xdr:spPr>
        <a:xfrm flipV="1">
          <a:off x="10583333" y="2385589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698500</xdr:colOff>
      <xdr:row>1731</xdr:row>
      <xdr:rowOff>95250</xdr:rowOff>
    </xdr:from>
    <xdr:to>
      <xdr:col>8</xdr:col>
      <xdr:colOff>21167</xdr:colOff>
      <xdr:row>1763</xdr:row>
      <xdr:rowOff>148166</xdr:rowOff>
    </xdr:to>
    <xdr:cxnSp macro="">
      <xdr:nvCxnSpPr>
        <xdr:cNvPr id="2446" name="Straight Arrow Connector 2445">
          <a:extLst>
            <a:ext uri="{FF2B5EF4-FFF2-40B4-BE49-F238E27FC236}">
              <a16:creationId xmlns:a16="http://schemas.microsoft.com/office/drawing/2014/main" id="{00000000-0008-0000-1300-00008E090000}"/>
            </a:ext>
          </a:extLst>
        </xdr:cNvPr>
        <xdr:cNvCxnSpPr/>
      </xdr:nvCxnSpPr>
      <xdr:spPr>
        <a:xfrm>
          <a:off x="5080000" y="247173750"/>
          <a:ext cx="719667" cy="6148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1702</xdr:row>
      <xdr:rowOff>137583</xdr:rowOff>
    </xdr:from>
    <xdr:to>
      <xdr:col>9</xdr:col>
      <xdr:colOff>603250</xdr:colOff>
      <xdr:row>1708</xdr:row>
      <xdr:rowOff>21166</xdr:rowOff>
    </xdr:to>
    <xdr:cxnSp macro="">
      <xdr:nvCxnSpPr>
        <xdr:cNvPr id="2447" name="Straight Arrow Connector 2446">
          <a:extLst>
            <a:ext uri="{FF2B5EF4-FFF2-40B4-BE49-F238E27FC236}">
              <a16:creationId xmlns:a16="http://schemas.microsoft.com/office/drawing/2014/main" id="{00000000-0008-0000-1300-00008F090000}"/>
            </a:ext>
          </a:extLst>
        </xdr:cNvPr>
        <xdr:cNvCxnSpPr/>
      </xdr:nvCxnSpPr>
      <xdr:spPr>
        <a:xfrm flipV="1">
          <a:off x="6381750" y="241501083"/>
          <a:ext cx="603250" cy="1026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1711</xdr:row>
      <xdr:rowOff>0</xdr:rowOff>
    </xdr:from>
    <xdr:to>
      <xdr:col>9</xdr:col>
      <xdr:colOff>582083</xdr:colOff>
      <xdr:row>1719</xdr:row>
      <xdr:rowOff>10583</xdr:rowOff>
    </xdr:to>
    <xdr:cxnSp macro="">
      <xdr:nvCxnSpPr>
        <xdr:cNvPr id="2448" name="Straight Arrow Connector 2447">
          <a:extLst>
            <a:ext uri="{FF2B5EF4-FFF2-40B4-BE49-F238E27FC236}">
              <a16:creationId xmlns:a16="http://schemas.microsoft.com/office/drawing/2014/main" id="{00000000-0008-0000-1300-000090090000}"/>
            </a:ext>
          </a:extLst>
        </xdr:cNvPr>
        <xdr:cNvCxnSpPr/>
      </xdr:nvCxnSpPr>
      <xdr:spPr>
        <a:xfrm>
          <a:off x="6413500" y="243078000"/>
          <a:ext cx="550333" cy="1534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21167</xdr:colOff>
      <xdr:row>1716</xdr:row>
      <xdr:rowOff>169333</xdr:rowOff>
    </xdr:from>
    <xdr:to>
      <xdr:col>11</xdr:col>
      <xdr:colOff>603250</xdr:colOff>
      <xdr:row>1719</xdr:row>
      <xdr:rowOff>21167</xdr:rowOff>
    </xdr:to>
    <xdr:cxnSp macro="">
      <xdr:nvCxnSpPr>
        <xdr:cNvPr id="2449" name="Straight Arrow Connector 2448">
          <a:extLst>
            <a:ext uri="{FF2B5EF4-FFF2-40B4-BE49-F238E27FC236}">
              <a16:creationId xmlns:a16="http://schemas.microsoft.com/office/drawing/2014/main" id="{00000000-0008-0000-1300-000091090000}"/>
            </a:ext>
          </a:extLst>
        </xdr:cNvPr>
        <xdr:cNvCxnSpPr/>
      </xdr:nvCxnSpPr>
      <xdr:spPr>
        <a:xfrm flipV="1">
          <a:off x="7609417" y="244199833"/>
          <a:ext cx="582083" cy="423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1722</xdr:row>
      <xdr:rowOff>42333</xdr:rowOff>
    </xdr:from>
    <xdr:to>
      <xdr:col>11</xdr:col>
      <xdr:colOff>603250</xdr:colOff>
      <xdr:row>1734</xdr:row>
      <xdr:rowOff>10583</xdr:rowOff>
    </xdr:to>
    <xdr:cxnSp macro="">
      <xdr:nvCxnSpPr>
        <xdr:cNvPr id="2450" name="Straight Arrow Connector 2449">
          <a:extLst>
            <a:ext uri="{FF2B5EF4-FFF2-40B4-BE49-F238E27FC236}">
              <a16:creationId xmlns:a16="http://schemas.microsoft.com/office/drawing/2014/main" id="{00000000-0008-0000-1300-000092090000}"/>
            </a:ext>
          </a:extLst>
        </xdr:cNvPr>
        <xdr:cNvCxnSpPr/>
      </xdr:nvCxnSpPr>
      <xdr:spPr>
        <a:xfrm>
          <a:off x="7598834" y="2452158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1712</xdr:row>
      <xdr:rowOff>21167</xdr:rowOff>
    </xdr:from>
    <xdr:to>
      <xdr:col>13</xdr:col>
      <xdr:colOff>592667</xdr:colOff>
      <xdr:row>1714</xdr:row>
      <xdr:rowOff>0</xdr:rowOff>
    </xdr:to>
    <xdr:cxnSp macro="">
      <xdr:nvCxnSpPr>
        <xdr:cNvPr id="2451" name="Straight Arrow Connector 2450">
          <a:extLst>
            <a:ext uri="{FF2B5EF4-FFF2-40B4-BE49-F238E27FC236}">
              <a16:creationId xmlns:a16="http://schemas.microsoft.com/office/drawing/2014/main" id="{00000000-0008-0000-1300-000093090000}"/>
            </a:ext>
          </a:extLst>
        </xdr:cNvPr>
        <xdr:cNvCxnSpPr/>
      </xdr:nvCxnSpPr>
      <xdr:spPr>
        <a:xfrm flipV="1">
          <a:off x="8794750" y="2432896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1717</xdr:row>
      <xdr:rowOff>21166</xdr:rowOff>
    </xdr:from>
    <xdr:to>
      <xdr:col>13</xdr:col>
      <xdr:colOff>592667</xdr:colOff>
      <xdr:row>1718</xdr:row>
      <xdr:rowOff>169334</xdr:rowOff>
    </xdr:to>
    <xdr:cxnSp macro="">
      <xdr:nvCxnSpPr>
        <xdr:cNvPr id="2452" name="Straight Arrow Connector 2451">
          <a:extLst>
            <a:ext uri="{FF2B5EF4-FFF2-40B4-BE49-F238E27FC236}">
              <a16:creationId xmlns:a16="http://schemas.microsoft.com/office/drawing/2014/main" id="{00000000-0008-0000-1300-000094090000}"/>
            </a:ext>
          </a:extLst>
        </xdr:cNvPr>
        <xdr:cNvCxnSpPr/>
      </xdr:nvCxnSpPr>
      <xdr:spPr>
        <a:xfrm>
          <a:off x="8784166" y="2442421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1732</xdr:row>
      <xdr:rowOff>21167</xdr:rowOff>
    </xdr:from>
    <xdr:to>
      <xdr:col>13</xdr:col>
      <xdr:colOff>592667</xdr:colOff>
      <xdr:row>1734</xdr:row>
      <xdr:rowOff>63500</xdr:rowOff>
    </xdr:to>
    <xdr:cxnSp macro="">
      <xdr:nvCxnSpPr>
        <xdr:cNvPr id="2453" name="Straight Arrow Connector 2452">
          <a:extLst>
            <a:ext uri="{FF2B5EF4-FFF2-40B4-BE49-F238E27FC236}">
              <a16:creationId xmlns:a16="http://schemas.microsoft.com/office/drawing/2014/main" id="{00000000-0008-0000-1300-000095090000}"/>
            </a:ext>
          </a:extLst>
        </xdr:cNvPr>
        <xdr:cNvCxnSpPr/>
      </xdr:nvCxnSpPr>
      <xdr:spPr>
        <a:xfrm flipV="1">
          <a:off x="8794750" y="2472901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1737</xdr:row>
      <xdr:rowOff>0</xdr:rowOff>
    </xdr:from>
    <xdr:to>
      <xdr:col>14</xdr:col>
      <xdr:colOff>10584</xdr:colOff>
      <xdr:row>1745</xdr:row>
      <xdr:rowOff>148167</xdr:rowOff>
    </xdr:to>
    <xdr:cxnSp macro="">
      <xdr:nvCxnSpPr>
        <xdr:cNvPr id="2454" name="Straight Arrow Connector 2453">
          <a:extLst>
            <a:ext uri="{FF2B5EF4-FFF2-40B4-BE49-F238E27FC236}">
              <a16:creationId xmlns:a16="http://schemas.microsoft.com/office/drawing/2014/main" id="{00000000-0008-0000-1300-000096090000}"/>
            </a:ext>
          </a:extLst>
        </xdr:cNvPr>
        <xdr:cNvCxnSpPr/>
      </xdr:nvCxnSpPr>
      <xdr:spPr>
        <a:xfrm>
          <a:off x="8805333" y="2482215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1704</xdr:row>
      <xdr:rowOff>0</xdr:rowOff>
    </xdr:from>
    <xdr:to>
      <xdr:col>15</xdr:col>
      <xdr:colOff>603250</xdr:colOff>
      <xdr:row>1709</xdr:row>
      <xdr:rowOff>31750</xdr:rowOff>
    </xdr:to>
    <xdr:cxnSp macro="">
      <xdr:nvCxnSpPr>
        <xdr:cNvPr id="2455" name="Straight Arrow Connector 2454">
          <a:extLst>
            <a:ext uri="{FF2B5EF4-FFF2-40B4-BE49-F238E27FC236}">
              <a16:creationId xmlns:a16="http://schemas.microsoft.com/office/drawing/2014/main" id="{00000000-0008-0000-1300-000097090000}"/>
            </a:ext>
          </a:extLst>
        </xdr:cNvPr>
        <xdr:cNvCxnSpPr/>
      </xdr:nvCxnSpPr>
      <xdr:spPr>
        <a:xfrm flipV="1">
          <a:off x="10541000" y="241744500"/>
          <a:ext cx="603250" cy="984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1707</xdr:row>
      <xdr:rowOff>52917</xdr:rowOff>
    </xdr:from>
    <xdr:to>
      <xdr:col>15</xdr:col>
      <xdr:colOff>603250</xdr:colOff>
      <xdr:row>1709</xdr:row>
      <xdr:rowOff>95250</xdr:rowOff>
    </xdr:to>
    <xdr:cxnSp macro="">
      <xdr:nvCxnSpPr>
        <xdr:cNvPr id="2456" name="Straight Arrow Connector 2455">
          <a:extLst>
            <a:ext uri="{FF2B5EF4-FFF2-40B4-BE49-F238E27FC236}">
              <a16:creationId xmlns:a16="http://schemas.microsoft.com/office/drawing/2014/main" id="{00000000-0008-0000-1300-000098090000}"/>
            </a:ext>
          </a:extLst>
        </xdr:cNvPr>
        <xdr:cNvCxnSpPr/>
      </xdr:nvCxnSpPr>
      <xdr:spPr>
        <a:xfrm flipV="1">
          <a:off x="10583333" y="242368917"/>
          <a:ext cx="56091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1709</xdr:row>
      <xdr:rowOff>158750</xdr:rowOff>
    </xdr:from>
    <xdr:to>
      <xdr:col>15</xdr:col>
      <xdr:colOff>582083</xdr:colOff>
      <xdr:row>1710</xdr:row>
      <xdr:rowOff>137583</xdr:rowOff>
    </xdr:to>
    <xdr:cxnSp macro="">
      <xdr:nvCxnSpPr>
        <xdr:cNvPr id="2457" name="Straight Arrow Connector 2456">
          <a:extLst>
            <a:ext uri="{FF2B5EF4-FFF2-40B4-BE49-F238E27FC236}">
              <a16:creationId xmlns:a16="http://schemas.microsoft.com/office/drawing/2014/main" id="{00000000-0008-0000-1300-000099090000}"/>
            </a:ext>
          </a:extLst>
        </xdr:cNvPr>
        <xdr:cNvCxnSpPr/>
      </xdr:nvCxnSpPr>
      <xdr:spPr>
        <a:xfrm>
          <a:off x="10604500" y="242855750"/>
          <a:ext cx="518583" cy="169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1121834</xdr:colOff>
      <xdr:row>1709</xdr:row>
      <xdr:rowOff>105834</xdr:rowOff>
    </xdr:from>
    <xdr:to>
      <xdr:col>16</xdr:col>
      <xdr:colOff>0</xdr:colOff>
      <xdr:row>1713</xdr:row>
      <xdr:rowOff>84667</xdr:rowOff>
    </xdr:to>
    <xdr:cxnSp macro="">
      <xdr:nvCxnSpPr>
        <xdr:cNvPr id="2458" name="Straight Arrow Connector 2457">
          <a:extLst>
            <a:ext uri="{FF2B5EF4-FFF2-40B4-BE49-F238E27FC236}">
              <a16:creationId xmlns:a16="http://schemas.microsoft.com/office/drawing/2014/main" id="{00000000-0008-0000-1300-00009A090000}"/>
            </a:ext>
          </a:extLst>
        </xdr:cNvPr>
        <xdr:cNvCxnSpPr/>
      </xdr:nvCxnSpPr>
      <xdr:spPr>
        <a:xfrm>
          <a:off x="10519834" y="242802834"/>
          <a:ext cx="624416"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1717</xdr:row>
      <xdr:rowOff>52916</xdr:rowOff>
    </xdr:from>
    <xdr:to>
      <xdr:col>16</xdr:col>
      <xdr:colOff>0</xdr:colOff>
      <xdr:row>1719</xdr:row>
      <xdr:rowOff>0</xdr:rowOff>
    </xdr:to>
    <xdr:cxnSp macro="">
      <xdr:nvCxnSpPr>
        <xdr:cNvPr id="2459" name="Straight Arrow Connector 2458">
          <a:extLst>
            <a:ext uri="{FF2B5EF4-FFF2-40B4-BE49-F238E27FC236}">
              <a16:creationId xmlns:a16="http://schemas.microsoft.com/office/drawing/2014/main" id="{00000000-0008-0000-1300-00009B090000}"/>
            </a:ext>
          </a:extLst>
        </xdr:cNvPr>
        <xdr:cNvCxnSpPr/>
      </xdr:nvCxnSpPr>
      <xdr:spPr>
        <a:xfrm flipV="1">
          <a:off x="10541000" y="2442739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1719</xdr:row>
      <xdr:rowOff>21167</xdr:rowOff>
    </xdr:from>
    <xdr:to>
      <xdr:col>15</xdr:col>
      <xdr:colOff>582083</xdr:colOff>
      <xdr:row>1720</xdr:row>
      <xdr:rowOff>42333</xdr:rowOff>
    </xdr:to>
    <xdr:cxnSp macro="">
      <xdr:nvCxnSpPr>
        <xdr:cNvPr id="2460" name="Straight Arrow Connector 2459">
          <a:extLst>
            <a:ext uri="{FF2B5EF4-FFF2-40B4-BE49-F238E27FC236}">
              <a16:creationId xmlns:a16="http://schemas.microsoft.com/office/drawing/2014/main" id="{00000000-0008-0000-1300-00009C090000}"/>
            </a:ext>
          </a:extLst>
        </xdr:cNvPr>
        <xdr:cNvCxnSpPr/>
      </xdr:nvCxnSpPr>
      <xdr:spPr>
        <a:xfrm>
          <a:off x="10551583" y="244623167"/>
          <a:ext cx="571500" cy="211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1719</xdr:row>
      <xdr:rowOff>21167</xdr:rowOff>
    </xdr:from>
    <xdr:to>
      <xdr:col>16</xdr:col>
      <xdr:colOff>42333</xdr:colOff>
      <xdr:row>1724</xdr:row>
      <xdr:rowOff>21168</xdr:rowOff>
    </xdr:to>
    <xdr:cxnSp macro="">
      <xdr:nvCxnSpPr>
        <xdr:cNvPr id="2461" name="Straight Arrow Connector 2460">
          <a:extLst>
            <a:ext uri="{FF2B5EF4-FFF2-40B4-BE49-F238E27FC236}">
              <a16:creationId xmlns:a16="http://schemas.microsoft.com/office/drawing/2014/main" id="{00000000-0008-0000-1300-00009D090000}"/>
            </a:ext>
          </a:extLst>
        </xdr:cNvPr>
        <xdr:cNvCxnSpPr/>
      </xdr:nvCxnSpPr>
      <xdr:spPr>
        <a:xfrm>
          <a:off x="10530417" y="244623167"/>
          <a:ext cx="656166" cy="9525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1719</xdr:row>
      <xdr:rowOff>31750</xdr:rowOff>
    </xdr:from>
    <xdr:to>
      <xdr:col>16</xdr:col>
      <xdr:colOff>42334</xdr:colOff>
      <xdr:row>1726</xdr:row>
      <xdr:rowOff>63501</xdr:rowOff>
    </xdr:to>
    <xdr:cxnSp macro="">
      <xdr:nvCxnSpPr>
        <xdr:cNvPr id="2462" name="Straight Arrow Connector 2461">
          <a:extLst>
            <a:ext uri="{FF2B5EF4-FFF2-40B4-BE49-F238E27FC236}">
              <a16:creationId xmlns:a16="http://schemas.microsoft.com/office/drawing/2014/main" id="{00000000-0008-0000-1300-00009E090000}"/>
            </a:ext>
          </a:extLst>
        </xdr:cNvPr>
        <xdr:cNvCxnSpPr/>
      </xdr:nvCxnSpPr>
      <xdr:spPr>
        <a:xfrm>
          <a:off x="10541000" y="244633750"/>
          <a:ext cx="645584"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10583</xdr:colOff>
      <xdr:row>1756</xdr:row>
      <xdr:rowOff>42333</xdr:rowOff>
    </xdr:from>
    <xdr:to>
      <xdr:col>9</xdr:col>
      <xdr:colOff>592666</xdr:colOff>
      <xdr:row>1764</xdr:row>
      <xdr:rowOff>42333</xdr:rowOff>
    </xdr:to>
    <xdr:cxnSp macro="">
      <xdr:nvCxnSpPr>
        <xdr:cNvPr id="2463" name="Straight Arrow Connector 2462">
          <a:extLst>
            <a:ext uri="{FF2B5EF4-FFF2-40B4-BE49-F238E27FC236}">
              <a16:creationId xmlns:a16="http://schemas.microsoft.com/office/drawing/2014/main" id="{00000000-0008-0000-1300-00009F090000}"/>
            </a:ext>
          </a:extLst>
        </xdr:cNvPr>
        <xdr:cNvCxnSpPr/>
      </xdr:nvCxnSpPr>
      <xdr:spPr>
        <a:xfrm flipV="1">
          <a:off x="6392333" y="251883333"/>
          <a:ext cx="582083" cy="152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1766</xdr:row>
      <xdr:rowOff>169334</xdr:rowOff>
    </xdr:from>
    <xdr:to>
      <xdr:col>9</xdr:col>
      <xdr:colOff>603250</xdr:colOff>
      <xdr:row>1775</xdr:row>
      <xdr:rowOff>31750</xdr:rowOff>
    </xdr:to>
    <xdr:cxnSp macro="">
      <xdr:nvCxnSpPr>
        <xdr:cNvPr id="2464" name="Straight Arrow Connector 2463">
          <a:extLst>
            <a:ext uri="{FF2B5EF4-FFF2-40B4-BE49-F238E27FC236}">
              <a16:creationId xmlns:a16="http://schemas.microsoft.com/office/drawing/2014/main" id="{00000000-0008-0000-1300-0000A0090000}"/>
            </a:ext>
          </a:extLst>
        </xdr:cNvPr>
        <xdr:cNvCxnSpPr/>
      </xdr:nvCxnSpPr>
      <xdr:spPr>
        <a:xfrm>
          <a:off x="6413500" y="253915334"/>
          <a:ext cx="571500" cy="1576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571500</xdr:colOff>
      <xdr:row>1772</xdr:row>
      <xdr:rowOff>158750</xdr:rowOff>
    </xdr:from>
    <xdr:to>
      <xdr:col>11</xdr:col>
      <xdr:colOff>571500</xdr:colOff>
      <xdr:row>1775</xdr:row>
      <xdr:rowOff>0</xdr:rowOff>
    </xdr:to>
    <xdr:cxnSp macro="">
      <xdr:nvCxnSpPr>
        <xdr:cNvPr id="2465" name="Straight Arrow Connector 2464">
          <a:extLst>
            <a:ext uri="{FF2B5EF4-FFF2-40B4-BE49-F238E27FC236}">
              <a16:creationId xmlns:a16="http://schemas.microsoft.com/office/drawing/2014/main" id="{00000000-0008-0000-1300-0000A1090000}"/>
            </a:ext>
          </a:extLst>
        </xdr:cNvPr>
        <xdr:cNvCxnSpPr/>
      </xdr:nvCxnSpPr>
      <xdr:spPr>
        <a:xfrm flipV="1">
          <a:off x="7556500" y="255047750"/>
          <a:ext cx="603250" cy="412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1730</xdr:row>
      <xdr:rowOff>0</xdr:rowOff>
    </xdr:from>
    <xdr:to>
      <xdr:col>15</xdr:col>
      <xdr:colOff>603250</xdr:colOff>
      <xdr:row>1732</xdr:row>
      <xdr:rowOff>1</xdr:rowOff>
    </xdr:to>
    <xdr:cxnSp macro="">
      <xdr:nvCxnSpPr>
        <xdr:cNvPr id="2466" name="Straight Arrow Connector 2465">
          <a:extLst>
            <a:ext uri="{FF2B5EF4-FFF2-40B4-BE49-F238E27FC236}">
              <a16:creationId xmlns:a16="http://schemas.microsoft.com/office/drawing/2014/main" id="{00000000-0008-0000-1300-0000A2090000}"/>
            </a:ext>
          </a:extLst>
        </xdr:cNvPr>
        <xdr:cNvCxnSpPr/>
      </xdr:nvCxnSpPr>
      <xdr:spPr>
        <a:xfrm flipV="1">
          <a:off x="10530417" y="2468880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1732</xdr:row>
      <xdr:rowOff>10584</xdr:rowOff>
    </xdr:from>
    <xdr:to>
      <xdr:col>15</xdr:col>
      <xdr:colOff>592666</xdr:colOff>
      <xdr:row>1733</xdr:row>
      <xdr:rowOff>95250</xdr:rowOff>
    </xdr:to>
    <xdr:cxnSp macro="">
      <xdr:nvCxnSpPr>
        <xdr:cNvPr id="2467" name="Straight Arrow Connector 2466">
          <a:extLst>
            <a:ext uri="{FF2B5EF4-FFF2-40B4-BE49-F238E27FC236}">
              <a16:creationId xmlns:a16="http://schemas.microsoft.com/office/drawing/2014/main" id="{00000000-0008-0000-1300-0000A3090000}"/>
            </a:ext>
          </a:extLst>
        </xdr:cNvPr>
        <xdr:cNvCxnSpPr/>
      </xdr:nvCxnSpPr>
      <xdr:spPr>
        <a:xfrm>
          <a:off x="10572750" y="2472795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1732</xdr:row>
      <xdr:rowOff>10584</xdr:rowOff>
    </xdr:from>
    <xdr:to>
      <xdr:col>15</xdr:col>
      <xdr:colOff>560916</xdr:colOff>
      <xdr:row>1736</xdr:row>
      <xdr:rowOff>52917</xdr:rowOff>
    </xdr:to>
    <xdr:cxnSp macro="">
      <xdr:nvCxnSpPr>
        <xdr:cNvPr id="2468" name="Straight Arrow Connector 2467">
          <a:extLst>
            <a:ext uri="{FF2B5EF4-FFF2-40B4-BE49-F238E27FC236}">
              <a16:creationId xmlns:a16="http://schemas.microsoft.com/office/drawing/2014/main" id="{00000000-0008-0000-1300-0000A4090000}"/>
            </a:ext>
          </a:extLst>
        </xdr:cNvPr>
        <xdr:cNvCxnSpPr/>
      </xdr:nvCxnSpPr>
      <xdr:spPr>
        <a:xfrm>
          <a:off x="10551583" y="2472795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2469" name="Straight Arrow Connector 2468">
          <a:extLst>
            <a:ext uri="{FF2B5EF4-FFF2-40B4-BE49-F238E27FC236}">
              <a16:creationId xmlns:a16="http://schemas.microsoft.com/office/drawing/2014/main" id="{00000000-0008-0000-1300-0000A5090000}"/>
            </a:ext>
          </a:extLst>
        </xdr:cNvPr>
        <xdr:cNvCxnSpPr/>
      </xdr:nvCxnSpPr>
      <xdr:spPr>
        <a:xfrm>
          <a:off x="10583333" y="2473007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1746</xdr:row>
      <xdr:rowOff>0</xdr:rowOff>
    </xdr:from>
    <xdr:to>
      <xdr:col>16</xdr:col>
      <xdr:colOff>0</xdr:colOff>
      <xdr:row>1746</xdr:row>
      <xdr:rowOff>42334</xdr:rowOff>
    </xdr:to>
    <xdr:cxnSp macro="">
      <xdr:nvCxnSpPr>
        <xdr:cNvPr id="2470" name="Straight Arrow Connector 2469">
          <a:extLst>
            <a:ext uri="{FF2B5EF4-FFF2-40B4-BE49-F238E27FC236}">
              <a16:creationId xmlns:a16="http://schemas.microsoft.com/office/drawing/2014/main" id="{00000000-0008-0000-1300-0000A6090000}"/>
            </a:ext>
          </a:extLst>
        </xdr:cNvPr>
        <xdr:cNvCxnSpPr/>
      </xdr:nvCxnSpPr>
      <xdr:spPr>
        <a:xfrm>
          <a:off x="10562166" y="2499360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1746</xdr:row>
      <xdr:rowOff>21166</xdr:rowOff>
    </xdr:from>
    <xdr:to>
      <xdr:col>15</xdr:col>
      <xdr:colOff>560916</xdr:colOff>
      <xdr:row>1749</xdr:row>
      <xdr:rowOff>84667</xdr:rowOff>
    </xdr:to>
    <xdr:cxnSp macro="">
      <xdr:nvCxnSpPr>
        <xdr:cNvPr id="2471" name="Straight Arrow Connector 2470">
          <a:extLst>
            <a:ext uri="{FF2B5EF4-FFF2-40B4-BE49-F238E27FC236}">
              <a16:creationId xmlns:a16="http://schemas.microsoft.com/office/drawing/2014/main" id="{00000000-0008-0000-1300-0000A7090000}"/>
            </a:ext>
          </a:extLst>
        </xdr:cNvPr>
        <xdr:cNvCxnSpPr/>
      </xdr:nvCxnSpPr>
      <xdr:spPr>
        <a:xfrm>
          <a:off x="10615083" y="2499571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1746</xdr:row>
      <xdr:rowOff>52916</xdr:rowOff>
    </xdr:from>
    <xdr:to>
      <xdr:col>15</xdr:col>
      <xdr:colOff>592666</xdr:colOff>
      <xdr:row>1752</xdr:row>
      <xdr:rowOff>63501</xdr:rowOff>
    </xdr:to>
    <xdr:cxnSp macro="">
      <xdr:nvCxnSpPr>
        <xdr:cNvPr id="2472" name="Straight Arrow Connector 2471">
          <a:extLst>
            <a:ext uri="{FF2B5EF4-FFF2-40B4-BE49-F238E27FC236}">
              <a16:creationId xmlns:a16="http://schemas.microsoft.com/office/drawing/2014/main" id="{00000000-0008-0000-1300-0000A8090000}"/>
            </a:ext>
          </a:extLst>
        </xdr:cNvPr>
        <xdr:cNvCxnSpPr/>
      </xdr:nvCxnSpPr>
      <xdr:spPr>
        <a:xfrm>
          <a:off x="10572750" y="2499889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1760</xdr:row>
      <xdr:rowOff>116416</xdr:rowOff>
    </xdr:from>
    <xdr:to>
      <xdr:col>15</xdr:col>
      <xdr:colOff>592666</xdr:colOff>
      <xdr:row>1763</xdr:row>
      <xdr:rowOff>158750</xdr:rowOff>
    </xdr:to>
    <xdr:cxnSp macro="">
      <xdr:nvCxnSpPr>
        <xdr:cNvPr id="2473" name="Straight Arrow Connector 2472">
          <a:extLst>
            <a:ext uri="{FF2B5EF4-FFF2-40B4-BE49-F238E27FC236}">
              <a16:creationId xmlns:a16="http://schemas.microsoft.com/office/drawing/2014/main" id="{00000000-0008-0000-1300-0000A9090000}"/>
            </a:ext>
          </a:extLst>
        </xdr:cNvPr>
        <xdr:cNvCxnSpPr/>
      </xdr:nvCxnSpPr>
      <xdr:spPr>
        <a:xfrm flipV="1">
          <a:off x="10562166" y="252719416"/>
          <a:ext cx="571500" cy="613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1762</xdr:row>
      <xdr:rowOff>95250</xdr:rowOff>
    </xdr:from>
    <xdr:to>
      <xdr:col>15</xdr:col>
      <xdr:colOff>582083</xdr:colOff>
      <xdr:row>1764</xdr:row>
      <xdr:rowOff>52917</xdr:rowOff>
    </xdr:to>
    <xdr:cxnSp macro="">
      <xdr:nvCxnSpPr>
        <xdr:cNvPr id="2474" name="Straight Arrow Connector 2473">
          <a:extLst>
            <a:ext uri="{FF2B5EF4-FFF2-40B4-BE49-F238E27FC236}">
              <a16:creationId xmlns:a16="http://schemas.microsoft.com/office/drawing/2014/main" id="{00000000-0008-0000-1300-0000AA090000}"/>
            </a:ext>
          </a:extLst>
        </xdr:cNvPr>
        <xdr:cNvCxnSpPr/>
      </xdr:nvCxnSpPr>
      <xdr:spPr>
        <a:xfrm flipV="1">
          <a:off x="10604500" y="253079250"/>
          <a:ext cx="518583" cy="338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1764</xdr:row>
      <xdr:rowOff>116417</xdr:rowOff>
    </xdr:from>
    <xdr:to>
      <xdr:col>15</xdr:col>
      <xdr:colOff>592666</xdr:colOff>
      <xdr:row>1768</xdr:row>
      <xdr:rowOff>95250</xdr:rowOff>
    </xdr:to>
    <xdr:cxnSp macro="">
      <xdr:nvCxnSpPr>
        <xdr:cNvPr id="2475" name="Straight Arrow Connector 2474">
          <a:extLst>
            <a:ext uri="{FF2B5EF4-FFF2-40B4-BE49-F238E27FC236}">
              <a16:creationId xmlns:a16="http://schemas.microsoft.com/office/drawing/2014/main" id="{00000000-0008-0000-1300-0000AB090000}"/>
            </a:ext>
          </a:extLst>
        </xdr:cNvPr>
        <xdr:cNvCxnSpPr/>
      </xdr:nvCxnSpPr>
      <xdr:spPr>
        <a:xfrm>
          <a:off x="10593916" y="253481417"/>
          <a:ext cx="53975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1775</xdr:row>
      <xdr:rowOff>116416</xdr:rowOff>
    </xdr:from>
    <xdr:to>
      <xdr:col>16</xdr:col>
      <xdr:colOff>0</xdr:colOff>
      <xdr:row>1782</xdr:row>
      <xdr:rowOff>74084</xdr:rowOff>
    </xdr:to>
    <xdr:cxnSp macro="">
      <xdr:nvCxnSpPr>
        <xdr:cNvPr id="2476" name="Straight Arrow Connector 2475">
          <a:extLst>
            <a:ext uri="{FF2B5EF4-FFF2-40B4-BE49-F238E27FC236}">
              <a16:creationId xmlns:a16="http://schemas.microsoft.com/office/drawing/2014/main" id="{00000000-0008-0000-1300-0000AC090000}"/>
            </a:ext>
          </a:extLst>
        </xdr:cNvPr>
        <xdr:cNvCxnSpPr/>
      </xdr:nvCxnSpPr>
      <xdr:spPr>
        <a:xfrm>
          <a:off x="10572750" y="255576916"/>
          <a:ext cx="571500" cy="12911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1743</xdr:row>
      <xdr:rowOff>52917</xdr:rowOff>
    </xdr:from>
    <xdr:to>
      <xdr:col>15</xdr:col>
      <xdr:colOff>603250</xdr:colOff>
      <xdr:row>1745</xdr:row>
      <xdr:rowOff>148167</xdr:rowOff>
    </xdr:to>
    <xdr:cxnSp macro="">
      <xdr:nvCxnSpPr>
        <xdr:cNvPr id="2477" name="Straight Arrow Connector 2476">
          <a:extLst>
            <a:ext uri="{FF2B5EF4-FFF2-40B4-BE49-F238E27FC236}">
              <a16:creationId xmlns:a16="http://schemas.microsoft.com/office/drawing/2014/main" id="{00000000-0008-0000-1300-0000AD090000}"/>
            </a:ext>
          </a:extLst>
        </xdr:cNvPr>
        <xdr:cNvCxnSpPr/>
      </xdr:nvCxnSpPr>
      <xdr:spPr>
        <a:xfrm flipV="1">
          <a:off x="10583333" y="2494174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1778</xdr:row>
      <xdr:rowOff>42333</xdr:rowOff>
    </xdr:from>
    <xdr:to>
      <xdr:col>11</xdr:col>
      <xdr:colOff>603250</xdr:colOff>
      <xdr:row>1790</xdr:row>
      <xdr:rowOff>10583</xdr:rowOff>
    </xdr:to>
    <xdr:cxnSp macro="">
      <xdr:nvCxnSpPr>
        <xdr:cNvPr id="2478" name="Straight Arrow Connector 2477">
          <a:extLst>
            <a:ext uri="{FF2B5EF4-FFF2-40B4-BE49-F238E27FC236}">
              <a16:creationId xmlns:a16="http://schemas.microsoft.com/office/drawing/2014/main" id="{00000000-0008-0000-1300-0000AE090000}"/>
            </a:ext>
          </a:extLst>
        </xdr:cNvPr>
        <xdr:cNvCxnSpPr/>
      </xdr:nvCxnSpPr>
      <xdr:spPr>
        <a:xfrm>
          <a:off x="7598834" y="2560743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1768</xdr:row>
      <xdr:rowOff>21167</xdr:rowOff>
    </xdr:from>
    <xdr:to>
      <xdr:col>13</xdr:col>
      <xdr:colOff>592667</xdr:colOff>
      <xdr:row>1770</xdr:row>
      <xdr:rowOff>0</xdr:rowOff>
    </xdr:to>
    <xdr:cxnSp macro="">
      <xdr:nvCxnSpPr>
        <xdr:cNvPr id="2479" name="Straight Arrow Connector 2478">
          <a:extLst>
            <a:ext uri="{FF2B5EF4-FFF2-40B4-BE49-F238E27FC236}">
              <a16:creationId xmlns:a16="http://schemas.microsoft.com/office/drawing/2014/main" id="{00000000-0008-0000-1300-0000AF090000}"/>
            </a:ext>
          </a:extLst>
        </xdr:cNvPr>
        <xdr:cNvCxnSpPr/>
      </xdr:nvCxnSpPr>
      <xdr:spPr>
        <a:xfrm flipV="1">
          <a:off x="8794750" y="2541481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1773</xdr:row>
      <xdr:rowOff>21166</xdr:rowOff>
    </xdr:from>
    <xdr:to>
      <xdr:col>13</xdr:col>
      <xdr:colOff>592667</xdr:colOff>
      <xdr:row>1774</xdr:row>
      <xdr:rowOff>169334</xdr:rowOff>
    </xdr:to>
    <xdr:cxnSp macro="">
      <xdr:nvCxnSpPr>
        <xdr:cNvPr id="2480" name="Straight Arrow Connector 2479">
          <a:extLst>
            <a:ext uri="{FF2B5EF4-FFF2-40B4-BE49-F238E27FC236}">
              <a16:creationId xmlns:a16="http://schemas.microsoft.com/office/drawing/2014/main" id="{00000000-0008-0000-1300-0000B0090000}"/>
            </a:ext>
          </a:extLst>
        </xdr:cNvPr>
        <xdr:cNvCxnSpPr/>
      </xdr:nvCxnSpPr>
      <xdr:spPr>
        <a:xfrm>
          <a:off x="8784166" y="2551006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1788</xdr:row>
      <xdr:rowOff>21167</xdr:rowOff>
    </xdr:from>
    <xdr:to>
      <xdr:col>13</xdr:col>
      <xdr:colOff>592667</xdr:colOff>
      <xdr:row>1790</xdr:row>
      <xdr:rowOff>63500</xdr:rowOff>
    </xdr:to>
    <xdr:cxnSp macro="">
      <xdr:nvCxnSpPr>
        <xdr:cNvPr id="2481" name="Straight Arrow Connector 2480">
          <a:extLst>
            <a:ext uri="{FF2B5EF4-FFF2-40B4-BE49-F238E27FC236}">
              <a16:creationId xmlns:a16="http://schemas.microsoft.com/office/drawing/2014/main" id="{00000000-0008-0000-1300-0000B1090000}"/>
            </a:ext>
          </a:extLst>
        </xdr:cNvPr>
        <xdr:cNvCxnSpPr/>
      </xdr:nvCxnSpPr>
      <xdr:spPr>
        <a:xfrm flipV="1">
          <a:off x="8794750" y="2581486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1793</xdr:row>
      <xdr:rowOff>0</xdr:rowOff>
    </xdr:from>
    <xdr:to>
      <xdr:col>14</xdr:col>
      <xdr:colOff>10584</xdr:colOff>
      <xdr:row>1801</xdr:row>
      <xdr:rowOff>148167</xdr:rowOff>
    </xdr:to>
    <xdr:cxnSp macro="">
      <xdr:nvCxnSpPr>
        <xdr:cNvPr id="2482" name="Straight Arrow Connector 2481">
          <a:extLst>
            <a:ext uri="{FF2B5EF4-FFF2-40B4-BE49-F238E27FC236}">
              <a16:creationId xmlns:a16="http://schemas.microsoft.com/office/drawing/2014/main" id="{00000000-0008-0000-1300-0000B2090000}"/>
            </a:ext>
          </a:extLst>
        </xdr:cNvPr>
        <xdr:cNvCxnSpPr/>
      </xdr:nvCxnSpPr>
      <xdr:spPr>
        <a:xfrm>
          <a:off x="8805333" y="2590800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1764</xdr:row>
      <xdr:rowOff>95250</xdr:rowOff>
    </xdr:from>
    <xdr:to>
      <xdr:col>15</xdr:col>
      <xdr:colOff>582083</xdr:colOff>
      <xdr:row>1766</xdr:row>
      <xdr:rowOff>137583</xdr:rowOff>
    </xdr:to>
    <xdr:cxnSp macro="">
      <xdr:nvCxnSpPr>
        <xdr:cNvPr id="2483" name="Straight Arrow Connector 2482">
          <a:extLst>
            <a:ext uri="{FF2B5EF4-FFF2-40B4-BE49-F238E27FC236}">
              <a16:creationId xmlns:a16="http://schemas.microsoft.com/office/drawing/2014/main" id="{00000000-0008-0000-1300-0000B3090000}"/>
            </a:ext>
          </a:extLst>
        </xdr:cNvPr>
        <xdr:cNvCxnSpPr/>
      </xdr:nvCxnSpPr>
      <xdr:spPr>
        <a:xfrm>
          <a:off x="10593916" y="253460250"/>
          <a:ext cx="5291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1773</xdr:row>
      <xdr:rowOff>52916</xdr:rowOff>
    </xdr:from>
    <xdr:to>
      <xdr:col>16</xdr:col>
      <xdr:colOff>0</xdr:colOff>
      <xdr:row>1775</xdr:row>
      <xdr:rowOff>0</xdr:rowOff>
    </xdr:to>
    <xdr:cxnSp macro="">
      <xdr:nvCxnSpPr>
        <xdr:cNvPr id="2484" name="Straight Arrow Connector 2483">
          <a:extLst>
            <a:ext uri="{FF2B5EF4-FFF2-40B4-BE49-F238E27FC236}">
              <a16:creationId xmlns:a16="http://schemas.microsoft.com/office/drawing/2014/main" id="{00000000-0008-0000-1300-0000B4090000}"/>
            </a:ext>
          </a:extLst>
        </xdr:cNvPr>
        <xdr:cNvCxnSpPr/>
      </xdr:nvCxnSpPr>
      <xdr:spPr>
        <a:xfrm flipV="1">
          <a:off x="10541000" y="2551324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1775</xdr:row>
      <xdr:rowOff>21167</xdr:rowOff>
    </xdr:from>
    <xdr:to>
      <xdr:col>15</xdr:col>
      <xdr:colOff>592666</xdr:colOff>
      <xdr:row>1776</xdr:row>
      <xdr:rowOff>84667</xdr:rowOff>
    </xdr:to>
    <xdr:cxnSp macro="">
      <xdr:nvCxnSpPr>
        <xdr:cNvPr id="2485" name="Straight Arrow Connector 2484">
          <a:extLst>
            <a:ext uri="{FF2B5EF4-FFF2-40B4-BE49-F238E27FC236}">
              <a16:creationId xmlns:a16="http://schemas.microsoft.com/office/drawing/2014/main" id="{00000000-0008-0000-1300-0000B5090000}"/>
            </a:ext>
          </a:extLst>
        </xdr:cNvPr>
        <xdr:cNvCxnSpPr/>
      </xdr:nvCxnSpPr>
      <xdr:spPr>
        <a:xfrm>
          <a:off x="10530417" y="255481667"/>
          <a:ext cx="603249" cy="25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1775</xdr:row>
      <xdr:rowOff>0</xdr:rowOff>
    </xdr:from>
    <xdr:to>
      <xdr:col>16</xdr:col>
      <xdr:colOff>0</xdr:colOff>
      <xdr:row>1779</xdr:row>
      <xdr:rowOff>42334</xdr:rowOff>
    </xdr:to>
    <xdr:cxnSp macro="">
      <xdr:nvCxnSpPr>
        <xdr:cNvPr id="2486" name="Straight Arrow Connector 2485">
          <a:extLst>
            <a:ext uri="{FF2B5EF4-FFF2-40B4-BE49-F238E27FC236}">
              <a16:creationId xmlns:a16="http://schemas.microsoft.com/office/drawing/2014/main" id="{00000000-0008-0000-1300-0000B6090000}"/>
            </a:ext>
          </a:extLst>
        </xdr:cNvPr>
        <xdr:cNvCxnSpPr/>
      </xdr:nvCxnSpPr>
      <xdr:spPr>
        <a:xfrm>
          <a:off x="10530417" y="255460500"/>
          <a:ext cx="613833" cy="804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1786</xdr:row>
      <xdr:rowOff>0</xdr:rowOff>
    </xdr:from>
    <xdr:to>
      <xdr:col>15</xdr:col>
      <xdr:colOff>603250</xdr:colOff>
      <xdr:row>1788</xdr:row>
      <xdr:rowOff>1</xdr:rowOff>
    </xdr:to>
    <xdr:cxnSp macro="">
      <xdr:nvCxnSpPr>
        <xdr:cNvPr id="2487" name="Straight Arrow Connector 2486">
          <a:extLst>
            <a:ext uri="{FF2B5EF4-FFF2-40B4-BE49-F238E27FC236}">
              <a16:creationId xmlns:a16="http://schemas.microsoft.com/office/drawing/2014/main" id="{00000000-0008-0000-1300-0000B7090000}"/>
            </a:ext>
          </a:extLst>
        </xdr:cNvPr>
        <xdr:cNvCxnSpPr/>
      </xdr:nvCxnSpPr>
      <xdr:spPr>
        <a:xfrm flipV="1">
          <a:off x="10530417" y="2577465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1788</xdr:row>
      <xdr:rowOff>10584</xdr:rowOff>
    </xdr:from>
    <xdr:to>
      <xdr:col>15</xdr:col>
      <xdr:colOff>592666</xdr:colOff>
      <xdr:row>1789</xdr:row>
      <xdr:rowOff>95250</xdr:rowOff>
    </xdr:to>
    <xdr:cxnSp macro="">
      <xdr:nvCxnSpPr>
        <xdr:cNvPr id="2488" name="Straight Arrow Connector 2487">
          <a:extLst>
            <a:ext uri="{FF2B5EF4-FFF2-40B4-BE49-F238E27FC236}">
              <a16:creationId xmlns:a16="http://schemas.microsoft.com/office/drawing/2014/main" id="{00000000-0008-0000-1300-0000B8090000}"/>
            </a:ext>
          </a:extLst>
        </xdr:cNvPr>
        <xdr:cNvCxnSpPr/>
      </xdr:nvCxnSpPr>
      <xdr:spPr>
        <a:xfrm>
          <a:off x="10572750" y="2581380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1788</xdr:row>
      <xdr:rowOff>10584</xdr:rowOff>
    </xdr:from>
    <xdr:to>
      <xdr:col>15</xdr:col>
      <xdr:colOff>560916</xdr:colOff>
      <xdr:row>1792</xdr:row>
      <xdr:rowOff>52917</xdr:rowOff>
    </xdr:to>
    <xdr:cxnSp macro="">
      <xdr:nvCxnSpPr>
        <xdr:cNvPr id="2489" name="Straight Arrow Connector 2488">
          <a:extLst>
            <a:ext uri="{FF2B5EF4-FFF2-40B4-BE49-F238E27FC236}">
              <a16:creationId xmlns:a16="http://schemas.microsoft.com/office/drawing/2014/main" id="{00000000-0008-0000-1300-0000B9090000}"/>
            </a:ext>
          </a:extLst>
        </xdr:cNvPr>
        <xdr:cNvCxnSpPr/>
      </xdr:nvCxnSpPr>
      <xdr:spPr>
        <a:xfrm>
          <a:off x="10551583" y="2581380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2490" name="Straight Arrow Connector 2489">
          <a:extLst>
            <a:ext uri="{FF2B5EF4-FFF2-40B4-BE49-F238E27FC236}">
              <a16:creationId xmlns:a16="http://schemas.microsoft.com/office/drawing/2014/main" id="{00000000-0008-0000-1300-0000BA090000}"/>
            </a:ext>
          </a:extLst>
        </xdr:cNvPr>
        <xdr:cNvCxnSpPr/>
      </xdr:nvCxnSpPr>
      <xdr:spPr>
        <a:xfrm>
          <a:off x="10583333" y="2581592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1802</xdr:row>
      <xdr:rowOff>0</xdr:rowOff>
    </xdr:from>
    <xdr:to>
      <xdr:col>16</xdr:col>
      <xdr:colOff>0</xdr:colOff>
      <xdr:row>1802</xdr:row>
      <xdr:rowOff>42334</xdr:rowOff>
    </xdr:to>
    <xdr:cxnSp macro="">
      <xdr:nvCxnSpPr>
        <xdr:cNvPr id="2491" name="Straight Arrow Connector 2490">
          <a:extLst>
            <a:ext uri="{FF2B5EF4-FFF2-40B4-BE49-F238E27FC236}">
              <a16:creationId xmlns:a16="http://schemas.microsoft.com/office/drawing/2014/main" id="{00000000-0008-0000-1300-0000BB090000}"/>
            </a:ext>
          </a:extLst>
        </xdr:cNvPr>
        <xdr:cNvCxnSpPr/>
      </xdr:nvCxnSpPr>
      <xdr:spPr>
        <a:xfrm>
          <a:off x="10562166" y="2607945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1802</xdr:row>
      <xdr:rowOff>21166</xdr:rowOff>
    </xdr:from>
    <xdr:to>
      <xdr:col>15</xdr:col>
      <xdr:colOff>560916</xdr:colOff>
      <xdr:row>1805</xdr:row>
      <xdr:rowOff>84667</xdr:rowOff>
    </xdr:to>
    <xdr:cxnSp macro="">
      <xdr:nvCxnSpPr>
        <xdr:cNvPr id="2492" name="Straight Arrow Connector 2491">
          <a:extLst>
            <a:ext uri="{FF2B5EF4-FFF2-40B4-BE49-F238E27FC236}">
              <a16:creationId xmlns:a16="http://schemas.microsoft.com/office/drawing/2014/main" id="{00000000-0008-0000-1300-0000BC090000}"/>
            </a:ext>
          </a:extLst>
        </xdr:cNvPr>
        <xdr:cNvCxnSpPr/>
      </xdr:nvCxnSpPr>
      <xdr:spPr>
        <a:xfrm>
          <a:off x="10615083" y="2608156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1802</xdr:row>
      <xdr:rowOff>52916</xdr:rowOff>
    </xdr:from>
    <xdr:to>
      <xdr:col>15</xdr:col>
      <xdr:colOff>592666</xdr:colOff>
      <xdr:row>1808</xdr:row>
      <xdr:rowOff>63501</xdr:rowOff>
    </xdr:to>
    <xdr:cxnSp macro="">
      <xdr:nvCxnSpPr>
        <xdr:cNvPr id="2493" name="Straight Arrow Connector 2492">
          <a:extLst>
            <a:ext uri="{FF2B5EF4-FFF2-40B4-BE49-F238E27FC236}">
              <a16:creationId xmlns:a16="http://schemas.microsoft.com/office/drawing/2014/main" id="{00000000-0008-0000-1300-0000BD090000}"/>
            </a:ext>
          </a:extLst>
        </xdr:cNvPr>
        <xdr:cNvCxnSpPr/>
      </xdr:nvCxnSpPr>
      <xdr:spPr>
        <a:xfrm>
          <a:off x="10572750" y="2608474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1799</xdr:row>
      <xdr:rowOff>52917</xdr:rowOff>
    </xdr:from>
    <xdr:to>
      <xdr:col>15</xdr:col>
      <xdr:colOff>603250</xdr:colOff>
      <xdr:row>1801</xdr:row>
      <xdr:rowOff>148167</xdr:rowOff>
    </xdr:to>
    <xdr:cxnSp macro="">
      <xdr:nvCxnSpPr>
        <xdr:cNvPr id="2494" name="Straight Arrow Connector 2493">
          <a:extLst>
            <a:ext uri="{FF2B5EF4-FFF2-40B4-BE49-F238E27FC236}">
              <a16:creationId xmlns:a16="http://schemas.microsoft.com/office/drawing/2014/main" id="{00000000-0008-0000-1300-0000BE090000}"/>
            </a:ext>
          </a:extLst>
        </xdr:cNvPr>
        <xdr:cNvCxnSpPr/>
      </xdr:nvCxnSpPr>
      <xdr:spPr>
        <a:xfrm flipV="1">
          <a:off x="10583333" y="2602759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31750</xdr:colOff>
      <xdr:row>1710</xdr:row>
      <xdr:rowOff>127000</xdr:rowOff>
    </xdr:from>
    <xdr:to>
      <xdr:col>8</xdr:col>
      <xdr:colOff>63500</xdr:colOff>
      <xdr:row>1729</xdr:row>
      <xdr:rowOff>0</xdr:rowOff>
    </xdr:to>
    <xdr:cxnSp macro="">
      <xdr:nvCxnSpPr>
        <xdr:cNvPr id="2495" name="Straight Arrow Connector 2494">
          <a:extLst>
            <a:ext uri="{FF2B5EF4-FFF2-40B4-BE49-F238E27FC236}">
              <a16:creationId xmlns:a16="http://schemas.microsoft.com/office/drawing/2014/main" id="{00000000-0008-0000-1300-0000BF090000}"/>
            </a:ext>
          </a:extLst>
        </xdr:cNvPr>
        <xdr:cNvCxnSpPr/>
      </xdr:nvCxnSpPr>
      <xdr:spPr>
        <a:xfrm flipV="1">
          <a:off x="5207000" y="243014500"/>
          <a:ext cx="635000" cy="3587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194</xdr:row>
      <xdr:rowOff>116416</xdr:rowOff>
    </xdr:from>
    <xdr:to>
      <xdr:col>16</xdr:col>
      <xdr:colOff>0</xdr:colOff>
      <xdr:row>201</xdr:row>
      <xdr:rowOff>74084</xdr:rowOff>
    </xdr:to>
    <xdr:cxnSp macro="">
      <xdr:nvCxnSpPr>
        <xdr:cNvPr id="2523" name="Straight Arrow Connector 2522">
          <a:extLst>
            <a:ext uri="{FF2B5EF4-FFF2-40B4-BE49-F238E27FC236}">
              <a16:creationId xmlns:a16="http://schemas.microsoft.com/office/drawing/2014/main" id="{00000000-0008-0000-1300-0000DB090000}"/>
            </a:ext>
          </a:extLst>
        </xdr:cNvPr>
        <xdr:cNvCxnSpPr/>
      </xdr:nvCxnSpPr>
      <xdr:spPr>
        <a:xfrm>
          <a:off x="11313583" y="15546916"/>
          <a:ext cx="582084" cy="12911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207</xdr:row>
      <xdr:rowOff>31750</xdr:rowOff>
    </xdr:from>
    <xdr:to>
      <xdr:col>16</xdr:col>
      <xdr:colOff>21167</xdr:colOff>
      <xdr:row>214</xdr:row>
      <xdr:rowOff>95250</xdr:rowOff>
    </xdr:to>
    <xdr:cxnSp macro="">
      <xdr:nvCxnSpPr>
        <xdr:cNvPr id="2537" name="Straight Arrow Connector 2536">
          <a:extLst>
            <a:ext uri="{FF2B5EF4-FFF2-40B4-BE49-F238E27FC236}">
              <a16:creationId xmlns:a16="http://schemas.microsoft.com/office/drawing/2014/main" id="{00000000-0008-0000-1300-0000E9090000}"/>
            </a:ext>
          </a:extLst>
        </xdr:cNvPr>
        <xdr:cNvCxnSpPr/>
      </xdr:nvCxnSpPr>
      <xdr:spPr>
        <a:xfrm>
          <a:off x="11324166" y="18129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333</xdr:row>
      <xdr:rowOff>21167</xdr:rowOff>
    </xdr:from>
    <xdr:to>
      <xdr:col>15</xdr:col>
      <xdr:colOff>592666</xdr:colOff>
      <xdr:row>334</xdr:row>
      <xdr:rowOff>84667</xdr:rowOff>
    </xdr:to>
    <xdr:cxnSp macro="">
      <xdr:nvCxnSpPr>
        <xdr:cNvPr id="2548" name="Straight Arrow Connector 2547">
          <a:extLst>
            <a:ext uri="{FF2B5EF4-FFF2-40B4-BE49-F238E27FC236}">
              <a16:creationId xmlns:a16="http://schemas.microsoft.com/office/drawing/2014/main" id="{00000000-0008-0000-1300-0000F4090000}"/>
            </a:ext>
          </a:extLst>
        </xdr:cNvPr>
        <xdr:cNvCxnSpPr/>
      </xdr:nvCxnSpPr>
      <xdr:spPr>
        <a:xfrm>
          <a:off x="11271250" y="58885667"/>
          <a:ext cx="603249" cy="25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418</xdr:row>
      <xdr:rowOff>116416</xdr:rowOff>
    </xdr:from>
    <xdr:to>
      <xdr:col>16</xdr:col>
      <xdr:colOff>0</xdr:colOff>
      <xdr:row>425</xdr:row>
      <xdr:rowOff>74084</xdr:rowOff>
    </xdr:to>
    <xdr:cxnSp macro="">
      <xdr:nvCxnSpPr>
        <xdr:cNvPr id="2580" name="Straight Arrow Connector 2579">
          <a:extLst>
            <a:ext uri="{FF2B5EF4-FFF2-40B4-BE49-F238E27FC236}">
              <a16:creationId xmlns:a16="http://schemas.microsoft.com/office/drawing/2014/main" id="{00000000-0008-0000-1300-0000140A0000}"/>
            </a:ext>
          </a:extLst>
        </xdr:cNvPr>
        <xdr:cNvCxnSpPr/>
      </xdr:nvCxnSpPr>
      <xdr:spPr>
        <a:xfrm>
          <a:off x="11313583" y="58980916"/>
          <a:ext cx="582084" cy="12911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418</xdr:row>
      <xdr:rowOff>0</xdr:rowOff>
    </xdr:from>
    <xdr:to>
      <xdr:col>16</xdr:col>
      <xdr:colOff>0</xdr:colOff>
      <xdr:row>422</xdr:row>
      <xdr:rowOff>42334</xdr:rowOff>
    </xdr:to>
    <xdr:cxnSp macro="">
      <xdr:nvCxnSpPr>
        <xdr:cNvPr id="2590" name="Straight Arrow Connector 2589">
          <a:extLst>
            <a:ext uri="{FF2B5EF4-FFF2-40B4-BE49-F238E27FC236}">
              <a16:creationId xmlns:a16="http://schemas.microsoft.com/office/drawing/2014/main" id="{00000000-0008-0000-1300-00001E0A0000}"/>
            </a:ext>
          </a:extLst>
        </xdr:cNvPr>
        <xdr:cNvCxnSpPr/>
      </xdr:nvCxnSpPr>
      <xdr:spPr>
        <a:xfrm>
          <a:off x="11271250" y="58864500"/>
          <a:ext cx="624417" cy="804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603250</xdr:colOff>
      <xdr:row>459</xdr:row>
      <xdr:rowOff>10584</xdr:rowOff>
    </xdr:from>
    <xdr:to>
      <xdr:col>1</xdr:col>
      <xdr:colOff>603250</xdr:colOff>
      <xdr:row>552</xdr:row>
      <xdr:rowOff>158750</xdr:rowOff>
    </xdr:to>
    <xdr:cxnSp macro="">
      <xdr:nvCxnSpPr>
        <xdr:cNvPr id="2610" name="Straight Arrow Connector 2609">
          <a:extLst>
            <a:ext uri="{FF2B5EF4-FFF2-40B4-BE49-F238E27FC236}">
              <a16:creationId xmlns:a16="http://schemas.microsoft.com/office/drawing/2014/main" id="{00000000-0008-0000-1300-0000320A0000}"/>
            </a:ext>
          </a:extLst>
        </xdr:cNvPr>
        <xdr:cNvCxnSpPr/>
      </xdr:nvCxnSpPr>
      <xdr:spPr>
        <a:xfrm flipV="1">
          <a:off x="603250" y="963084"/>
          <a:ext cx="613833" cy="18245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603250</xdr:colOff>
      <xdr:row>555</xdr:row>
      <xdr:rowOff>169333</xdr:rowOff>
    </xdr:from>
    <xdr:to>
      <xdr:col>1</xdr:col>
      <xdr:colOff>603250</xdr:colOff>
      <xdr:row>597</xdr:row>
      <xdr:rowOff>148167</xdr:rowOff>
    </xdr:to>
    <xdr:cxnSp macro="">
      <xdr:nvCxnSpPr>
        <xdr:cNvPr id="2611" name="Straight Arrow Connector 2610">
          <a:extLst>
            <a:ext uri="{FF2B5EF4-FFF2-40B4-BE49-F238E27FC236}">
              <a16:creationId xmlns:a16="http://schemas.microsoft.com/office/drawing/2014/main" id="{00000000-0008-0000-1300-0000330A0000}"/>
            </a:ext>
          </a:extLst>
        </xdr:cNvPr>
        <xdr:cNvCxnSpPr/>
      </xdr:nvCxnSpPr>
      <xdr:spPr>
        <a:xfrm>
          <a:off x="603250" y="19790833"/>
          <a:ext cx="613833" cy="7979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10584</xdr:colOff>
      <xdr:row>531</xdr:row>
      <xdr:rowOff>158750</xdr:rowOff>
    </xdr:from>
    <xdr:to>
      <xdr:col>3</xdr:col>
      <xdr:colOff>603250</xdr:colOff>
      <xdr:row>598</xdr:row>
      <xdr:rowOff>10583</xdr:rowOff>
    </xdr:to>
    <xdr:cxnSp macro="">
      <xdr:nvCxnSpPr>
        <xdr:cNvPr id="2612" name="Straight Arrow Connector 2611">
          <a:extLst>
            <a:ext uri="{FF2B5EF4-FFF2-40B4-BE49-F238E27FC236}">
              <a16:creationId xmlns:a16="http://schemas.microsoft.com/office/drawing/2014/main" id="{00000000-0008-0000-1300-0000340A0000}"/>
            </a:ext>
          </a:extLst>
        </xdr:cNvPr>
        <xdr:cNvCxnSpPr/>
      </xdr:nvCxnSpPr>
      <xdr:spPr>
        <a:xfrm flipV="1">
          <a:off x="2381251" y="15017750"/>
          <a:ext cx="592666" cy="12805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21167</xdr:colOff>
      <xdr:row>600</xdr:row>
      <xdr:rowOff>10583</xdr:rowOff>
    </xdr:from>
    <xdr:to>
      <xdr:col>4</xdr:col>
      <xdr:colOff>63500</xdr:colOff>
      <xdr:row>751</xdr:row>
      <xdr:rowOff>158750</xdr:rowOff>
    </xdr:to>
    <xdr:cxnSp macro="">
      <xdr:nvCxnSpPr>
        <xdr:cNvPr id="2613" name="Straight Arrow Connector 2612">
          <a:extLst>
            <a:ext uri="{FF2B5EF4-FFF2-40B4-BE49-F238E27FC236}">
              <a16:creationId xmlns:a16="http://schemas.microsoft.com/office/drawing/2014/main" id="{00000000-0008-0000-1300-0000350A0000}"/>
            </a:ext>
          </a:extLst>
        </xdr:cNvPr>
        <xdr:cNvCxnSpPr/>
      </xdr:nvCxnSpPr>
      <xdr:spPr>
        <a:xfrm>
          <a:off x="2391834" y="28395083"/>
          <a:ext cx="656166" cy="29294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825500</xdr:colOff>
      <xdr:row>494</xdr:row>
      <xdr:rowOff>1</xdr:rowOff>
    </xdr:from>
    <xdr:to>
      <xdr:col>6</xdr:col>
      <xdr:colOff>0</xdr:colOff>
      <xdr:row>528</xdr:row>
      <xdr:rowOff>116417</xdr:rowOff>
    </xdr:to>
    <xdr:cxnSp macro="">
      <xdr:nvCxnSpPr>
        <xdr:cNvPr id="2614" name="Straight Arrow Connector 2613">
          <a:extLst>
            <a:ext uri="{FF2B5EF4-FFF2-40B4-BE49-F238E27FC236}">
              <a16:creationId xmlns:a16="http://schemas.microsoft.com/office/drawing/2014/main" id="{00000000-0008-0000-1300-0000360A0000}"/>
            </a:ext>
          </a:extLst>
        </xdr:cNvPr>
        <xdr:cNvCxnSpPr/>
      </xdr:nvCxnSpPr>
      <xdr:spPr>
        <a:xfrm flipV="1">
          <a:off x="3810000" y="7810501"/>
          <a:ext cx="677333" cy="65934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21167</xdr:colOff>
      <xdr:row>531</xdr:row>
      <xdr:rowOff>169334</xdr:rowOff>
    </xdr:from>
    <xdr:to>
      <xdr:col>5</xdr:col>
      <xdr:colOff>571500</xdr:colOff>
      <xdr:row>600</xdr:row>
      <xdr:rowOff>0</xdr:rowOff>
    </xdr:to>
    <xdr:cxnSp macro="">
      <xdr:nvCxnSpPr>
        <xdr:cNvPr id="2615" name="Straight Arrow Connector 2614">
          <a:extLst>
            <a:ext uri="{FF2B5EF4-FFF2-40B4-BE49-F238E27FC236}">
              <a16:creationId xmlns:a16="http://schemas.microsoft.com/office/drawing/2014/main" id="{00000000-0008-0000-1300-0000370A0000}"/>
            </a:ext>
          </a:extLst>
        </xdr:cNvPr>
        <xdr:cNvCxnSpPr/>
      </xdr:nvCxnSpPr>
      <xdr:spPr>
        <a:xfrm>
          <a:off x="3894667" y="15028334"/>
          <a:ext cx="550333" cy="133244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494</xdr:row>
      <xdr:rowOff>10584</xdr:rowOff>
    </xdr:from>
    <xdr:to>
      <xdr:col>8</xdr:col>
      <xdr:colOff>21167</xdr:colOff>
      <xdr:row>522</xdr:row>
      <xdr:rowOff>148166</xdr:rowOff>
    </xdr:to>
    <xdr:cxnSp macro="">
      <xdr:nvCxnSpPr>
        <xdr:cNvPr id="2617" name="Straight Arrow Connector 2616">
          <a:extLst>
            <a:ext uri="{FF2B5EF4-FFF2-40B4-BE49-F238E27FC236}">
              <a16:creationId xmlns:a16="http://schemas.microsoft.com/office/drawing/2014/main" id="{00000000-0008-0000-1300-0000390A0000}"/>
            </a:ext>
          </a:extLst>
        </xdr:cNvPr>
        <xdr:cNvCxnSpPr/>
      </xdr:nvCxnSpPr>
      <xdr:spPr>
        <a:xfrm>
          <a:off x="5461000" y="7821084"/>
          <a:ext cx="635000" cy="547158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481</xdr:row>
      <xdr:rowOff>42333</xdr:rowOff>
    </xdr:from>
    <xdr:to>
      <xdr:col>11</xdr:col>
      <xdr:colOff>603250</xdr:colOff>
      <xdr:row>493</xdr:row>
      <xdr:rowOff>10583</xdr:rowOff>
    </xdr:to>
    <xdr:cxnSp macro="">
      <xdr:nvCxnSpPr>
        <xdr:cNvPr id="2621" name="Straight Arrow Connector 2620">
          <a:extLst>
            <a:ext uri="{FF2B5EF4-FFF2-40B4-BE49-F238E27FC236}">
              <a16:creationId xmlns:a16="http://schemas.microsoft.com/office/drawing/2014/main" id="{00000000-0008-0000-1300-00003D0A0000}"/>
            </a:ext>
          </a:extLst>
        </xdr:cNvPr>
        <xdr:cNvCxnSpPr/>
      </xdr:nvCxnSpPr>
      <xdr:spPr>
        <a:xfrm>
          <a:off x="7926917" y="51858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491</xdr:row>
      <xdr:rowOff>21167</xdr:rowOff>
    </xdr:from>
    <xdr:to>
      <xdr:col>13</xdr:col>
      <xdr:colOff>592667</xdr:colOff>
      <xdr:row>493</xdr:row>
      <xdr:rowOff>63500</xdr:rowOff>
    </xdr:to>
    <xdr:cxnSp macro="">
      <xdr:nvCxnSpPr>
        <xdr:cNvPr id="2624" name="Straight Arrow Connector 2623">
          <a:extLst>
            <a:ext uri="{FF2B5EF4-FFF2-40B4-BE49-F238E27FC236}">
              <a16:creationId xmlns:a16="http://schemas.microsoft.com/office/drawing/2014/main" id="{00000000-0008-0000-1300-0000400A0000}"/>
            </a:ext>
          </a:extLst>
        </xdr:cNvPr>
        <xdr:cNvCxnSpPr/>
      </xdr:nvCxnSpPr>
      <xdr:spPr>
        <a:xfrm flipV="1">
          <a:off x="9525000" y="72601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496</xdr:row>
      <xdr:rowOff>0</xdr:rowOff>
    </xdr:from>
    <xdr:to>
      <xdr:col>14</xdr:col>
      <xdr:colOff>10584</xdr:colOff>
      <xdr:row>504</xdr:row>
      <xdr:rowOff>148167</xdr:rowOff>
    </xdr:to>
    <xdr:cxnSp macro="">
      <xdr:nvCxnSpPr>
        <xdr:cNvPr id="2625" name="Straight Arrow Connector 2624">
          <a:extLst>
            <a:ext uri="{FF2B5EF4-FFF2-40B4-BE49-F238E27FC236}">
              <a16:creationId xmlns:a16="http://schemas.microsoft.com/office/drawing/2014/main" id="{00000000-0008-0000-1300-0000410A0000}"/>
            </a:ext>
          </a:extLst>
        </xdr:cNvPr>
        <xdr:cNvCxnSpPr/>
      </xdr:nvCxnSpPr>
      <xdr:spPr>
        <a:xfrm>
          <a:off x="9535583" y="8191500"/>
          <a:ext cx="613834"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10583</xdr:colOff>
      <xdr:row>515</xdr:row>
      <xdr:rowOff>42333</xdr:rowOff>
    </xdr:from>
    <xdr:to>
      <xdr:col>9</xdr:col>
      <xdr:colOff>592666</xdr:colOff>
      <xdr:row>523</xdr:row>
      <xdr:rowOff>42333</xdr:rowOff>
    </xdr:to>
    <xdr:cxnSp macro="">
      <xdr:nvCxnSpPr>
        <xdr:cNvPr id="2634" name="Straight Arrow Connector 2633">
          <a:extLst>
            <a:ext uri="{FF2B5EF4-FFF2-40B4-BE49-F238E27FC236}">
              <a16:creationId xmlns:a16="http://schemas.microsoft.com/office/drawing/2014/main" id="{00000000-0008-0000-1300-00004A0A0000}"/>
            </a:ext>
          </a:extLst>
        </xdr:cNvPr>
        <xdr:cNvCxnSpPr/>
      </xdr:nvCxnSpPr>
      <xdr:spPr>
        <a:xfrm flipV="1">
          <a:off x="6699250" y="11853333"/>
          <a:ext cx="582083" cy="152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525</xdr:row>
      <xdr:rowOff>169334</xdr:rowOff>
    </xdr:from>
    <xdr:to>
      <xdr:col>9</xdr:col>
      <xdr:colOff>603250</xdr:colOff>
      <xdr:row>534</xdr:row>
      <xdr:rowOff>31750</xdr:rowOff>
    </xdr:to>
    <xdr:cxnSp macro="">
      <xdr:nvCxnSpPr>
        <xdr:cNvPr id="2635" name="Straight Arrow Connector 2634">
          <a:extLst>
            <a:ext uri="{FF2B5EF4-FFF2-40B4-BE49-F238E27FC236}">
              <a16:creationId xmlns:a16="http://schemas.microsoft.com/office/drawing/2014/main" id="{00000000-0008-0000-1300-00004B0A0000}"/>
            </a:ext>
          </a:extLst>
        </xdr:cNvPr>
        <xdr:cNvCxnSpPr/>
      </xdr:nvCxnSpPr>
      <xdr:spPr>
        <a:xfrm>
          <a:off x="6720417" y="13885334"/>
          <a:ext cx="571500" cy="1576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489</xdr:row>
      <xdr:rowOff>0</xdr:rowOff>
    </xdr:from>
    <xdr:to>
      <xdr:col>15</xdr:col>
      <xdr:colOff>603250</xdr:colOff>
      <xdr:row>491</xdr:row>
      <xdr:rowOff>1</xdr:rowOff>
    </xdr:to>
    <xdr:cxnSp macro="">
      <xdr:nvCxnSpPr>
        <xdr:cNvPr id="2637" name="Straight Arrow Connector 2636">
          <a:extLst>
            <a:ext uri="{FF2B5EF4-FFF2-40B4-BE49-F238E27FC236}">
              <a16:creationId xmlns:a16="http://schemas.microsoft.com/office/drawing/2014/main" id="{00000000-0008-0000-1300-00004D0A0000}"/>
            </a:ext>
          </a:extLst>
        </xdr:cNvPr>
        <xdr:cNvCxnSpPr/>
      </xdr:nvCxnSpPr>
      <xdr:spPr>
        <a:xfrm flipV="1">
          <a:off x="11271250" y="68580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491</xdr:row>
      <xdr:rowOff>10584</xdr:rowOff>
    </xdr:from>
    <xdr:to>
      <xdr:col>15</xdr:col>
      <xdr:colOff>592666</xdr:colOff>
      <xdr:row>492</xdr:row>
      <xdr:rowOff>95250</xdr:rowOff>
    </xdr:to>
    <xdr:cxnSp macro="">
      <xdr:nvCxnSpPr>
        <xdr:cNvPr id="2638" name="Straight Arrow Connector 2637">
          <a:extLst>
            <a:ext uri="{FF2B5EF4-FFF2-40B4-BE49-F238E27FC236}">
              <a16:creationId xmlns:a16="http://schemas.microsoft.com/office/drawing/2014/main" id="{00000000-0008-0000-1300-00004E0A0000}"/>
            </a:ext>
          </a:extLst>
        </xdr:cNvPr>
        <xdr:cNvCxnSpPr/>
      </xdr:nvCxnSpPr>
      <xdr:spPr>
        <a:xfrm>
          <a:off x="11313583" y="72495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491</xdr:row>
      <xdr:rowOff>10584</xdr:rowOff>
    </xdr:from>
    <xdr:to>
      <xdr:col>15</xdr:col>
      <xdr:colOff>560916</xdr:colOff>
      <xdr:row>495</xdr:row>
      <xdr:rowOff>52917</xdr:rowOff>
    </xdr:to>
    <xdr:cxnSp macro="">
      <xdr:nvCxnSpPr>
        <xdr:cNvPr id="2639" name="Straight Arrow Connector 2638">
          <a:extLst>
            <a:ext uri="{FF2B5EF4-FFF2-40B4-BE49-F238E27FC236}">
              <a16:creationId xmlns:a16="http://schemas.microsoft.com/office/drawing/2014/main" id="{00000000-0008-0000-1300-00004F0A0000}"/>
            </a:ext>
          </a:extLst>
        </xdr:cNvPr>
        <xdr:cNvCxnSpPr/>
      </xdr:nvCxnSpPr>
      <xdr:spPr>
        <a:xfrm>
          <a:off x="11292416" y="72495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491</xdr:row>
      <xdr:rowOff>31750</xdr:rowOff>
    </xdr:from>
    <xdr:to>
      <xdr:col>16</xdr:col>
      <xdr:colOff>21167</xdr:colOff>
      <xdr:row>498</xdr:row>
      <xdr:rowOff>95250</xdr:rowOff>
    </xdr:to>
    <xdr:cxnSp macro="">
      <xdr:nvCxnSpPr>
        <xdr:cNvPr id="2640" name="Straight Arrow Connector 2639">
          <a:extLst>
            <a:ext uri="{FF2B5EF4-FFF2-40B4-BE49-F238E27FC236}">
              <a16:creationId xmlns:a16="http://schemas.microsoft.com/office/drawing/2014/main" id="{00000000-0008-0000-1300-0000500A0000}"/>
            </a:ext>
          </a:extLst>
        </xdr:cNvPr>
        <xdr:cNvCxnSpPr/>
      </xdr:nvCxnSpPr>
      <xdr:spPr>
        <a:xfrm>
          <a:off x="11324166" y="727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505</xdr:row>
      <xdr:rowOff>0</xdr:rowOff>
    </xdr:from>
    <xdr:to>
      <xdr:col>16</xdr:col>
      <xdr:colOff>0</xdr:colOff>
      <xdr:row>505</xdr:row>
      <xdr:rowOff>42334</xdr:rowOff>
    </xdr:to>
    <xdr:cxnSp macro="">
      <xdr:nvCxnSpPr>
        <xdr:cNvPr id="2641" name="Straight Arrow Connector 2640">
          <a:extLst>
            <a:ext uri="{FF2B5EF4-FFF2-40B4-BE49-F238E27FC236}">
              <a16:creationId xmlns:a16="http://schemas.microsoft.com/office/drawing/2014/main" id="{00000000-0008-0000-1300-0000510A0000}"/>
            </a:ext>
          </a:extLst>
        </xdr:cNvPr>
        <xdr:cNvCxnSpPr/>
      </xdr:nvCxnSpPr>
      <xdr:spPr>
        <a:xfrm>
          <a:off x="11302999" y="9906000"/>
          <a:ext cx="592668"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505</xdr:row>
      <xdr:rowOff>21166</xdr:rowOff>
    </xdr:from>
    <xdr:to>
      <xdr:col>15</xdr:col>
      <xdr:colOff>560916</xdr:colOff>
      <xdr:row>508</xdr:row>
      <xdr:rowOff>84667</xdr:rowOff>
    </xdr:to>
    <xdr:cxnSp macro="">
      <xdr:nvCxnSpPr>
        <xdr:cNvPr id="2642" name="Straight Arrow Connector 2641">
          <a:extLst>
            <a:ext uri="{FF2B5EF4-FFF2-40B4-BE49-F238E27FC236}">
              <a16:creationId xmlns:a16="http://schemas.microsoft.com/office/drawing/2014/main" id="{00000000-0008-0000-1300-0000520A0000}"/>
            </a:ext>
          </a:extLst>
        </xdr:cNvPr>
        <xdr:cNvCxnSpPr/>
      </xdr:nvCxnSpPr>
      <xdr:spPr>
        <a:xfrm>
          <a:off x="11355916" y="99271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505</xdr:row>
      <xdr:rowOff>52916</xdr:rowOff>
    </xdr:from>
    <xdr:to>
      <xdr:col>15</xdr:col>
      <xdr:colOff>592666</xdr:colOff>
      <xdr:row>511</xdr:row>
      <xdr:rowOff>63501</xdr:rowOff>
    </xdr:to>
    <xdr:cxnSp macro="">
      <xdr:nvCxnSpPr>
        <xdr:cNvPr id="2643" name="Straight Arrow Connector 2642">
          <a:extLst>
            <a:ext uri="{FF2B5EF4-FFF2-40B4-BE49-F238E27FC236}">
              <a16:creationId xmlns:a16="http://schemas.microsoft.com/office/drawing/2014/main" id="{00000000-0008-0000-1300-0000530A0000}"/>
            </a:ext>
          </a:extLst>
        </xdr:cNvPr>
        <xdr:cNvCxnSpPr/>
      </xdr:nvCxnSpPr>
      <xdr:spPr>
        <a:xfrm>
          <a:off x="11313583" y="99589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534</xdr:row>
      <xdr:rowOff>116416</xdr:rowOff>
    </xdr:from>
    <xdr:to>
      <xdr:col>16</xdr:col>
      <xdr:colOff>0</xdr:colOff>
      <xdr:row>541</xdr:row>
      <xdr:rowOff>74084</xdr:rowOff>
    </xdr:to>
    <xdr:cxnSp macro="">
      <xdr:nvCxnSpPr>
        <xdr:cNvPr id="2647" name="Straight Arrow Connector 2646">
          <a:extLst>
            <a:ext uri="{FF2B5EF4-FFF2-40B4-BE49-F238E27FC236}">
              <a16:creationId xmlns:a16="http://schemas.microsoft.com/office/drawing/2014/main" id="{00000000-0008-0000-1300-0000570A0000}"/>
            </a:ext>
          </a:extLst>
        </xdr:cNvPr>
        <xdr:cNvCxnSpPr/>
      </xdr:nvCxnSpPr>
      <xdr:spPr>
        <a:xfrm>
          <a:off x="11313583" y="15546916"/>
          <a:ext cx="582084" cy="12911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502</xdr:row>
      <xdr:rowOff>52917</xdr:rowOff>
    </xdr:from>
    <xdr:to>
      <xdr:col>15</xdr:col>
      <xdr:colOff>603250</xdr:colOff>
      <xdr:row>504</xdr:row>
      <xdr:rowOff>148167</xdr:rowOff>
    </xdr:to>
    <xdr:cxnSp macro="">
      <xdr:nvCxnSpPr>
        <xdr:cNvPr id="2648" name="Straight Arrow Connector 2647">
          <a:extLst>
            <a:ext uri="{FF2B5EF4-FFF2-40B4-BE49-F238E27FC236}">
              <a16:creationId xmlns:a16="http://schemas.microsoft.com/office/drawing/2014/main" id="{00000000-0008-0000-1300-0000580A0000}"/>
            </a:ext>
          </a:extLst>
        </xdr:cNvPr>
        <xdr:cNvCxnSpPr/>
      </xdr:nvCxnSpPr>
      <xdr:spPr>
        <a:xfrm flipV="1">
          <a:off x="11324166" y="93874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547</xdr:row>
      <xdr:rowOff>31750</xdr:rowOff>
    </xdr:from>
    <xdr:to>
      <xdr:col>16</xdr:col>
      <xdr:colOff>21167</xdr:colOff>
      <xdr:row>554</xdr:row>
      <xdr:rowOff>95250</xdr:rowOff>
    </xdr:to>
    <xdr:cxnSp macro="">
      <xdr:nvCxnSpPr>
        <xdr:cNvPr id="2661" name="Straight Arrow Connector 2660">
          <a:extLst>
            <a:ext uri="{FF2B5EF4-FFF2-40B4-BE49-F238E27FC236}">
              <a16:creationId xmlns:a16="http://schemas.microsoft.com/office/drawing/2014/main" id="{00000000-0008-0000-1300-0000650A0000}"/>
            </a:ext>
          </a:extLst>
        </xdr:cNvPr>
        <xdr:cNvCxnSpPr/>
      </xdr:nvCxnSpPr>
      <xdr:spPr>
        <a:xfrm>
          <a:off x="11324166" y="18129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698500</xdr:colOff>
      <xdr:row>602</xdr:row>
      <xdr:rowOff>95250</xdr:rowOff>
    </xdr:from>
    <xdr:to>
      <xdr:col>8</xdr:col>
      <xdr:colOff>21167</xdr:colOff>
      <xdr:row>634</xdr:row>
      <xdr:rowOff>148166</xdr:rowOff>
    </xdr:to>
    <xdr:cxnSp macro="">
      <xdr:nvCxnSpPr>
        <xdr:cNvPr id="2666" name="Straight Arrow Connector 2665">
          <a:extLst>
            <a:ext uri="{FF2B5EF4-FFF2-40B4-BE49-F238E27FC236}">
              <a16:creationId xmlns:a16="http://schemas.microsoft.com/office/drawing/2014/main" id="{00000000-0008-0000-1300-00006A0A0000}"/>
            </a:ext>
          </a:extLst>
        </xdr:cNvPr>
        <xdr:cNvCxnSpPr/>
      </xdr:nvCxnSpPr>
      <xdr:spPr>
        <a:xfrm>
          <a:off x="5185833" y="28860750"/>
          <a:ext cx="910167" cy="6148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573</xdr:row>
      <xdr:rowOff>137583</xdr:rowOff>
    </xdr:from>
    <xdr:to>
      <xdr:col>9</xdr:col>
      <xdr:colOff>603250</xdr:colOff>
      <xdr:row>579</xdr:row>
      <xdr:rowOff>21166</xdr:rowOff>
    </xdr:to>
    <xdr:cxnSp macro="">
      <xdr:nvCxnSpPr>
        <xdr:cNvPr id="2667" name="Straight Arrow Connector 2666">
          <a:extLst>
            <a:ext uri="{FF2B5EF4-FFF2-40B4-BE49-F238E27FC236}">
              <a16:creationId xmlns:a16="http://schemas.microsoft.com/office/drawing/2014/main" id="{00000000-0008-0000-1300-00006B0A0000}"/>
            </a:ext>
          </a:extLst>
        </xdr:cNvPr>
        <xdr:cNvCxnSpPr/>
      </xdr:nvCxnSpPr>
      <xdr:spPr>
        <a:xfrm flipV="1">
          <a:off x="6688667" y="23188083"/>
          <a:ext cx="603250" cy="1026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582</xdr:row>
      <xdr:rowOff>0</xdr:rowOff>
    </xdr:from>
    <xdr:to>
      <xdr:col>9</xdr:col>
      <xdr:colOff>582083</xdr:colOff>
      <xdr:row>590</xdr:row>
      <xdr:rowOff>10583</xdr:rowOff>
    </xdr:to>
    <xdr:cxnSp macro="">
      <xdr:nvCxnSpPr>
        <xdr:cNvPr id="2668" name="Straight Arrow Connector 2667">
          <a:extLst>
            <a:ext uri="{FF2B5EF4-FFF2-40B4-BE49-F238E27FC236}">
              <a16:creationId xmlns:a16="http://schemas.microsoft.com/office/drawing/2014/main" id="{00000000-0008-0000-1300-00006C0A0000}"/>
            </a:ext>
          </a:extLst>
        </xdr:cNvPr>
        <xdr:cNvCxnSpPr/>
      </xdr:nvCxnSpPr>
      <xdr:spPr>
        <a:xfrm>
          <a:off x="6720417" y="24765000"/>
          <a:ext cx="550333" cy="1534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21167</xdr:colOff>
      <xdr:row>587</xdr:row>
      <xdr:rowOff>169333</xdr:rowOff>
    </xdr:from>
    <xdr:to>
      <xdr:col>11</xdr:col>
      <xdr:colOff>603250</xdr:colOff>
      <xdr:row>590</xdr:row>
      <xdr:rowOff>21167</xdr:rowOff>
    </xdr:to>
    <xdr:cxnSp macro="">
      <xdr:nvCxnSpPr>
        <xdr:cNvPr id="2669" name="Straight Arrow Connector 2668">
          <a:extLst>
            <a:ext uri="{FF2B5EF4-FFF2-40B4-BE49-F238E27FC236}">
              <a16:creationId xmlns:a16="http://schemas.microsoft.com/office/drawing/2014/main" id="{00000000-0008-0000-1300-00006D0A0000}"/>
            </a:ext>
          </a:extLst>
        </xdr:cNvPr>
        <xdr:cNvCxnSpPr/>
      </xdr:nvCxnSpPr>
      <xdr:spPr>
        <a:xfrm flipV="1">
          <a:off x="7937500" y="25886833"/>
          <a:ext cx="582083" cy="423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593</xdr:row>
      <xdr:rowOff>42333</xdr:rowOff>
    </xdr:from>
    <xdr:to>
      <xdr:col>11</xdr:col>
      <xdr:colOff>603250</xdr:colOff>
      <xdr:row>605</xdr:row>
      <xdr:rowOff>10583</xdr:rowOff>
    </xdr:to>
    <xdr:cxnSp macro="">
      <xdr:nvCxnSpPr>
        <xdr:cNvPr id="2670" name="Straight Arrow Connector 2669">
          <a:extLst>
            <a:ext uri="{FF2B5EF4-FFF2-40B4-BE49-F238E27FC236}">
              <a16:creationId xmlns:a16="http://schemas.microsoft.com/office/drawing/2014/main" id="{00000000-0008-0000-1300-00006E0A0000}"/>
            </a:ext>
          </a:extLst>
        </xdr:cNvPr>
        <xdr:cNvCxnSpPr/>
      </xdr:nvCxnSpPr>
      <xdr:spPr>
        <a:xfrm>
          <a:off x="7926917" y="269028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583</xdr:row>
      <xdr:rowOff>21167</xdr:rowOff>
    </xdr:from>
    <xdr:to>
      <xdr:col>13</xdr:col>
      <xdr:colOff>592667</xdr:colOff>
      <xdr:row>585</xdr:row>
      <xdr:rowOff>0</xdr:rowOff>
    </xdr:to>
    <xdr:cxnSp macro="">
      <xdr:nvCxnSpPr>
        <xdr:cNvPr id="2671" name="Straight Arrow Connector 2670">
          <a:extLst>
            <a:ext uri="{FF2B5EF4-FFF2-40B4-BE49-F238E27FC236}">
              <a16:creationId xmlns:a16="http://schemas.microsoft.com/office/drawing/2014/main" id="{00000000-0008-0000-1300-00006F0A0000}"/>
            </a:ext>
          </a:extLst>
        </xdr:cNvPr>
        <xdr:cNvCxnSpPr/>
      </xdr:nvCxnSpPr>
      <xdr:spPr>
        <a:xfrm flipV="1">
          <a:off x="9133417" y="24976667"/>
          <a:ext cx="984250"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588</xdr:row>
      <xdr:rowOff>21166</xdr:rowOff>
    </xdr:from>
    <xdr:to>
      <xdr:col>13</xdr:col>
      <xdr:colOff>592667</xdr:colOff>
      <xdr:row>589</xdr:row>
      <xdr:rowOff>169334</xdr:rowOff>
    </xdr:to>
    <xdr:cxnSp macro="">
      <xdr:nvCxnSpPr>
        <xdr:cNvPr id="2672" name="Straight Arrow Connector 2671">
          <a:extLst>
            <a:ext uri="{FF2B5EF4-FFF2-40B4-BE49-F238E27FC236}">
              <a16:creationId xmlns:a16="http://schemas.microsoft.com/office/drawing/2014/main" id="{00000000-0008-0000-1300-0000700A0000}"/>
            </a:ext>
          </a:extLst>
        </xdr:cNvPr>
        <xdr:cNvCxnSpPr/>
      </xdr:nvCxnSpPr>
      <xdr:spPr>
        <a:xfrm>
          <a:off x="9122833" y="25929166"/>
          <a:ext cx="994834"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603</xdr:row>
      <xdr:rowOff>21167</xdr:rowOff>
    </xdr:from>
    <xdr:to>
      <xdr:col>13</xdr:col>
      <xdr:colOff>592667</xdr:colOff>
      <xdr:row>605</xdr:row>
      <xdr:rowOff>63500</xdr:rowOff>
    </xdr:to>
    <xdr:cxnSp macro="">
      <xdr:nvCxnSpPr>
        <xdr:cNvPr id="2673" name="Straight Arrow Connector 2672">
          <a:extLst>
            <a:ext uri="{FF2B5EF4-FFF2-40B4-BE49-F238E27FC236}">
              <a16:creationId xmlns:a16="http://schemas.microsoft.com/office/drawing/2014/main" id="{00000000-0008-0000-1300-0000710A0000}"/>
            </a:ext>
          </a:extLst>
        </xdr:cNvPr>
        <xdr:cNvCxnSpPr/>
      </xdr:nvCxnSpPr>
      <xdr:spPr>
        <a:xfrm flipV="1">
          <a:off x="9525000" y="289771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608</xdr:row>
      <xdr:rowOff>0</xdr:rowOff>
    </xdr:from>
    <xdr:to>
      <xdr:col>14</xdr:col>
      <xdr:colOff>10584</xdr:colOff>
      <xdr:row>616</xdr:row>
      <xdr:rowOff>148167</xdr:rowOff>
    </xdr:to>
    <xdr:cxnSp macro="">
      <xdr:nvCxnSpPr>
        <xdr:cNvPr id="2674" name="Straight Arrow Connector 2673">
          <a:extLst>
            <a:ext uri="{FF2B5EF4-FFF2-40B4-BE49-F238E27FC236}">
              <a16:creationId xmlns:a16="http://schemas.microsoft.com/office/drawing/2014/main" id="{00000000-0008-0000-1300-0000720A0000}"/>
            </a:ext>
          </a:extLst>
        </xdr:cNvPr>
        <xdr:cNvCxnSpPr/>
      </xdr:nvCxnSpPr>
      <xdr:spPr>
        <a:xfrm>
          <a:off x="9535583" y="29908500"/>
          <a:ext cx="613834"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575</xdr:row>
      <xdr:rowOff>0</xdr:rowOff>
    </xdr:from>
    <xdr:to>
      <xdr:col>15</xdr:col>
      <xdr:colOff>603250</xdr:colOff>
      <xdr:row>580</xdr:row>
      <xdr:rowOff>31750</xdr:rowOff>
    </xdr:to>
    <xdr:cxnSp macro="">
      <xdr:nvCxnSpPr>
        <xdr:cNvPr id="2675" name="Straight Arrow Connector 2674">
          <a:extLst>
            <a:ext uri="{FF2B5EF4-FFF2-40B4-BE49-F238E27FC236}">
              <a16:creationId xmlns:a16="http://schemas.microsoft.com/office/drawing/2014/main" id="{00000000-0008-0000-1300-0000730A0000}"/>
            </a:ext>
          </a:extLst>
        </xdr:cNvPr>
        <xdr:cNvCxnSpPr/>
      </xdr:nvCxnSpPr>
      <xdr:spPr>
        <a:xfrm flipV="1">
          <a:off x="11281833" y="23431500"/>
          <a:ext cx="603250" cy="984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578</xdr:row>
      <xdr:rowOff>52917</xdr:rowOff>
    </xdr:from>
    <xdr:to>
      <xdr:col>15</xdr:col>
      <xdr:colOff>603250</xdr:colOff>
      <xdr:row>580</xdr:row>
      <xdr:rowOff>95250</xdr:rowOff>
    </xdr:to>
    <xdr:cxnSp macro="">
      <xdr:nvCxnSpPr>
        <xdr:cNvPr id="2676" name="Straight Arrow Connector 2675">
          <a:extLst>
            <a:ext uri="{FF2B5EF4-FFF2-40B4-BE49-F238E27FC236}">
              <a16:creationId xmlns:a16="http://schemas.microsoft.com/office/drawing/2014/main" id="{00000000-0008-0000-1300-0000740A0000}"/>
            </a:ext>
          </a:extLst>
        </xdr:cNvPr>
        <xdr:cNvCxnSpPr/>
      </xdr:nvCxnSpPr>
      <xdr:spPr>
        <a:xfrm flipV="1">
          <a:off x="11324166" y="24055917"/>
          <a:ext cx="56091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580</xdr:row>
      <xdr:rowOff>158750</xdr:rowOff>
    </xdr:from>
    <xdr:to>
      <xdr:col>15</xdr:col>
      <xdr:colOff>582083</xdr:colOff>
      <xdr:row>581</xdr:row>
      <xdr:rowOff>137583</xdr:rowOff>
    </xdr:to>
    <xdr:cxnSp macro="">
      <xdr:nvCxnSpPr>
        <xdr:cNvPr id="2677" name="Straight Arrow Connector 2676">
          <a:extLst>
            <a:ext uri="{FF2B5EF4-FFF2-40B4-BE49-F238E27FC236}">
              <a16:creationId xmlns:a16="http://schemas.microsoft.com/office/drawing/2014/main" id="{00000000-0008-0000-1300-0000750A0000}"/>
            </a:ext>
          </a:extLst>
        </xdr:cNvPr>
        <xdr:cNvCxnSpPr/>
      </xdr:nvCxnSpPr>
      <xdr:spPr>
        <a:xfrm>
          <a:off x="11345333" y="24542750"/>
          <a:ext cx="518583" cy="169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1121834</xdr:colOff>
      <xdr:row>580</xdr:row>
      <xdr:rowOff>105834</xdr:rowOff>
    </xdr:from>
    <xdr:to>
      <xdr:col>16</xdr:col>
      <xdr:colOff>0</xdr:colOff>
      <xdr:row>584</xdr:row>
      <xdr:rowOff>84667</xdr:rowOff>
    </xdr:to>
    <xdr:cxnSp macro="">
      <xdr:nvCxnSpPr>
        <xdr:cNvPr id="2678" name="Straight Arrow Connector 2677">
          <a:extLst>
            <a:ext uri="{FF2B5EF4-FFF2-40B4-BE49-F238E27FC236}">
              <a16:creationId xmlns:a16="http://schemas.microsoft.com/office/drawing/2014/main" id="{00000000-0008-0000-1300-0000760A0000}"/>
            </a:ext>
          </a:extLst>
        </xdr:cNvPr>
        <xdr:cNvCxnSpPr/>
      </xdr:nvCxnSpPr>
      <xdr:spPr>
        <a:xfrm>
          <a:off x="11260667" y="24489834"/>
          <a:ext cx="63500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588</xdr:row>
      <xdr:rowOff>52916</xdr:rowOff>
    </xdr:from>
    <xdr:to>
      <xdr:col>16</xdr:col>
      <xdr:colOff>0</xdr:colOff>
      <xdr:row>590</xdr:row>
      <xdr:rowOff>0</xdr:rowOff>
    </xdr:to>
    <xdr:cxnSp macro="">
      <xdr:nvCxnSpPr>
        <xdr:cNvPr id="2679" name="Straight Arrow Connector 2678">
          <a:extLst>
            <a:ext uri="{FF2B5EF4-FFF2-40B4-BE49-F238E27FC236}">
              <a16:creationId xmlns:a16="http://schemas.microsoft.com/office/drawing/2014/main" id="{00000000-0008-0000-1300-0000770A0000}"/>
            </a:ext>
          </a:extLst>
        </xdr:cNvPr>
        <xdr:cNvCxnSpPr/>
      </xdr:nvCxnSpPr>
      <xdr:spPr>
        <a:xfrm flipV="1">
          <a:off x="11281833" y="25960916"/>
          <a:ext cx="613834"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590</xdr:row>
      <xdr:rowOff>21167</xdr:rowOff>
    </xdr:from>
    <xdr:to>
      <xdr:col>15</xdr:col>
      <xdr:colOff>582083</xdr:colOff>
      <xdr:row>591</xdr:row>
      <xdr:rowOff>42333</xdr:rowOff>
    </xdr:to>
    <xdr:cxnSp macro="">
      <xdr:nvCxnSpPr>
        <xdr:cNvPr id="2680" name="Straight Arrow Connector 2679">
          <a:extLst>
            <a:ext uri="{FF2B5EF4-FFF2-40B4-BE49-F238E27FC236}">
              <a16:creationId xmlns:a16="http://schemas.microsoft.com/office/drawing/2014/main" id="{00000000-0008-0000-1300-0000780A0000}"/>
            </a:ext>
          </a:extLst>
        </xdr:cNvPr>
        <xdr:cNvCxnSpPr/>
      </xdr:nvCxnSpPr>
      <xdr:spPr>
        <a:xfrm>
          <a:off x="11292416" y="26310167"/>
          <a:ext cx="571500" cy="211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590</xdr:row>
      <xdr:rowOff>21167</xdr:rowOff>
    </xdr:from>
    <xdr:to>
      <xdr:col>16</xdr:col>
      <xdr:colOff>42333</xdr:colOff>
      <xdr:row>595</xdr:row>
      <xdr:rowOff>21168</xdr:rowOff>
    </xdr:to>
    <xdr:cxnSp macro="">
      <xdr:nvCxnSpPr>
        <xdr:cNvPr id="2681" name="Straight Arrow Connector 2680">
          <a:extLst>
            <a:ext uri="{FF2B5EF4-FFF2-40B4-BE49-F238E27FC236}">
              <a16:creationId xmlns:a16="http://schemas.microsoft.com/office/drawing/2014/main" id="{00000000-0008-0000-1300-0000790A0000}"/>
            </a:ext>
          </a:extLst>
        </xdr:cNvPr>
        <xdr:cNvCxnSpPr/>
      </xdr:nvCxnSpPr>
      <xdr:spPr>
        <a:xfrm>
          <a:off x="11271250" y="26310167"/>
          <a:ext cx="666750" cy="9525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590</xdr:row>
      <xdr:rowOff>31750</xdr:rowOff>
    </xdr:from>
    <xdr:to>
      <xdr:col>16</xdr:col>
      <xdr:colOff>42334</xdr:colOff>
      <xdr:row>597</xdr:row>
      <xdr:rowOff>63501</xdr:rowOff>
    </xdr:to>
    <xdr:cxnSp macro="">
      <xdr:nvCxnSpPr>
        <xdr:cNvPr id="2682" name="Straight Arrow Connector 2681">
          <a:extLst>
            <a:ext uri="{FF2B5EF4-FFF2-40B4-BE49-F238E27FC236}">
              <a16:creationId xmlns:a16="http://schemas.microsoft.com/office/drawing/2014/main" id="{00000000-0008-0000-1300-00007A0A0000}"/>
            </a:ext>
          </a:extLst>
        </xdr:cNvPr>
        <xdr:cNvCxnSpPr/>
      </xdr:nvCxnSpPr>
      <xdr:spPr>
        <a:xfrm>
          <a:off x="11281833" y="26320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10583</xdr:colOff>
      <xdr:row>627</xdr:row>
      <xdr:rowOff>42333</xdr:rowOff>
    </xdr:from>
    <xdr:to>
      <xdr:col>9</xdr:col>
      <xdr:colOff>592666</xdr:colOff>
      <xdr:row>635</xdr:row>
      <xdr:rowOff>42333</xdr:rowOff>
    </xdr:to>
    <xdr:cxnSp macro="">
      <xdr:nvCxnSpPr>
        <xdr:cNvPr id="2683" name="Straight Arrow Connector 2682">
          <a:extLst>
            <a:ext uri="{FF2B5EF4-FFF2-40B4-BE49-F238E27FC236}">
              <a16:creationId xmlns:a16="http://schemas.microsoft.com/office/drawing/2014/main" id="{00000000-0008-0000-1300-00007B0A0000}"/>
            </a:ext>
          </a:extLst>
        </xdr:cNvPr>
        <xdr:cNvCxnSpPr/>
      </xdr:nvCxnSpPr>
      <xdr:spPr>
        <a:xfrm flipV="1">
          <a:off x="6699250" y="33570333"/>
          <a:ext cx="582083" cy="152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637</xdr:row>
      <xdr:rowOff>169334</xdr:rowOff>
    </xdr:from>
    <xdr:to>
      <xdr:col>9</xdr:col>
      <xdr:colOff>603250</xdr:colOff>
      <xdr:row>646</xdr:row>
      <xdr:rowOff>31750</xdr:rowOff>
    </xdr:to>
    <xdr:cxnSp macro="">
      <xdr:nvCxnSpPr>
        <xdr:cNvPr id="2684" name="Straight Arrow Connector 2683">
          <a:extLst>
            <a:ext uri="{FF2B5EF4-FFF2-40B4-BE49-F238E27FC236}">
              <a16:creationId xmlns:a16="http://schemas.microsoft.com/office/drawing/2014/main" id="{00000000-0008-0000-1300-00007C0A0000}"/>
            </a:ext>
          </a:extLst>
        </xdr:cNvPr>
        <xdr:cNvCxnSpPr/>
      </xdr:nvCxnSpPr>
      <xdr:spPr>
        <a:xfrm>
          <a:off x="6720417" y="35602334"/>
          <a:ext cx="571500" cy="1576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571500</xdr:colOff>
      <xdr:row>643</xdr:row>
      <xdr:rowOff>158750</xdr:rowOff>
    </xdr:from>
    <xdr:to>
      <xdr:col>11</xdr:col>
      <xdr:colOff>571500</xdr:colOff>
      <xdr:row>646</xdr:row>
      <xdr:rowOff>0</xdr:rowOff>
    </xdr:to>
    <xdr:cxnSp macro="">
      <xdr:nvCxnSpPr>
        <xdr:cNvPr id="2685" name="Straight Arrow Connector 2684">
          <a:extLst>
            <a:ext uri="{FF2B5EF4-FFF2-40B4-BE49-F238E27FC236}">
              <a16:creationId xmlns:a16="http://schemas.microsoft.com/office/drawing/2014/main" id="{00000000-0008-0000-1300-00007D0A0000}"/>
            </a:ext>
          </a:extLst>
        </xdr:cNvPr>
        <xdr:cNvCxnSpPr/>
      </xdr:nvCxnSpPr>
      <xdr:spPr>
        <a:xfrm flipV="1">
          <a:off x="7874000" y="36734750"/>
          <a:ext cx="613833" cy="412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601</xdr:row>
      <xdr:rowOff>0</xdr:rowOff>
    </xdr:from>
    <xdr:to>
      <xdr:col>15</xdr:col>
      <xdr:colOff>603250</xdr:colOff>
      <xdr:row>603</xdr:row>
      <xdr:rowOff>1</xdr:rowOff>
    </xdr:to>
    <xdr:cxnSp macro="">
      <xdr:nvCxnSpPr>
        <xdr:cNvPr id="2686" name="Straight Arrow Connector 2685">
          <a:extLst>
            <a:ext uri="{FF2B5EF4-FFF2-40B4-BE49-F238E27FC236}">
              <a16:creationId xmlns:a16="http://schemas.microsoft.com/office/drawing/2014/main" id="{00000000-0008-0000-1300-00007E0A0000}"/>
            </a:ext>
          </a:extLst>
        </xdr:cNvPr>
        <xdr:cNvCxnSpPr/>
      </xdr:nvCxnSpPr>
      <xdr:spPr>
        <a:xfrm flipV="1">
          <a:off x="11271250" y="285750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603</xdr:row>
      <xdr:rowOff>10584</xdr:rowOff>
    </xdr:from>
    <xdr:to>
      <xdr:col>15</xdr:col>
      <xdr:colOff>592666</xdr:colOff>
      <xdr:row>604</xdr:row>
      <xdr:rowOff>95250</xdr:rowOff>
    </xdr:to>
    <xdr:cxnSp macro="">
      <xdr:nvCxnSpPr>
        <xdr:cNvPr id="2687" name="Straight Arrow Connector 2686">
          <a:extLst>
            <a:ext uri="{FF2B5EF4-FFF2-40B4-BE49-F238E27FC236}">
              <a16:creationId xmlns:a16="http://schemas.microsoft.com/office/drawing/2014/main" id="{00000000-0008-0000-1300-00007F0A0000}"/>
            </a:ext>
          </a:extLst>
        </xdr:cNvPr>
        <xdr:cNvCxnSpPr/>
      </xdr:nvCxnSpPr>
      <xdr:spPr>
        <a:xfrm>
          <a:off x="11313583" y="289665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603</xdr:row>
      <xdr:rowOff>10584</xdr:rowOff>
    </xdr:from>
    <xdr:to>
      <xdr:col>15</xdr:col>
      <xdr:colOff>560916</xdr:colOff>
      <xdr:row>607</xdr:row>
      <xdr:rowOff>52917</xdr:rowOff>
    </xdr:to>
    <xdr:cxnSp macro="">
      <xdr:nvCxnSpPr>
        <xdr:cNvPr id="2688" name="Straight Arrow Connector 2687">
          <a:extLst>
            <a:ext uri="{FF2B5EF4-FFF2-40B4-BE49-F238E27FC236}">
              <a16:creationId xmlns:a16="http://schemas.microsoft.com/office/drawing/2014/main" id="{00000000-0008-0000-1300-0000800A0000}"/>
            </a:ext>
          </a:extLst>
        </xdr:cNvPr>
        <xdr:cNvCxnSpPr/>
      </xdr:nvCxnSpPr>
      <xdr:spPr>
        <a:xfrm>
          <a:off x="11292416" y="289665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603</xdr:row>
      <xdr:rowOff>31750</xdr:rowOff>
    </xdr:from>
    <xdr:to>
      <xdr:col>16</xdr:col>
      <xdr:colOff>21167</xdr:colOff>
      <xdr:row>610</xdr:row>
      <xdr:rowOff>95250</xdr:rowOff>
    </xdr:to>
    <xdr:cxnSp macro="">
      <xdr:nvCxnSpPr>
        <xdr:cNvPr id="2689" name="Straight Arrow Connector 2688">
          <a:extLst>
            <a:ext uri="{FF2B5EF4-FFF2-40B4-BE49-F238E27FC236}">
              <a16:creationId xmlns:a16="http://schemas.microsoft.com/office/drawing/2014/main" id="{00000000-0008-0000-1300-0000810A0000}"/>
            </a:ext>
          </a:extLst>
        </xdr:cNvPr>
        <xdr:cNvCxnSpPr/>
      </xdr:nvCxnSpPr>
      <xdr:spPr>
        <a:xfrm>
          <a:off x="11324166" y="28987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617</xdr:row>
      <xdr:rowOff>0</xdr:rowOff>
    </xdr:from>
    <xdr:to>
      <xdr:col>16</xdr:col>
      <xdr:colOff>0</xdr:colOff>
      <xdr:row>617</xdr:row>
      <xdr:rowOff>42334</xdr:rowOff>
    </xdr:to>
    <xdr:cxnSp macro="">
      <xdr:nvCxnSpPr>
        <xdr:cNvPr id="2690" name="Straight Arrow Connector 2689">
          <a:extLst>
            <a:ext uri="{FF2B5EF4-FFF2-40B4-BE49-F238E27FC236}">
              <a16:creationId xmlns:a16="http://schemas.microsoft.com/office/drawing/2014/main" id="{00000000-0008-0000-1300-0000820A0000}"/>
            </a:ext>
          </a:extLst>
        </xdr:cNvPr>
        <xdr:cNvCxnSpPr/>
      </xdr:nvCxnSpPr>
      <xdr:spPr>
        <a:xfrm>
          <a:off x="11302999" y="31623000"/>
          <a:ext cx="592668"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617</xdr:row>
      <xdr:rowOff>21166</xdr:rowOff>
    </xdr:from>
    <xdr:to>
      <xdr:col>15</xdr:col>
      <xdr:colOff>560916</xdr:colOff>
      <xdr:row>620</xdr:row>
      <xdr:rowOff>84667</xdr:rowOff>
    </xdr:to>
    <xdr:cxnSp macro="">
      <xdr:nvCxnSpPr>
        <xdr:cNvPr id="2691" name="Straight Arrow Connector 2690">
          <a:extLst>
            <a:ext uri="{FF2B5EF4-FFF2-40B4-BE49-F238E27FC236}">
              <a16:creationId xmlns:a16="http://schemas.microsoft.com/office/drawing/2014/main" id="{00000000-0008-0000-1300-0000830A0000}"/>
            </a:ext>
          </a:extLst>
        </xdr:cNvPr>
        <xdr:cNvCxnSpPr/>
      </xdr:nvCxnSpPr>
      <xdr:spPr>
        <a:xfrm>
          <a:off x="11355916" y="316441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617</xdr:row>
      <xdr:rowOff>52916</xdr:rowOff>
    </xdr:from>
    <xdr:to>
      <xdr:col>15</xdr:col>
      <xdr:colOff>592666</xdr:colOff>
      <xdr:row>623</xdr:row>
      <xdr:rowOff>63501</xdr:rowOff>
    </xdr:to>
    <xdr:cxnSp macro="">
      <xdr:nvCxnSpPr>
        <xdr:cNvPr id="2692" name="Straight Arrow Connector 2691">
          <a:extLst>
            <a:ext uri="{FF2B5EF4-FFF2-40B4-BE49-F238E27FC236}">
              <a16:creationId xmlns:a16="http://schemas.microsoft.com/office/drawing/2014/main" id="{00000000-0008-0000-1300-0000840A0000}"/>
            </a:ext>
          </a:extLst>
        </xdr:cNvPr>
        <xdr:cNvCxnSpPr/>
      </xdr:nvCxnSpPr>
      <xdr:spPr>
        <a:xfrm>
          <a:off x="11313583" y="316759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631</xdr:row>
      <xdr:rowOff>116416</xdr:rowOff>
    </xdr:from>
    <xdr:to>
      <xdr:col>15</xdr:col>
      <xdr:colOff>592666</xdr:colOff>
      <xdr:row>634</xdr:row>
      <xdr:rowOff>158750</xdr:rowOff>
    </xdr:to>
    <xdr:cxnSp macro="">
      <xdr:nvCxnSpPr>
        <xdr:cNvPr id="2693" name="Straight Arrow Connector 2692">
          <a:extLst>
            <a:ext uri="{FF2B5EF4-FFF2-40B4-BE49-F238E27FC236}">
              <a16:creationId xmlns:a16="http://schemas.microsoft.com/office/drawing/2014/main" id="{00000000-0008-0000-1300-0000850A0000}"/>
            </a:ext>
          </a:extLst>
        </xdr:cNvPr>
        <xdr:cNvCxnSpPr/>
      </xdr:nvCxnSpPr>
      <xdr:spPr>
        <a:xfrm flipV="1">
          <a:off x="11302999" y="34406416"/>
          <a:ext cx="571500" cy="613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633</xdr:row>
      <xdr:rowOff>95250</xdr:rowOff>
    </xdr:from>
    <xdr:to>
      <xdr:col>15</xdr:col>
      <xdr:colOff>582083</xdr:colOff>
      <xdr:row>635</xdr:row>
      <xdr:rowOff>52917</xdr:rowOff>
    </xdr:to>
    <xdr:cxnSp macro="">
      <xdr:nvCxnSpPr>
        <xdr:cNvPr id="2694" name="Straight Arrow Connector 2693">
          <a:extLst>
            <a:ext uri="{FF2B5EF4-FFF2-40B4-BE49-F238E27FC236}">
              <a16:creationId xmlns:a16="http://schemas.microsoft.com/office/drawing/2014/main" id="{00000000-0008-0000-1300-0000860A0000}"/>
            </a:ext>
          </a:extLst>
        </xdr:cNvPr>
        <xdr:cNvCxnSpPr/>
      </xdr:nvCxnSpPr>
      <xdr:spPr>
        <a:xfrm flipV="1">
          <a:off x="11345333" y="34766250"/>
          <a:ext cx="518583" cy="338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635</xdr:row>
      <xdr:rowOff>116417</xdr:rowOff>
    </xdr:from>
    <xdr:to>
      <xdr:col>15</xdr:col>
      <xdr:colOff>592666</xdr:colOff>
      <xdr:row>639</xdr:row>
      <xdr:rowOff>95250</xdr:rowOff>
    </xdr:to>
    <xdr:cxnSp macro="">
      <xdr:nvCxnSpPr>
        <xdr:cNvPr id="2695" name="Straight Arrow Connector 2694">
          <a:extLst>
            <a:ext uri="{FF2B5EF4-FFF2-40B4-BE49-F238E27FC236}">
              <a16:creationId xmlns:a16="http://schemas.microsoft.com/office/drawing/2014/main" id="{00000000-0008-0000-1300-0000870A0000}"/>
            </a:ext>
          </a:extLst>
        </xdr:cNvPr>
        <xdr:cNvCxnSpPr/>
      </xdr:nvCxnSpPr>
      <xdr:spPr>
        <a:xfrm>
          <a:off x="11334749" y="35168417"/>
          <a:ext cx="53975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646</xdr:row>
      <xdr:rowOff>116416</xdr:rowOff>
    </xdr:from>
    <xdr:to>
      <xdr:col>16</xdr:col>
      <xdr:colOff>0</xdr:colOff>
      <xdr:row>653</xdr:row>
      <xdr:rowOff>74084</xdr:rowOff>
    </xdr:to>
    <xdr:cxnSp macro="">
      <xdr:nvCxnSpPr>
        <xdr:cNvPr id="2696" name="Straight Arrow Connector 2695">
          <a:extLst>
            <a:ext uri="{FF2B5EF4-FFF2-40B4-BE49-F238E27FC236}">
              <a16:creationId xmlns:a16="http://schemas.microsoft.com/office/drawing/2014/main" id="{00000000-0008-0000-1300-0000880A0000}"/>
            </a:ext>
          </a:extLst>
        </xdr:cNvPr>
        <xdr:cNvCxnSpPr/>
      </xdr:nvCxnSpPr>
      <xdr:spPr>
        <a:xfrm>
          <a:off x="11313583" y="37263916"/>
          <a:ext cx="582084" cy="12911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614</xdr:row>
      <xdr:rowOff>52917</xdr:rowOff>
    </xdr:from>
    <xdr:to>
      <xdr:col>15</xdr:col>
      <xdr:colOff>603250</xdr:colOff>
      <xdr:row>616</xdr:row>
      <xdr:rowOff>148167</xdr:rowOff>
    </xdr:to>
    <xdr:cxnSp macro="">
      <xdr:nvCxnSpPr>
        <xdr:cNvPr id="2697" name="Straight Arrow Connector 2696">
          <a:extLst>
            <a:ext uri="{FF2B5EF4-FFF2-40B4-BE49-F238E27FC236}">
              <a16:creationId xmlns:a16="http://schemas.microsoft.com/office/drawing/2014/main" id="{00000000-0008-0000-1300-0000890A0000}"/>
            </a:ext>
          </a:extLst>
        </xdr:cNvPr>
        <xdr:cNvCxnSpPr/>
      </xdr:nvCxnSpPr>
      <xdr:spPr>
        <a:xfrm flipV="1">
          <a:off x="11324166" y="311044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649</xdr:row>
      <xdr:rowOff>42333</xdr:rowOff>
    </xdr:from>
    <xdr:to>
      <xdr:col>11</xdr:col>
      <xdr:colOff>603250</xdr:colOff>
      <xdr:row>661</xdr:row>
      <xdr:rowOff>10583</xdr:rowOff>
    </xdr:to>
    <xdr:cxnSp macro="">
      <xdr:nvCxnSpPr>
        <xdr:cNvPr id="2698" name="Straight Arrow Connector 2697">
          <a:extLst>
            <a:ext uri="{FF2B5EF4-FFF2-40B4-BE49-F238E27FC236}">
              <a16:creationId xmlns:a16="http://schemas.microsoft.com/office/drawing/2014/main" id="{00000000-0008-0000-1300-00008A0A0000}"/>
            </a:ext>
          </a:extLst>
        </xdr:cNvPr>
        <xdr:cNvCxnSpPr/>
      </xdr:nvCxnSpPr>
      <xdr:spPr>
        <a:xfrm>
          <a:off x="7926917" y="377613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639</xdr:row>
      <xdr:rowOff>21167</xdr:rowOff>
    </xdr:from>
    <xdr:to>
      <xdr:col>13</xdr:col>
      <xdr:colOff>592667</xdr:colOff>
      <xdr:row>641</xdr:row>
      <xdr:rowOff>0</xdr:rowOff>
    </xdr:to>
    <xdr:cxnSp macro="">
      <xdr:nvCxnSpPr>
        <xdr:cNvPr id="2699" name="Straight Arrow Connector 2698">
          <a:extLst>
            <a:ext uri="{FF2B5EF4-FFF2-40B4-BE49-F238E27FC236}">
              <a16:creationId xmlns:a16="http://schemas.microsoft.com/office/drawing/2014/main" id="{00000000-0008-0000-1300-00008B0A0000}"/>
            </a:ext>
          </a:extLst>
        </xdr:cNvPr>
        <xdr:cNvCxnSpPr/>
      </xdr:nvCxnSpPr>
      <xdr:spPr>
        <a:xfrm flipV="1">
          <a:off x="9133417" y="35835167"/>
          <a:ext cx="984250"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644</xdr:row>
      <xdr:rowOff>21166</xdr:rowOff>
    </xdr:from>
    <xdr:to>
      <xdr:col>13</xdr:col>
      <xdr:colOff>592667</xdr:colOff>
      <xdr:row>645</xdr:row>
      <xdr:rowOff>169334</xdr:rowOff>
    </xdr:to>
    <xdr:cxnSp macro="">
      <xdr:nvCxnSpPr>
        <xdr:cNvPr id="2700" name="Straight Arrow Connector 2699">
          <a:extLst>
            <a:ext uri="{FF2B5EF4-FFF2-40B4-BE49-F238E27FC236}">
              <a16:creationId xmlns:a16="http://schemas.microsoft.com/office/drawing/2014/main" id="{00000000-0008-0000-1300-00008C0A0000}"/>
            </a:ext>
          </a:extLst>
        </xdr:cNvPr>
        <xdr:cNvCxnSpPr/>
      </xdr:nvCxnSpPr>
      <xdr:spPr>
        <a:xfrm>
          <a:off x="9122833" y="36787666"/>
          <a:ext cx="994834"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659</xdr:row>
      <xdr:rowOff>21167</xdr:rowOff>
    </xdr:from>
    <xdr:to>
      <xdr:col>13</xdr:col>
      <xdr:colOff>592667</xdr:colOff>
      <xdr:row>661</xdr:row>
      <xdr:rowOff>63500</xdr:rowOff>
    </xdr:to>
    <xdr:cxnSp macro="">
      <xdr:nvCxnSpPr>
        <xdr:cNvPr id="2701" name="Straight Arrow Connector 2700">
          <a:extLst>
            <a:ext uri="{FF2B5EF4-FFF2-40B4-BE49-F238E27FC236}">
              <a16:creationId xmlns:a16="http://schemas.microsoft.com/office/drawing/2014/main" id="{00000000-0008-0000-1300-00008D0A0000}"/>
            </a:ext>
          </a:extLst>
        </xdr:cNvPr>
        <xdr:cNvCxnSpPr/>
      </xdr:nvCxnSpPr>
      <xdr:spPr>
        <a:xfrm flipV="1">
          <a:off x="9525000" y="398356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664</xdr:row>
      <xdr:rowOff>0</xdr:rowOff>
    </xdr:from>
    <xdr:to>
      <xdr:col>14</xdr:col>
      <xdr:colOff>10584</xdr:colOff>
      <xdr:row>672</xdr:row>
      <xdr:rowOff>148167</xdr:rowOff>
    </xdr:to>
    <xdr:cxnSp macro="">
      <xdr:nvCxnSpPr>
        <xdr:cNvPr id="2702" name="Straight Arrow Connector 2701">
          <a:extLst>
            <a:ext uri="{FF2B5EF4-FFF2-40B4-BE49-F238E27FC236}">
              <a16:creationId xmlns:a16="http://schemas.microsoft.com/office/drawing/2014/main" id="{00000000-0008-0000-1300-00008E0A0000}"/>
            </a:ext>
          </a:extLst>
        </xdr:cNvPr>
        <xdr:cNvCxnSpPr/>
      </xdr:nvCxnSpPr>
      <xdr:spPr>
        <a:xfrm>
          <a:off x="9535583" y="40767000"/>
          <a:ext cx="613834"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635</xdr:row>
      <xdr:rowOff>95250</xdr:rowOff>
    </xdr:from>
    <xdr:to>
      <xdr:col>15</xdr:col>
      <xdr:colOff>582083</xdr:colOff>
      <xdr:row>637</xdr:row>
      <xdr:rowOff>137583</xdr:rowOff>
    </xdr:to>
    <xdr:cxnSp macro="">
      <xdr:nvCxnSpPr>
        <xdr:cNvPr id="2703" name="Straight Arrow Connector 2702">
          <a:extLst>
            <a:ext uri="{FF2B5EF4-FFF2-40B4-BE49-F238E27FC236}">
              <a16:creationId xmlns:a16="http://schemas.microsoft.com/office/drawing/2014/main" id="{00000000-0008-0000-1300-00008F0A0000}"/>
            </a:ext>
          </a:extLst>
        </xdr:cNvPr>
        <xdr:cNvCxnSpPr/>
      </xdr:nvCxnSpPr>
      <xdr:spPr>
        <a:xfrm>
          <a:off x="11334749" y="35147250"/>
          <a:ext cx="5291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644</xdr:row>
      <xdr:rowOff>52916</xdr:rowOff>
    </xdr:from>
    <xdr:to>
      <xdr:col>16</xdr:col>
      <xdr:colOff>0</xdr:colOff>
      <xdr:row>646</xdr:row>
      <xdr:rowOff>0</xdr:rowOff>
    </xdr:to>
    <xdr:cxnSp macro="">
      <xdr:nvCxnSpPr>
        <xdr:cNvPr id="2704" name="Straight Arrow Connector 2703">
          <a:extLst>
            <a:ext uri="{FF2B5EF4-FFF2-40B4-BE49-F238E27FC236}">
              <a16:creationId xmlns:a16="http://schemas.microsoft.com/office/drawing/2014/main" id="{00000000-0008-0000-1300-0000900A0000}"/>
            </a:ext>
          </a:extLst>
        </xdr:cNvPr>
        <xdr:cNvCxnSpPr/>
      </xdr:nvCxnSpPr>
      <xdr:spPr>
        <a:xfrm flipV="1">
          <a:off x="11281833" y="36819416"/>
          <a:ext cx="613834"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646</xdr:row>
      <xdr:rowOff>21167</xdr:rowOff>
    </xdr:from>
    <xdr:to>
      <xdr:col>15</xdr:col>
      <xdr:colOff>592666</xdr:colOff>
      <xdr:row>647</xdr:row>
      <xdr:rowOff>84667</xdr:rowOff>
    </xdr:to>
    <xdr:cxnSp macro="">
      <xdr:nvCxnSpPr>
        <xdr:cNvPr id="2705" name="Straight Arrow Connector 2704">
          <a:extLst>
            <a:ext uri="{FF2B5EF4-FFF2-40B4-BE49-F238E27FC236}">
              <a16:creationId xmlns:a16="http://schemas.microsoft.com/office/drawing/2014/main" id="{00000000-0008-0000-1300-0000910A0000}"/>
            </a:ext>
          </a:extLst>
        </xdr:cNvPr>
        <xdr:cNvCxnSpPr/>
      </xdr:nvCxnSpPr>
      <xdr:spPr>
        <a:xfrm>
          <a:off x="11271250" y="37168667"/>
          <a:ext cx="603249" cy="25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646</xdr:row>
      <xdr:rowOff>0</xdr:rowOff>
    </xdr:from>
    <xdr:to>
      <xdr:col>16</xdr:col>
      <xdr:colOff>0</xdr:colOff>
      <xdr:row>650</xdr:row>
      <xdr:rowOff>42334</xdr:rowOff>
    </xdr:to>
    <xdr:cxnSp macro="">
      <xdr:nvCxnSpPr>
        <xdr:cNvPr id="2706" name="Straight Arrow Connector 2705">
          <a:extLst>
            <a:ext uri="{FF2B5EF4-FFF2-40B4-BE49-F238E27FC236}">
              <a16:creationId xmlns:a16="http://schemas.microsoft.com/office/drawing/2014/main" id="{00000000-0008-0000-1300-0000920A0000}"/>
            </a:ext>
          </a:extLst>
        </xdr:cNvPr>
        <xdr:cNvCxnSpPr/>
      </xdr:nvCxnSpPr>
      <xdr:spPr>
        <a:xfrm>
          <a:off x="11271250" y="37147500"/>
          <a:ext cx="624417" cy="804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657</xdr:row>
      <xdr:rowOff>0</xdr:rowOff>
    </xdr:from>
    <xdr:to>
      <xdr:col>15</xdr:col>
      <xdr:colOff>603250</xdr:colOff>
      <xdr:row>659</xdr:row>
      <xdr:rowOff>1</xdr:rowOff>
    </xdr:to>
    <xdr:cxnSp macro="">
      <xdr:nvCxnSpPr>
        <xdr:cNvPr id="2707" name="Straight Arrow Connector 2706">
          <a:extLst>
            <a:ext uri="{FF2B5EF4-FFF2-40B4-BE49-F238E27FC236}">
              <a16:creationId xmlns:a16="http://schemas.microsoft.com/office/drawing/2014/main" id="{00000000-0008-0000-1300-0000930A0000}"/>
            </a:ext>
          </a:extLst>
        </xdr:cNvPr>
        <xdr:cNvCxnSpPr/>
      </xdr:nvCxnSpPr>
      <xdr:spPr>
        <a:xfrm flipV="1">
          <a:off x="11271250" y="394335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659</xdr:row>
      <xdr:rowOff>10584</xdr:rowOff>
    </xdr:from>
    <xdr:to>
      <xdr:col>15</xdr:col>
      <xdr:colOff>592666</xdr:colOff>
      <xdr:row>660</xdr:row>
      <xdr:rowOff>95250</xdr:rowOff>
    </xdr:to>
    <xdr:cxnSp macro="">
      <xdr:nvCxnSpPr>
        <xdr:cNvPr id="2708" name="Straight Arrow Connector 2707">
          <a:extLst>
            <a:ext uri="{FF2B5EF4-FFF2-40B4-BE49-F238E27FC236}">
              <a16:creationId xmlns:a16="http://schemas.microsoft.com/office/drawing/2014/main" id="{00000000-0008-0000-1300-0000940A0000}"/>
            </a:ext>
          </a:extLst>
        </xdr:cNvPr>
        <xdr:cNvCxnSpPr/>
      </xdr:nvCxnSpPr>
      <xdr:spPr>
        <a:xfrm>
          <a:off x="11313583" y="398250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659</xdr:row>
      <xdr:rowOff>10584</xdr:rowOff>
    </xdr:from>
    <xdr:to>
      <xdr:col>15</xdr:col>
      <xdr:colOff>560916</xdr:colOff>
      <xdr:row>663</xdr:row>
      <xdr:rowOff>52917</xdr:rowOff>
    </xdr:to>
    <xdr:cxnSp macro="">
      <xdr:nvCxnSpPr>
        <xdr:cNvPr id="2709" name="Straight Arrow Connector 2708">
          <a:extLst>
            <a:ext uri="{FF2B5EF4-FFF2-40B4-BE49-F238E27FC236}">
              <a16:creationId xmlns:a16="http://schemas.microsoft.com/office/drawing/2014/main" id="{00000000-0008-0000-1300-0000950A0000}"/>
            </a:ext>
          </a:extLst>
        </xdr:cNvPr>
        <xdr:cNvCxnSpPr/>
      </xdr:nvCxnSpPr>
      <xdr:spPr>
        <a:xfrm>
          <a:off x="11292416" y="398250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659</xdr:row>
      <xdr:rowOff>31750</xdr:rowOff>
    </xdr:from>
    <xdr:to>
      <xdr:col>16</xdr:col>
      <xdr:colOff>21167</xdr:colOff>
      <xdr:row>666</xdr:row>
      <xdr:rowOff>95250</xdr:rowOff>
    </xdr:to>
    <xdr:cxnSp macro="">
      <xdr:nvCxnSpPr>
        <xdr:cNvPr id="2710" name="Straight Arrow Connector 2709">
          <a:extLst>
            <a:ext uri="{FF2B5EF4-FFF2-40B4-BE49-F238E27FC236}">
              <a16:creationId xmlns:a16="http://schemas.microsoft.com/office/drawing/2014/main" id="{00000000-0008-0000-1300-0000960A0000}"/>
            </a:ext>
          </a:extLst>
        </xdr:cNvPr>
        <xdr:cNvCxnSpPr/>
      </xdr:nvCxnSpPr>
      <xdr:spPr>
        <a:xfrm>
          <a:off x="11324166" y="39846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673</xdr:row>
      <xdr:rowOff>0</xdr:rowOff>
    </xdr:from>
    <xdr:to>
      <xdr:col>16</xdr:col>
      <xdr:colOff>0</xdr:colOff>
      <xdr:row>673</xdr:row>
      <xdr:rowOff>42334</xdr:rowOff>
    </xdr:to>
    <xdr:cxnSp macro="">
      <xdr:nvCxnSpPr>
        <xdr:cNvPr id="2711" name="Straight Arrow Connector 2710">
          <a:extLst>
            <a:ext uri="{FF2B5EF4-FFF2-40B4-BE49-F238E27FC236}">
              <a16:creationId xmlns:a16="http://schemas.microsoft.com/office/drawing/2014/main" id="{00000000-0008-0000-1300-0000970A0000}"/>
            </a:ext>
          </a:extLst>
        </xdr:cNvPr>
        <xdr:cNvCxnSpPr/>
      </xdr:nvCxnSpPr>
      <xdr:spPr>
        <a:xfrm>
          <a:off x="11302999" y="42481500"/>
          <a:ext cx="592668"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673</xdr:row>
      <xdr:rowOff>21166</xdr:rowOff>
    </xdr:from>
    <xdr:to>
      <xdr:col>15</xdr:col>
      <xdr:colOff>560916</xdr:colOff>
      <xdr:row>676</xdr:row>
      <xdr:rowOff>84667</xdr:rowOff>
    </xdr:to>
    <xdr:cxnSp macro="">
      <xdr:nvCxnSpPr>
        <xdr:cNvPr id="2712" name="Straight Arrow Connector 2711">
          <a:extLst>
            <a:ext uri="{FF2B5EF4-FFF2-40B4-BE49-F238E27FC236}">
              <a16:creationId xmlns:a16="http://schemas.microsoft.com/office/drawing/2014/main" id="{00000000-0008-0000-1300-0000980A0000}"/>
            </a:ext>
          </a:extLst>
        </xdr:cNvPr>
        <xdr:cNvCxnSpPr/>
      </xdr:nvCxnSpPr>
      <xdr:spPr>
        <a:xfrm>
          <a:off x="11355916" y="425026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673</xdr:row>
      <xdr:rowOff>52916</xdr:rowOff>
    </xdr:from>
    <xdr:to>
      <xdr:col>15</xdr:col>
      <xdr:colOff>592666</xdr:colOff>
      <xdr:row>679</xdr:row>
      <xdr:rowOff>63501</xdr:rowOff>
    </xdr:to>
    <xdr:cxnSp macro="">
      <xdr:nvCxnSpPr>
        <xdr:cNvPr id="2713" name="Straight Arrow Connector 2712">
          <a:extLst>
            <a:ext uri="{FF2B5EF4-FFF2-40B4-BE49-F238E27FC236}">
              <a16:creationId xmlns:a16="http://schemas.microsoft.com/office/drawing/2014/main" id="{00000000-0008-0000-1300-0000990A0000}"/>
            </a:ext>
          </a:extLst>
        </xdr:cNvPr>
        <xdr:cNvCxnSpPr/>
      </xdr:nvCxnSpPr>
      <xdr:spPr>
        <a:xfrm>
          <a:off x="11313583" y="425344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670</xdr:row>
      <xdr:rowOff>52917</xdr:rowOff>
    </xdr:from>
    <xdr:to>
      <xdr:col>15</xdr:col>
      <xdr:colOff>603250</xdr:colOff>
      <xdr:row>672</xdr:row>
      <xdr:rowOff>148167</xdr:rowOff>
    </xdr:to>
    <xdr:cxnSp macro="">
      <xdr:nvCxnSpPr>
        <xdr:cNvPr id="2714" name="Straight Arrow Connector 2713">
          <a:extLst>
            <a:ext uri="{FF2B5EF4-FFF2-40B4-BE49-F238E27FC236}">
              <a16:creationId xmlns:a16="http://schemas.microsoft.com/office/drawing/2014/main" id="{00000000-0008-0000-1300-00009A0A0000}"/>
            </a:ext>
          </a:extLst>
        </xdr:cNvPr>
        <xdr:cNvCxnSpPr/>
      </xdr:nvCxnSpPr>
      <xdr:spPr>
        <a:xfrm flipV="1">
          <a:off x="11324166" y="419629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31750</xdr:colOff>
      <xdr:row>581</xdr:row>
      <xdr:rowOff>127000</xdr:rowOff>
    </xdr:from>
    <xdr:to>
      <xdr:col>8</xdr:col>
      <xdr:colOff>63500</xdr:colOff>
      <xdr:row>600</xdr:row>
      <xdr:rowOff>0</xdr:rowOff>
    </xdr:to>
    <xdr:cxnSp macro="">
      <xdr:nvCxnSpPr>
        <xdr:cNvPr id="2715" name="Straight Arrow Connector 2714">
          <a:extLst>
            <a:ext uri="{FF2B5EF4-FFF2-40B4-BE49-F238E27FC236}">
              <a16:creationId xmlns:a16="http://schemas.microsoft.com/office/drawing/2014/main" id="{00000000-0008-0000-1300-00009B0A0000}"/>
            </a:ext>
          </a:extLst>
        </xdr:cNvPr>
        <xdr:cNvCxnSpPr/>
      </xdr:nvCxnSpPr>
      <xdr:spPr>
        <a:xfrm flipV="1">
          <a:off x="5492750" y="24701500"/>
          <a:ext cx="645583" cy="3587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825500</xdr:colOff>
      <xdr:row>718</xdr:row>
      <xdr:rowOff>1</xdr:rowOff>
    </xdr:from>
    <xdr:to>
      <xdr:col>6</xdr:col>
      <xdr:colOff>0</xdr:colOff>
      <xdr:row>752</xdr:row>
      <xdr:rowOff>116417</xdr:rowOff>
    </xdr:to>
    <xdr:cxnSp macro="">
      <xdr:nvCxnSpPr>
        <xdr:cNvPr id="2716" name="Straight Arrow Connector 2715">
          <a:extLst>
            <a:ext uri="{FF2B5EF4-FFF2-40B4-BE49-F238E27FC236}">
              <a16:creationId xmlns:a16="http://schemas.microsoft.com/office/drawing/2014/main" id="{00000000-0008-0000-1300-00009C0A0000}"/>
            </a:ext>
          </a:extLst>
        </xdr:cNvPr>
        <xdr:cNvCxnSpPr/>
      </xdr:nvCxnSpPr>
      <xdr:spPr>
        <a:xfrm flipV="1">
          <a:off x="3810000" y="51244501"/>
          <a:ext cx="677333" cy="65934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21167</xdr:colOff>
      <xdr:row>755</xdr:row>
      <xdr:rowOff>169334</xdr:rowOff>
    </xdr:from>
    <xdr:to>
      <xdr:col>5</xdr:col>
      <xdr:colOff>571500</xdr:colOff>
      <xdr:row>824</xdr:row>
      <xdr:rowOff>0</xdr:rowOff>
    </xdr:to>
    <xdr:cxnSp macro="">
      <xdr:nvCxnSpPr>
        <xdr:cNvPr id="2717" name="Straight Arrow Connector 2716">
          <a:extLst>
            <a:ext uri="{FF2B5EF4-FFF2-40B4-BE49-F238E27FC236}">
              <a16:creationId xmlns:a16="http://schemas.microsoft.com/office/drawing/2014/main" id="{00000000-0008-0000-1300-00009D0A0000}"/>
            </a:ext>
          </a:extLst>
        </xdr:cNvPr>
        <xdr:cNvCxnSpPr/>
      </xdr:nvCxnSpPr>
      <xdr:spPr>
        <a:xfrm>
          <a:off x="3894667" y="58462334"/>
          <a:ext cx="550333" cy="133244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693</xdr:row>
      <xdr:rowOff>148167</xdr:rowOff>
    </xdr:from>
    <xdr:to>
      <xdr:col>7</xdr:col>
      <xdr:colOff>603250</xdr:colOff>
      <xdr:row>715</xdr:row>
      <xdr:rowOff>31750</xdr:rowOff>
    </xdr:to>
    <xdr:cxnSp macro="">
      <xdr:nvCxnSpPr>
        <xdr:cNvPr id="2718" name="Straight Arrow Connector 2717">
          <a:extLst>
            <a:ext uri="{FF2B5EF4-FFF2-40B4-BE49-F238E27FC236}">
              <a16:creationId xmlns:a16="http://schemas.microsoft.com/office/drawing/2014/main" id="{00000000-0008-0000-1300-00009E0A0000}"/>
            </a:ext>
          </a:extLst>
        </xdr:cNvPr>
        <xdr:cNvCxnSpPr/>
      </xdr:nvCxnSpPr>
      <xdr:spPr>
        <a:xfrm flipV="1">
          <a:off x="5461000" y="46439667"/>
          <a:ext cx="603250" cy="42650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718</xdr:row>
      <xdr:rowOff>10584</xdr:rowOff>
    </xdr:from>
    <xdr:to>
      <xdr:col>8</xdr:col>
      <xdr:colOff>21167</xdr:colOff>
      <xdr:row>746</xdr:row>
      <xdr:rowOff>148166</xdr:rowOff>
    </xdr:to>
    <xdr:cxnSp macro="">
      <xdr:nvCxnSpPr>
        <xdr:cNvPr id="2719" name="Straight Arrow Connector 2718">
          <a:extLst>
            <a:ext uri="{FF2B5EF4-FFF2-40B4-BE49-F238E27FC236}">
              <a16:creationId xmlns:a16="http://schemas.microsoft.com/office/drawing/2014/main" id="{00000000-0008-0000-1300-00009F0A0000}"/>
            </a:ext>
          </a:extLst>
        </xdr:cNvPr>
        <xdr:cNvCxnSpPr/>
      </xdr:nvCxnSpPr>
      <xdr:spPr>
        <a:xfrm>
          <a:off x="5461000" y="51255084"/>
          <a:ext cx="635000" cy="547158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685</xdr:row>
      <xdr:rowOff>137583</xdr:rowOff>
    </xdr:from>
    <xdr:to>
      <xdr:col>9</xdr:col>
      <xdr:colOff>603250</xdr:colOff>
      <xdr:row>691</xdr:row>
      <xdr:rowOff>21166</xdr:rowOff>
    </xdr:to>
    <xdr:cxnSp macro="">
      <xdr:nvCxnSpPr>
        <xdr:cNvPr id="2720" name="Straight Arrow Connector 2719">
          <a:extLst>
            <a:ext uri="{FF2B5EF4-FFF2-40B4-BE49-F238E27FC236}">
              <a16:creationId xmlns:a16="http://schemas.microsoft.com/office/drawing/2014/main" id="{00000000-0008-0000-1300-0000A00A0000}"/>
            </a:ext>
          </a:extLst>
        </xdr:cNvPr>
        <xdr:cNvCxnSpPr/>
      </xdr:nvCxnSpPr>
      <xdr:spPr>
        <a:xfrm flipV="1">
          <a:off x="6688667" y="44905083"/>
          <a:ext cx="603250" cy="1026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694</xdr:row>
      <xdr:rowOff>0</xdr:rowOff>
    </xdr:from>
    <xdr:to>
      <xdr:col>9</xdr:col>
      <xdr:colOff>582083</xdr:colOff>
      <xdr:row>702</xdr:row>
      <xdr:rowOff>10583</xdr:rowOff>
    </xdr:to>
    <xdr:cxnSp macro="">
      <xdr:nvCxnSpPr>
        <xdr:cNvPr id="2721" name="Straight Arrow Connector 2720">
          <a:extLst>
            <a:ext uri="{FF2B5EF4-FFF2-40B4-BE49-F238E27FC236}">
              <a16:creationId xmlns:a16="http://schemas.microsoft.com/office/drawing/2014/main" id="{00000000-0008-0000-1300-0000A10A0000}"/>
            </a:ext>
          </a:extLst>
        </xdr:cNvPr>
        <xdr:cNvCxnSpPr/>
      </xdr:nvCxnSpPr>
      <xdr:spPr>
        <a:xfrm>
          <a:off x="6720417" y="46482000"/>
          <a:ext cx="550333" cy="1534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21167</xdr:colOff>
      <xdr:row>699</xdr:row>
      <xdr:rowOff>169333</xdr:rowOff>
    </xdr:from>
    <xdr:to>
      <xdr:col>11</xdr:col>
      <xdr:colOff>603250</xdr:colOff>
      <xdr:row>702</xdr:row>
      <xdr:rowOff>21167</xdr:rowOff>
    </xdr:to>
    <xdr:cxnSp macro="">
      <xdr:nvCxnSpPr>
        <xdr:cNvPr id="2722" name="Straight Arrow Connector 2721">
          <a:extLst>
            <a:ext uri="{FF2B5EF4-FFF2-40B4-BE49-F238E27FC236}">
              <a16:creationId xmlns:a16="http://schemas.microsoft.com/office/drawing/2014/main" id="{00000000-0008-0000-1300-0000A20A0000}"/>
            </a:ext>
          </a:extLst>
        </xdr:cNvPr>
        <xdr:cNvCxnSpPr/>
      </xdr:nvCxnSpPr>
      <xdr:spPr>
        <a:xfrm flipV="1">
          <a:off x="7937500" y="47603833"/>
          <a:ext cx="582083" cy="423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705</xdr:row>
      <xdr:rowOff>42333</xdr:rowOff>
    </xdr:from>
    <xdr:to>
      <xdr:col>11</xdr:col>
      <xdr:colOff>603250</xdr:colOff>
      <xdr:row>717</xdr:row>
      <xdr:rowOff>10583</xdr:rowOff>
    </xdr:to>
    <xdr:cxnSp macro="">
      <xdr:nvCxnSpPr>
        <xdr:cNvPr id="2723" name="Straight Arrow Connector 2722">
          <a:extLst>
            <a:ext uri="{FF2B5EF4-FFF2-40B4-BE49-F238E27FC236}">
              <a16:creationId xmlns:a16="http://schemas.microsoft.com/office/drawing/2014/main" id="{00000000-0008-0000-1300-0000A30A0000}"/>
            </a:ext>
          </a:extLst>
        </xdr:cNvPr>
        <xdr:cNvCxnSpPr/>
      </xdr:nvCxnSpPr>
      <xdr:spPr>
        <a:xfrm>
          <a:off x="7926917" y="486198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695</xdr:row>
      <xdr:rowOff>21167</xdr:rowOff>
    </xdr:from>
    <xdr:to>
      <xdr:col>13</xdr:col>
      <xdr:colOff>592667</xdr:colOff>
      <xdr:row>697</xdr:row>
      <xdr:rowOff>0</xdr:rowOff>
    </xdr:to>
    <xdr:cxnSp macro="">
      <xdr:nvCxnSpPr>
        <xdr:cNvPr id="2724" name="Straight Arrow Connector 2723">
          <a:extLst>
            <a:ext uri="{FF2B5EF4-FFF2-40B4-BE49-F238E27FC236}">
              <a16:creationId xmlns:a16="http://schemas.microsoft.com/office/drawing/2014/main" id="{00000000-0008-0000-1300-0000A40A0000}"/>
            </a:ext>
          </a:extLst>
        </xdr:cNvPr>
        <xdr:cNvCxnSpPr/>
      </xdr:nvCxnSpPr>
      <xdr:spPr>
        <a:xfrm flipV="1">
          <a:off x="9133417" y="46693667"/>
          <a:ext cx="984250"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700</xdr:row>
      <xdr:rowOff>21166</xdr:rowOff>
    </xdr:from>
    <xdr:to>
      <xdr:col>13</xdr:col>
      <xdr:colOff>592667</xdr:colOff>
      <xdr:row>701</xdr:row>
      <xdr:rowOff>169334</xdr:rowOff>
    </xdr:to>
    <xdr:cxnSp macro="">
      <xdr:nvCxnSpPr>
        <xdr:cNvPr id="2725" name="Straight Arrow Connector 2724">
          <a:extLst>
            <a:ext uri="{FF2B5EF4-FFF2-40B4-BE49-F238E27FC236}">
              <a16:creationId xmlns:a16="http://schemas.microsoft.com/office/drawing/2014/main" id="{00000000-0008-0000-1300-0000A50A0000}"/>
            </a:ext>
          </a:extLst>
        </xdr:cNvPr>
        <xdr:cNvCxnSpPr/>
      </xdr:nvCxnSpPr>
      <xdr:spPr>
        <a:xfrm>
          <a:off x="9088966" y="133371166"/>
          <a:ext cx="99060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715</xdr:row>
      <xdr:rowOff>21167</xdr:rowOff>
    </xdr:from>
    <xdr:to>
      <xdr:col>13</xdr:col>
      <xdr:colOff>592667</xdr:colOff>
      <xdr:row>717</xdr:row>
      <xdr:rowOff>63500</xdr:rowOff>
    </xdr:to>
    <xdr:cxnSp macro="">
      <xdr:nvCxnSpPr>
        <xdr:cNvPr id="2726" name="Straight Arrow Connector 2725">
          <a:extLst>
            <a:ext uri="{FF2B5EF4-FFF2-40B4-BE49-F238E27FC236}">
              <a16:creationId xmlns:a16="http://schemas.microsoft.com/office/drawing/2014/main" id="{00000000-0008-0000-1300-0000A60A0000}"/>
            </a:ext>
          </a:extLst>
        </xdr:cNvPr>
        <xdr:cNvCxnSpPr/>
      </xdr:nvCxnSpPr>
      <xdr:spPr>
        <a:xfrm flipV="1">
          <a:off x="9525000" y="506941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720</xdr:row>
      <xdr:rowOff>0</xdr:rowOff>
    </xdr:from>
    <xdr:to>
      <xdr:col>14</xdr:col>
      <xdr:colOff>10584</xdr:colOff>
      <xdr:row>728</xdr:row>
      <xdr:rowOff>148167</xdr:rowOff>
    </xdr:to>
    <xdr:cxnSp macro="">
      <xdr:nvCxnSpPr>
        <xdr:cNvPr id="2727" name="Straight Arrow Connector 2726">
          <a:extLst>
            <a:ext uri="{FF2B5EF4-FFF2-40B4-BE49-F238E27FC236}">
              <a16:creationId xmlns:a16="http://schemas.microsoft.com/office/drawing/2014/main" id="{00000000-0008-0000-1300-0000A70A0000}"/>
            </a:ext>
          </a:extLst>
        </xdr:cNvPr>
        <xdr:cNvCxnSpPr/>
      </xdr:nvCxnSpPr>
      <xdr:spPr>
        <a:xfrm>
          <a:off x="9535583" y="51625500"/>
          <a:ext cx="613834"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687</xdr:row>
      <xdr:rowOff>0</xdr:rowOff>
    </xdr:from>
    <xdr:to>
      <xdr:col>15</xdr:col>
      <xdr:colOff>603250</xdr:colOff>
      <xdr:row>692</xdr:row>
      <xdr:rowOff>31750</xdr:rowOff>
    </xdr:to>
    <xdr:cxnSp macro="">
      <xdr:nvCxnSpPr>
        <xdr:cNvPr id="2728" name="Straight Arrow Connector 2727">
          <a:extLst>
            <a:ext uri="{FF2B5EF4-FFF2-40B4-BE49-F238E27FC236}">
              <a16:creationId xmlns:a16="http://schemas.microsoft.com/office/drawing/2014/main" id="{00000000-0008-0000-1300-0000A80A0000}"/>
            </a:ext>
          </a:extLst>
        </xdr:cNvPr>
        <xdr:cNvCxnSpPr/>
      </xdr:nvCxnSpPr>
      <xdr:spPr>
        <a:xfrm flipV="1">
          <a:off x="11281833" y="45148500"/>
          <a:ext cx="603250" cy="984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690</xdr:row>
      <xdr:rowOff>52917</xdr:rowOff>
    </xdr:from>
    <xdr:to>
      <xdr:col>15</xdr:col>
      <xdr:colOff>603250</xdr:colOff>
      <xdr:row>692</xdr:row>
      <xdr:rowOff>95250</xdr:rowOff>
    </xdr:to>
    <xdr:cxnSp macro="">
      <xdr:nvCxnSpPr>
        <xdr:cNvPr id="2729" name="Straight Arrow Connector 2728">
          <a:extLst>
            <a:ext uri="{FF2B5EF4-FFF2-40B4-BE49-F238E27FC236}">
              <a16:creationId xmlns:a16="http://schemas.microsoft.com/office/drawing/2014/main" id="{00000000-0008-0000-1300-0000A90A0000}"/>
            </a:ext>
          </a:extLst>
        </xdr:cNvPr>
        <xdr:cNvCxnSpPr/>
      </xdr:nvCxnSpPr>
      <xdr:spPr>
        <a:xfrm flipV="1">
          <a:off x="11324166" y="45772917"/>
          <a:ext cx="56091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692</xdr:row>
      <xdr:rowOff>158750</xdr:rowOff>
    </xdr:from>
    <xdr:to>
      <xdr:col>15</xdr:col>
      <xdr:colOff>582083</xdr:colOff>
      <xdr:row>693</xdr:row>
      <xdr:rowOff>137583</xdr:rowOff>
    </xdr:to>
    <xdr:cxnSp macro="">
      <xdr:nvCxnSpPr>
        <xdr:cNvPr id="2730" name="Straight Arrow Connector 2729">
          <a:extLst>
            <a:ext uri="{FF2B5EF4-FFF2-40B4-BE49-F238E27FC236}">
              <a16:creationId xmlns:a16="http://schemas.microsoft.com/office/drawing/2014/main" id="{00000000-0008-0000-1300-0000AA0A0000}"/>
            </a:ext>
          </a:extLst>
        </xdr:cNvPr>
        <xdr:cNvCxnSpPr/>
      </xdr:nvCxnSpPr>
      <xdr:spPr>
        <a:xfrm>
          <a:off x="11345333" y="46259750"/>
          <a:ext cx="518583" cy="169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1121834</xdr:colOff>
      <xdr:row>692</xdr:row>
      <xdr:rowOff>105834</xdr:rowOff>
    </xdr:from>
    <xdr:to>
      <xdr:col>16</xdr:col>
      <xdr:colOff>0</xdr:colOff>
      <xdr:row>696</xdr:row>
      <xdr:rowOff>84667</xdr:rowOff>
    </xdr:to>
    <xdr:cxnSp macro="">
      <xdr:nvCxnSpPr>
        <xdr:cNvPr id="2731" name="Straight Arrow Connector 2730">
          <a:extLst>
            <a:ext uri="{FF2B5EF4-FFF2-40B4-BE49-F238E27FC236}">
              <a16:creationId xmlns:a16="http://schemas.microsoft.com/office/drawing/2014/main" id="{00000000-0008-0000-1300-0000AB0A0000}"/>
            </a:ext>
          </a:extLst>
        </xdr:cNvPr>
        <xdr:cNvCxnSpPr/>
      </xdr:nvCxnSpPr>
      <xdr:spPr>
        <a:xfrm>
          <a:off x="11260667" y="46206834"/>
          <a:ext cx="63500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700</xdr:row>
      <xdr:rowOff>52916</xdr:rowOff>
    </xdr:from>
    <xdr:to>
      <xdr:col>16</xdr:col>
      <xdr:colOff>0</xdr:colOff>
      <xdr:row>702</xdr:row>
      <xdr:rowOff>0</xdr:rowOff>
    </xdr:to>
    <xdr:cxnSp macro="">
      <xdr:nvCxnSpPr>
        <xdr:cNvPr id="2732" name="Straight Arrow Connector 2731">
          <a:extLst>
            <a:ext uri="{FF2B5EF4-FFF2-40B4-BE49-F238E27FC236}">
              <a16:creationId xmlns:a16="http://schemas.microsoft.com/office/drawing/2014/main" id="{00000000-0008-0000-1300-0000AC0A0000}"/>
            </a:ext>
          </a:extLst>
        </xdr:cNvPr>
        <xdr:cNvCxnSpPr/>
      </xdr:nvCxnSpPr>
      <xdr:spPr>
        <a:xfrm flipV="1">
          <a:off x="11281833" y="47677916"/>
          <a:ext cx="613834"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702</xdr:row>
      <xdr:rowOff>21167</xdr:rowOff>
    </xdr:from>
    <xdr:to>
      <xdr:col>15</xdr:col>
      <xdr:colOff>582083</xdr:colOff>
      <xdr:row>703</xdr:row>
      <xdr:rowOff>42333</xdr:rowOff>
    </xdr:to>
    <xdr:cxnSp macro="">
      <xdr:nvCxnSpPr>
        <xdr:cNvPr id="2733" name="Straight Arrow Connector 2732">
          <a:extLst>
            <a:ext uri="{FF2B5EF4-FFF2-40B4-BE49-F238E27FC236}">
              <a16:creationId xmlns:a16="http://schemas.microsoft.com/office/drawing/2014/main" id="{00000000-0008-0000-1300-0000AD0A0000}"/>
            </a:ext>
          </a:extLst>
        </xdr:cNvPr>
        <xdr:cNvCxnSpPr/>
      </xdr:nvCxnSpPr>
      <xdr:spPr>
        <a:xfrm>
          <a:off x="11292416" y="48027167"/>
          <a:ext cx="571500" cy="211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702</xdr:row>
      <xdr:rowOff>21167</xdr:rowOff>
    </xdr:from>
    <xdr:to>
      <xdr:col>16</xdr:col>
      <xdr:colOff>42333</xdr:colOff>
      <xdr:row>707</xdr:row>
      <xdr:rowOff>21168</xdr:rowOff>
    </xdr:to>
    <xdr:cxnSp macro="">
      <xdr:nvCxnSpPr>
        <xdr:cNvPr id="2734" name="Straight Arrow Connector 2733">
          <a:extLst>
            <a:ext uri="{FF2B5EF4-FFF2-40B4-BE49-F238E27FC236}">
              <a16:creationId xmlns:a16="http://schemas.microsoft.com/office/drawing/2014/main" id="{00000000-0008-0000-1300-0000AE0A0000}"/>
            </a:ext>
          </a:extLst>
        </xdr:cNvPr>
        <xdr:cNvCxnSpPr/>
      </xdr:nvCxnSpPr>
      <xdr:spPr>
        <a:xfrm>
          <a:off x="11271250" y="48027167"/>
          <a:ext cx="666750" cy="9525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702</xdr:row>
      <xdr:rowOff>31750</xdr:rowOff>
    </xdr:from>
    <xdr:to>
      <xdr:col>16</xdr:col>
      <xdr:colOff>42334</xdr:colOff>
      <xdr:row>709</xdr:row>
      <xdr:rowOff>63501</xdr:rowOff>
    </xdr:to>
    <xdr:cxnSp macro="">
      <xdr:nvCxnSpPr>
        <xdr:cNvPr id="2735" name="Straight Arrow Connector 2734">
          <a:extLst>
            <a:ext uri="{FF2B5EF4-FFF2-40B4-BE49-F238E27FC236}">
              <a16:creationId xmlns:a16="http://schemas.microsoft.com/office/drawing/2014/main" id="{00000000-0008-0000-1300-0000AF0A0000}"/>
            </a:ext>
          </a:extLst>
        </xdr:cNvPr>
        <xdr:cNvCxnSpPr/>
      </xdr:nvCxnSpPr>
      <xdr:spPr>
        <a:xfrm>
          <a:off x="11281833" y="48037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10583</xdr:colOff>
      <xdr:row>739</xdr:row>
      <xdr:rowOff>42333</xdr:rowOff>
    </xdr:from>
    <xdr:to>
      <xdr:col>9</xdr:col>
      <xdr:colOff>592666</xdr:colOff>
      <xdr:row>747</xdr:row>
      <xdr:rowOff>42333</xdr:rowOff>
    </xdr:to>
    <xdr:cxnSp macro="">
      <xdr:nvCxnSpPr>
        <xdr:cNvPr id="2736" name="Straight Arrow Connector 2735">
          <a:extLst>
            <a:ext uri="{FF2B5EF4-FFF2-40B4-BE49-F238E27FC236}">
              <a16:creationId xmlns:a16="http://schemas.microsoft.com/office/drawing/2014/main" id="{00000000-0008-0000-1300-0000B00A0000}"/>
            </a:ext>
          </a:extLst>
        </xdr:cNvPr>
        <xdr:cNvCxnSpPr/>
      </xdr:nvCxnSpPr>
      <xdr:spPr>
        <a:xfrm flipV="1">
          <a:off x="6699250" y="55287333"/>
          <a:ext cx="582083" cy="152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749</xdr:row>
      <xdr:rowOff>169334</xdr:rowOff>
    </xdr:from>
    <xdr:to>
      <xdr:col>9</xdr:col>
      <xdr:colOff>603250</xdr:colOff>
      <xdr:row>758</xdr:row>
      <xdr:rowOff>31750</xdr:rowOff>
    </xdr:to>
    <xdr:cxnSp macro="">
      <xdr:nvCxnSpPr>
        <xdr:cNvPr id="2737" name="Straight Arrow Connector 2736">
          <a:extLst>
            <a:ext uri="{FF2B5EF4-FFF2-40B4-BE49-F238E27FC236}">
              <a16:creationId xmlns:a16="http://schemas.microsoft.com/office/drawing/2014/main" id="{00000000-0008-0000-1300-0000B10A0000}"/>
            </a:ext>
          </a:extLst>
        </xdr:cNvPr>
        <xdr:cNvCxnSpPr/>
      </xdr:nvCxnSpPr>
      <xdr:spPr>
        <a:xfrm>
          <a:off x="6720417" y="57319334"/>
          <a:ext cx="571500" cy="1576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571500</xdr:colOff>
      <xdr:row>755</xdr:row>
      <xdr:rowOff>158750</xdr:rowOff>
    </xdr:from>
    <xdr:to>
      <xdr:col>11</xdr:col>
      <xdr:colOff>571500</xdr:colOff>
      <xdr:row>758</xdr:row>
      <xdr:rowOff>0</xdr:rowOff>
    </xdr:to>
    <xdr:cxnSp macro="">
      <xdr:nvCxnSpPr>
        <xdr:cNvPr id="2738" name="Straight Arrow Connector 2737">
          <a:extLst>
            <a:ext uri="{FF2B5EF4-FFF2-40B4-BE49-F238E27FC236}">
              <a16:creationId xmlns:a16="http://schemas.microsoft.com/office/drawing/2014/main" id="{00000000-0008-0000-1300-0000B20A0000}"/>
            </a:ext>
          </a:extLst>
        </xdr:cNvPr>
        <xdr:cNvCxnSpPr/>
      </xdr:nvCxnSpPr>
      <xdr:spPr>
        <a:xfrm flipV="1">
          <a:off x="7874000" y="58451750"/>
          <a:ext cx="613833" cy="412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713</xdr:row>
      <xdr:rowOff>0</xdr:rowOff>
    </xdr:from>
    <xdr:to>
      <xdr:col>15</xdr:col>
      <xdr:colOff>603250</xdr:colOff>
      <xdr:row>715</xdr:row>
      <xdr:rowOff>1</xdr:rowOff>
    </xdr:to>
    <xdr:cxnSp macro="">
      <xdr:nvCxnSpPr>
        <xdr:cNvPr id="2739" name="Straight Arrow Connector 2738">
          <a:extLst>
            <a:ext uri="{FF2B5EF4-FFF2-40B4-BE49-F238E27FC236}">
              <a16:creationId xmlns:a16="http://schemas.microsoft.com/office/drawing/2014/main" id="{00000000-0008-0000-1300-0000B30A0000}"/>
            </a:ext>
          </a:extLst>
        </xdr:cNvPr>
        <xdr:cNvCxnSpPr/>
      </xdr:nvCxnSpPr>
      <xdr:spPr>
        <a:xfrm flipV="1">
          <a:off x="11271250" y="502920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715</xdr:row>
      <xdr:rowOff>10584</xdr:rowOff>
    </xdr:from>
    <xdr:to>
      <xdr:col>15</xdr:col>
      <xdr:colOff>592666</xdr:colOff>
      <xdr:row>716</xdr:row>
      <xdr:rowOff>95250</xdr:rowOff>
    </xdr:to>
    <xdr:cxnSp macro="">
      <xdr:nvCxnSpPr>
        <xdr:cNvPr id="2740" name="Straight Arrow Connector 2739">
          <a:extLst>
            <a:ext uri="{FF2B5EF4-FFF2-40B4-BE49-F238E27FC236}">
              <a16:creationId xmlns:a16="http://schemas.microsoft.com/office/drawing/2014/main" id="{00000000-0008-0000-1300-0000B40A0000}"/>
            </a:ext>
          </a:extLst>
        </xdr:cNvPr>
        <xdr:cNvCxnSpPr/>
      </xdr:nvCxnSpPr>
      <xdr:spPr>
        <a:xfrm>
          <a:off x="11313583" y="506835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715</xdr:row>
      <xdr:rowOff>10584</xdr:rowOff>
    </xdr:from>
    <xdr:to>
      <xdr:col>15</xdr:col>
      <xdr:colOff>560916</xdr:colOff>
      <xdr:row>719</xdr:row>
      <xdr:rowOff>52917</xdr:rowOff>
    </xdr:to>
    <xdr:cxnSp macro="">
      <xdr:nvCxnSpPr>
        <xdr:cNvPr id="2741" name="Straight Arrow Connector 2740">
          <a:extLst>
            <a:ext uri="{FF2B5EF4-FFF2-40B4-BE49-F238E27FC236}">
              <a16:creationId xmlns:a16="http://schemas.microsoft.com/office/drawing/2014/main" id="{00000000-0008-0000-1300-0000B50A0000}"/>
            </a:ext>
          </a:extLst>
        </xdr:cNvPr>
        <xdr:cNvCxnSpPr/>
      </xdr:nvCxnSpPr>
      <xdr:spPr>
        <a:xfrm>
          <a:off x="11292416" y="506835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715</xdr:row>
      <xdr:rowOff>31750</xdr:rowOff>
    </xdr:from>
    <xdr:to>
      <xdr:col>16</xdr:col>
      <xdr:colOff>21167</xdr:colOff>
      <xdr:row>722</xdr:row>
      <xdr:rowOff>95250</xdr:rowOff>
    </xdr:to>
    <xdr:cxnSp macro="">
      <xdr:nvCxnSpPr>
        <xdr:cNvPr id="2742" name="Straight Arrow Connector 2741">
          <a:extLst>
            <a:ext uri="{FF2B5EF4-FFF2-40B4-BE49-F238E27FC236}">
              <a16:creationId xmlns:a16="http://schemas.microsoft.com/office/drawing/2014/main" id="{00000000-0008-0000-1300-0000B60A0000}"/>
            </a:ext>
          </a:extLst>
        </xdr:cNvPr>
        <xdr:cNvCxnSpPr/>
      </xdr:nvCxnSpPr>
      <xdr:spPr>
        <a:xfrm>
          <a:off x="11324166" y="50704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729</xdr:row>
      <xdr:rowOff>0</xdr:rowOff>
    </xdr:from>
    <xdr:to>
      <xdr:col>16</xdr:col>
      <xdr:colOff>0</xdr:colOff>
      <xdr:row>729</xdr:row>
      <xdr:rowOff>42334</xdr:rowOff>
    </xdr:to>
    <xdr:cxnSp macro="">
      <xdr:nvCxnSpPr>
        <xdr:cNvPr id="2743" name="Straight Arrow Connector 2742">
          <a:extLst>
            <a:ext uri="{FF2B5EF4-FFF2-40B4-BE49-F238E27FC236}">
              <a16:creationId xmlns:a16="http://schemas.microsoft.com/office/drawing/2014/main" id="{00000000-0008-0000-1300-0000B70A0000}"/>
            </a:ext>
          </a:extLst>
        </xdr:cNvPr>
        <xdr:cNvCxnSpPr/>
      </xdr:nvCxnSpPr>
      <xdr:spPr>
        <a:xfrm>
          <a:off x="11302999" y="53340000"/>
          <a:ext cx="592668"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729</xdr:row>
      <xdr:rowOff>21166</xdr:rowOff>
    </xdr:from>
    <xdr:to>
      <xdr:col>15</xdr:col>
      <xdr:colOff>560916</xdr:colOff>
      <xdr:row>732</xdr:row>
      <xdr:rowOff>84667</xdr:rowOff>
    </xdr:to>
    <xdr:cxnSp macro="">
      <xdr:nvCxnSpPr>
        <xdr:cNvPr id="2744" name="Straight Arrow Connector 2743">
          <a:extLst>
            <a:ext uri="{FF2B5EF4-FFF2-40B4-BE49-F238E27FC236}">
              <a16:creationId xmlns:a16="http://schemas.microsoft.com/office/drawing/2014/main" id="{00000000-0008-0000-1300-0000B80A0000}"/>
            </a:ext>
          </a:extLst>
        </xdr:cNvPr>
        <xdr:cNvCxnSpPr/>
      </xdr:nvCxnSpPr>
      <xdr:spPr>
        <a:xfrm>
          <a:off x="11355916" y="533611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729</xdr:row>
      <xdr:rowOff>52916</xdr:rowOff>
    </xdr:from>
    <xdr:to>
      <xdr:col>15</xdr:col>
      <xdr:colOff>592666</xdr:colOff>
      <xdr:row>735</xdr:row>
      <xdr:rowOff>63501</xdr:rowOff>
    </xdr:to>
    <xdr:cxnSp macro="">
      <xdr:nvCxnSpPr>
        <xdr:cNvPr id="2745" name="Straight Arrow Connector 2744">
          <a:extLst>
            <a:ext uri="{FF2B5EF4-FFF2-40B4-BE49-F238E27FC236}">
              <a16:creationId xmlns:a16="http://schemas.microsoft.com/office/drawing/2014/main" id="{00000000-0008-0000-1300-0000B90A0000}"/>
            </a:ext>
          </a:extLst>
        </xdr:cNvPr>
        <xdr:cNvCxnSpPr/>
      </xdr:nvCxnSpPr>
      <xdr:spPr>
        <a:xfrm>
          <a:off x="11313583" y="533929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743</xdr:row>
      <xdr:rowOff>116416</xdr:rowOff>
    </xdr:from>
    <xdr:to>
      <xdr:col>15</xdr:col>
      <xdr:colOff>592666</xdr:colOff>
      <xdr:row>746</xdr:row>
      <xdr:rowOff>158750</xdr:rowOff>
    </xdr:to>
    <xdr:cxnSp macro="">
      <xdr:nvCxnSpPr>
        <xdr:cNvPr id="2746" name="Straight Arrow Connector 2745">
          <a:extLst>
            <a:ext uri="{FF2B5EF4-FFF2-40B4-BE49-F238E27FC236}">
              <a16:creationId xmlns:a16="http://schemas.microsoft.com/office/drawing/2014/main" id="{00000000-0008-0000-1300-0000BA0A0000}"/>
            </a:ext>
          </a:extLst>
        </xdr:cNvPr>
        <xdr:cNvCxnSpPr/>
      </xdr:nvCxnSpPr>
      <xdr:spPr>
        <a:xfrm flipV="1">
          <a:off x="11302999" y="56123416"/>
          <a:ext cx="571500" cy="613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745</xdr:row>
      <xdr:rowOff>95250</xdr:rowOff>
    </xdr:from>
    <xdr:to>
      <xdr:col>15</xdr:col>
      <xdr:colOff>582083</xdr:colOff>
      <xdr:row>747</xdr:row>
      <xdr:rowOff>52917</xdr:rowOff>
    </xdr:to>
    <xdr:cxnSp macro="">
      <xdr:nvCxnSpPr>
        <xdr:cNvPr id="2747" name="Straight Arrow Connector 2746">
          <a:extLst>
            <a:ext uri="{FF2B5EF4-FFF2-40B4-BE49-F238E27FC236}">
              <a16:creationId xmlns:a16="http://schemas.microsoft.com/office/drawing/2014/main" id="{00000000-0008-0000-1300-0000BB0A0000}"/>
            </a:ext>
          </a:extLst>
        </xdr:cNvPr>
        <xdr:cNvCxnSpPr/>
      </xdr:nvCxnSpPr>
      <xdr:spPr>
        <a:xfrm flipV="1">
          <a:off x="11345333" y="56483250"/>
          <a:ext cx="518583" cy="338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747</xdr:row>
      <xdr:rowOff>116417</xdr:rowOff>
    </xdr:from>
    <xdr:to>
      <xdr:col>15</xdr:col>
      <xdr:colOff>592666</xdr:colOff>
      <xdr:row>751</xdr:row>
      <xdr:rowOff>95250</xdr:rowOff>
    </xdr:to>
    <xdr:cxnSp macro="">
      <xdr:nvCxnSpPr>
        <xdr:cNvPr id="2748" name="Straight Arrow Connector 2747">
          <a:extLst>
            <a:ext uri="{FF2B5EF4-FFF2-40B4-BE49-F238E27FC236}">
              <a16:creationId xmlns:a16="http://schemas.microsoft.com/office/drawing/2014/main" id="{00000000-0008-0000-1300-0000BC0A0000}"/>
            </a:ext>
          </a:extLst>
        </xdr:cNvPr>
        <xdr:cNvCxnSpPr/>
      </xdr:nvCxnSpPr>
      <xdr:spPr>
        <a:xfrm>
          <a:off x="11334749" y="56885417"/>
          <a:ext cx="53975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758</xdr:row>
      <xdr:rowOff>116416</xdr:rowOff>
    </xdr:from>
    <xdr:to>
      <xdr:col>16</xdr:col>
      <xdr:colOff>0</xdr:colOff>
      <xdr:row>765</xdr:row>
      <xdr:rowOff>74084</xdr:rowOff>
    </xdr:to>
    <xdr:cxnSp macro="">
      <xdr:nvCxnSpPr>
        <xdr:cNvPr id="2749" name="Straight Arrow Connector 2748">
          <a:extLst>
            <a:ext uri="{FF2B5EF4-FFF2-40B4-BE49-F238E27FC236}">
              <a16:creationId xmlns:a16="http://schemas.microsoft.com/office/drawing/2014/main" id="{00000000-0008-0000-1300-0000BD0A0000}"/>
            </a:ext>
          </a:extLst>
        </xdr:cNvPr>
        <xdr:cNvCxnSpPr/>
      </xdr:nvCxnSpPr>
      <xdr:spPr>
        <a:xfrm>
          <a:off x="11313583" y="58980916"/>
          <a:ext cx="582084" cy="12911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726</xdr:row>
      <xdr:rowOff>52917</xdr:rowOff>
    </xdr:from>
    <xdr:to>
      <xdr:col>15</xdr:col>
      <xdr:colOff>603250</xdr:colOff>
      <xdr:row>728</xdr:row>
      <xdr:rowOff>148167</xdr:rowOff>
    </xdr:to>
    <xdr:cxnSp macro="">
      <xdr:nvCxnSpPr>
        <xdr:cNvPr id="2750" name="Straight Arrow Connector 2749">
          <a:extLst>
            <a:ext uri="{FF2B5EF4-FFF2-40B4-BE49-F238E27FC236}">
              <a16:creationId xmlns:a16="http://schemas.microsoft.com/office/drawing/2014/main" id="{00000000-0008-0000-1300-0000BE0A0000}"/>
            </a:ext>
          </a:extLst>
        </xdr:cNvPr>
        <xdr:cNvCxnSpPr/>
      </xdr:nvCxnSpPr>
      <xdr:spPr>
        <a:xfrm flipV="1">
          <a:off x="11324166" y="528214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761</xdr:row>
      <xdr:rowOff>42333</xdr:rowOff>
    </xdr:from>
    <xdr:to>
      <xdr:col>11</xdr:col>
      <xdr:colOff>603250</xdr:colOff>
      <xdr:row>773</xdr:row>
      <xdr:rowOff>10583</xdr:rowOff>
    </xdr:to>
    <xdr:cxnSp macro="">
      <xdr:nvCxnSpPr>
        <xdr:cNvPr id="2751" name="Straight Arrow Connector 2750">
          <a:extLst>
            <a:ext uri="{FF2B5EF4-FFF2-40B4-BE49-F238E27FC236}">
              <a16:creationId xmlns:a16="http://schemas.microsoft.com/office/drawing/2014/main" id="{00000000-0008-0000-1300-0000BF0A0000}"/>
            </a:ext>
          </a:extLst>
        </xdr:cNvPr>
        <xdr:cNvCxnSpPr/>
      </xdr:nvCxnSpPr>
      <xdr:spPr>
        <a:xfrm>
          <a:off x="7926917" y="594783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751</xdr:row>
      <xdr:rowOff>21167</xdr:rowOff>
    </xdr:from>
    <xdr:to>
      <xdr:col>13</xdr:col>
      <xdr:colOff>592667</xdr:colOff>
      <xdr:row>753</xdr:row>
      <xdr:rowOff>0</xdr:rowOff>
    </xdr:to>
    <xdr:cxnSp macro="">
      <xdr:nvCxnSpPr>
        <xdr:cNvPr id="2752" name="Straight Arrow Connector 2751">
          <a:extLst>
            <a:ext uri="{FF2B5EF4-FFF2-40B4-BE49-F238E27FC236}">
              <a16:creationId xmlns:a16="http://schemas.microsoft.com/office/drawing/2014/main" id="{00000000-0008-0000-1300-0000C00A0000}"/>
            </a:ext>
          </a:extLst>
        </xdr:cNvPr>
        <xdr:cNvCxnSpPr/>
      </xdr:nvCxnSpPr>
      <xdr:spPr>
        <a:xfrm flipV="1">
          <a:off x="9133417" y="57552167"/>
          <a:ext cx="984250"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756</xdr:row>
      <xdr:rowOff>21166</xdr:rowOff>
    </xdr:from>
    <xdr:to>
      <xdr:col>13</xdr:col>
      <xdr:colOff>592667</xdr:colOff>
      <xdr:row>757</xdr:row>
      <xdr:rowOff>169334</xdr:rowOff>
    </xdr:to>
    <xdr:cxnSp macro="">
      <xdr:nvCxnSpPr>
        <xdr:cNvPr id="2753" name="Straight Arrow Connector 2752">
          <a:extLst>
            <a:ext uri="{FF2B5EF4-FFF2-40B4-BE49-F238E27FC236}">
              <a16:creationId xmlns:a16="http://schemas.microsoft.com/office/drawing/2014/main" id="{00000000-0008-0000-1300-0000C10A0000}"/>
            </a:ext>
          </a:extLst>
        </xdr:cNvPr>
        <xdr:cNvCxnSpPr/>
      </xdr:nvCxnSpPr>
      <xdr:spPr>
        <a:xfrm>
          <a:off x="9122833" y="58504666"/>
          <a:ext cx="994834"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771</xdr:row>
      <xdr:rowOff>21167</xdr:rowOff>
    </xdr:from>
    <xdr:to>
      <xdr:col>13</xdr:col>
      <xdr:colOff>592667</xdr:colOff>
      <xdr:row>773</xdr:row>
      <xdr:rowOff>63500</xdr:rowOff>
    </xdr:to>
    <xdr:cxnSp macro="">
      <xdr:nvCxnSpPr>
        <xdr:cNvPr id="2754" name="Straight Arrow Connector 2753">
          <a:extLst>
            <a:ext uri="{FF2B5EF4-FFF2-40B4-BE49-F238E27FC236}">
              <a16:creationId xmlns:a16="http://schemas.microsoft.com/office/drawing/2014/main" id="{00000000-0008-0000-1300-0000C20A0000}"/>
            </a:ext>
          </a:extLst>
        </xdr:cNvPr>
        <xdr:cNvCxnSpPr/>
      </xdr:nvCxnSpPr>
      <xdr:spPr>
        <a:xfrm flipV="1">
          <a:off x="9525000" y="615526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776</xdr:row>
      <xdr:rowOff>0</xdr:rowOff>
    </xdr:from>
    <xdr:to>
      <xdr:col>14</xdr:col>
      <xdr:colOff>10584</xdr:colOff>
      <xdr:row>784</xdr:row>
      <xdr:rowOff>148167</xdr:rowOff>
    </xdr:to>
    <xdr:cxnSp macro="">
      <xdr:nvCxnSpPr>
        <xdr:cNvPr id="2755" name="Straight Arrow Connector 2754">
          <a:extLst>
            <a:ext uri="{FF2B5EF4-FFF2-40B4-BE49-F238E27FC236}">
              <a16:creationId xmlns:a16="http://schemas.microsoft.com/office/drawing/2014/main" id="{00000000-0008-0000-1300-0000C30A0000}"/>
            </a:ext>
          </a:extLst>
        </xdr:cNvPr>
        <xdr:cNvCxnSpPr/>
      </xdr:nvCxnSpPr>
      <xdr:spPr>
        <a:xfrm>
          <a:off x="9535583" y="62484000"/>
          <a:ext cx="613834"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747</xdr:row>
      <xdr:rowOff>95250</xdr:rowOff>
    </xdr:from>
    <xdr:to>
      <xdr:col>15</xdr:col>
      <xdr:colOff>582083</xdr:colOff>
      <xdr:row>749</xdr:row>
      <xdr:rowOff>137583</xdr:rowOff>
    </xdr:to>
    <xdr:cxnSp macro="">
      <xdr:nvCxnSpPr>
        <xdr:cNvPr id="2756" name="Straight Arrow Connector 2755">
          <a:extLst>
            <a:ext uri="{FF2B5EF4-FFF2-40B4-BE49-F238E27FC236}">
              <a16:creationId xmlns:a16="http://schemas.microsoft.com/office/drawing/2014/main" id="{00000000-0008-0000-1300-0000C40A0000}"/>
            </a:ext>
          </a:extLst>
        </xdr:cNvPr>
        <xdr:cNvCxnSpPr/>
      </xdr:nvCxnSpPr>
      <xdr:spPr>
        <a:xfrm>
          <a:off x="11334749" y="56864250"/>
          <a:ext cx="5291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756</xdr:row>
      <xdr:rowOff>52916</xdr:rowOff>
    </xdr:from>
    <xdr:to>
      <xdr:col>16</xdr:col>
      <xdr:colOff>0</xdr:colOff>
      <xdr:row>758</xdr:row>
      <xdr:rowOff>0</xdr:rowOff>
    </xdr:to>
    <xdr:cxnSp macro="">
      <xdr:nvCxnSpPr>
        <xdr:cNvPr id="2757" name="Straight Arrow Connector 2756">
          <a:extLst>
            <a:ext uri="{FF2B5EF4-FFF2-40B4-BE49-F238E27FC236}">
              <a16:creationId xmlns:a16="http://schemas.microsoft.com/office/drawing/2014/main" id="{00000000-0008-0000-1300-0000C50A0000}"/>
            </a:ext>
          </a:extLst>
        </xdr:cNvPr>
        <xdr:cNvCxnSpPr/>
      </xdr:nvCxnSpPr>
      <xdr:spPr>
        <a:xfrm flipV="1">
          <a:off x="11281833" y="58536416"/>
          <a:ext cx="613834"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758</xdr:row>
      <xdr:rowOff>21167</xdr:rowOff>
    </xdr:from>
    <xdr:to>
      <xdr:col>15</xdr:col>
      <xdr:colOff>592666</xdr:colOff>
      <xdr:row>759</xdr:row>
      <xdr:rowOff>84667</xdr:rowOff>
    </xdr:to>
    <xdr:cxnSp macro="">
      <xdr:nvCxnSpPr>
        <xdr:cNvPr id="2758" name="Straight Arrow Connector 2757">
          <a:extLst>
            <a:ext uri="{FF2B5EF4-FFF2-40B4-BE49-F238E27FC236}">
              <a16:creationId xmlns:a16="http://schemas.microsoft.com/office/drawing/2014/main" id="{00000000-0008-0000-1300-0000C60A0000}"/>
            </a:ext>
          </a:extLst>
        </xdr:cNvPr>
        <xdr:cNvCxnSpPr/>
      </xdr:nvCxnSpPr>
      <xdr:spPr>
        <a:xfrm>
          <a:off x="11271250" y="58885667"/>
          <a:ext cx="603249" cy="25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758</xdr:row>
      <xdr:rowOff>0</xdr:rowOff>
    </xdr:from>
    <xdr:to>
      <xdr:col>16</xdr:col>
      <xdr:colOff>0</xdr:colOff>
      <xdr:row>762</xdr:row>
      <xdr:rowOff>42334</xdr:rowOff>
    </xdr:to>
    <xdr:cxnSp macro="">
      <xdr:nvCxnSpPr>
        <xdr:cNvPr id="2759" name="Straight Arrow Connector 2758">
          <a:extLst>
            <a:ext uri="{FF2B5EF4-FFF2-40B4-BE49-F238E27FC236}">
              <a16:creationId xmlns:a16="http://schemas.microsoft.com/office/drawing/2014/main" id="{00000000-0008-0000-1300-0000C70A0000}"/>
            </a:ext>
          </a:extLst>
        </xdr:cNvPr>
        <xdr:cNvCxnSpPr/>
      </xdr:nvCxnSpPr>
      <xdr:spPr>
        <a:xfrm>
          <a:off x="11271250" y="58864500"/>
          <a:ext cx="624417" cy="804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769</xdr:row>
      <xdr:rowOff>0</xdr:rowOff>
    </xdr:from>
    <xdr:to>
      <xdr:col>15</xdr:col>
      <xdr:colOff>603250</xdr:colOff>
      <xdr:row>771</xdr:row>
      <xdr:rowOff>1</xdr:rowOff>
    </xdr:to>
    <xdr:cxnSp macro="">
      <xdr:nvCxnSpPr>
        <xdr:cNvPr id="2760" name="Straight Arrow Connector 2759">
          <a:extLst>
            <a:ext uri="{FF2B5EF4-FFF2-40B4-BE49-F238E27FC236}">
              <a16:creationId xmlns:a16="http://schemas.microsoft.com/office/drawing/2014/main" id="{00000000-0008-0000-1300-0000C80A0000}"/>
            </a:ext>
          </a:extLst>
        </xdr:cNvPr>
        <xdr:cNvCxnSpPr/>
      </xdr:nvCxnSpPr>
      <xdr:spPr>
        <a:xfrm flipV="1">
          <a:off x="11271250" y="611505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771</xdr:row>
      <xdr:rowOff>10584</xdr:rowOff>
    </xdr:from>
    <xdr:to>
      <xdr:col>15</xdr:col>
      <xdr:colOff>592666</xdr:colOff>
      <xdr:row>772</xdr:row>
      <xdr:rowOff>95250</xdr:rowOff>
    </xdr:to>
    <xdr:cxnSp macro="">
      <xdr:nvCxnSpPr>
        <xdr:cNvPr id="2761" name="Straight Arrow Connector 2760">
          <a:extLst>
            <a:ext uri="{FF2B5EF4-FFF2-40B4-BE49-F238E27FC236}">
              <a16:creationId xmlns:a16="http://schemas.microsoft.com/office/drawing/2014/main" id="{00000000-0008-0000-1300-0000C90A0000}"/>
            </a:ext>
          </a:extLst>
        </xdr:cNvPr>
        <xdr:cNvCxnSpPr/>
      </xdr:nvCxnSpPr>
      <xdr:spPr>
        <a:xfrm>
          <a:off x="11313583" y="615420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771</xdr:row>
      <xdr:rowOff>10584</xdr:rowOff>
    </xdr:from>
    <xdr:to>
      <xdr:col>15</xdr:col>
      <xdr:colOff>560916</xdr:colOff>
      <xdr:row>775</xdr:row>
      <xdr:rowOff>52917</xdr:rowOff>
    </xdr:to>
    <xdr:cxnSp macro="">
      <xdr:nvCxnSpPr>
        <xdr:cNvPr id="2762" name="Straight Arrow Connector 2761">
          <a:extLst>
            <a:ext uri="{FF2B5EF4-FFF2-40B4-BE49-F238E27FC236}">
              <a16:creationId xmlns:a16="http://schemas.microsoft.com/office/drawing/2014/main" id="{00000000-0008-0000-1300-0000CA0A0000}"/>
            </a:ext>
          </a:extLst>
        </xdr:cNvPr>
        <xdr:cNvCxnSpPr/>
      </xdr:nvCxnSpPr>
      <xdr:spPr>
        <a:xfrm>
          <a:off x="11292416" y="615420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771</xdr:row>
      <xdr:rowOff>31750</xdr:rowOff>
    </xdr:from>
    <xdr:to>
      <xdr:col>16</xdr:col>
      <xdr:colOff>21167</xdr:colOff>
      <xdr:row>778</xdr:row>
      <xdr:rowOff>95250</xdr:rowOff>
    </xdr:to>
    <xdr:cxnSp macro="">
      <xdr:nvCxnSpPr>
        <xdr:cNvPr id="2763" name="Straight Arrow Connector 2762">
          <a:extLst>
            <a:ext uri="{FF2B5EF4-FFF2-40B4-BE49-F238E27FC236}">
              <a16:creationId xmlns:a16="http://schemas.microsoft.com/office/drawing/2014/main" id="{00000000-0008-0000-1300-0000CB0A0000}"/>
            </a:ext>
          </a:extLst>
        </xdr:cNvPr>
        <xdr:cNvCxnSpPr/>
      </xdr:nvCxnSpPr>
      <xdr:spPr>
        <a:xfrm>
          <a:off x="11324166" y="61563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785</xdr:row>
      <xdr:rowOff>0</xdr:rowOff>
    </xdr:from>
    <xdr:to>
      <xdr:col>16</xdr:col>
      <xdr:colOff>0</xdr:colOff>
      <xdr:row>785</xdr:row>
      <xdr:rowOff>42334</xdr:rowOff>
    </xdr:to>
    <xdr:cxnSp macro="">
      <xdr:nvCxnSpPr>
        <xdr:cNvPr id="2764" name="Straight Arrow Connector 2763">
          <a:extLst>
            <a:ext uri="{FF2B5EF4-FFF2-40B4-BE49-F238E27FC236}">
              <a16:creationId xmlns:a16="http://schemas.microsoft.com/office/drawing/2014/main" id="{00000000-0008-0000-1300-0000CC0A0000}"/>
            </a:ext>
          </a:extLst>
        </xdr:cNvPr>
        <xdr:cNvCxnSpPr/>
      </xdr:nvCxnSpPr>
      <xdr:spPr>
        <a:xfrm>
          <a:off x="11302999" y="64198500"/>
          <a:ext cx="592668"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785</xdr:row>
      <xdr:rowOff>21166</xdr:rowOff>
    </xdr:from>
    <xdr:to>
      <xdr:col>15</xdr:col>
      <xdr:colOff>560916</xdr:colOff>
      <xdr:row>788</xdr:row>
      <xdr:rowOff>84667</xdr:rowOff>
    </xdr:to>
    <xdr:cxnSp macro="">
      <xdr:nvCxnSpPr>
        <xdr:cNvPr id="2765" name="Straight Arrow Connector 2764">
          <a:extLst>
            <a:ext uri="{FF2B5EF4-FFF2-40B4-BE49-F238E27FC236}">
              <a16:creationId xmlns:a16="http://schemas.microsoft.com/office/drawing/2014/main" id="{00000000-0008-0000-1300-0000CD0A0000}"/>
            </a:ext>
          </a:extLst>
        </xdr:cNvPr>
        <xdr:cNvCxnSpPr/>
      </xdr:nvCxnSpPr>
      <xdr:spPr>
        <a:xfrm>
          <a:off x="11355916" y="642196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785</xdr:row>
      <xdr:rowOff>52916</xdr:rowOff>
    </xdr:from>
    <xdr:to>
      <xdr:col>15</xdr:col>
      <xdr:colOff>592666</xdr:colOff>
      <xdr:row>791</xdr:row>
      <xdr:rowOff>63501</xdr:rowOff>
    </xdr:to>
    <xdr:cxnSp macro="">
      <xdr:nvCxnSpPr>
        <xdr:cNvPr id="2766" name="Straight Arrow Connector 2765">
          <a:extLst>
            <a:ext uri="{FF2B5EF4-FFF2-40B4-BE49-F238E27FC236}">
              <a16:creationId xmlns:a16="http://schemas.microsoft.com/office/drawing/2014/main" id="{00000000-0008-0000-1300-0000CE0A0000}"/>
            </a:ext>
          </a:extLst>
        </xdr:cNvPr>
        <xdr:cNvCxnSpPr/>
      </xdr:nvCxnSpPr>
      <xdr:spPr>
        <a:xfrm>
          <a:off x="11313583" y="642514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782</xdr:row>
      <xdr:rowOff>52917</xdr:rowOff>
    </xdr:from>
    <xdr:to>
      <xdr:col>15</xdr:col>
      <xdr:colOff>603250</xdr:colOff>
      <xdr:row>784</xdr:row>
      <xdr:rowOff>148167</xdr:rowOff>
    </xdr:to>
    <xdr:cxnSp macro="">
      <xdr:nvCxnSpPr>
        <xdr:cNvPr id="2767" name="Straight Arrow Connector 2766">
          <a:extLst>
            <a:ext uri="{FF2B5EF4-FFF2-40B4-BE49-F238E27FC236}">
              <a16:creationId xmlns:a16="http://schemas.microsoft.com/office/drawing/2014/main" id="{00000000-0008-0000-1300-0000CF0A0000}"/>
            </a:ext>
          </a:extLst>
        </xdr:cNvPr>
        <xdr:cNvCxnSpPr/>
      </xdr:nvCxnSpPr>
      <xdr:spPr>
        <a:xfrm flipV="1">
          <a:off x="11324166" y="636799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698500</xdr:colOff>
      <xdr:row>826</xdr:row>
      <xdr:rowOff>95250</xdr:rowOff>
    </xdr:from>
    <xdr:to>
      <xdr:col>8</xdr:col>
      <xdr:colOff>21167</xdr:colOff>
      <xdr:row>858</xdr:row>
      <xdr:rowOff>148166</xdr:rowOff>
    </xdr:to>
    <xdr:cxnSp macro="">
      <xdr:nvCxnSpPr>
        <xdr:cNvPr id="2768" name="Straight Arrow Connector 2767">
          <a:extLst>
            <a:ext uri="{FF2B5EF4-FFF2-40B4-BE49-F238E27FC236}">
              <a16:creationId xmlns:a16="http://schemas.microsoft.com/office/drawing/2014/main" id="{00000000-0008-0000-1300-0000D00A0000}"/>
            </a:ext>
          </a:extLst>
        </xdr:cNvPr>
        <xdr:cNvCxnSpPr/>
      </xdr:nvCxnSpPr>
      <xdr:spPr>
        <a:xfrm>
          <a:off x="5185833" y="72294750"/>
          <a:ext cx="910167" cy="6148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797</xdr:row>
      <xdr:rowOff>137583</xdr:rowOff>
    </xdr:from>
    <xdr:to>
      <xdr:col>9</xdr:col>
      <xdr:colOff>603250</xdr:colOff>
      <xdr:row>803</xdr:row>
      <xdr:rowOff>21166</xdr:rowOff>
    </xdr:to>
    <xdr:cxnSp macro="">
      <xdr:nvCxnSpPr>
        <xdr:cNvPr id="2769" name="Straight Arrow Connector 2768">
          <a:extLst>
            <a:ext uri="{FF2B5EF4-FFF2-40B4-BE49-F238E27FC236}">
              <a16:creationId xmlns:a16="http://schemas.microsoft.com/office/drawing/2014/main" id="{00000000-0008-0000-1300-0000D10A0000}"/>
            </a:ext>
          </a:extLst>
        </xdr:cNvPr>
        <xdr:cNvCxnSpPr/>
      </xdr:nvCxnSpPr>
      <xdr:spPr>
        <a:xfrm flipV="1">
          <a:off x="6688667" y="66622083"/>
          <a:ext cx="603250" cy="1026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806</xdr:row>
      <xdr:rowOff>0</xdr:rowOff>
    </xdr:from>
    <xdr:to>
      <xdr:col>9</xdr:col>
      <xdr:colOff>582083</xdr:colOff>
      <xdr:row>814</xdr:row>
      <xdr:rowOff>10583</xdr:rowOff>
    </xdr:to>
    <xdr:cxnSp macro="">
      <xdr:nvCxnSpPr>
        <xdr:cNvPr id="2770" name="Straight Arrow Connector 2769">
          <a:extLst>
            <a:ext uri="{FF2B5EF4-FFF2-40B4-BE49-F238E27FC236}">
              <a16:creationId xmlns:a16="http://schemas.microsoft.com/office/drawing/2014/main" id="{00000000-0008-0000-1300-0000D20A0000}"/>
            </a:ext>
          </a:extLst>
        </xdr:cNvPr>
        <xdr:cNvCxnSpPr/>
      </xdr:nvCxnSpPr>
      <xdr:spPr>
        <a:xfrm>
          <a:off x="6720417" y="68199000"/>
          <a:ext cx="550333" cy="1534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21167</xdr:colOff>
      <xdr:row>811</xdr:row>
      <xdr:rowOff>169333</xdr:rowOff>
    </xdr:from>
    <xdr:to>
      <xdr:col>11</xdr:col>
      <xdr:colOff>603250</xdr:colOff>
      <xdr:row>814</xdr:row>
      <xdr:rowOff>21167</xdr:rowOff>
    </xdr:to>
    <xdr:cxnSp macro="">
      <xdr:nvCxnSpPr>
        <xdr:cNvPr id="2771" name="Straight Arrow Connector 2770">
          <a:extLst>
            <a:ext uri="{FF2B5EF4-FFF2-40B4-BE49-F238E27FC236}">
              <a16:creationId xmlns:a16="http://schemas.microsoft.com/office/drawing/2014/main" id="{00000000-0008-0000-1300-0000D30A0000}"/>
            </a:ext>
          </a:extLst>
        </xdr:cNvPr>
        <xdr:cNvCxnSpPr/>
      </xdr:nvCxnSpPr>
      <xdr:spPr>
        <a:xfrm flipV="1">
          <a:off x="7937500" y="69320833"/>
          <a:ext cx="582083" cy="423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817</xdr:row>
      <xdr:rowOff>42333</xdr:rowOff>
    </xdr:from>
    <xdr:to>
      <xdr:col>11</xdr:col>
      <xdr:colOff>603250</xdr:colOff>
      <xdr:row>829</xdr:row>
      <xdr:rowOff>10583</xdr:rowOff>
    </xdr:to>
    <xdr:cxnSp macro="">
      <xdr:nvCxnSpPr>
        <xdr:cNvPr id="2772" name="Straight Arrow Connector 2771">
          <a:extLst>
            <a:ext uri="{FF2B5EF4-FFF2-40B4-BE49-F238E27FC236}">
              <a16:creationId xmlns:a16="http://schemas.microsoft.com/office/drawing/2014/main" id="{00000000-0008-0000-1300-0000D40A0000}"/>
            </a:ext>
          </a:extLst>
        </xdr:cNvPr>
        <xdr:cNvCxnSpPr/>
      </xdr:nvCxnSpPr>
      <xdr:spPr>
        <a:xfrm>
          <a:off x="7926917" y="703368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807</xdr:row>
      <xdr:rowOff>21167</xdr:rowOff>
    </xdr:from>
    <xdr:to>
      <xdr:col>13</xdr:col>
      <xdr:colOff>592667</xdr:colOff>
      <xdr:row>809</xdr:row>
      <xdr:rowOff>0</xdr:rowOff>
    </xdr:to>
    <xdr:cxnSp macro="">
      <xdr:nvCxnSpPr>
        <xdr:cNvPr id="2773" name="Straight Arrow Connector 2772">
          <a:extLst>
            <a:ext uri="{FF2B5EF4-FFF2-40B4-BE49-F238E27FC236}">
              <a16:creationId xmlns:a16="http://schemas.microsoft.com/office/drawing/2014/main" id="{00000000-0008-0000-1300-0000D50A0000}"/>
            </a:ext>
          </a:extLst>
        </xdr:cNvPr>
        <xdr:cNvCxnSpPr/>
      </xdr:nvCxnSpPr>
      <xdr:spPr>
        <a:xfrm flipV="1">
          <a:off x="9133417" y="68410667"/>
          <a:ext cx="984250"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812</xdr:row>
      <xdr:rowOff>21166</xdr:rowOff>
    </xdr:from>
    <xdr:to>
      <xdr:col>13</xdr:col>
      <xdr:colOff>592667</xdr:colOff>
      <xdr:row>813</xdr:row>
      <xdr:rowOff>169334</xdr:rowOff>
    </xdr:to>
    <xdr:cxnSp macro="">
      <xdr:nvCxnSpPr>
        <xdr:cNvPr id="2774" name="Straight Arrow Connector 2773">
          <a:extLst>
            <a:ext uri="{FF2B5EF4-FFF2-40B4-BE49-F238E27FC236}">
              <a16:creationId xmlns:a16="http://schemas.microsoft.com/office/drawing/2014/main" id="{00000000-0008-0000-1300-0000D60A0000}"/>
            </a:ext>
          </a:extLst>
        </xdr:cNvPr>
        <xdr:cNvCxnSpPr/>
      </xdr:nvCxnSpPr>
      <xdr:spPr>
        <a:xfrm>
          <a:off x="9122833" y="69363166"/>
          <a:ext cx="994834"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799</xdr:row>
      <xdr:rowOff>0</xdr:rowOff>
    </xdr:from>
    <xdr:to>
      <xdr:col>15</xdr:col>
      <xdr:colOff>603250</xdr:colOff>
      <xdr:row>804</xdr:row>
      <xdr:rowOff>31750</xdr:rowOff>
    </xdr:to>
    <xdr:cxnSp macro="">
      <xdr:nvCxnSpPr>
        <xdr:cNvPr id="2777" name="Straight Arrow Connector 2776">
          <a:extLst>
            <a:ext uri="{FF2B5EF4-FFF2-40B4-BE49-F238E27FC236}">
              <a16:creationId xmlns:a16="http://schemas.microsoft.com/office/drawing/2014/main" id="{00000000-0008-0000-1300-0000D90A0000}"/>
            </a:ext>
          </a:extLst>
        </xdr:cNvPr>
        <xdr:cNvCxnSpPr/>
      </xdr:nvCxnSpPr>
      <xdr:spPr>
        <a:xfrm flipV="1">
          <a:off x="11281833" y="66865500"/>
          <a:ext cx="603250" cy="984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802</xdr:row>
      <xdr:rowOff>52917</xdr:rowOff>
    </xdr:from>
    <xdr:to>
      <xdr:col>15</xdr:col>
      <xdr:colOff>603250</xdr:colOff>
      <xdr:row>804</xdr:row>
      <xdr:rowOff>95250</xdr:rowOff>
    </xdr:to>
    <xdr:cxnSp macro="">
      <xdr:nvCxnSpPr>
        <xdr:cNvPr id="2778" name="Straight Arrow Connector 2777">
          <a:extLst>
            <a:ext uri="{FF2B5EF4-FFF2-40B4-BE49-F238E27FC236}">
              <a16:creationId xmlns:a16="http://schemas.microsoft.com/office/drawing/2014/main" id="{00000000-0008-0000-1300-0000DA0A0000}"/>
            </a:ext>
          </a:extLst>
        </xdr:cNvPr>
        <xdr:cNvCxnSpPr/>
      </xdr:nvCxnSpPr>
      <xdr:spPr>
        <a:xfrm flipV="1">
          <a:off x="11324166" y="67489917"/>
          <a:ext cx="56091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804</xdr:row>
      <xdr:rowOff>158750</xdr:rowOff>
    </xdr:from>
    <xdr:to>
      <xdr:col>15</xdr:col>
      <xdr:colOff>582083</xdr:colOff>
      <xdr:row>805</xdr:row>
      <xdr:rowOff>137583</xdr:rowOff>
    </xdr:to>
    <xdr:cxnSp macro="">
      <xdr:nvCxnSpPr>
        <xdr:cNvPr id="2779" name="Straight Arrow Connector 2778">
          <a:extLst>
            <a:ext uri="{FF2B5EF4-FFF2-40B4-BE49-F238E27FC236}">
              <a16:creationId xmlns:a16="http://schemas.microsoft.com/office/drawing/2014/main" id="{00000000-0008-0000-1300-0000DB0A0000}"/>
            </a:ext>
          </a:extLst>
        </xdr:cNvPr>
        <xdr:cNvCxnSpPr/>
      </xdr:nvCxnSpPr>
      <xdr:spPr>
        <a:xfrm>
          <a:off x="11345333" y="67976750"/>
          <a:ext cx="518583" cy="169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1121834</xdr:colOff>
      <xdr:row>804</xdr:row>
      <xdr:rowOff>105834</xdr:rowOff>
    </xdr:from>
    <xdr:to>
      <xdr:col>16</xdr:col>
      <xdr:colOff>0</xdr:colOff>
      <xdr:row>808</xdr:row>
      <xdr:rowOff>84667</xdr:rowOff>
    </xdr:to>
    <xdr:cxnSp macro="">
      <xdr:nvCxnSpPr>
        <xdr:cNvPr id="2780" name="Straight Arrow Connector 2779">
          <a:extLst>
            <a:ext uri="{FF2B5EF4-FFF2-40B4-BE49-F238E27FC236}">
              <a16:creationId xmlns:a16="http://schemas.microsoft.com/office/drawing/2014/main" id="{00000000-0008-0000-1300-0000DC0A0000}"/>
            </a:ext>
          </a:extLst>
        </xdr:cNvPr>
        <xdr:cNvCxnSpPr/>
      </xdr:nvCxnSpPr>
      <xdr:spPr>
        <a:xfrm>
          <a:off x="11260667" y="67923834"/>
          <a:ext cx="63500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814</xdr:row>
      <xdr:rowOff>31750</xdr:rowOff>
    </xdr:from>
    <xdr:to>
      <xdr:col>16</xdr:col>
      <xdr:colOff>42334</xdr:colOff>
      <xdr:row>821</xdr:row>
      <xdr:rowOff>63501</xdr:rowOff>
    </xdr:to>
    <xdr:cxnSp macro="">
      <xdr:nvCxnSpPr>
        <xdr:cNvPr id="2784" name="Straight Arrow Connector 2783">
          <a:extLst>
            <a:ext uri="{FF2B5EF4-FFF2-40B4-BE49-F238E27FC236}">
              <a16:creationId xmlns:a16="http://schemas.microsoft.com/office/drawing/2014/main" id="{00000000-0008-0000-1300-0000E00A0000}"/>
            </a:ext>
          </a:extLst>
        </xdr:cNvPr>
        <xdr:cNvCxnSpPr/>
      </xdr:nvCxnSpPr>
      <xdr:spPr>
        <a:xfrm>
          <a:off x="11281833" y="69754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10583</xdr:colOff>
      <xdr:row>851</xdr:row>
      <xdr:rowOff>42333</xdr:rowOff>
    </xdr:from>
    <xdr:to>
      <xdr:col>9</xdr:col>
      <xdr:colOff>592666</xdr:colOff>
      <xdr:row>859</xdr:row>
      <xdr:rowOff>42333</xdr:rowOff>
    </xdr:to>
    <xdr:cxnSp macro="">
      <xdr:nvCxnSpPr>
        <xdr:cNvPr id="2785" name="Straight Arrow Connector 2784">
          <a:extLst>
            <a:ext uri="{FF2B5EF4-FFF2-40B4-BE49-F238E27FC236}">
              <a16:creationId xmlns:a16="http://schemas.microsoft.com/office/drawing/2014/main" id="{00000000-0008-0000-1300-0000E10A0000}"/>
            </a:ext>
          </a:extLst>
        </xdr:cNvPr>
        <xdr:cNvCxnSpPr/>
      </xdr:nvCxnSpPr>
      <xdr:spPr>
        <a:xfrm flipV="1">
          <a:off x="6699250" y="77004333"/>
          <a:ext cx="582083" cy="152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861</xdr:row>
      <xdr:rowOff>169334</xdr:rowOff>
    </xdr:from>
    <xdr:to>
      <xdr:col>9</xdr:col>
      <xdr:colOff>603250</xdr:colOff>
      <xdr:row>870</xdr:row>
      <xdr:rowOff>31750</xdr:rowOff>
    </xdr:to>
    <xdr:cxnSp macro="">
      <xdr:nvCxnSpPr>
        <xdr:cNvPr id="2786" name="Straight Arrow Connector 2785">
          <a:extLst>
            <a:ext uri="{FF2B5EF4-FFF2-40B4-BE49-F238E27FC236}">
              <a16:creationId xmlns:a16="http://schemas.microsoft.com/office/drawing/2014/main" id="{00000000-0008-0000-1300-0000E20A0000}"/>
            </a:ext>
          </a:extLst>
        </xdr:cNvPr>
        <xdr:cNvCxnSpPr/>
      </xdr:nvCxnSpPr>
      <xdr:spPr>
        <a:xfrm>
          <a:off x="6720417" y="79036334"/>
          <a:ext cx="571500" cy="1576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571500</xdr:colOff>
      <xdr:row>867</xdr:row>
      <xdr:rowOff>158750</xdr:rowOff>
    </xdr:from>
    <xdr:to>
      <xdr:col>11</xdr:col>
      <xdr:colOff>571500</xdr:colOff>
      <xdr:row>870</xdr:row>
      <xdr:rowOff>0</xdr:rowOff>
    </xdr:to>
    <xdr:cxnSp macro="">
      <xdr:nvCxnSpPr>
        <xdr:cNvPr id="2787" name="Straight Arrow Connector 2786">
          <a:extLst>
            <a:ext uri="{FF2B5EF4-FFF2-40B4-BE49-F238E27FC236}">
              <a16:creationId xmlns:a16="http://schemas.microsoft.com/office/drawing/2014/main" id="{00000000-0008-0000-1300-0000E30A0000}"/>
            </a:ext>
          </a:extLst>
        </xdr:cNvPr>
        <xdr:cNvCxnSpPr/>
      </xdr:nvCxnSpPr>
      <xdr:spPr>
        <a:xfrm flipV="1">
          <a:off x="7874000" y="80168750"/>
          <a:ext cx="613833" cy="412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855</xdr:row>
      <xdr:rowOff>116416</xdr:rowOff>
    </xdr:from>
    <xdr:to>
      <xdr:col>15</xdr:col>
      <xdr:colOff>592666</xdr:colOff>
      <xdr:row>858</xdr:row>
      <xdr:rowOff>158750</xdr:rowOff>
    </xdr:to>
    <xdr:cxnSp macro="">
      <xdr:nvCxnSpPr>
        <xdr:cNvPr id="2795" name="Straight Arrow Connector 2794">
          <a:extLst>
            <a:ext uri="{FF2B5EF4-FFF2-40B4-BE49-F238E27FC236}">
              <a16:creationId xmlns:a16="http://schemas.microsoft.com/office/drawing/2014/main" id="{00000000-0008-0000-1300-0000EB0A0000}"/>
            </a:ext>
          </a:extLst>
        </xdr:cNvPr>
        <xdr:cNvCxnSpPr/>
      </xdr:nvCxnSpPr>
      <xdr:spPr>
        <a:xfrm flipV="1">
          <a:off x="11302999" y="77840416"/>
          <a:ext cx="571500" cy="613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857</xdr:row>
      <xdr:rowOff>95250</xdr:rowOff>
    </xdr:from>
    <xdr:to>
      <xdr:col>15</xdr:col>
      <xdr:colOff>582083</xdr:colOff>
      <xdr:row>859</xdr:row>
      <xdr:rowOff>52917</xdr:rowOff>
    </xdr:to>
    <xdr:cxnSp macro="">
      <xdr:nvCxnSpPr>
        <xdr:cNvPr id="2796" name="Straight Arrow Connector 2795">
          <a:extLst>
            <a:ext uri="{FF2B5EF4-FFF2-40B4-BE49-F238E27FC236}">
              <a16:creationId xmlns:a16="http://schemas.microsoft.com/office/drawing/2014/main" id="{00000000-0008-0000-1300-0000EC0A0000}"/>
            </a:ext>
          </a:extLst>
        </xdr:cNvPr>
        <xdr:cNvCxnSpPr/>
      </xdr:nvCxnSpPr>
      <xdr:spPr>
        <a:xfrm flipV="1">
          <a:off x="11345333" y="78200250"/>
          <a:ext cx="518583" cy="338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859</xdr:row>
      <xdr:rowOff>116417</xdr:rowOff>
    </xdr:from>
    <xdr:to>
      <xdr:col>15</xdr:col>
      <xdr:colOff>592666</xdr:colOff>
      <xdr:row>863</xdr:row>
      <xdr:rowOff>95250</xdr:rowOff>
    </xdr:to>
    <xdr:cxnSp macro="">
      <xdr:nvCxnSpPr>
        <xdr:cNvPr id="2797" name="Straight Arrow Connector 2796">
          <a:extLst>
            <a:ext uri="{FF2B5EF4-FFF2-40B4-BE49-F238E27FC236}">
              <a16:creationId xmlns:a16="http://schemas.microsoft.com/office/drawing/2014/main" id="{00000000-0008-0000-1300-0000ED0A0000}"/>
            </a:ext>
          </a:extLst>
        </xdr:cNvPr>
        <xdr:cNvCxnSpPr/>
      </xdr:nvCxnSpPr>
      <xdr:spPr>
        <a:xfrm>
          <a:off x="11334749" y="78602417"/>
          <a:ext cx="53975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870</xdr:row>
      <xdr:rowOff>116416</xdr:rowOff>
    </xdr:from>
    <xdr:to>
      <xdr:col>16</xdr:col>
      <xdr:colOff>0</xdr:colOff>
      <xdr:row>877</xdr:row>
      <xdr:rowOff>74084</xdr:rowOff>
    </xdr:to>
    <xdr:cxnSp macro="">
      <xdr:nvCxnSpPr>
        <xdr:cNvPr id="2798" name="Straight Arrow Connector 2797">
          <a:extLst>
            <a:ext uri="{FF2B5EF4-FFF2-40B4-BE49-F238E27FC236}">
              <a16:creationId xmlns:a16="http://schemas.microsoft.com/office/drawing/2014/main" id="{00000000-0008-0000-1300-0000EE0A0000}"/>
            </a:ext>
          </a:extLst>
        </xdr:cNvPr>
        <xdr:cNvCxnSpPr/>
      </xdr:nvCxnSpPr>
      <xdr:spPr>
        <a:xfrm>
          <a:off x="11313583" y="80697916"/>
          <a:ext cx="582084" cy="12911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873</xdr:row>
      <xdr:rowOff>42333</xdr:rowOff>
    </xdr:from>
    <xdr:to>
      <xdr:col>11</xdr:col>
      <xdr:colOff>603250</xdr:colOff>
      <xdr:row>885</xdr:row>
      <xdr:rowOff>10583</xdr:rowOff>
    </xdr:to>
    <xdr:cxnSp macro="">
      <xdr:nvCxnSpPr>
        <xdr:cNvPr id="2800" name="Straight Arrow Connector 2799">
          <a:extLst>
            <a:ext uri="{FF2B5EF4-FFF2-40B4-BE49-F238E27FC236}">
              <a16:creationId xmlns:a16="http://schemas.microsoft.com/office/drawing/2014/main" id="{00000000-0008-0000-1300-0000F00A0000}"/>
            </a:ext>
          </a:extLst>
        </xdr:cNvPr>
        <xdr:cNvCxnSpPr/>
      </xdr:nvCxnSpPr>
      <xdr:spPr>
        <a:xfrm>
          <a:off x="7926917" y="811953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863</xdr:row>
      <xdr:rowOff>21167</xdr:rowOff>
    </xdr:from>
    <xdr:to>
      <xdr:col>13</xdr:col>
      <xdr:colOff>592667</xdr:colOff>
      <xdr:row>865</xdr:row>
      <xdr:rowOff>0</xdr:rowOff>
    </xdr:to>
    <xdr:cxnSp macro="">
      <xdr:nvCxnSpPr>
        <xdr:cNvPr id="2801" name="Straight Arrow Connector 2800">
          <a:extLst>
            <a:ext uri="{FF2B5EF4-FFF2-40B4-BE49-F238E27FC236}">
              <a16:creationId xmlns:a16="http://schemas.microsoft.com/office/drawing/2014/main" id="{00000000-0008-0000-1300-0000F10A0000}"/>
            </a:ext>
          </a:extLst>
        </xdr:cNvPr>
        <xdr:cNvCxnSpPr/>
      </xdr:nvCxnSpPr>
      <xdr:spPr>
        <a:xfrm flipV="1">
          <a:off x="9133417" y="79269167"/>
          <a:ext cx="984250"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868</xdr:row>
      <xdr:rowOff>21166</xdr:rowOff>
    </xdr:from>
    <xdr:to>
      <xdr:col>13</xdr:col>
      <xdr:colOff>592667</xdr:colOff>
      <xdr:row>869</xdr:row>
      <xdr:rowOff>169334</xdr:rowOff>
    </xdr:to>
    <xdr:cxnSp macro="">
      <xdr:nvCxnSpPr>
        <xdr:cNvPr id="2802" name="Straight Arrow Connector 2801">
          <a:extLst>
            <a:ext uri="{FF2B5EF4-FFF2-40B4-BE49-F238E27FC236}">
              <a16:creationId xmlns:a16="http://schemas.microsoft.com/office/drawing/2014/main" id="{00000000-0008-0000-1300-0000F20A0000}"/>
            </a:ext>
          </a:extLst>
        </xdr:cNvPr>
        <xdr:cNvCxnSpPr/>
      </xdr:nvCxnSpPr>
      <xdr:spPr>
        <a:xfrm>
          <a:off x="9122833" y="80221666"/>
          <a:ext cx="994834"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883</xdr:row>
      <xdr:rowOff>21167</xdr:rowOff>
    </xdr:from>
    <xdr:to>
      <xdr:col>13</xdr:col>
      <xdr:colOff>592667</xdr:colOff>
      <xdr:row>885</xdr:row>
      <xdr:rowOff>63500</xdr:rowOff>
    </xdr:to>
    <xdr:cxnSp macro="">
      <xdr:nvCxnSpPr>
        <xdr:cNvPr id="2803" name="Straight Arrow Connector 2802">
          <a:extLst>
            <a:ext uri="{FF2B5EF4-FFF2-40B4-BE49-F238E27FC236}">
              <a16:creationId xmlns:a16="http://schemas.microsoft.com/office/drawing/2014/main" id="{00000000-0008-0000-1300-0000F30A0000}"/>
            </a:ext>
          </a:extLst>
        </xdr:cNvPr>
        <xdr:cNvCxnSpPr/>
      </xdr:nvCxnSpPr>
      <xdr:spPr>
        <a:xfrm flipV="1">
          <a:off x="9525000" y="832696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888</xdr:row>
      <xdr:rowOff>0</xdr:rowOff>
    </xdr:from>
    <xdr:to>
      <xdr:col>14</xdr:col>
      <xdr:colOff>10584</xdr:colOff>
      <xdr:row>896</xdr:row>
      <xdr:rowOff>148167</xdr:rowOff>
    </xdr:to>
    <xdr:cxnSp macro="">
      <xdr:nvCxnSpPr>
        <xdr:cNvPr id="2804" name="Straight Arrow Connector 2803">
          <a:extLst>
            <a:ext uri="{FF2B5EF4-FFF2-40B4-BE49-F238E27FC236}">
              <a16:creationId xmlns:a16="http://schemas.microsoft.com/office/drawing/2014/main" id="{00000000-0008-0000-1300-0000F40A0000}"/>
            </a:ext>
          </a:extLst>
        </xdr:cNvPr>
        <xdr:cNvCxnSpPr/>
      </xdr:nvCxnSpPr>
      <xdr:spPr>
        <a:xfrm>
          <a:off x="9535583" y="84201000"/>
          <a:ext cx="613834"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859</xdr:row>
      <xdr:rowOff>95250</xdr:rowOff>
    </xdr:from>
    <xdr:to>
      <xdr:col>15</xdr:col>
      <xdr:colOff>582083</xdr:colOff>
      <xdr:row>861</xdr:row>
      <xdr:rowOff>137583</xdr:rowOff>
    </xdr:to>
    <xdr:cxnSp macro="">
      <xdr:nvCxnSpPr>
        <xdr:cNvPr id="2805" name="Straight Arrow Connector 2804">
          <a:extLst>
            <a:ext uri="{FF2B5EF4-FFF2-40B4-BE49-F238E27FC236}">
              <a16:creationId xmlns:a16="http://schemas.microsoft.com/office/drawing/2014/main" id="{00000000-0008-0000-1300-0000F50A0000}"/>
            </a:ext>
          </a:extLst>
        </xdr:cNvPr>
        <xdr:cNvCxnSpPr/>
      </xdr:nvCxnSpPr>
      <xdr:spPr>
        <a:xfrm>
          <a:off x="11334749" y="78581250"/>
          <a:ext cx="5291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868</xdr:row>
      <xdr:rowOff>52916</xdr:rowOff>
    </xdr:from>
    <xdr:to>
      <xdr:col>16</xdr:col>
      <xdr:colOff>0</xdr:colOff>
      <xdr:row>870</xdr:row>
      <xdr:rowOff>0</xdr:rowOff>
    </xdr:to>
    <xdr:cxnSp macro="">
      <xdr:nvCxnSpPr>
        <xdr:cNvPr id="2806" name="Straight Arrow Connector 2805">
          <a:extLst>
            <a:ext uri="{FF2B5EF4-FFF2-40B4-BE49-F238E27FC236}">
              <a16:creationId xmlns:a16="http://schemas.microsoft.com/office/drawing/2014/main" id="{00000000-0008-0000-1300-0000F60A0000}"/>
            </a:ext>
          </a:extLst>
        </xdr:cNvPr>
        <xdr:cNvCxnSpPr/>
      </xdr:nvCxnSpPr>
      <xdr:spPr>
        <a:xfrm flipV="1">
          <a:off x="11281833" y="80253416"/>
          <a:ext cx="613834"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870</xdr:row>
      <xdr:rowOff>21167</xdr:rowOff>
    </xdr:from>
    <xdr:to>
      <xdr:col>15</xdr:col>
      <xdr:colOff>592666</xdr:colOff>
      <xdr:row>871</xdr:row>
      <xdr:rowOff>84667</xdr:rowOff>
    </xdr:to>
    <xdr:cxnSp macro="">
      <xdr:nvCxnSpPr>
        <xdr:cNvPr id="2807" name="Straight Arrow Connector 2806">
          <a:extLst>
            <a:ext uri="{FF2B5EF4-FFF2-40B4-BE49-F238E27FC236}">
              <a16:creationId xmlns:a16="http://schemas.microsoft.com/office/drawing/2014/main" id="{00000000-0008-0000-1300-0000F70A0000}"/>
            </a:ext>
          </a:extLst>
        </xdr:cNvPr>
        <xdr:cNvCxnSpPr/>
      </xdr:nvCxnSpPr>
      <xdr:spPr>
        <a:xfrm>
          <a:off x="11271250" y="80602667"/>
          <a:ext cx="603249" cy="25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870</xdr:row>
      <xdr:rowOff>0</xdr:rowOff>
    </xdr:from>
    <xdr:to>
      <xdr:col>16</xdr:col>
      <xdr:colOff>0</xdr:colOff>
      <xdr:row>874</xdr:row>
      <xdr:rowOff>42334</xdr:rowOff>
    </xdr:to>
    <xdr:cxnSp macro="">
      <xdr:nvCxnSpPr>
        <xdr:cNvPr id="2808" name="Straight Arrow Connector 2807">
          <a:extLst>
            <a:ext uri="{FF2B5EF4-FFF2-40B4-BE49-F238E27FC236}">
              <a16:creationId xmlns:a16="http://schemas.microsoft.com/office/drawing/2014/main" id="{00000000-0008-0000-1300-0000F80A0000}"/>
            </a:ext>
          </a:extLst>
        </xdr:cNvPr>
        <xdr:cNvCxnSpPr/>
      </xdr:nvCxnSpPr>
      <xdr:spPr>
        <a:xfrm>
          <a:off x="11271250" y="80581500"/>
          <a:ext cx="624417" cy="804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881</xdr:row>
      <xdr:rowOff>0</xdr:rowOff>
    </xdr:from>
    <xdr:to>
      <xdr:col>15</xdr:col>
      <xdr:colOff>603250</xdr:colOff>
      <xdr:row>883</xdr:row>
      <xdr:rowOff>1</xdr:rowOff>
    </xdr:to>
    <xdr:cxnSp macro="">
      <xdr:nvCxnSpPr>
        <xdr:cNvPr id="2809" name="Straight Arrow Connector 2808">
          <a:extLst>
            <a:ext uri="{FF2B5EF4-FFF2-40B4-BE49-F238E27FC236}">
              <a16:creationId xmlns:a16="http://schemas.microsoft.com/office/drawing/2014/main" id="{00000000-0008-0000-1300-0000F90A0000}"/>
            </a:ext>
          </a:extLst>
        </xdr:cNvPr>
        <xdr:cNvCxnSpPr/>
      </xdr:nvCxnSpPr>
      <xdr:spPr>
        <a:xfrm flipV="1">
          <a:off x="11271250" y="828675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883</xdr:row>
      <xdr:rowOff>10584</xdr:rowOff>
    </xdr:from>
    <xdr:to>
      <xdr:col>15</xdr:col>
      <xdr:colOff>592666</xdr:colOff>
      <xdr:row>884</xdr:row>
      <xdr:rowOff>95250</xdr:rowOff>
    </xdr:to>
    <xdr:cxnSp macro="">
      <xdr:nvCxnSpPr>
        <xdr:cNvPr id="2810" name="Straight Arrow Connector 2809">
          <a:extLst>
            <a:ext uri="{FF2B5EF4-FFF2-40B4-BE49-F238E27FC236}">
              <a16:creationId xmlns:a16="http://schemas.microsoft.com/office/drawing/2014/main" id="{00000000-0008-0000-1300-0000FA0A0000}"/>
            </a:ext>
          </a:extLst>
        </xdr:cNvPr>
        <xdr:cNvCxnSpPr/>
      </xdr:nvCxnSpPr>
      <xdr:spPr>
        <a:xfrm>
          <a:off x="11313583" y="832590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883</xdr:row>
      <xdr:rowOff>10584</xdr:rowOff>
    </xdr:from>
    <xdr:to>
      <xdr:col>15</xdr:col>
      <xdr:colOff>560916</xdr:colOff>
      <xdr:row>887</xdr:row>
      <xdr:rowOff>52917</xdr:rowOff>
    </xdr:to>
    <xdr:cxnSp macro="">
      <xdr:nvCxnSpPr>
        <xdr:cNvPr id="2811" name="Straight Arrow Connector 2810">
          <a:extLst>
            <a:ext uri="{FF2B5EF4-FFF2-40B4-BE49-F238E27FC236}">
              <a16:creationId xmlns:a16="http://schemas.microsoft.com/office/drawing/2014/main" id="{00000000-0008-0000-1300-0000FB0A0000}"/>
            </a:ext>
          </a:extLst>
        </xdr:cNvPr>
        <xdr:cNvCxnSpPr/>
      </xdr:nvCxnSpPr>
      <xdr:spPr>
        <a:xfrm>
          <a:off x="11292416" y="832590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883</xdr:row>
      <xdr:rowOff>31750</xdr:rowOff>
    </xdr:from>
    <xdr:to>
      <xdr:col>16</xdr:col>
      <xdr:colOff>21167</xdr:colOff>
      <xdr:row>890</xdr:row>
      <xdr:rowOff>95250</xdr:rowOff>
    </xdr:to>
    <xdr:cxnSp macro="">
      <xdr:nvCxnSpPr>
        <xdr:cNvPr id="2812" name="Straight Arrow Connector 2811">
          <a:extLst>
            <a:ext uri="{FF2B5EF4-FFF2-40B4-BE49-F238E27FC236}">
              <a16:creationId xmlns:a16="http://schemas.microsoft.com/office/drawing/2014/main" id="{00000000-0008-0000-1300-0000FC0A0000}"/>
            </a:ext>
          </a:extLst>
        </xdr:cNvPr>
        <xdr:cNvCxnSpPr/>
      </xdr:nvCxnSpPr>
      <xdr:spPr>
        <a:xfrm>
          <a:off x="11324166" y="83280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897</xdr:row>
      <xdr:rowOff>0</xdr:rowOff>
    </xdr:from>
    <xdr:to>
      <xdr:col>16</xdr:col>
      <xdr:colOff>0</xdr:colOff>
      <xdr:row>897</xdr:row>
      <xdr:rowOff>42334</xdr:rowOff>
    </xdr:to>
    <xdr:cxnSp macro="">
      <xdr:nvCxnSpPr>
        <xdr:cNvPr id="2813" name="Straight Arrow Connector 2812">
          <a:extLst>
            <a:ext uri="{FF2B5EF4-FFF2-40B4-BE49-F238E27FC236}">
              <a16:creationId xmlns:a16="http://schemas.microsoft.com/office/drawing/2014/main" id="{00000000-0008-0000-1300-0000FD0A0000}"/>
            </a:ext>
          </a:extLst>
        </xdr:cNvPr>
        <xdr:cNvCxnSpPr/>
      </xdr:nvCxnSpPr>
      <xdr:spPr>
        <a:xfrm>
          <a:off x="11302999" y="85915500"/>
          <a:ext cx="592668"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897</xdr:row>
      <xdr:rowOff>21166</xdr:rowOff>
    </xdr:from>
    <xdr:to>
      <xdr:col>15</xdr:col>
      <xdr:colOff>560916</xdr:colOff>
      <xdr:row>900</xdr:row>
      <xdr:rowOff>84667</xdr:rowOff>
    </xdr:to>
    <xdr:cxnSp macro="">
      <xdr:nvCxnSpPr>
        <xdr:cNvPr id="2814" name="Straight Arrow Connector 2813">
          <a:extLst>
            <a:ext uri="{FF2B5EF4-FFF2-40B4-BE49-F238E27FC236}">
              <a16:creationId xmlns:a16="http://schemas.microsoft.com/office/drawing/2014/main" id="{00000000-0008-0000-1300-0000FE0A0000}"/>
            </a:ext>
          </a:extLst>
        </xdr:cNvPr>
        <xdr:cNvCxnSpPr/>
      </xdr:nvCxnSpPr>
      <xdr:spPr>
        <a:xfrm>
          <a:off x="11355916" y="859366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897</xdr:row>
      <xdr:rowOff>52916</xdr:rowOff>
    </xdr:from>
    <xdr:to>
      <xdr:col>15</xdr:col>
      <xdr:colOff>592666</xdr:colOff>
      <xdr:row>903</xdr:row>
      <xdr:rowOff>63501</xdr:rowOff>
    </xdr:to>
    <xdr:cxnSp macro="">
      <xdr:nvCxnSpPr>
        <xdr:cNvPr id="2815" name="Straight Arrow Connector 2814">
          <a:extLst>
            <a:ext uri="{FF2B5EF4-FFF2-40B4-BE49-F238E27FC236}">
              <a16:creationId xmlns:a16="http://schemas.microsoft.com/office/drawing/2014/main" id="{00000000-0008-0000-1300-0000FF0A0000}"/>
            </a:ext>
          </a:extLst>
        </xdr:cNvPr>
        <xdr:cNvCxnSpPr/>
      </xdr:nvCxnSpPr>
      <xdr:spPr>
        <a:xfrm>
          <a:off x="11313583" y="859684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894</xdr:row>
      <xdr:rowOff>52917</xdr:rowOff>
    </xdr:from>
    <xdr:to>
      <xdr:col>15</xdr:col>
      <xdr:colOff>603250</xdr:colOff>
      <xdr:row>896</xdr:row>
      <xdr:rowOff>148167</xdr:rowOff>
    </xdr:to>
    <xdr:cxnSp macro="">
      <xdr:nvCxnSpPr>
        <xdr:cNvPr id="2816" name="Straight Arrow Connector 2815">
          <a:extLst>
            <a:ext uri="{FF2B5EF4-FFF2-40B4-BE49-F238E27FC236}">
              <a16:creationId xmlns:a16="http://schemas.microsoft.com/office/drawing/2014/main" id="{00000000-0008-0000-1300-0000000B0000}"/>
            </a:ext>
          </a:extLst>
        </xdr:cNvPr>
        <xdr:cNvCxnSpPr/>
      </xdr:nvCxnSpPr>
      <xdr:spPr>
        <a:xfrm flipV="1">
          <a:off x="11324166" y="853969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31750</xdr:colOff>
      <xdr:row>805</xdr:row>
      <xdr:rowOff>127000</xdr:rowOff>
    </xdr:from>
    <xdr:to>
      <xdr:col>8</xdr:col>
      <xdr:colOff>63500</xdr:colOff>
      <xdr:row>824</xdr:row>
      <xdr:rowOff>0</xdr:rowOff>
    </xdr:to>
    <xdr:cxnSp macro="">
      <xdr:nvCxnSpPr>
        <xdr:cNvPr id="2817" name="Straight Arrow Connector 2816">
          <a:extLst>
            <a:ext uri="{FF2B5EF4-FFF2-40B4-BE49-F238E27FC236}">
              <a16:creationId xmlns:a16="http://schemas.microsoft.com/office/drawing/2014/main" id="{00000000-0008-0000-1300-0000010B0000}"/>
            </a:ext>
          </a:extLst>
        </xdr:cNvPr>
        <xdr:cNvCxnSpPr/>
      </xdr:nvCxnSpPr>
      <xdr:spPr>
        <a:xfrm flipV="1">
          <a:off x="5492750" y="68135500"/>
          <a:ext cx="645583" cy="3587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21167</xdr:colOff>
      <xdr:row>587</xdr:row>
      <xdr:rowOff>169333</xdr:rowOff>
    </xdr:from>
    <xdr:to>
      <xdr:col>11</xdr:col>
      <xdr:colOff>603250</xdr:colOff>
      <xdr:row>590</xdr:row>
      <xdr:rowOff>21167</xdr:rowOff>
    </xdr:to>
    <xdr:cxnSp macro="">
      <xdr:nvCxnSpPr>
        <xdr:cNvPr id="2820" name="Straight Arrow Connector 2819">
          <a:extLst>
            <a:ext uri="{FF2B5EF4-FFF2-40B4-BE49-F238E27FC236}">
              <a16:creationId xmlns:a16="http://schemas.microsoft.com/office/drawing/2014/main" id="{00000000-0008-0000-1300-0000040B0000}"/>
            </a:ext>
          </a:extLst>
        </xdr:cNvPr>
        <xdr:cNvCxnSpPr/>
      </xdr:nvCxnSpPr>
      <xdr:spPr>
        <a:xfrm flipV="1">
          <a:off x="7937500" y="25886833"/>
          <a:ext cx="582083" cy="423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593</xdr:row>
      <xdr:rowOff>42333</xdr:rowOff>
    </xdr:from>
    <xdr:to>
      <xdr:col>11</xdr:col>
      <xdr:colOff>603250</xdr:colOff>
      <xdr:row>605</xdr:row>
      <xdr:rowOff>10583</xdr:rowOff>
    </xdr:to>
    <xdr:cxnSp macro="">
      <xdr:nvCxnSpPr>
        <xdr:cNvPr id="2821" name="Straight Arrow Connector 2820">
          <a:extLst>
            <a:ext uri="{FF2B5EF4-FFF2-40B4-BE49-F238E27FC236}">
              <a16:creationId xmlns:a16="http://schemas.microsoft.com/office/drawing/2014/main" id="{00000000-0008-0000-1300-0000050B0000}"/>
            </a:ext>
          </a:extLst>
        </xdr:cNvPr>
        <xdr:cNvCxnSpPr/>
      </xdr:nvCxnSpPr>
      <xdr:spPr>
        <a:xfrm>
          <a:off x="7926917" y="269028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583</xdr:row>
      <xdr:rowOff>21167</xdr:rowOff>
    </xdr:from>
    <xdr:to>
      <xdr:col>13</xdr:col>
      <xdr:colOff>592667</xdr:colOff>
      <xdr:row>585</xdr:row>
      <xdr:rowOff>0</xdr:rowOff>
    </xdr:to>
    <xdr:cxnSp macro="">
      <xdr:nvCxnSpPr>
        <xdr:cNvPr id="2822" name="Straight Arrow Connector 2821">
          <a:extLst>
            <a:ext uri="{FF2B5EF4-FFF2-40B4-BE49-F238E27FC236}">
              <a16:creationId xmlns:a16="http://schemas.microsoft.com/office/drawing/2014/main" id="{00000000-0008-0000-1300-0000060B0000}"/>
            </a:ext>
          </a:extLst>
        </xdr:cNvPr>
        <xdr:cNvCxnSpPr/>
      </xdr:nvCxnSpPr>
      <xdr:spPr>
        <a:xfrm flipV="1">
          <a:off x="9133417" y="24976667"/>
          <a:ext cx="984250"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588</xdr:row>
      <xdr:rowOff>21166</xdr:rowOff>
    </xdr:from>
    <xdr:to>
      <xdr:col>13</xdr:col>
      <xdr:colOff>592667</xdr:colOff>
      <xdr:row>589</xdr:row>
      <xdr:rowOff>169334</xdr:rowOff>
    </xdr:to>
    <xdr:cxnSp macro="">
      <xdr:nvCxnSpPr>
        <xdr:cNvPr id="2823" name="Straight Arrow Connector 2822">
          <a:extLst>
            <a:ext uri="{FF2B5EF4-FFF2-40B4-BE49-F238E27FC236}">
              <a16:creationId xmlns:a16="http://schemas.microsoft.com/office/drawing/2014/main" id="{00000000-0008-0000-1300-0000070B0000}"/>
            </a:ext>
          </a:extLst>
        </xdr:cNvPr>
        <xdr:cNvCxnSpPr/>
      </xdr:nvCxnSpPr>
      <xdr:spPr>
        <a:xfrm>
          <a:off x="9088966" y="112035166"/>
          <a:ext cx="99060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603</xdr:row>
      <xdr:rowOff>21167</xdr:rowOff>
    </xdr:from>
    <xdr:to>
      <xdr:col>13</xdr:col>
      <xdr:colOff>592667</xdr:colOff>
      <xdr:row>605</xdr:row>
      <xdr:rowOff>63500</xdr:rowOff>
    </xdr:to>
    <xdr:cxnSp macro="">
      <xdr:nvCxnSpPr>
        <xdr:cNvPr id="2824" name="Straight Arrow Connector 2823">
          <a:extLst>
            <a:ext uri="{FF2B5EF4-FFF2-40B4-BE49-F238E27FC236}">
              <a16:creationId xmlns:a16="http://schemas.microsoft.com/office/drawing/2014/main" id="{00000000-0008-0000-1300-0000080B0000}"/>
            </a:ext>
          </a:extLst>
        </xdr:cNvPr>
        <xdr:cNvCxnSpPr/>
      </xdr:nvCxnSpPr>
      <xdr:spPr>
        <a:xfrm flipV="1">
          <a:off x="9525000" y="289771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608</xdr:row>
      <xdr:rowOff>0</xdr:rowOff>
    </xdr:from>
    <xdr:to>
      <xdr:col>14</xdr:col>
      <xdr:colOff>10584</xdr:colOff>
      <xdr:row>616</xdr:row>
      <xdr:rowOff>148167</xdr:rowOff>
    </xdr:to>
    <xdr:cxnSp macro="">
      <xdr:nvCxnSpPr>
        <xdr:cNvPr id="2825" name="Straight Arrow Connector 2824">
          <a:extLst>
            <a:ext uri="{FF2B5EF4-FFF2-40B4-BE49-F238E27FC236}">
              <a16:creationId xmlns:a16="http://schemas.microsoft.com/office/drawing/2014/main" id="{00000000-0008-0000-1300-0000090B0000}"/>
            </a:ext>
          </a:extLst>
        </xdr:cNvPr>
        <xdr:cNvCxnSpPr/>
      </xdr:nvCxnSpPr>
      <xdr:spPr>
        <a:xfrm>
          <a:off x="9535583" y="29908500"/>
          <a:ext cx="613834"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575</xdr:row>
      <xdr:rowOff>0</xdr:rowOff>
    </xdr:from>
    <xdr:to>
      <xdr:col>15</xdr:col>
      <xdr:colOff>603250</xdr:colOff>
      <xdr:row>580</xdr:row>
      <xdr:rowOff>31750</xdr:rowOff>
    </xdr:to>
    <xdr:cxnSp macro="">
      <xdr:nvCxnSpPr>
        <xdr:cNvPr id="2826" name="Straight Arrow Connector 2825">
          <a:extLst>
            <a:ext uri="{FF2B5EF4-FFF2-40B4-BE49-F238E27FC236}">
              <a16:creationId xmlns:a16="http://schemas.microsoft.com/office/drawing/2014/main" id="{00000000-0008-0000-1300-00000A0B0000}"/>
            </a:ext>
          </a:extLst>
        </xdr:cNvPr>
        <xdr:cNvCxnSpPr/>
      </xdr:nvCxnSpPr>
      <xdr:spPr>
        <a:xfrm flipV="1">
          <a:off x="11281833" y="23431500"/>
          <a:ext cx="603250" cy="984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578</xdr:row>
      <xdr:rowOff>52917</xdr:rowOff>
    </xdr:from>
    <xdr:to>
      <xdr:col>15</xdr:col>
      <xdr:colOff>603250</xdr:colOff>
      <xdr:row>580</xdr:row>
      <xdr:rowOff>95250</xdr:rowOff>
    </xdr:to>
    <xdr:cxnSp macro="">
      <xdr:nvCxnSpPr>
        <xdr:cNvPr id="2827" name="Straight Arrow Connector 2826">
          <a:extLst>
            <a:ext uri="{FF2B5EF4-FFF2-40B4-BE49-F238E27FC236}">
              <a16:creationId xmlns:a16="http://schemas.microsoft.com/office/drawing/2014/main" id="{00000000-0008-0000-1300-00000B0B0000}"/>
            </a:ext>
          </a:extLst>
        </xdr:cNvPr>
        <xdr:cNvCxnSpPr/>
      </xdr:nvCxnSpPr>
      <xdr:spPr>
        <a:xfrm flipV="1">
          <a:off x="11324166" y="24055917"/>
          <a:ext cx="56091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580</xdr:row>
      <xdr:rowOff>158750</xdr:rowOff>
    </xdr:from>
    <xdr:to>
      <xdr:col>15</xdr:col>
      <xdr:colOff>582083</xdr:colOff>
      <xdr:row>581</xdr:row>
      <xdr:rowOff>137583</xdr:rowOff>
    </xdr:to>
    <xdr:cxnSp macro="">
      <xdr:nvCxnSpPr>
        <xdr:cNvPr id="2828" name="Straight Arrow Connector 2827">
          <a:extLst>
            <a:ext uri="{FF2B5EF4-FFF2-40B4-BE49-F238E27FC236}">
              <a16:creationId xmlns:a16="http://schemas.microsoft.com/office/drawing/2014/main" id="{00000000-0008-0000-1300-00000C0B0000}"/>
            </a:ext>
          </a:extLst>
        </xdr:cNvPr>
        <xdr:cNvCxnSpPr/>
      </xdr:nvCxnSpPr>
      <xdr:spPr>
        <a:xfrm>
          <a:off x="11345333" y="24542750"/>
          <a:ext cx="518583" cy="169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1121834</xdr:colOff>
      <xdr:row>580</xdr:row>
      <xdr:rowOff>105834</xdr:rowOff>
    </xdr:from>
    <xdr:to>
      <xdr:col>16</xdr:col>
      <xdr:colOff>0</xdr:colOff>
      <xdr:row>584</xdr:row>
      <xdr:rowOff>84667</xdr:rowOff>
    </xdr:to>
    <xdr:cxnSp macro="">
      <xdr:nvCxnSpPr>
        <xdr:cNvPr id="2829" name="Straight Arrow Connector 2828">
          <a:extLst>
            <a:ext uri="{FF2B5EF4-FFF2-40B4-BE49-F238E27FC236}">
              <a16:creationId xmlns:a16="http://schemas.microsoft.com/office/drawing/2014/main" id="{00000000-0008-0000-1300-00000D0B0000}"/>
            </a:ext>
          </a:extLst>
        </xdr:cNvPr>
        <xdr:cNvCxnSpPr/>
      </xdr:nvCxnSpPr>
      <xdr:spPr>
        <a:xfrm>
          <a:off x="11260667" y="24489834"/>
          <a:ext cx="63500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588</xdr:row>
      <xdr:rowOff>52916</xdr:rowOff>
    </xdr:from>
    <xdr:to>
      <xdr:col>16</xdr:col>
      <xdr:colOff>0</xdr:colOff>
      <xdr:row>590</xdr:row>
      <xdr:rowOff>0</xdr:rowOff>
    </xdr:to>
    <xdr:cxnSp macro="">
      <xdr:nvCxnSpPr>
        <xdr:cNvPr id="2830" name="Straight Arrow Connector 2829">
          <a:extLst>
            <a:ext uri="{FF2B5EF4-FFF2-40B4-BE49-F238E27FC236}">
              <a16:creationId xmlns:a16="http://schemas.microsoft.com/office/drawing/2014/main" id="{00000000-0008-0000-1300-00000E0B0000}"/>
            </a:ext>
          </a:extLst>
        </xdr:cNvPr>
        <xdr:cNvCxnSpPr/>
      </xdr:nvCxnSpPr>
      <xdr:spPr>
        <a:xfrm flipV="1">
          <a:off x="11281833" y="25960916"/>
          <a:ext cx="613834"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590</xdr:row>
      <xdr:rowOff>21167</xdr:rowOff>
    </xdr:from>
    <xdr:to>
      <xdr:col>15</xdr:col>
      <xdr:colOff>582083</xdr:colOff>
      <xdr:row>591</xdr:row>
      <xdr:rowOff>42333</xdr:rowOff>
    </xdr:to>
    <xdr:cxnSp macro="">
      <xdr:nvCxnSpPr>
        <xdr:cNvPr id="2831" name="Straight Arrow Connector 2830">
          <a:extLst>
            <a:ext uri="{FF2B5EF4-FFF2-40B4-BE49-F238E27FC236}">
              <a16:creationId xmlns:a16="http://schemas.microsoft.com/office/drawing/2014/main" id="{00000000-0008-0000-1300-00000F0B0000}"/>
            </a:ext>
          </a:extLst>
        </xdr:cNvPr>
        <xdr:cNvCxnSpPr/>
      </xdr:nvCxnSpPr>
      <xdr:spPr>
        <a:xfrm>
          <a:off x="11292416" y="26310167"/>
          <a:ext cx="571500" cy="211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590</xdr:row>
      <xdr:rowOff>21167</xdr:rowOff>
    </xdr:from>
    <xdr:to>
      <xdr:col>16</xdr:col>
      <xdr:colOff>42333</xdr:colOff>
      <xdr:row>595</xdr:row>
      <xdr:rowOff>21168</xdr:rowOff>
    </xdr:to>
    <xdr:cxnSp macro="">
      <xdr:nvCxnSpPr>
        <xdr:cNvPr id="2832" name="Straight Arrow Connector 2831">
          <a:extLst>
            <a:ext uri="{FF2B5EF4-FFF2-40B4-BE49-F238E27FC236}">
              <a16:creationId xmlns:a16="http://schemas.microsoft.com/office/drawing/2014/main" id="{00000000-0008-0000-1300-0000100B0000}"/>
            </a:ext>
          </a:extLst>
        </xdr:cNvPr>
        <xdr:cNvCxnSpPr/>
      </xdr:nvCxnSpPr>
      <xdr:spPr>
        <a:xfrm>
          <a:off x="11271250" y="26310167"/>
          <a:ext cx="666750" cy="9525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590</xdr:row>
      <xdr:rowOff>31750</xdr:rowOff>
    </xdr:from>
    <xdr:to>
      <xdr:col>16</xdr:col>
      <xdr:colOff>42334</xdr:colOff>
      <xdr:row>597</xdr:row>
      <xdr:rowOff>63501</xdr:rowOff>
    </xdr:to>
    <xdr:cxnSp macro="">
      <xdr:nvCxnSpPr>
        <xdr:cNvPr id="2833" name="Straight Arrow Connector 2832">
          <a:extLst>
            <a:ext uri="{FF2B5EF4-FFF2-40B4-BE49-F238E27FC236}">
              <a16:creationId xmlns:a16="http://schemas.microsoft.com/office/drawing/2014/main" id="{00000000-0008-0000-1300-0000110B0000}"/>
            </a:ext>
          </a:extLst>
        </xdr:cNvPr>
        <xdr:cNvCxnSpPr/>
      </xdr:nvCxnSpPr>
      <xdr:spPr>
        <a:xfrm>
          <a:off x="11281833" y="26320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571500</xdr:colOff>
      <xdr:row>643</xdr:row>
      <xdr:rowOff>158750</xdr:rowOff>
    </xdr:from>
    <xdr:to>
      <xdr:col>11</xdr:col>
      <xdr:colOff>571500</xdr:colOff>
      <xdr:row>646</xdr:row>
      <xdr:rowOff>0</xdr:rowOff>
    </xdr:to>
    <xdr:cxnSp macro="">
      <xdr:nvCxnSpPr>
        <xdr:cNvPr id="2834" name="Straight Arrow Connector 2833">
          <a:extLst>
            <a:ext uri="{FF2B5EF4-FFF2-40B4-BE49-F238E27FC236}">
              <a16:creationId xmlns:a16="http://schemas.microsoft.com/office/drawing/2014/main" id="{00000000-0008-0000-1300-0000120B0000}"/>
            </a:ext>
          </a:extLst>
        </xdr:cNvPr>
        <xdr:cNvCxnSpPr/>
      </xdr:nvCxnSpPr>
      <xdr:spPr>
        <a:xfrm flipV="1">
          <a:off x="7874000" y="36734750"/>
          <a:ext cx="613833" cy="412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601</xdr:row>
      <xdr:rowOff>0</xdr:rowOff>
    </xdr:from>
    <xdr:to>
      <xdr:col>15</xdr:col>
      <xdr:colOff>603250</xdr:colOff>
      <xdr:row>603</xdr:row>
      <xdr:rowOff>1</xdr:rowOff>
    </xdr:to>
    <xdr:cxnSp macro="">
      <xdr:nvCxnSpPr>
        <xdr:cNvPr id="2835" name="Straight Arrow Connector 2834">
          <a:extLst>
            <a:ext uri="{FF2B5EF4-FFF2-40B4-BE49-F238E27FC236}">
              <a16:creationId xmlns:a16="http://schemas.microsoft.com/office/drawing/2014/main" id="{00000000-0008-0000-1300-0000130B0000}"/>
            </a:ext>
          </a:extLst>
        </xdr:cNvPr>
        <xdr:cNvCxnSpPr/>
      </xdr:nvCxnSpPr>
      <xdr:spPr>
        <a:xfrm flipV="1">
          <a:off x="11271250" y="285750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603</xdr:row>
      <xdr:rowOff>10584</xdr:rowOff>
    </xdr:from>
    <xdr:to>
      <xdr:col>15</xdr:col>
      <xdr:colOff>592666</xdr:colOff>
      <xdr:row>604</xdr:row>
      <xdr:rowOff>95250</xdr:rowOff>
    </xdr:to>
    <xdr:cxnSp macro="">
      <xdr:nvCxnSpPr>
        <xdr:cNvPr id="2836" name="Straight Arrow Connector 2835">
          <a:extLst>
            <a:ext uri="{FF2B5EF4-FFF2-40B4-BE49-F238E27FC236}">
              <a16:creationId xmlns:a16="http://schemas.microsoft.com/office/drawing/2014/main" id="{00000000-0008-0000-1300-0000140B0000}"/>
            </a:ext>
          </a:extLst>
        </xdr:cNvPr>
        <xdr:cNvCxnSpPr/>
      </xdr:nvCxnSpPr>
      <xdr:spPr>
        <a:xfrm>
          <a:off x="11313583" y="289665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603</xdr:row>
      <xdr:rowOff>10584</xdr:rowOff>
    </xdr:from>
    <xdr:to>
      <xdr:col>15</xdr:col>
      <xdr:colOff>560916</xdr:colOff>
      <xdr:row>607</xdr:row>
      <xdr:rowOff>52917</xdr:rowOff>
    </xdr:to>
    <xdr:cxnSp macro="">
      <xdr:nvCxnSpPr>
        <xdr:cNvPr id="2837" name="Straight Arrow Connector 2836">
          <a:extLst>
            <a:ext uri="{FF2B5EF4-FFF2-40B4-BE49-F238E27FC236}">
              <a16:creationId xmlns:a16="http://schemas.microsoft.com/office/drawing/2014/main" id="{00000000-0008-0000-1300-0000150B0000}"/>
            </a:ext>
          </a:extLst>
        </xdr:cNvPr>
        <xdr:cNvCxnSpPr/>
      </xdr:nvCxnSpPr>
      <xdr:spPr>
        <a:xfrm>
          <a:off x="11292416" y="289665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603</xdr:row>
      <xdr:rowOff>31750</xdr:rowOff>
    </xdr:from>
    <xdr:to>
      <xdr:col>16</xdr:col>
      <xdr:colOff>21167</xdr:colOff>
      <xdr:row>610</xdr:row>
      <xdr:rowOff>95250</xdr:rowOff>
    </xdr:to>
    <xdr:cxnSp macro="">
      <xdr:nvCxnSpPr>
        <xdr:cNvPr id="2838" name="Straight Arrow Connector 2837">
          <a:extLst>
            <a:ext uri="{FF2B5EF4-FFF2-40B4-BE49-F238E27FC236}">
              <a16:creationId xmlns:a16="http://schemas.microsoft.com/office/drawing/2014/main" id="{00000000-0008-0000-1300-0000160B0000}"/>
            </a:ext>
          </a:extLst>
        </xdr:cNvPr>
        <xdr:cNvCxnSpPr/>
      </xdr:nvCxnSpPr>
      <xdr:spPr>
        <a:xfrm>
          <a:off x="11324166" y="28987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617</xdr:row>
      <xdr:rowOff>0</xdr:rowOff>
    </xdr:from>
    <xdr:to>
      <xdr:col>16</xdr:col>
      <xdr:colOff>0</xdr:colOff>
      <xdr:row>617</xdr:row>
      <xdr:rowOff>42334</xdr:rowOff>
    </xdr:to>
    <xdr:cxnSp macro="">
      <xdr:nvCxnSpPr>
        <xdr:cNvPr id="2839" name="Straight Arrow Connector 2838">
          <a:extLst>
            <a:ext uri="{FF2B5EF4-FFF2-40B4-BE49-F238E27FC236}">
              <a16:creationId xmlns:a16="http://schemas.microsoft.com/office/drawing/2014/main" id="{00000000-0008-0000-1300-0000170B0000}"/>
            </a:ext>
          </a:extLst>
        </xdr:cNvPr>
        <xdr:cNvCxnSpPr/>
      </xdr:nvCxnSpPr>
      <xdr:spPr>
        <a:xfrm>
          <a:off x="11302999" y="31623000"/>
          <a:ext cx="592668"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617</xdr:row>
      <xdr:rowOff>21166</xdr:rowOff>
    </xdr:from>
    <xdr:to>
      <xdr:col>15</xdr:col>
      <xdr:colOff>560916</xdr:colOff>
      <xdr:row>620</xdr:row>
      <xdr:rowOff>84667</xdr:rowOff>
    </xdr:to>
    <xdr:cxnSp macro="">
      <xdr:nvCxnSpPr>
        <xdr:cNvPr id="2840" name="Straight Arrow Connector 2839">
          <a:extLst>
            <a:ext uri="{FF2B5EF4-FFF2-40B4-BE49-F238E27FC236}">
              <a16:creationId xmlns:a16="http://schemas.microsoft.com/office/drawing/2014/main" id="{00000000-0008-0000-1300-0000180B0000}"/>
            </a:ext>
          </a:extLst>
        </xdr:cNvPr>
        <xdr:cNvCxnSpPr/>
      </xdr:nvCxnSpPr>
      <xdr:spPr>
        <a:xfrm>
          <a:off x="11355916" y="316441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617</xdr:row>
      <xdr:rowOff>52916</xdr:rowOff>
    </xdr:from>
    <xdr:to>
      <xdr:col>15</xdr:col>
      <xdr:colOff>592666</xdr:colOff>
      <xdr:row>623</xdr:row>
      <xdr:rowOff>63501</xdr:rowOff>
    </xdr:to>
    <xdr:cxnSp macro="">
      <xdr:nvCxnSpPr>
        <xdr:cNvPr id="2841" name="Straight Arrow Connector 2840">
          <a:extLst>
            <a:ext uri="{FF2B5EF4-FFF2-40B4-BE49-F238E27FC236}">
              <a16:creationId xmlns:a16="http://schemas.microsoft.com/office/drawing/2014/main" id="{00000000-0008-0000-1300-0000190B0000}"/>
            </a:ext>
          </a:extLst>
        </xdr:cNvPr>
        <xdr:cNvCxnSpPr/>
      </xdr:nvCxnSpPr>
      <xdr:spPr>
        <a:xfrm>
          <a:off x="11313583" y="316759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631</xdr:row>
      <xdr:rowOff>116416</xdr:rowOff>
    </xdr:from>
    <xdr:to>
      <xdr:col>15</xdr:col>
      <xdr:colOff>592666</xdr:colOff>
      <xdr:row>634</xdr:row>
      <xdr:rowOff>158750</xdr:rowOff>
    </xdr:to>
    <xdr:cxnSp macro="">
      <xdr:nvCxnSpPr>
        <xdr:cNvPr id="2842" name="Straight Arrow Connector 2841">
          <a:extLst>
            <a:ext uri="{FF2B5EF4-FFF2-40B4-BE49-F238E27FC236}">
              <a16:creationId xmlns:a16="http://schemas.microsoft.com/office/drawing/2014/main" id="{00000000-0008-0000-1300-00001A0B0000}"/>
            </a:ext>
          </a:extLst>
        </xdr:cNvPr>
        <xdr:cNvCxnSpPr/>
      </xdr:nvCxnSpPr>
      <xdr:spPr>
        <a:xfrm flipV="1">
          <a:off x="11302999" y="34406416"/>
          <a:ext cx="571500" cy="613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633</xdr:row>
      <xdr:rowOff>95250</xdr:rowOff>
    </xdr:from>
    <xdr:to>
      <xdr:col>15</xdr:col>
      <xdr:colOff>582083</xdr:colOff>
      <xdr:row>635</xdr:row>
      <xdr:rowOff>52917</xdr:rowOff>
    </xdr:to>
    <xdr:cxnSp macro="">
      <xdr:nvCxnSpPr>
        <xdr:cNvPr id="2843" name="Straight Arrow Connector 2842">
          <a:extLst>
            <a:ext uri="{FF2B5EF4-FFF2-40B4-BE49-F238E27FC236}">
              <a16:creationId xmlns:a16="http://schemas.microsoft.com/office/drawing/2014/main" id="{00000000-0008-0000-1300-00001B0B0000}"/>
            </a:ext>
          </a:extLst>
        </xdr:cNvPr>
        <xdr:cNvCxnSpPr/>
      </xdr:nvCxnSpPr>
      <xdr:spPr>
        <a:xfrm flipV="1">
          <a:off x="11345333" y="34766250"/>
          <a:ext cx="518583" cy="338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635</xdr:row>
      <xdr:rowOff>116417</xdr:rowOff>
    </xdr:from>
    <xdr:to>
      <xdr:col>15</xdr:col>
      <xdr:colOff>592666</xdr:colOff>
      <xdr:row>639</xdr:row>
      <xdr:rowOff>95250</xdr:rowOff>
    </xdr:to>
    <xdr:cxnSp macro="">
      <xdr:nvCxnSpPr>
        <xdr:cNvPr id="2844" name="Straight Arrow Connector 2843">
          <a:extLst>
            <a:ext uri="{FF2B5EF4-FFF2-40B4-BE49-F238E27FC236}">
              <a16:creationId xmlns:a16="http://schemas.microsoft.com/office/drawing/2014/main" id="{00000000-0008-0000-1300-00001C0B0000}"/>
            </a:ext>
          </a:extLst>
        </xdr:cNvPr>
        <xdr:cNvCxnSpPr/>
      </xdr:nvCxnSpPr>
      <xdr:spPr>
        <a:xfrm>
          <a:off x="11334749" y="35168417"/>
          <a:ext cx="53975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646</xdr:row>
      <xdr:rowOff>116416</xdr:rowOff>
    </xdr:from>
    <xdr:to>
      <xdr:col>16</xdr:col>
      <xdr:colOff>0</xdr:colOff>
      <xdr:row>653</xdr:row>
      <xdr:rowOff>74084</xdr:rowOff>
    </xdr:to>
    <xdr:cxnSp macro="">
      <xdr:nvCxnSpPr>
        <xdr:cNvPr id="2845" name="Straight Arrow Connector 2844">
          <a:extLst>
            <a:ext uri="{FF2B5EF4-FFF2-40B4-BE49-F238E27FC236}">
              <a16:creationId xmlns:a16="http://schemas.microsoft.com/office/drawing/2014/main" id="{00000000-0008-0000-1300-00001D0B0000}"/>
            </a:ext>
          </a:extLst>
        </xdr:cNvPr>
        <xdr:cNvCxnSpPr/>
      </xdr:nvCxnSpPr>
      <xdr:spPr>
        <a:xfrm>
          <a:off x="11313583" y="37263916"/>
          <a:ext cx="582084" cy="12911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614</xdr:row>
      <xdr:rowOff>52917</xdr:rowOff>
    </xdr:from>
    <xdr:to>
      <xdr:col>15</xdr:col>
      <xdr:colOff>603250</xdr:colOff>
      <xdr:row>616</xdr:row>
      <xdr:rowOff>148167</xdr:rowOff>
    </xdr:to>
    <xdr:cxnSp macro="">
      <xdr:nvCxnSpPr>
        <xdr:cNvPr id="2846" name="Straight Arrow Connector 2845">
          <a:extLst>
            <a:ext uri="{FF2B5EF4-FFF2-40B4-BE49-F238E27FC236}">
              <a16:creationId xmlns:a16="http://schemas.microsoft.com/office/drawing/2014/main" id="{00000000-0008-0000-1300-00001E0B0000}"/>
            </a:ext>
          </a:extLst>
        </xdr:cNvPr>
        <xdr:cNvCxnSpPr/>
      </xdr:nvCxnSpPr>
      <xdr:spPr>
        <a:xfrm flipV="1">
          <a:off x="11324166" y="311044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649</xdr:row>
      <xdr:rowOff>42333</xdr:rowOff>
    </xdr:from>
    <xdr:to>
      <xdr:col>11</xdr:col>
      <xdr:colOff>603250</xdr:colOff>
      <xdr:row>661</xdr:row>
      <xdr:rowOff>10583</xdr:rowOff>
    </xdr:to>
    <xdr:cxnSp macro="">
      <xdr:nvCxnSpPr>
        <xdr:cNvPr id="2847" name="Straight Arrow Connector 2846">
          <a:extLst>
            <a:ext uri="{FF2B5EF4-FFF2-40B4-BE49-F238E27FC236}">
              <a16:creationId xmlns:a16="http://schemas.microsoft.com/office/drawing/2014/main" id="{00000000-0008-0000-1300-00001F0B0000}"/>
            </a:ext>
          </a:extLst>
        </xdr:cNvPr>
        <xdr:cNvCxnSpPr/>
      </xdr:nvCxnSpPr>
      <xdr:spPr>
        <a:xfrm>
          <a:off x="7926917" y="377613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639</xdr:row>
      <xdr:rowOff>21167</xdr:rowOff>
    </xdr:from>
    <xdr:to>
      <xdr:col>13</xdr:col>
      <xdr:colOff>592667</xdr:colOff>
      <xdr:row>641</xdr:row>
      <xdr:rowOff>0</xdr:rowOff>
    </xdr:to>
    <xdr:cxnSp macro="">
      <xdr:nvCxnSpPr>
        <xdr:cNvPr id="2848" name="Straight Arrow Connector 2847">
          <a:extLst>
            <a:ext uri="{FF2B5EF4-FFF2-40B4-BE49-F238E27FC236}">
              <a16:creationId xmlns:a16="http://schemas.microsoft.com/office/drawing/2014/main" id="{00000000-0008-0000-1300-0000200B0000}"/>
            </a:ext>
          </a:extLst>
        </xdr:cNvPr>
        <xdr:cNvCxnSpPr/>
      </xdr:nvCxnSpPr>
      <xdr:spPr>
        <a:xfrm flipV="1">
          <a:off x="9133417" y="35835167"/>
          <a:ext cx="984250"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644</xdr:row>
      <xdr:rowOff>21166</xdr:rowOff>
    </xdr:from>
    <xdr:to>
      <xdr:col>13</xdr:col>
      <xdr:colOff>592667</xdr:colOff>
      <xdr:row>645</xdr:row>
      <xdr:rowOff>169334</xdr:rowOff>
    </xdr:to>
    <xdr:cxnSp macro="">
      <xdr:nvCxnSpPr>
        <xdr:cNvPr id="2849" name="Straight Arrow Connector 2848">
          <a:extLst>
            <a:ext uri="{FF2B5EF4-FFF2-40B4-BE49-F238E27FC236}">
              <a16:creationId xmlns:a16="http://schemas.microsoft.com/office/drawing/2014/main" id="{00000000-0008-0000-1300-0000210B0000}"/>
            </a:ext>
          </a:extLst>
        </xdr:cNvPr>
        <xdr:cNvCxnSpPr/>
      </xdr:nvCxnSpPr>
      <xdr:spPr>
        <a:xfrm>
          <a:off x="9122833" y="36787666"/>
          <a:ext cx="994834"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659</xdr:row>
      <xdr:rowOff>21167</xdr:rowOff>
    </xdr:from>
    <xdr:to>
      <xdr:col>13</xdr:col>
      <xdr:colOff>592667</xdr:colOff>
      <xdr:row>661</xdr:row>
      <xdr:rowOff>63500</xdr:rowOff>
    </xdr:to>
    <xdr:cxnSp macro="">
      <xdr:nvCxnSpPr>
        <xdr:cNvPr id="2850" name="Straight Arrow Connector 2849">
          <a:extLst>
            <a:ext uri="{FF2B5EF4-FFF2-40B4-BE49-F238E27FC236}">
              <a16:creationId xmlns:a16="http://schemas.microsoft.com/office/drawing/2014/main" id="{00000000-0008-0000-1300-0000220B0000}"/>
            </a:ext>
          </a:extLst>
        </xdr:cNvPr>
        <xdr:cNvCxnSpPr/>
      </xdr:nvCxnSpPr>
      <xdr:spPr>
        <a:xfrm flipV="1">
          <a:off x="9525000" y="398356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664</xdr:row>
      <xdr:rowOff>0</xdr:rowOff>
    </xdr:from>
    <xdr:to>
      <xdr:col>14</xdr:col>
      <xdr:colOff>10584</xdr:colOff>
      <xdr:row>672</xdr:row>
      <xdr:rowOff>148167</xdr:rowOff>
    </xdr:to>
    <xdr:cxnSp macro="">
      <xdr:nvCxnSpPr>
        <xdr:cNvPr id="2851" name="Straight Arrow Connector 2850">
          <a:extLst>
            <a:ext uri="{FF2B5EF4-FFF2-40B4-BE49-F238E27FC236}">
              <a16:creationId xmlns:a16="http://schemas.microsoft.com/office/drawing/2014/main" id="{00000000-0008-0000-1300-0000230B0000}"/>
            </a:ext>
          </a:extLst>
        </xdr:cNvPr>
        <xdr:cNvCxnSpPr/>
      </xdr:nvCxnSpPr>
      <xdr:spPr>
        <a:xfrm>
          <a:off x="9535583" y="40767000"/>
          <a:ext cx="613834"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635</xdr:row>
      <xdr:rowOff>95250</xdr:rowOff>
    </xdr:from>
    <xdr:to>
      <xdr:col>15</xdr:col>
      <xdr:colOff>582083</xdr:colOff>
      <xdr:row>637</xdr:row>
      <xdr:rowOff>137583</xdr:rowOff>
    </xdr:to>
    <xdr:cxnSp macro="">
      <xdr:nvCxnSpPr>
        <xdr:cNvPr id="2852" name="Straight Arrow Connector 2851">
          <a:extLst>
            <a:ext uri="{FF2B5EF4-FFF2-40B4-BE49-F238E27FC236}">
              <a16:creationId xmlns:a16="http://schemas.microsoft.com/office/drawing/2014/main" id="{00000000-0008-0000-1300-0000240B0000}"/>
            </a:ext>
          </a:extLst>
        </xdr:cNvPr>
        <xdr:cNvCxnSpPr/>
      </xdr:nvCxnSpPr>
      <xdr:spPr>
        <a:xfrm>
          <a:off x="11334749" y="35147250"/>
          <a:ext cx="5291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644</xdr:row>
      <xdr:rowOff>52916</xdr:rowOff>
    </xdr:from>
    <xdr:to>
      <xdr:col>16</xdr:col>
      <xdr:colOff>0</xdr:colOff>
      <xdr:row>646</xdr:row>
      <xdr:rowOff>0</xdr:rowOff>
    </xdr:to>
    <xdr:cxnSp macro="">
      <xdr:nvCxnSpPr>
        <xdr:cNvPr id="2853" name="Straight Arrow Connector 2852">
          <a:extLst>
            <a:ext uri="{FF2B5EF4-FFF2-40B4-BE49-F238E27FC236}">
              <a16:creationId xmlns:a16="http://schemas.microsoft.com/office/drawing/2014/main" id="{00000000-0008-0000-1300-0000250B0000}"/>
            </a:ext>
          </a:extLst>
        </xdr:cNvPr>
        <xdr:cNvCxnSpPr/>
      </xdr:nvCxnSpPr>
      <xdr:spPr>
        <a:xfrm flipV="1">
          <a:off x="11281833" y="36819416"/>
          <a:ext cx="613834"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646</xdr:row>
      <xdr:rowOff>21167</xdr:rowOff>
    </xdr:from>
    <xdr:to>
      <xdr:col>15</xdr:col>
      <xdr:colOff>592666</xdr:colOff>
      <xdr:row>647</xdr:row>
      <xdr:rowOff>84667</xdr:rowOff>
    </xdr:to>
    <xdr:cxnSp macro="">
      <xdr:nvCxnSpPr>
        <xdr:cNvPr id="2854" name="Straight Arrow Connector 2853">
          <a:extLst>
            <a:ext uri="{FF2B5EF4-FFF2-40B4-BE49-F238E27FC236}">
              <a16:creationId xmlns:a16="http://schemas.microsoft.com/office/drawing/2014/main" id="{00000000-0008-0000-1300-0000260B0000}"/>
            </a:ext>
          </a:extLst>
        </xdr:cNvPr>
        <xdr:cNvCxnSpPr/>
      </xdr:nvCxnSpPr>
      <xdr:spPr>
        <a:xfrm>
          <a:off x="11271250" y="37168667"/>
          <a:ext cx="603249" cy="25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646</xdr:row>
      <xdr:rowOff>0</xdr:rowOff>
    </xdr:from>
    <xdr:to>
      <xdr:col>16</xdr:col>
      <xdr:colOff>0</xdr:colOff>
      <xdr:row>650</xdr:row>
      <xdr:rowOff>42334</xdr:rowOff>
    </xdr:to>
    <xdr:cxnSp macro="">
      <xdr:nvCxnSpPr>
        <xdr:cNvPr id="2855" name="Straight Arrow Connector 2854">
          <a:extLst>
            <a:ext uri="{FF2B5EF4-FFF2-40B4-BE49-F238E27FC236}">
              <a16:creationId xmlns:a16="http://schemas.microsoft.com/office/drawing/2014/main" id="{00000000-0008-0000-1300-0000270B0000}"/>
            </a:ext>
          </a:extLst>
        </xdr:cNvPr>
        <xdr:cNvCxnSpPr/>
      </xdr:nvCxnSpPr>
      <xdr:spPr>
        <a:xfrm>
          <a:off x="11271250" y="37147500"/>
          <a:ext cx="624417" cy="804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657</xdr:row>
      <xdr:rowOff>0</xdr:rowOff>
    </xdr:from>
    <xdr:to>
      <xdr:col>15</xdr:col>
      <xdr:colOff>603250</xdr:colOff>
      <xdr:row>659</xdr:row>
      <xdr:rowOff>1</xdr:rowOff>
    </xdr:to>
    <xdr:cxnSp macro="">
      <xdr:nvCxnSpPr>
        <xdr:cNvPr id="2856" name="Straight Arrow Connector 2855">
          <a:extLst>
            <a:ext uri="{FF2B5EF4-FFF2-40B4-BE49-F238E27FC236}">
              <a16:creationId xmlns:a16="http://schemas.microsoft.com/office/drawing/2014/main" id="{00000000-0008-0000-1300-0000280B0000}"/>
            </a:ext>
          </a:extLst>
        </xdr:cNvPr>
        <xdr:cNvCxnSpPr/>
      </xdr:nvCxnSpPr>
      <xdr:spPr>
        <a:xfrm flipV="1">
          <a:off x="11271250" y="394335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659</xdr:row>
      <xdr:rowOff>10584</xdr:rowOff>
    </xdr:from>
    <xdr:to>
      <xdr:col>15</xdr:col>
      <xdr:colOff>592666</xdr:colOff>
      <xdr:row>660</xdr:row>
      <xdr:rowOff>95250</xdr:rowOff>
    </xdr:to>
    <xdr:cxnSp macro="">
      <xdr:nvCxnSpPr>
        <xdr:cNvPr id="2857" name="Straight Arrow Connector 2856">
          <a:extLst>
            <a:ext uri="{FF2B5EF4-FFF2-40B4-BE49-F238E27FC236}">
              <a16:creationId xmlns:a16="http://schemas.microsoft.com/office/drawing/2014/main" id="{00000000-0008-0000-1300-0000290B0000}"/>
            </a:ext>
          </a:extLst>
        </xdr:cNvPr>
        <xdr:cNvCxnSpPr/>
      </xdr:nvCxnSpPr>
      <xdr:spPr>
        <a:xfrm>
          <a:off x="11313583" y="398250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659</xdr:row>
      <xdr:rowOff>10584</xdr:rowOff>
    </xdr:from>
    <xdr:to>
      <xdr:col>15</xdr:col>
      <xdr:colOff>560916</xdr:colOff>
      <xdr:row>663</xdr:row>
      <xdr:rowOff>52917</xdr:rowOff>
    </xdr:to>
    <xdr:cxnSp macro="">
      <xdr:nvCxnSpPr>
        <xdr:cNvPr id="2858" name="Straight Arrow Connector 2857">
          <a:extLst>
            <a:ext uri="{FF2B5EF4-FFF2-40B4-BE49-F238E27FC236}">
              <a16:creationId xmlns:a16="http://schemas.microsoft.com/office/drawing/2014/main" id="{00000000-0008-0000-1300-00002A0B0000}"/>
            </a:ext>
          </a:extLst>
        </xdr:cNvPr>
        <xdr:cNvCxnSpPr/>
      </xdr:nvCxnSpPr>
      <xdr:spPr>
        <a:xfrm>
          <a:off x="11292416" y="398250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659</xdr:row>
      <xdr:rowOff>31750</xdr:rowOff>
    </xdr:from>
    <xdr:to>
      <xdr:col>16</xdr:col>
      <xdr:colOff>21167</xdr:colOff>
      <xdr:row>666</xdr:row>
      <xdr:rowOff>95250</xdr:rowOff>
    </xdr:to>
    <xdr:cxnSp macro="">
      <xdr:nvCxnSpPr>
        <xdr:cNvPr id="2859" name="Straight Arrow Connector 2858">
          <a:extLst>
            <a:ext uri="{FF2B5EF4-FFF2-40B4-BE49-F238E27FC236}">
              <a16:creationId xmlns:a16="http://schemas.microsoft.com/office/drawing/2014/main" id="{00000000-0008-0000-1300-00002B0B0000}"/>
            </a:ext>
          </a:extLst>
        </xdr:cNvPr>
        <xdr:cNvCxnSpPr/>
      </xdr:nvCxnSpPr>
      <xdr:spPr>
        <a:xfrm>
          <a:off x="11324166" y="39846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673</xdr:row>
      <xdr:rowOff>0</xdr:rowOff>
    </xdr:from>
    <xdr:to>
      <xdr:col>16</xdr:col>
      <xdr:colOff>0</xdr:colOff>
      <xdr:row>673</xdr:row>
      <xdr:rowOff>42334</xdr:rowOff>
    </xdr:to>
    <xdr:cxnSp macro="">
      <xdr:nvCxnSpPr>
        <xdr:cNvPr id="2860" name="Straight Arrow Connector 2859">
          <a:extLst>
            <a:ext uri="{FF2B5EF4-FFF2-40B4-BE49-F238E27FC236}">
              <a16:creationId xmlns:a16="http://schemas.microsoft.com/office/drawing/2014/main" id="{00000000-0008-0000-1300-00002C0B0000}"/>
            </a:ext>
          </a:extLst>
        </xdr:cNvPr>
        <xdr:cNvCxnSpPr/>
      </xdr:nvCxnSpPr>
      <xdr:spPr>
        <a:xfrm>
          <a:off x="11302999" y="42481500"/>
          <a:ext cx="592668"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673</xdr:row>
      <xdr:rowOff>21166</xdr:rowOff>
    </xdr:from>
    <xdr:to>
      <xdr:col>15</xdr:col>
      <xdr:colOff>560916</xdr:colOff>
      <xdr:row>676</xdr:row>
      <xdr:rowOff>84667</xdr:rowOff>
    </xdr:to>
    <xdr:cxnSp macro="">
      <xdr:nvCxnSpPr>
        <xdr:cNvPr id="2861" name="Straight Arrow Connector 2860">
          <a:extLst>
            <a:ext uri="{FF2B5EF4-FFF2-40B4-BE49-F238E27FC236}">
              <a16:creationId xmlns:a16="http://schemas.microsoft.com/office/drawing/2014/main" id="{00000000-0008-0000-1300-00002D0B0000}"/>
            </a:ext>
          </a:extLst>
        </xdr:cNvPr>
        <xdr:cNvCxnSpPr/>
      </xdr:nvCxnSpPr>
      <xdr:spPr>
        <a:xfrm>
          <a:off x="11355916" y="425026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673</xdr:row>
      <xdr:rowOff>52916</xdr:rowOff>
    </xdr:from>
    <xdr:to>
      <xdr:col>15</xdr:col>
      <xdr:colOff>592666</xdr:colOff>
      <xdr:row>679</xdr:row>
      <xdr:rowOff>63501</xdr:rowOff>
    </xdr:to>
    <xdr:cxnSp macro="">
      <xdr:nvCxnSpPr>
        <xdr:cNvPr id="2862" name="Straight Arrow Connector 2861">
          <a:extLst>
            <a:ext uri="{FF2B5EF4-FFF2-40B4-BE49-F238E27FC236}">
              <a16:creationId xmlns:a16="http://schemas.microsoft.com/office/drawing/2014/main" id="{00000000-0008-0000-1300-00002E0B0000}"/>
            </a:ext>
          </a:extLst>
        </xdr:cNvPr>
        <xdr:cNvCxnSpPr/>
      </xdr:nvCxnSpPr>
      <xdr:spPr>
        <a:xfrm>
          <a:off x="11313583" y="425344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670</xdr:row>
      <xdr:rowOff>52917</xdr:rowOff>
    </xdr:from>
    <xdr:to>
      <xdr:col>15</xdr:col>
      <xdr:colOff>603250</xdr:colOff>
      <xdr:row>672</xdr:row>
      <xdr:rowOff>148167</xdr:rowOff>
    </xdr:to>
    <xdr:cxnSp macro="">
      <xdr:nvCxnSpPr>
        <xdr:cNvPr id="2863" name="Straight Arrow Connector 2862">
          <a:extLst>
            <a:ext uri="{FF2B5EF4-FFF2-40B4-BE49-F238E27FC236}">
              <a16:creationId xmlns:a16="http://schemas.microsoft.com/office/drawing/2014/main" id="{00000000-0008-0000-1300-00002F0B0000}"/>
            </a:ext>
          </a:extLst>
        </xdr:cNvPr>
        <xdr:cNvCxnSpPr/>
      </xdr:nvCxnSpPr>
      <xdr:spPr>
        <a:xfrm flipV="1">
          <a:off x="11324166" y="419629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646</xdr:row>
      <xdr:rowOff>31750</xdr:rowOff>
    </xdr:from>
    <xdr:to>
      <xdr:col>16</xdr:col>
      <xdr:colOff>42334</xdr:colOff>
      <xdr:row>653</xdr:row>
      <xdr:rowOff>63501</xdr:rowOff>
    </xdr:to>
    <xdr:cxnSp macro="">
      <xdr:nvCxnSpPr>
        <xdr:cNvPr id="2864" name="Straight Arrow Connector 2863">
          <a:extLst>
            <a:ext uri="{FF2B5EF4-FFF2-40B4-BE49-F238E27FC236}">
              <a16:creationId xmlns:a16="http://schemas.microsoft.com/office/drawing/2014/main" id="{00000000-0008-0000-1300-0000300B0000}"/>
            </a:ext>
          </a:extLst>
        </xdr:cNvPr>
        <xdr:cNvCxnSpPr/>
      </xdr:nvCxnSpPr>
      <xdr:spPr>
        <a:xfrm>
          <a:off x="11281833" y="37179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659</xdr:row>
      <xdr:rowOff>31750</xdr:rowOff>
    </xdr:from>
    <xdr:to>
      <xdr:col>16</xdr:col>
      <xdr:colOff>21167</xdr:colOff>
      <xdr:row>666</xdr:row>
      <xdr:rowOff>95250</xdr:rowOff>
    </xdr:to>
    <xdr:cxnSp macro="">
      <xdr:nvCxnSpPr>
        <xdr:cNvPr id="2865" name="Straight Arrow Connector 2864">
          <a:extLst>
            <a:ext uri="{FF2B5EF4-FFF2-40B4-BE49-F238E27FC236}">
              <a16:creationId xmlns:a16="http://schemas.microsoft.com/office/drawing/2014/main" id="{00000000-0008-0000-1300-0000310B0000}"/>
            </a:ext>
          </a:extLst>
        </xdr:cNvPr>
        <xdr:cNvCxnSpPr/>
      </xdr:nvCxnSpPr>
      <xdr:spPr>
        <a:xfrm>
          <a:off x="11324166" y="39846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715</xdr:row>
      <xdr:rowOff>31750</xdr:rowOff>
    </xdr:from>
    <xdr:to>
      <xdr:col>16</xdr:col>
      <xdr:colOff>21167</xdr:colOff>
      <xdr:row>722</xdr:row>
      <xdr:rowOff>95250</xdr:rowOff>
    </xdr:to>
    <xdr:cxnSp macro="">
      <xdr:nvCxnSpPr>
        <xdr:cNvPr id="2866" name="Straight Arrow Connector 2865">
          <a:extLst>
            <a:ext uri="{FF2B5EF4-FFF2-40B4-BE49-F238E27FC236}">
              <a16:creationId xmlns:a16="http://schemas.microsoft.com/office/drawing/2014/main" id="{00000000-0008-0000-1300-0000320B0000}"/>
            </a:ext>
          </a:extLst>
        </xdr:cNvPr>
        <xdr:cNvCxnSpPr/>
      </xdr:nvCxnSpPr>
      <xdr:spPr>
        <a:xfrm>
          <a:off x="11324166" y="50704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715</xdr:row>
      <xdr:rowOff>31750</xdr:rowOff>
    </xdr:from>
    <xdr:to>
      <xdr:col>16</xdr:col>
      <xdr:colOff>21167</xdr:colOff>
      <xdr:row>722</xdr:row>
      <xdr:rowOff>95250</xdr:rowOff>
    </xdr:to>
    <xdr:cxnSp macro="">
      <xdr:nvCxnSpPr>
        <xdr:cNvPr id="2867" name="Straight Arrow Connector 2866">
          <a:extLst>
            <a:ext uri="{FF2B5EF4-FFF2-40B4-BE49-F238E27FC236}">
              <a16:creationId xmlns:a16="http://schemas.microsoft.com/office/drawing/2014/main" id="{00000000-0008-0000-1300-0000330B0000}"/>
            </a:ext>
          </a:extLst>
        </xdr:cNvPr>
        <xdr:cNvCxnSpPr/>
      </xdr:nvCxnSpPr>
      <xdr:spPr>
        <a:xfrm>
          <a:off x="11324166" y="50704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702</xdr:row>
      <xdr:rowOff>31750</xdr:rowOff>
    </xdr:from>
    <xdr:to>
      <xdr:col>16</xdr:col>
      <xdr:colOff>42334</xdr:colOff>
      <xdr:row>709</xdr:row>
      <xdr:rowOff>63501</xdr:rowOff>
    </xdr:to>
    <xdr:cxnSp macro="">
      <xdr:nvCxnSpPr>
        <xdr:cNvPr id="2868" name="Straight Arrow Connector 2867">
          <a:extLst>
            <a:ext uri="{FF2B5EF4-FFF2-40B4-BE49-F238E27FC236}">
              <a16:creationId xmlns:a16="http://schemas.microsoft.com/office/drawing/2014/main" id="{00000000-0008-0000-1300-0000340B0000}"/>
            </a:ext>
          </a:extLst>
        </xdr:cNvPr>
        <xdr:cNvCxnSpPr/>
      </xdr:nvCxnSpPr>
      <xdr:spPr>
        <a:xfrm>
          <a:off x="11281833" y="48037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715</xdr:row>
      <xdr:rowOff>31750</xdr:rowOff>
    </xdr:from>
    <xdr:to>
      <xdr:col>16</xdr:col>
      <xdr:colOff>21167</xdr:colOff>
      <xdr:row>722</xdr:row>
      <xdr:rowOff>95250</xdr:rowOff>
    </xdr:to>
    <xdr:cxnSp macro="">
      <xdr:nvCxnSpPr>
        <xdr:cNvPr id="2869" name="Straight Arrow Connector 2868">
          <a:extLst>
            <a:ext uri="{FF2B5EF4-FFF2-40B4-BE49-F238E27FC236}">
              <a16:creationId xmlns:a16="http://schemas.microsoft.com/office/drawing/2014/main" id="{00000000-0008-0000-1300-0000350B0000}"/>
            </a:ext>
          </a:extLst>
        </xdr:cNvPr>
        <xdr:cNvCxnSpPr/>
      </xdr:nvCxnSpPr>
      <xdr:spPr>
        <a:xfrm>
          <a:off x="11324166" y="50704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785</xdr:row>
      <xdr:rowOff>21167</xdr:rowOff>
    </xdr:from>
    <xdr:to>
      <xdr:col>15</xdr:col>
      <xdr:colOff>592666</xdr:colOff>
      <xdr:row>786</xdr:row>
      <xdr:rowOff>84667</xdr:rowOff>
    </xdr:to>
    <xdr:cxnSp macro="">
      <xdr:nvCxnSpPr>
        <xdr:cNvPr id="2870" name="Straight Arrow Connector 2869">
          <a:extLst>
            <a:ext uri="{FF2B5EF4-FFF2-40B4-BE49-F238E27FC236}">
              <a16:creationId xmlns:a16="http://schemas.microsoft.com/office/drawing/2014/main" id="{00000000-0008-0000-1300-0000360B0000}"/>
            </a:ext>
          </a:extLst>
        </xdr:cNvPr>
        <xdr:cNvCxnSpPr/>
      </xdr:nvCxnSpPr>
      <xdr:spPr>
        <a:xfrm>
          <a:off x="11271250" y="64219667"/>
          <a:ext cx="603249" cy="25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758</xdr:row>
      <xdr:rowOff>31750</xdr:rowOff>
    </xdr:from>
    <xdr:to>
      <xdr:col>16</xdr:col>
      <xdr:colOff>42334</xdr:colOff>
      <xdr:row>765</xdr:row>
      <xdr:rowOff>63501</xdr:rowOff>
    </xdr:to>
    <xdr:cxnSp macro="">
      <xdr:nvCxnSpPr>
        <xdr:cNvPr id="2871" name="Straight Arrow Connector 2870">
          <a:extLst>
            <a:ext uri="{FF2B5EF4-FFF2-40B4-BE49-F238E27FC236}">
              <a16:creationId xmlns:a16="http://schemas.microsoft.com/office/drawing/2014/main" id="{00000000-0008-0000-1300-0000370B0000}"/>
            </a:ext>
          </a:extLst>
        </xdr:cNvPr>
        <xdr:cNvCxnSpPr/>
      </xdr:nvCxnSpPr>
      <xdr:spPr>
        <a:xfrm>
          <a:off x="11281833" y="58896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771</xdr:row>
      <xdr:rowOff>31750</xdr:rowOff>
    </xdr:from>
    <xdr:to>
      <xdr:col>16</xdr:col>
      <xdr:colOff>21167</xdr:colOff>
      <xdr:row>778</xdr:row>
      <xdr:rowOff>95250</xdr:rowOff>
    </xdr:to>
    <xdr:cxnSp macro="">
      <xdr:nvCxnSpPr>
        <xdr:cNvPr id="2872" name="Straight Arrow Connector 2871">
          <a:extLst>
            <a:ext uri="{FF2B5EF4-FFF2-40B4-BE49-F238E27FC236}">
              <a16:creationId xmlns:a16="http://schemas.microsoft.com/office/drawing/2014/main" id="{00000000-0008-0000-1300-0000380B0000}"/>
            </a:ext>
          </a:extLst>
        </xdr:cNvPr>
        <xdr:cNvCxnSpPr/>
      </xdr:nvCxnSpPr>
      <xdr:spPr>
        <a:xfrm>
          <a:off x="11324166" y="61563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771</xdr:row>
      <xdr:rowOff>31750</xdr:rowOff>
    </xdr:from>
    <xdr:to>
      <xdr:col>16</xdr:col>
      <xdr:colOff>21167</xdr:colOff>
      <xdr:row>778</xdr:row>
      <xdr:rowOff>95250</xdr:rowOff>
    </xdr:to>
    <xdr:cxnSp macro="">
      <xdr:nvCxnSpPr>
        <xdr:cNvPr id="2873" name="Straight Arrow Connector 2872">
          <a:extLst>
            <a:ext uri="{FF2B5EF4-FFF2-40B4-BE49-F238E27FC236}">
              <a16:creationId xmlns:a16="http://schemas.microsoft.com/office/drawing/2014/main" id="{00000000-0008-0000-1300-0000390B0000}"/>
            </a:ext>
          </a:extLst>
        </xdr:cNvPr>
        <xdr:cNvCxnSpPr/>
      </xdr:nvCxnSpPr>
      <xdr:spPr>
        <a:xfrm>
          <a:off x="11324166" y="61563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771</xdr:row>
      <xdr:rowOff>31750</xdr:rowOff>
    </xdr:from>
    <xdr:to>
      <xdr:col>16</xdr:col>
      <xdr:colOff>21167</xdr:colOff>
      <xdr:row>778</xdr:row>
      <xdr:rowOff>95250</xdr:rowOff>
    </xdr:to>
    <xdr:cxnSp macro="">
      <xdr:nvCxnSpPr>
        <xdr:cNvPr id="2874" name="Straight Arrow Connector 2873">
          <a:extLst>
            <a:ext uri="{FF2B5EF4-FFF2-40B4-BE49-F238E27FC236}">
              <a16:creationId xmlns:a16="http://schemas.microsoft.com/office/drawing/2014/main" id="{00000000-0008-0000-1300-00003A0B0000}"/>
            </a:ext>
          </a:extLst>
        </xdr:cNvPr>
        <xdr:cNvCxnSpPr/>
      </xdr:nvCxnSpPr>
      <xdr:spPr>
        <a:xfrm>
          <a:off x="11324166" y="61563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758</xdr:row>
      <xdr:rowOff>31750</xdr:rowOff>
    </xdr:from>
    <xdr:to>
      <xdr:col>16</xdr:col>
      <xdr:colOff>42334</xdr:colOff>
      <xdr:row>765</xdr:row>
      <xdr:rowOff>63501</xdr:rowOff>
    </xdr:to>
    <xdr:cxnSp macro="">
      <xdr:nvCxnSpPr>
        <xdr:cNvPr id="2875" name="Straight Arrow Connector 2874">
          <a:extLst>
            <a:ext uri="{FF2B5EF4-FFF2-40B4-BE49-F238E27FC236}">
              <a16:creationId xmlns:a16="http://schemas.microsoft.com/office/drawing/2014/main" id="{00000000-0008-0000-1300-00003B0B0000}"/>
            </a:ext>
          </a:extLst>
        </xdr:cNvPr>
        <xdr:cNvCxnSpPr/>
      </xdr:nvCxnSpPr>
      <xdr:spPr>
        <a:xfrm>
          <a:off x="11281833" y="58896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771</xdr:row>
      <xdr:rowOff>31750</xdr:rowOff>
    </xdr:from>
    <xdr:to>
      <xdr:col>16</xdr:col>
      <xdr:colOff>21167</xdr:colOff>
      <xdr:row>778</xdr:row>
      <xdr:rowOff>95250</xdr:rowOff>
    </xdr:to>
    <xdr:cxnSp macro="">
      <xdr:nvCxnSpPr>
        <xdr:cNvPr id="2876" name="Straight Arrow Connector 2875">
          <a:extLst>
            <a:ext uri="{FF2B5EF4-FFF2-40B4-BE49-F238E27FC236}">
              <a16:creationId xmlns:a16="http://schemas.microsoft.com/office/drawing/2014/main" id="{00000000-0008-0000-1300-00003C0B0000}"/>
            </a:ext>
          </a:extLst>
        </xdr:cNvPr>
        <xdr:cNvCxnSpPr/>
      </xdr:nvCxnSpPr>
      <xdr:spPr>
        <a:xfrm>
          <a:off x="11324166" y="61563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21167</xdr:colOff>
      <xdr:row>811</xdr:row>
      <xdr:rowOff>169333</xdr:rowOff>
    </xdr:from>
    <xdr:to>
      <xdr:col>11</xdr:col>
      <xdr:colOff>603250</xdr:colOff>
      <xdr:row>814</xdr:row>
      <xdr:rowOff>21167</xdr:rowOff>
    </xdr:to>
    <xdr:cxnSp macro="">
      <xdr:nvCxnSpPr>
        <xdr:cNvPr id="2877" name="Straight Arrow Connector 2876">
          <a:extLst>
            <a:ext uri="{FF2B5EF4-FFF2-40B4-BE49-F238E27FC236}">
              <a16:creationId xmlns:a16="http://schemas.microsoft.com/office/drawing/2014/main" id="{00000000-0008-0000-1300-00003D0B0000}"/>
            </a:ext>
          </a:extLst>
        </xdr:cNvPr>
        <xdr:cNvCxnSpPr/>
      </xdr:nvCxnSpPr>
      <xdr:spPr>
        <a:xfrm flipV="1">
          <a:off x="7937500" y="69320833"/>
          <a:ext cx="582083" cy="423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817</xdr:row>
      <xdr:rowOff>42333</xdr:rowOff>
    </xdr:from>
    <xdr:to>
      <xdr:col>11</xdr:col>
      <xdr:colOff>603250</xdr:colOff>
      <xdr:row>829</xdr:row>
      <xdr:rowOff>10583</xdr:rowOff>
    </xdr:to>
    <xdr:cxnSp macro="">
      <xdr:nvCxnSpPr>
        <xdr:cNvPr id="2878" name="Straight Arrow Connector 2877">
          <a:extLst>
            <a:ext uri="{FF2B5EF4-FFF2-40B4-BE49-F238E27FC236}">
              <a16:creationId xmlns:a16="http://schemas.microsoft.com/office/drawing/2014/main" id="{00000000-0008-0000-1300-00003E0B0000}"/>
            </a:ext>
          </a:extLst>
        </xdr:cNvPr>
        <xdr:cNvCxnSpPr/>
      </xdr:nvCxnSpPr>
      <xdr:spPr>
        <a:xfrm>
          <a:off x="7926917" y="703368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807</xdr:row>
      <xdr:rowOff>21167</xdr:rowOff>
    </xdr:from>
    <xdr:to>
      <xdr:col>13</xdr:col>
      <xdr:colOff>592667</xdr:colOff>
      <xdr:row>809</xdr:row>
      <xdr:rowOff>0</xdr:rowOff>
    </xdr:to>
    <xdr:cxnSp macro="">
      <xdr:nvCxnSpPr>
        <xdr:cNvPr id="2879" name="Straight Arrow Connector 2878">
          <a:extLst>
            <a:ext uri="{FF2B5EF4-FFF2-40B4-BE49-F238E27FC236}">
              <a16:creationId xmlns:a16="http://schemas.microsoft.com/office/drawing/2014/main" id="{00000000-0008-0000-1300-00003F0B0000}"/>
            </a:ext>
          </a:extLst>
        </xdr:cNvPr>
        <xdr:cNvCxnSpPr/>
      </xdr:nvCxnSpPr>
      <xdr:spPr>
        <a:xfrm flipV="1">
          <a:off x="9133417" y="68410667"/>
          <a:ext cx="984250"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812</xdr:row>
      <xdr:rowOff>21166</xdr:rowOff>
    </xdr:from>
    <xdr:to>
      <xdr:col>13</xdr:col>
      <xdr:colOff>592667</xdr:colOff>
      <xdr:row>813</xdr:row>
      <xdr:rowOff>169334</xdr:rowOff>
    </xdr:to>
    <xdr:cxnSp macro="">
      <xdr:nvCxnSpPr>
        <xdr:cNvPr id="2880" name="Straight Arrow Connector 2879">
          <a:extLst>
            <a:ext uri="{FF2B5EF4-FFF2-40B4-BE49-F238E27FC236}">
              <a16:creationId xmlns:a16="http://schemas.microsoft.com/office/drawing/2014/main" id="{00000000-0008-0000-1300-0000400B0000}"/>
            </a:ext>
          </a:extLst>
        </xdr:cNvPr>
        <xdr:cNvCxnSpPr/>
      </xdr:nvCxnSpPr>
      <xdr:spPr>
        <a:xfrm>
          <a:off x="9122833" y="69363166"/>
          <a:ext cx="994834"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799</xdr:row>
      <xdr:rowOff>0</xdr:rowOff>
    </xdr:from>
    <xdr:to>
      <xdr:col>15</xdr:col>
      <xdr:colOff>603250</xdr:colOff>
      <xdr:row>804</xdr:row>
      <xdr:rowOff>31750</xdr:rowOff>
    </xdr:to>
    <xdr:cxnSp macro="">
      <xdr:nvCxnSpPr>
        <xdr:cNvPr id="2883" name="Straight Arrow Connector 2882">
          <a:extLst>
            <a:ext uri="{FF2B5EF4-FFF2-40B4-BE49-F238E27FC236}">
              <a16:creationId xmlns:a16="http://schemas.microsoft.com/office/drawing/2014/main" id="{00000000-0008-0000-1300-0000430B0000}"/>
            </a:ext>
          </a:extLst>
        </xdr:cNvPr>
        <xdr:cNvCxnSpPr/>
      </xdr:nvCxnSpPr>
      <xdr:spPr>
        <a:xfrm flipV="1">
          <a:off x="11281833" y="66865500"/>
          <a:ext cx="603250" cy="984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802</xdr:row>
      <xdr:rowOff>52917</xdr:rowOff>
    </xdr:from>
    <xdr:to>
      <xdr:col>15</xdr:col>
      <xdr:colOff>603250</xdr:colOff>
      <xdr:row>804</xdr:row>
      <xdr:rowOff>95250</xdr:rowOff>
    </xdr:to>
    <xdr:cxnSp macro="">
      <xdr:nvCxnSpPr>
        <xdr:cNvPr id="2884" name="Straight Arrow Connector 2883">
          <a:extLst>
            <a:ext uri="{FF2B5EF4-FFF2-40B4-BE49-F238E27FC236}">
              <a16:creationId xmlns:a16="http://schemas.microsoft.com/office/drawing/2014/main" id="{00000000-0008-0000-1300-0000440B0000}"/>
            </a:ext>
          </a:extLst>
        </xdr:cNvPr>
        <xdr:cNvCxnSpPr/>
      </xdr:nvCxnSpPr>
      <xdr:spPr>
        <a:xfrm flipV="1">
          <a:off x="11324166" y="67489917"/>
          <a:ext cx="56091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804</xdr:row>
      <xdr:rowOff>158750</xdr:rowOff>
    </xdr:from>
    <xdr:to>
      <xdr:col>15</xdr:col>
      <xdr:colOff>582083</xdr:colOff>
      <xdr:row>805</xdr:row>
      <xdr:rowOff>137583</xdr:rowOff>
    </xdr:to>
    <xdr:cxnSp macro="">
      <xdr:nvCxnSpPr>
        <xdr:cNvPr id="2885" name="Straight Arrow Connector 2884">
          <a:extLst>
            <a:ext uri="{FF2B5EF4-FFF2-40B4-BE49-F238E27FC236}">
              <a16:creationId xmlns:a16="http://schemas.microsoft.com/office/drawing/2014/main" id="{00000000-0008-0000-1300-0000450B0000}"/>
            </a:ext>
          </a:extLst>
        </xdr:cNvPr>
        <xdr:cNvCxnSpPr/>
      </xdr:nvCxnSpPr>
      <xdr:spPr>
        <a:xfrm>
          <a:off x="11345333" y="67976750"/>
          <a:ext cx="518583" cy="169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1121834</xdr:colOff>
      <xdr:row>804</xdr:row>
      <xdr:rowOff>105834</xdr:rowOff>
    </xdr:from>
    <xdr:to>
      <xdr:col>16</xdr:col>
      <xdr:colOff>0</xdr:colOff>
      <xdr:row>808</xdr:row>
      <xdr:rowOff>84667</xdr:rowOff>
    </xdr:to>
    <xdr:cxnSp macro="">
      <xdr:nvCxnSpPr>
        <xdr:cNvPr id="2886" name="Straight Arrow Connector 2885">
          <a:extLst>
            <a:ext uri="{FF2B5EF4-FFF2-40B4-BE49-F238E27FC236}">
              <a16:creationId xmlns:a16="http://schemas.microsoft.com/office/drawing/2014/main" id="{00000000-0008-0000-1300-0000460B0000}"/>
            </a:ext>
          </a:extLst>
        </xdr:cNvPr>
        <xdr:cNvCxnSpPr/>
      </xdr:nvCxnSpPr>
      <xdr:spPr>
        <a:xfrm>
          <a:off x="11260667" y="67923834"/>
          <a:ext cx="63500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814</xdr:row>
      <xdr:rowOff>31750</xdr:rowOff>
    </xdr:from>
    <xdr:to>
      <xdr:col>16</xdr:col>
      <xdr:colOff>42334</xdr:colOff>
      <xdr:row>821</xdr:row>
      <xdr:rowOff>63501</xdr:rowOff>
    </xdr:to>
    <xdr:cxnSp macro="">
      <xdr:nvCxnSpPr>
        <xdr:cNvPr id="2890" name="Straight Arrow Connector 2889">
          <a:extLst>
            <a:ext uri="{FF2B5EF4-FFF2-40B4-BE49-F238E27FC236}">
              <a16:creationId xmlns:a16="http://schemas.microsoft.com/office/drawing/2014/main" id="{00000000-0008-0000-1300-00004A0B0000}"/>
            </a:ext>
          </a:extLst>
        </xdr:cNvPr>
        <xdr:cNvCxnSpPr/>
      </xdr:nvCxnSpPr>
      <xdr:spPr>
        <a:xfrm>
          <a:off x="11281833" y="69754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571500</xdr:colOff>
      <xdr:row>867</xdr:row>
      <xdr:rowOff>158750</xdr:rowOff>
    </xdr:from>
    <xdr:to>
      <xdr:col>11</xdr:col>
      <xdr:colOff>571500</xdr:colOff>
      <xdr:row>870</xdr:row>
      <xdr:rowOff>0</xdr:rowOff>
    </xdr:to>
    <xdr:cxnSp macro="">
      <xdr:nvCxnSpPr>
        <xdr:cNvPr id="2891" name="Straight Arrow Connector 2890">
          <a:extLst>
            <a:ext uri="{FF2B5EF4-FFF2-40B4-BE49-F238E27FC236}">
              <a16:creationId xmlns:a16="http://schemas.microsoft.com/office/drawing/2014/main" id="{00000000-0008-0000-1300-00004B0B0000}"/>
            </a:ext>
          </a:extLst>
        </xdr:cNvPr>
        <xdr:cNvCxnSpPr/>
      </xdr:nvCxnSpPr>
      <xdr:spPr>
        <a:xfrm flipV="1">
          <a:off x="7874000" y="80168750"/>
          <a:ext cx="613833" cy="412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855</xdr:row>
      <xdr:rowOff>116416</xdr:rowOff>
    </xdr:from>
    <xdr:to>
      <xdr:col>15</xdr:col>
      <xdr:colOff>592666</xdr:colOff>
      <xdr:row>858</xdr:row>
      <xdr:rowOff>158750</xdr:rowOff>
    </xdr:to>
    <xdr:cxnSp macro="">
      <xdr:nvCxnSpPr>
        <xdr:cNvPr id="2899" name="Straight Arrow Connector 2898">
          <a:extLst>
            <a:ext uri="{FF2B5EF4-FFF2-40B4-BE49-F238E27FC236}">
              <a16:creationId xmlns:a16="http://schemas.microsoft.com/office/drawing/2014/main" id="{00000000-0008-0000-1300-0000530B0000}"/>
            </a:ext>
          </a:extLst>
        </xdr:cNvPr>
        <xdr:cNvCxnSpPr/>
      </xdr:nvCxnSpPr>
      <xdr:spPr>
        <a:xfrm flipV="1">
          <a:off x="11302999" y="77840416"/>
          <a:ext cx="571500" cy="613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857</xdr:row>
      <xdr:rowOff>95250</xdr:rowOff>
    </xdr:from>
    <xdr:to>
      <xdr:col>15</xdr:col>
      <xdr:colOff>582083</xdr:colOff>
      <xdr:row>859</xdr:row>
      <xdr:rowOff>52917</xdr:rowOff>
    </xdr:to>
    <xdr:cxnSp macro="">
      <xdr:nvCxnSpPr>
        <xdr:cNvPr id="2900" name="Straight Arrow Connector 2899">
          <a:extLst>
            <a:ext uri="{FF2B5EF4-FFF2-40B4-BE49-F238E27FC236}">
              <a16:creationId xmlns:a16="http://schemas.microsoft.com/office/drawing/2014/main" id="{00000000-0008-0000-1300-0000540B0000}"/>
            </a:ext>
          </a:extLst>
        </xdr:cNvPr>
        <xdr:cNvCxnSpPr/>
      </xdr:nvCxnSpPr>
      <xdr:spPr>
        <a:xfrm flipV="1">
          <a:off x="11345333" y="78200250"/>
          <a:ext cx="518583" cy="338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859</xdr:row>
      <xdr:rowOff>116417</xdr:rowOff>
    </xdr:from>
    <xdr:to>
      <xdr:col>15</xdr:col>
      <xdr:colOff>592666</xdr:colOff>
      <xdr:row>863</xdr:row>
      <xdr:rowOff>95250</xdr:rowOff>
    </xdr:to>
    <xdr:cxnSp macro="">
      <xdr:nvCxnSpPr>
        <xdr:cNvPr id="2901" name="Straight Arrow Connector 2900">
          <a:extLst>
            <a:ext uri="{FF2B5EF4-FFF2-40B4-BE49-F238E27FC236}">
              <a16:creationId xmlns:a16="http://schemas.microsoft.com/office/drawing/2014/main" id="{00000000-0008-0000-1300-0000550B0000}"/>
            </a:ext>
          </a:extLst>
        </xdr:cNvPr>
        <xdr:cNvCxnSpPr/>
      </xdr:nvCxnSpPr>
      <xdr:spPr>
        <a:xfrm>
          <a:off x="11334749" y="78602417"/>
          <a:ext cx="53975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873</xdr:row>
      <xdr:rowOff>42333</xdr:rowOff>
    </xdr:from>
    <xdr:to>
      <xdr:col>11</xdr:col>
      <xdr:colOff>603250</xdr:colOff>
      <xdr:row>885</xdr:row>
      <xdr:rowOff>10583</xdr:rowOff>
    </xdr:to>
    <xdr:cxnSp macro="">
      <xdr:nvCxnSpPr>
        <xdr:cNvPr id="2904" name="Straight Arrow Connector 2903">
          <a:extLst>
            <a:ext uri="{FF2B5EF4-FFF2-40B4-BE49-F238E27FC236}">
              <a16:creationId xmlns:a16="http://schemas.microsoft.com/office/drawing/2014/main" id="{00000000-0008-0000-1300-0000580B0000}"/>
            </a:ext>
          </a:extLst>
        </xdr:cNvPr>
        <xdr:cNvCxnSpPr/>
      </xdr:nvCxnSpPr>
      <xdr:spPr>
        <a:xfrm>
          <a:off x="7926917" y="811953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863</xdr:row>
      <xdr:rowOff>21167</xdr:rowOff>
    </xdr:from>
    <xdr:to>
      <xdr:col>13</xdr:col>
      <xdr:colOff>592667</xdr:colOff>
      <xdr:row>865</xdr:row>
      <xdr:rowOff>0</xdr:rowOff>
    </xdr:to>
    <xdr:cxnSp macro="">
      <xdr:nvCxnSpPr>
        <xdr:cNvPr id="2905" name="Straight Arrow Connector 2904">
          <a:extLst>
            <a:ext uri="{FF2B5EF4-FFF2-40B4-BE49-F238E27FC236}">
              <a16:creationId xmlns:a16="http://schemas.microsoft.com/office/drawing/2014/main" id="{00000000-0008-0000-1300-0000590B0000}"/>
            </a:ext>
          </a:extLst>
        </xdr:cNvPr>
        <xdr:cNvCxnSpPr/>
      </xdr:nvCxnSpPr>
      <xdr:spPr>
        <a:xfrm flipV="1">
          <a:off x="9133417" y="79269167"/>
          <a:ext cx="984250"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868</xdr:row>
      <xdr:rowOff>21166</xdr:rowOff>
    </xdr:from>
    <xdr:to>
      <xdr:col>13</xdr:col>
      <xdr:colOff>592667</xdr:colOff>
      <xdr:row>869</xdr:row>
      <xdr:rowOff>169334</xdr:rowOff>
    </xdr:to>
    <xdr:cxnSp macro="">
      <xdr:nvCxnSpPr>
        <xdr:cNvPr id="2906" name="Straight Arrow Connector 2905">
          <a:extLst>
            <a:ext uri="{FF2B5EF4-FFF2-40B4-BE49-F238E27FC236}">
              <a16:creationId xmlns:a16="http://schemas.microsoft.com/office/drawing/2014/main" id="{00000000-0008-0000-1300-00005A0B0000}"/>
            </a:ext>
          </a:extLst>
        </xdr:cNvPr>
        <xdr:cNvCxnSpPr/>
      </xdr:nvCxnSpPr>
      <xdr:spPr>
        <a:xfrm>
          <a:off x="9122833" y="80221666"/>
          <a:ext cx="994834"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883</xdr:row>
      <xdr:rowOff>21167</xdr:rowOff>
    </xdr:from>
    <xdr:to>
      <xdr:col>13</xdr:col>
      <xdr:colOff>592667</xdr:colOff>
      <xdr:row>885</xdr:row>
      <xdr:rowOff>63500</xdr:rowOff>
    </xdr:to>
    <xdr:cxnSp macro="">
      <xdr:nvCxnSpPr>
        <xdr:cNvPr id="2907" name="Straight Arrow Connector 2906">
          <a:extLst>
            <a:ext uri="{FF2B5EF4-FFF2-40B4-BE49-F238E27FC236}">
              <a16:creationId xmlns:a16="http://schemas.microsoft.com/office/drawing/2014/main" id="{00000000-0008-0000-1300-00005B0B0000}"/>
            </a:ext>
          </a:extLst>
        </xdr:cNvPr>
        <xdr:cNvCxnSpPr/>
      </xdr:nvCxnSpPr>
      <xdr:spPr>
        <a:xfrm flipV="1">
          <a:off x="9525000" y="832696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888</xdr:row>
      <xdr:rowOff>0</xdr:rowOff>
    </xdr:from>
    <xdr:to>
      <xdr:col>14</xdr:col>
      <xdr:colOff>10584</xdr:colOff>
      <xdr:row>896</xdr:row>
      <xdr:rowOff>148167</xdr:rowOff>
    </xdr:to>
    <xdr:cxnSp macro="">
      <xdr:nvCxnSpPr>
        <xdr:cNvPr id="2908" name="Straight Arrow Connector 2907">
          <a:extLst>
            <a:ext uri="{FF2B5EF4-FFF2-40B4-BE49-F238E27FC236}">
              <a16:creationId xmlns:a16="http://schemas.microsoft.com/office/drawing/2014/main" id="{00000000-0008-0000-1300-00005C0B0000}"/>
            </a:ext>
          </a:extLst>
        </xdr:cNvPr>
        <xdr:cNvCxnSpPr/>
      </xdr:nvCxnSpPr>
      <xdr:spPr>
        <a:xfrm>
          <a:off x="9535583" y="84201000"/>
          <a:ext cx="613834"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859</xdr:row>
      <xdr:rowOff>95250</xdr:rowOff>
    </xdr:from>
    <xdr:to>
      <xdr:col>15</xdr:col>
      <xdr:colOff>582083</xdr:colOff>
      <xdr:row>861</xdr:row>
      <xdr:rowOff>137583</xdr:rowOff>
    </xdr:to>
    <xdr:cxnSp macro="">
      <xdr:nvCxnSpPr>
        <xdr:cNvPr id="2909" name="Straight Arrow Connector 2908">
          <a:extLst>
            <a:ext uri="{FF2B5EF4-FFF2-40B4-BE49-F238E27FC236}">
              <a16:creationId xmlns:a16="http://schemas.microsoft.com/office/drawing/2014/main" id="{00000000-0008-0000-1300-00005D0B0000}"/>
            </a:ext>
          </a:extLst>
        </xdr:cNvPr>
        <xdr:cNvCxnSpPr/>
      </xdr:nvCxnSpPr>
      <xdr:spPr>
        <a:xfrm>
          <a:off x="11334749" y="78581250"/>
          <a:ext cx="5291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868</xdr:row>
      <xdr:rowOff>52916</xdr:rowOff>
    </xdr:from>
    <xdr:to>
      <xdr:col>16</xdr:col>
      <xdr:colOff>0</xdr:colOff>
      <xdr:row>870</xdr:row>
      <xdr:rowOff>0</xdr:rowOff>
    </xdr:to>
    <xdr:cxnSp macro="">
      <xdr:nvCxnSpPr>
        <xdr:cNvPr id="2910" name="Straight Arrow Connector 2909">
          <a:extLst>
            <a:ext uri="{FF2B5EF4-FFF2-40B4-BE49-F238E27FC236}">
              <a16:creationId xmlns:a16="http://schemas.microsoft.com/office/drawing/2014/main" id="{00000000-0008-0000-1300-00005E0B0000}"/>
            </a:ext>
          </a:extLst>
        </xdr:cNvPr>
        <xdr:cNvCxnSpPr/>
      </xdr:nvCxnSpPr>
      <xdr:spPr>
        <a:xfrm flipV="1">
          <a:off x="11281833" y="80253416"/>
          <a:ext cx="613834"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870</xdr:row>
      <xdr:rowOff>21167</xdr:rowOff>
    </xdr:from>
    <xdr:to>
      <xdr:col>15</xdr:col>
      <xdr:colOff>592666</xdr:colOff>
      <xdr:row>871</xdr:row>
      <xdr:rowOff>84667</xdr:rowOff>
    </xdr:to>
    <xdr:cxnSp macro="">
      <xdr:nvCxnSpPr>
        <xdr:cNvPr id="2911" name="Straight Arrow Connector 2910">
          <a:extLst>
            <a:ext uri="{FF2B5EF4-FFF2-40B4-BE49-F238E27FC236}">
              <a16:creationId xmlns:a16="http://schemas.microsoft.com/office/drawing/2014/main" id="{00000000-0008-0000-1300-00005F0B0000}"/>
            </a:ext>
          </a:extLst>
        </xdr:cNvPr>
        <xdr:cNvCxnSpPr/>
      </xdr:nvCxnSpPr>
      <xdr:spPr>
        <a:xfrm>
          <a:off x="11271250" y="80602667"/>
          <a:ext cx="603249" cy="25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870</xdr:row>
      <xdr:rowOff>0</xdr:rowOff>
    </xdr:from>
    <xdr:to>
      <xdr:col>16</xdr:col>
      <xdr:colOff>0</xdr:colOff>
      <xdr:row>874</xdr:row>
      <xdr:rowOff>42334</xdr:rowOff>
    </xdr:to>
    <xdr:cxnSp macro="">
      <xdr:nvCxnSpPr>
        <xdr:cNvPr id="2912" name="Straight Arrow Connector 2911">
          <a:extLst>
            <a:ext uri="{FF2B5EF4-FFF2-40B4-BE49-F238E27FC236}">
              <a16:creationId xmlns:a16="http://schemas.microsoft.com/office/drawing/2014/main" id="{00000000-0008-0000-1300-0000600B0000}"/>
            </a:ext>
          </a:extLst>
        </xdr:cNvPr>
        <xdr:cNvCxnSpPr/>
      </xdr:nvCxnSpPr>
      <xdr:spPr>
        <a:xfrm>
          <a:off x="11271250" y="80581500"/>
          <a:ext cx="624417" cy="804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881</xdr:row>
      <xdr:rowOff>0</xdr:rowOff>
    </xdr:from>
    <xdr:to>
      <xdr:col>15</xdr:col>
      <xdr:colOff>603250</xdr:colOff>
      <xdr:row>883</xdr:row>
      <xdr:rowOff>1</xdr:rowOff>
    </xdr:to>
    <xdr:cxnSp macro="">
      <xdr:nvCxnSpPr>
        <xdr:cNvPr id="2913" name="Straight Arrow Connector 2912">
          <a:extLst>
            <a:ext uri="{FF2B5EF4-FFF2-40B4-BE49-F238E27FC236}">
              <a16:creationId xmlns:a16="http://schemas.microsoft.com/office/drawing/2014/main" id="{00000000-0008-0000-1300-0000610B0000}"/>
            </a:ext>
          </a:extLst>
        </xdr:cNvPr>
        <xdr:cNvCxnSpPr/>
      </xdr:nvCxnSpPr>
      <xdr:spPr>
        <a:xfrm flipV="1">
          <a:off x="11271250" y="828675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883</xdr:row>
      <xdr:rowOff>10584</xdr:rowOff>
    </xdr:from>
    <xdr:to>
      <xdr:col>15</xdr:col>
      <xdr:colOff>592666</xdr:colOff>
      <xdr:row>884</xdr:row>
      <xdr:rowOff>95250</xdr:rowOff>
    </xdr:to>
    <xdr:cxnSp macro="">
      <xdr:nvCxnSpPr>
        <xdr:cNvPr id="2914" name="Straight Arrow Connector 2913">
          <a:extLst>
            <a:ext uri="{FF2B5EF4-FFF2-40B4-BE49-F238E27FC236}">
              <a16:creationId xmlns:a16="http://schemas.microsoft.com/office/drawing/2014/main" id="{00000000-0008-0000-1300-0000620B0000}"/>
            </a:ext>
          </a:extLst>
        </xdr:cNvPr>
        <xdr:cNvCxnSpPr/>
      </xdr:nvCxnSpPr>
      <xdr:spPr>
        <a:xfrm>
          <a:off x="11313583" y="832590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883</xdr:row>
      <xdr:rowOff>10584</xdr:rowOff>
    </xdr:from>
    <xdr:to>
      <xdr:col>15</xdr:col>
      <xdr:colOff>560916</xdr:colOff>
      <xdr:row>887</xdr:row>
      <xdr:rowOff>52917</xdr:rowOff>
    </xdr:to>
    <xdr:cxnSp macro="">
      <xdr:nvCxnSpPr>
        <xdr:cNvPr id="2915" name="Straight Arrow Connector 2914">
          <a:extLst>
            <a:ext uri="{FF2B5EF4-FFF2-40B4-BE49-F238E27FC236}">
              <a16:creationId xmlns:a16="http://schemas.microsoft.com/office/drawing/2014/main" id="{00000000-0008-0000-1300-0000630B0000}"/>
            </a:ext>
          </a:extLst>
        </xdr:cNvPr>
        <xdr:cNvCxnSpPr/>
      </xdr:nvCxnSpPr>
      <xdr:spPr>
        <a:xfrm>
          <a:off x="11292416" y="832590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883</xdr:row>
      <xdr:rowOff>31750</xdr:rowOff>
    </xdr:from>
    <xdr:to>
      <xdr:col>16</xdr:col>
      <xdr:colOff>21167</xdr:colOff>
      <xdr:row>890</xdr:row>
      <xdr:rowOff>95250</xdr:rowOff>
    </xdr:to>
    <xdr:cxnSp macro="">
      <xdr:nvCxnSpPr>
        <xdr:cNvPr id="2916" name="Straight Arrow Connector 2915">
          <a:extLst>
            <a:ext uri="{FF2B5EF4-FFF2-40B4-BE49-F238E27FC236}">
              <a16:creationId xmlns:a16="http://schemas.microsoft.com/office/drawing/2014/main" id="{00000000-0008-0000-1300-0000640B0000}"/>
            </a:ext>
          </a:extLst>
        </xdr:cNvPr>
        <xdr:cNvCxnSpPr/>
      </xdr:nvCxnSpPr>
      <xdr:spPr>
        <a:xfrm>
          <a:off x="11324166" y="83280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897</xdr:row>
      <xdr:rowOff>0</xdr:rowOff>
    </xdr:from>
    <xdr:to>
      <xdr:col>16</xdr:col>
      <xdr:colOff>0</xdr:colOff>
      <xdr:row>897</xdr:row>
      <xdr:rowOff>42334</xdr:rowOff>
    </xdr:to>
    <xdr:cxnSp macro="">
      <xdr:nvCxnSpPr>
        <xdr:cNvPr id="2917" name="Straight Arrow Connector 2916">
          <a:extLst>
            <a:ext uri="{FF2B5EF4-FFF2-40B4-BE49-F238E27FC236}">
              <a16:creationId xmlns:a16="http://schemas.microsoft.com/office/drawing/2014/main" id="{00000000-0008-0000-1300-0000650B0000}"/>
            </a:ext>
          </a:extLst>
        </xdr:cNvPr>
        <xdr:cNvCxnSpPr/>
      </xdr:nvCxnSpPr>
      <xdr:spPr>
        <a:xfrm>
          <a:off x="11302999" y="85915500"/>
          <a:ext cx="592668"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897</xdr:row>
      <xdr:rowOff>21166</xdr:rowOff>
    </xdr:from>
    <xdr:to>
      <xdr:col>15</xdr:col>
      <xdr:colOff>560916</xdr:colOff>
      <xdr:row>900</xdr:row>
      <xdr:rowOff>84667</xdr:rowOff>
    </xdr:to>
    <xdr:cxnSp macro="">
      <xdr:nvCxnSpPr>
        <xdr:cNvPr id="2918" name="Straight Arrow Connector 2917">
          <a:extLst>
            <a:ext uri="{FF2B5EF4-FFF2-40B4-BE49-F238E27FC236}">
              <a16:creationId xmlns:a16="http://schemas.microsoft.com/office/drawing/2014/main" id="{00000000-0008-0000-1300-0000660B0000}"/>
            </a:ext>
          </a:extLst>
        </xdr:cNvPr>
        <xdr:cNvCxnSpPr/>
      </xdr:nvCxnSpPr>
      <xdr:spPr>
        <a:xfrm>
          <a:off x="11355916" y="859366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897</xdr:row>
      <xdr:rowOff>52916</xdr:rowOff>
    </xdr:from>
    <xdr:to>
      <xdr:col>15</xdr:col>
      <xdr:colOff>592666</xdr:colOff>
      <xdr:row>903</xdr:row>
      <xdr:rowOff>63501</xdr:rowOff>
    </xdr:to>
    <xdr:cxnSp macro="">
      <xdr:nvCxnSpPr>
        <xdr:cNvPr id="2919" name="Straight Arrow Connector 2918">
          <a:extLst>
            <a:ext uri="{FF2B5EF4-FFF2-40B4-BE49-F238E27FC236}">
              <a16:creationId xmlns:a16="http://schemas.microsoft.com/office/drawing/2014/main" id="{00000000-0008-0000-1300-0000670B0000}"/>
            </a:ext>
          </a:extLst>
        </xdr:cNvPr>
        <xdr:cNvCxnSpPr/>
      </xdr:nvCxnSpPr>
      <xdr:spPr>
        <a:xfrm>
          <a:off x="11313583" y="859684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894</xdr:row>
      <xdr:rowOff>52917</xdr:rowOff>
    </xdr:from>
    <xdr:to>
      <xdr:col>15</xdr:col>
      <xdr:colOff>603250</xdr:colOff>
      <xdr:row>896</xdr:row>
      <xdr:rowOff>148167</xdr:rowOff>
    </xdr:to>
    <xdr:cxnSp macro="">
      <xdr:nvCxnSpPr>
        <xdr:cNvPr id="2920" name="Straight Arrow Connector 2919">
          <a:extLst>
            <a:ext uri="{FF2B5EF4-FFF2-40B4-BE49-F238E27FC236}">
              <a16:creationId xmlns:a16="http://schemas.microsoft.com/office/drawing/2014/main" id="{00000000-0008-0000-1300-0000680B0000}"/>
            </a:ext>
          </a:extLst>
        </xdr:cNvPr>
        <xdr:cNvCxnSpPr/>
      </xdr:nvCxnSpPr>
      <xdr:spPr>
        <a:xfrm flipV="1">
          <a:off x="11324166" y="853969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814</xdr:row>
      <xdr:rowOff>31750</xdr:rowOff>
    </xdr:from>
    <xdr:to>
      <xdr:col>16</xdr:col>
      <xdr:colOff>42334</xdr:colOff>
      <xdr:row>821</xdr:row>
      <xdr:rowOff>63501</xdr:rowOff>
    </xdr:to>
    <xdr:cxnSp macro="">
      <xdr:nvCxnSpPr>
        <xdr:cNvPr id="2923" name="Straight Arrow Connector 2922">
          <a:extLst>
            <a:ext uri="{FF2B5EF4-FFF2-40B4-BE49-F238E27FC236}">
              <a16:creationId xmlns:a16="http://schemas.microsoft.com/office/drawing/2014/main" id="{00000000-0008-0000-1300-00006B0B0000}"/>
            </a:ext>
          </a:extLst>
        </xdr:cNvPr>
        <xdr:cNvCxnSpPr/>
      </xdr:nvCxnSpPr>
      <xdr:spPr>
        <a:xfrm>
          <a:off x="11281833" y="69754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897</xdr:row>
      <xdr:rowOff>21167</xdr:rowOff>
    </xdr:from>
    <xdr:to>
      <xdr:col>15</xdr:col>
      <xdr:colOff>592666</xdr:colOff>
      <xdr:row>898</xdr:row>
      <xdr:rowOff>84667</xdr:rowOff>
    </xdr:to>
    <xdr:cxnSp macro="">
      <xdr:nvCxnSpPr>
        <xdr:cNvPr id="2925" name="Straight Arrow Connector 2924">
          <a:extLst>
            <a:ext uri="{FF2B5EF4-FFF2-40B4-BE49-F238E27FC236}">
              <a16:creationId xmlns:a16="http://schemas.microsoft.com/office/drawing/2014/main" id="{00000000-0008-0000-1300-00006D0B0000}"/>
            </a:ext>
          </a:extLst>
        </xdr:cNvPr>
        <xdr:cNvCxnSpPr/>
      </xdr:nvCxnSpPr>
      <xdr:spPr>
        <a:xfrm>
          <a:off x="11271250" y="85936667"/>
          <a:ext cx="603249" cy="25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883</xdr:row>
      <xdr:rowOff>31750</xdr:rowOff>
    </xdr:from>
    <xdr:to>
      <xdr:col>16</xdr:col>
      <xdr:colOff>21167</xdr:colOff>
      <xdr:row>890</xdr:row>
      <xdr:rowOff>95250</xdr:rowOff>
    </xdr:to>
    <xdr:cxnSp macro="">
      <xdr:nvCxnSpPr>
        <xdr:cNvPr id="2927" name="Straight Arrow Connector 2926">
          <a:extLst>
            <a:ext uri="{FF2B5EF4-FFF2-40B4-BE49-F238E27FC236}">
              <a16:creationId xmlns:a16="http://schemas.microsoft.com/office/drawing/2014/main" id="{00000000-0008-0000-1300-00006F0B0000}"/>
            </a:ext>
          </a:extLst>
        </xdr:cNvPr>
        <xdr:cNvCxnSpPr/>
      </xdr:nvCxnSpPr>
      <xdr:spPr>
        <a:xfrm>
          <a:off x="11324166" y="83280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883</xdr:row>
      <xdr:rowOff>31750</xdr:rowOff>
    </xdr:from>
    <xdr:to>
      <xdr:col>16</xdr:col>
      <xdr:colOff>21167</xdr:colOff>
      <xdr:row>890</xdr:row>
      <xdr:rowOff>95250</xdr:rowOff>
    </xdr:to>
    <xdr:cxnSp macro="">
      <xdr:nvCxnSpPr>
        <xdr:cNvPr id="2928" name="Straight Arrow Connector 2927">
          <a:extLst>
            <a:ext uri="{FF2B5EF4-FFF2-40B4-BE49-F238E27FC236}">
              <a16:creationId xmlns:a16="http://schemas.microsoft.com/office/drawing/2014/main" id="{00000000-0008-0000-1300-0000700B0000}"/>
            </a:ext>
          </a:extLst>
        </xdr:cNvPr>
        <xdr:cNvCxnSpPr/>
      </xdr:nvCxnSpPr>
      <xdr:spPr>
        <a:xfrm>
          <a:off x="11324166" y="83280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883</xdr:row>
      <xdr:rowOff>31750</xdr:rowOff>
    </xdr:from>
    <xdr:to>
      <xdr:col>16</xdr:col>
      <xdr:colOff>21167</xdr:colOff>
      <xdr:row>890</xdr:row>
      <xdr:rowOff>95250</xdr:rowOff>
    </xdr:to>
    <xdr:cxnSp macro="">
      <xdr:nvCxnSpPr>
        <xdr:cNvPr id="2929" name="Straight Arrow Connector 2928">
          <a:extLst>
            <a:ext uri="{FF2B5EF4-FFF2-40B4-BE49-F238E27FC236}">
              <a16:creationId xmlns:a16="http://schemas.microsoft.com/office/drawing/2014/main" id="{00000000-0008-0000-1300-0000710B0000}"/>
            </a:ext>
          </a:extLst>
        </xdr:cNvPr>
        <xdr:cNvCxnSpPr/>
      </xdr:nvCxnSpPr>
      <xdr:spPr>
        <a:xfrm>
          <a:off x="11324166" y="83280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883</xdr:row>
      <xdr:rowOff>31750</xdr:rowOff>
    </xdr:from>
    <xdr:to>
      <xdr:col>16</xdr:col>
      <xdr:colOff>21167</xdr:colOff>
      <xdr:row>890</xdr:row>
      <xdr:rowOff>95250</xdr:rowOff>
    </xdr:to>
    <xdr:cxnSp macro="">
      <xdr:nvCxnSpPr>
        <xdr:cNvPr id="2931" name="Straight Arrow Connector 2930">
          <a:extLst>
            <a:ext uri="{FF2B5EF4-FFF2-40B4-BE49-F238E27FC236}">
              <a16:creationId xmlns:a16="http://schemas.microsoft.com/office/drawing/2014/main" id="{00000000-0008-0000-1300-0000730B0000}"/>
            </a:ext>
          </a:extLst>
        </xdr:cNvPr>
        <xdr:cNvCxnSpPr/>
      </xdr:nvCxnSpPr>
      <xdr:spPr>
        <a:xfrm>
          <a:off x="11324166" y="83280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504</xdr:row>
      <xdr:rowOff>31750</xdr:rowOff>
    </xdr:from>
    <xdr:to>
      <xdr:col>16</xdr:col>
      <xdr:colOff>42334</xdr:colOff>
      <xdr:row>511</xdr:row>
      <xdr:rowOff>63501</xdr:rowOff>
    </xdr:to>
    <xdr:cxnSp macro="">
      <xdr:nvCxnSpPr>
        <xdr:cNvPr id="2932" name="Straight Arrow Connector 2931">
          <a:extLst>
            <a:ext uri="{FF2B5EF4-FFF2-40B4-BE49-F238E27FC236}">
              <a16:creationId xmlns:a16="http://schemas.microsoft.com/office/drawing/2014/main" id="{00000000-0008-0000-1300-0000740B0000}"/>
            </a:ext>
          </a:extLst>
        </xdr:cNvPr>
        <xdr:cNvCxnSpPr/>
      </xdr:nvCxnSpPr>
      <xdr:spPr>
        <a:xfrm>
          <a:off x="11281833" y="92043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504</xdr:row>
      <xdr:rowOff>31750</xdr:rowOff>
    </xdr:from>
    <xdr:to>
      <xdr:col>16</xdr:col>
      <xdr:colOff>42334</xdr:colOff>
      <xdr:row>511</xdr:row>
      <xdr:rowOff>63501</xdr:rowOff>
    </xdr:to>
    <xdr:cxnSp macro="">
      <xdr:nvCxnSpPr>
        <xdr:cNvPr id="2933" name="Straight Arrow Connector 2932">
          <a:extLst>
            <a:ext uri="{FF2B5EF4-FFF2-40B4-BE49-F238E27FC236}">
              <a16:creationId xmlns:a16="http://schemas.microsoft.com/office/drawing/2014/main" id="{00000000-0008-0000-1300-0000750B0000}"/>
            </a:ext>
          </a:extLst>
        </xdr:cNvPr>
        <xdr:cNvCxnSpPr/>
      </xdr:nvCxnSpPr>
      <xdr:spPr>
        <a:xfrm>
          <a:off x="11281833" y="92043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603</xdr:row>
      <xdr:rowOff>31750</xdr:rowOff>
    </xdr:from>
    <xdr:to>
      <xdr:col>16</xdr:col>
      <xdr:colOff>21167</xdr:colOff>
      <xdr:row>610</xdr:row>
      <xdr:rowOff>95250</xdr:rowOff>
    </xdr:to>
    <xdr:cxnSp macro="">
      <xdr:nvCxnSpPr>
        <xdr:cNvPr id="2940" name="Straight Arrow Connector 2939">
          <a:extLst>
            <a:ext uri="{FF2B5EF4-FFF2-40B4-BE49-F238E27FC236}">
              <a16:creationId xmlns:a16="http://schemas.microsoft.com/office/drawing/2014/main" id="{00000000-0008-0000-1300-00007C0B0000}"/>
            </a:ext>
          </a:extLst>
        </xdr:cNvPr>
        <xdr:cNvCxnSpPr/>
      </xdr:nvCxnSpPr>
      <xdr:spPr>
        <a:xfrm>
          <a:off x="11324166" y="105568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603</xdr:row>
      <xdr:rowOff>31750</xdr:rowOff>
    </xdr:from>
    <xdr:to>
      <xdr:col>16</xdr:col>
      <xdr:colOff>21167</xdr:colOff>
      <xdr:row>610</xdr:row>
      <xdr:rowOff>95250</xdr:rowOff>
    </xdr:to>
    <xdr:cxnSp macro="">
      <xdr:nvCxnSpPr>
        <xdr:cNvPr id="2941" name="Straight Arrow Connector 2940">
          <a:extLst>
            <a:ext uri="{FF2B5EF4-FFF2-40B4-BE49-F238E27FC236}">
              <a16:creationId xmlns:a16="http://schemas.microsoft.com/office/drawing/2014/main" id="{00000000-0008-0000-1300-00007D0B0000}"/>
            </a:ext>
          </a:extLst>
        </xdr:cNvPr>
        <xdr:cNvCxnSpPr/>
      </xdr:nvCxnSpPr>
      <xdr:spPr>
        <a:xfrm>
          <a:off x="11324166" y="105568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590</xdr:row>
      <xdr:rowOff>31750</xdr:rowOff>
    </xdr:from>
    <xdr:to>
      <xdr:col>16</xdr:col>
      <xdr:colOff>42334</xdr:colOff>
      <xdr:row>597</xdr:row>
      <xdr:rowOff>63501</xdr:rowOff>
    </xdr:to>
    <xdr:cxnSp macro="">
      <xdr:nvCxnSpPr>
        <xdr:cNvPr id="2942" name="Straight Arrow Connector 2941">
          <a:extLst>
            <a:ext uri="{FF2B5EF4-FFF2-40B4-BE49-F238E27FC236}">
              <a16:creationId xmlns:a16="http://schemas.microsoft.com/office/drawing/2014/main" id="{00000000-0008-0000-1300-00007E0B0000}"/>
            </a:ext>
          </a:extLst>
        </xdr:cNvPr>
        <xdr:cNvCxnSpPr/>
      </xdr:nvCxnSpPr>
      <xdr:spPr>
        <a:xfrm>
          <a:off x="11281833" y="102901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603</xdr:row>
      <xdr:rowOff>31750</xdr:rowOff>
    </xdr:from>
    <xdr:to>
      <xdr:col>16</xdr:col>
      <xdr:colOff>21167</xdr:colOff>
      <xdr:row>610</xdr:row>
      <xdr:rowOff>95250</xdr:rowOff>
    </xdr:to>
    <xdr:cxnSp macro="">
      <xdr:nvCxnSpPr>
        <xdr:cNvPr id="2943" name="Straight Arrow Connector 2942">
          <a:extLst>
            <a:ext uri="{FF2B5EF4-FFF2-40B4-BE49-F238E27FC236}">
              <a16:creationId xmlns:a16="http://schemas.microsoft.com/office/drawing/2014/main" id="{00000000-0008-0000-1300-00007F0B0000}"/>
            </a:ext>
          </a:extLst>
        </xdr:cNvPr>
        <xdr:cNvCxnSpPr/>
      </xdr:nvCxnSpPr>
      <xdr:spPr>
        <a:xfrm>
          <a:off x="11324166" y="105568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590</xdr:row>
      <xdr:rowOff>31750</xdr:rowOff>
    </xdr:from>
    <xdr:to>
      <xdr:col>16</xdr:col>
      <xdr:colOff>42334</xdr:colOff>
      <xdr:row>597</xdr:row>
      <xdr:rowOff>63501</xdr:rowOff>
    </xdr:to>
    <xdr:cxnSp macro="">
      <xdr:nvCxnSpPr>
        <xdr:cNvPr id="2944" name="Straight Arrow Connector 2943">
          <a:extLst>
            <a:ext uri="{FF2B5EF4-FFF2-40B4-BE49-F238E27FC236}">
              <a16:creationId xmlns:a16="http://schemas.microsoft.com/office/drawing/2014/main" id="{00000000-0008-0000-1300-0000800B0000}"/>
            </a:ext>
          </a:extLst>
        </xdr:cNvPr>
        <xdr:cNvCxnSpPr/>
      </xdr:nvCxnSpPr>
      <xdr:spPr>
        <a:xfrm>
          <a:off x="11281833" y="102901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603</xdr:row>
      <xdr:rowOff>31750</xdr:rowOff>
    </xdr:from>
    <xdr:to>
      <xdr:col>16</xdr:col>
      <xdr:colOff>21167</xdr:colOff>
      <xdr:row>610</xdr:row>
      <xdr:rowOff>95250</xdr:rowOff>
    </xdr:to>
    <xdr:cxnSp macro="">
      <xdr:nvCxnSpPr>
        <xdr:cNvPr id="2945" name="Straight Arrow Connector 2944">
          <a:extLst>
            <a:ext uri="{FF2B5EF4-FFF2-40B4-BE49-F238E27FC236}">
              <a16:creationId xmlns:a16="http://schemas.microsoft.com/office/drawing/2014/main" id="{00000000-0008-0000-1300-0000810B0000}"/>
            </a:ext>
          </a:extLst>
        </xdr:cNvPr>
        <xdr:cNvCxnSpPr/>
      </xdr:nvCxnSpPr>
      <xdr:spPr>
        <a:xfrm>
          <a:off x="11324166" y="105568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590</xdr:row>
      <xdr:rowOff>31750</xdr:rowOff>
    </xdr:from>
    <xdr:to>
      <xdr:col>16</xdr:col>
      <xdr:colOff>42334</xdr:colOff>
      <xdr:row>597</xdr:row>
      <xdr:rowOff>63501</xdr:rowOff>
    </xdr:to>
    <xdr:cxnSp macro="">
      <xdr:nvCxnSpPr>
        <xdr:cNvPr id="2946" name="Straight Arrow Connector 2945">
          <a:extLst>
            <a:ext uri="{FF2B5EF4-FFF2-40B4-BE49-F238E27FC236}">
              <a16:creationId xmlns:a16="http://schemas.microsoft.com/office/drawing/2014/main" id="{00000000-0008-0000-1300-0000820B0000}"/>
            </a:ext>
          </a:extLst>
        </xdr:cNvPr>
        <xdr:cNvCxnSpPr/>
      </xdr:nvCxnSpPr>
      <xdr:spPr>
        <a:xfrm>
          <a:off x="11281833" y="102901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603</xdr:row>
      <xdr:rowOff>31750</xdr:rowOff>
    </xdr:from>
    <xdr:to>
      <xdr:col>16</xdr:col>
      <xdr:colOff>21167</xdr:colOff>
      <xdr:row>610</xdr:row>
      <xdr:rowOff>95250</xdr:rowOff>
    </xdr:to>
    <xdr:cxnSp macro="">
      <xdr:nvCxnSpPr>
        <xdr:cNvPr id="2947" name="Straight Arrow Connector 2946">
          <a:extLst>
            <a:ext uri="{FF2B5EF4-FFF2-40B4-BE49-F238E27FC236}">
              <a16:creationId xmlns:a16="http://schemas.microsoft.com/office/drawing/2014/main" id="{00000000-0008-0000-1300-0000830B0000}"/>
            </a:ext>
          </a:extLst>
        </xdr:cNvPr>
        <xdr:cNvCxnSpPr/>
      </xdr:nvCxnSpPr>
      <xdr:spPr>
        <a:xfrm>
          <a:off x="11324166" y="105568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616</xdr:row>
      <xdr:rowOff>31750</xdr:rowOff>
    </xdr:from>
    <xdr:to>
      <xdr:col>16</xdr:col>
      <xdr:colOff>42334</xdr:colOff>
      <xdr:row>623</xdr:row>
      <xdr:rowOff>63501</xdr:rowOff>
    </xdr:to>
    <xdr:cxnSp macro="">
      <xdr:nvCxnSpPr>
        <xdr:cNvPr id="2948" name="Straight Arrow Connector 2947">
          <a:extLst>
            <a:ext uri="{FF2B5EF4-FFF2-40B4-BE49-F238E27FC236}">
              <a16:creationId xmlns:a16="http://schemas.microsoft.com/office/drawing/2014/main" id="{00000000-0008-0000-1300-0000840B0000}"/>
            </a:ext>
          </a:extLst>
        </xdr:cNvPr>
        <xdr:cNvCxnSpPr/>
      </xdr:nvCxnSpPr>
      <xdr:spPr>
        <a:xfrm>
          <a:off x="11281833" y="108045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616</xdr:row>
      <xdr:rowOff>31750</xdr:rowOff>
    </xdr:from>
    <xdr:to>
      <xdr:col>16</xdr:col>
      <xdr:colOff>42334</xdr:colOff>
      <xdr:row>623</xdr:row>
      <xdr:rowOff>63501</xdr:rowOff>
    </xdr:to>
    <xdr:cxnSp macro="">
      <xdr:nvCxnSpPr>
        <xdr:cNvPr id="2949" name="Straight Arrow Connector 2948">
          <a:extLst>
            <a:ext uri="{FF2B5EF4-FFF2-40B4-BE49-F238E27FC236}">
              <a16:creationId xmlns:a16="http://schemas.microsoft.com/office/drawing/2014/main" id="{00000000-0008-0000-1300-0000850B0000}"/>
            </a:ext>
          </a:extLst>
        </xdr:cNvPr>
        <xdr:cNvCxnSpPr/>
      </xdr:nvCxnSpPr>
      <xdr:spPr>
        <a:xfrm>
          <a:off x="11281833" y="108045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646</xdr:row>
      <xdr:rowOff>31750</xdr:rowOff>
    </xdr:from>
    <xdr:to>
      <xdr:col>16</xdr:col>
      <xdr:colOff>42334</xdr:colOff>
      <xdr:row>653</xdr:row>
      <xdr:rowOff>63501</xdr:rowOff>
    </xdr:to>
    <xdr:cxnSp macro="">
      <xdr:nvCxnSpPr>
        <xdr:cNvPr id="2950" name="Straight Arrow Connector 2949">
          <a:extLst>
            <a:ext uri="{FF2B5EF4-FFF2-40B4-BE49-F238E27FC236}">
              <a16:creationId xmlns:a16="http://schemas.microsoft.com/office/drawing/2014/main" id="{00000000-0008-0000-1300-0000860B0000}"/>
            </a:ext>
          </a:extLst>
        </xdr:cNvPr>
        <xdr:cNvCxnSpPr/>
      </xdr:nvCxnSpPr>
      <xdr:spPr>
        <a:xfrm>
          <a:off x="11281833" y="113760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659</xdr:row>
      <xdr:rowOff>31750</xdr:rowOff>
    </xdr:from>
    <xdr:to>
      <xdr:col>16</xdr:col>
      <xdr:colOff>21167</xdr:colOff>
      <xdr:row>666</xdr:row>
      <xdr:rowOff>95250</xdr:rowOff>
    </xdr:to>
    <xdr:cxnSp macro="">
      <xdr:nvCxnSpPr>
        <xdr:cNvPr id="2951" name="Straight Arrow Connector 2950">
          <a:extLst>
            <a:ext uri="{FF2B5EF4-FFF2-40B4-BE49-F238E27FC236}">
              <a16:creationId xmlns:a16="http://schemas.microsoft.com/office/drawing/2014/main" id="{00000000-0008-0000-1300-0000870B0000}"/>
            </a:ext>
          </a:extLst>
        </xdr:cNvPr>
        <xdr:cNvCxnSpPr/>
      </xdr:nvCxnSpPr>
      <xdr:spPr>
        <a:xfrm>
          <a:off x="11324166" y="116427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646</xdr:row>
      <xdr:rowOff>31750</xdr:rowOff>
    </xdr:from>
    <xdr:to>
      <xdr:col>16</xdr:col>
      <xdr:colOff>42334</xdr:colOff>
      <xdr:row>653</xdr:row>
      <xdr:rowOff>63501</xdr:rowOff>
    </xdr:to>
    <xdr:cxnSp macro="">
      <xdr:nvCxnSpPr>
        <xdr:cNvPr id="2952" name="Straight Arrow Connector 2951">
          <a:extLst>
            <a:ext uri="{FF2B5EF4-FFF2-40B4-BE49-F238E27FC236}">
              <a16:creationId xmlns:a16="http://schemas.microsoft.com/office/drawing/2014/main" id="{00000000-0008-0000-1300-0000880B0000}"/>
            </a:ext>
          </a:extLst>
        </xdr:cNvPr>
        <xdr:cNvCxnSpPr/>
      </xdr:nvCxnSpPr>
      <xdr:spPr>
        <a:xfrm>
          <a:off x="11281833" y="113760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659</xdr:row>
      <xdr:rowOff>31750</xdr:rowOff>
    </xdr:from>
    <xdr:to>
      <xdr:col>16</xdr:col>
      <xdr:colOff>21167</xdr:colOff>
      <xdr:row>666</xdr:row>
      <xdr:rowOff>95250</xdr:rowOff>
    </xdr:to>
    <xdr:cxnSp macro="">
      <xdr:nvCxnSpPr>
        <xdr:cNvPr id="2953" name="Straight Arrow Connector 2952">
          <a:extLst>
            <a:ext uri="{FF2B5EF4-FFF2-40B4-BE49-F238E27FC236}">
              <a16:creationId xmlns:a16="http://schemas.microsoft.com/office/drawing/2014/main" id="{00000000-0008-0000-1300-0000890B0000}"/>
            </a:ext>
          </a:extLst>
        </xdr:cNvPr>
        <xdr:cNvCxnSpPr/>
      </xdr:nvCxnSpPr>
      <xdr:spPr>
        <a:xfrm>
          <a:off x="11324166" y="116427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646</xdr:row>
      <xdr:rowOff>31750</xdr:rowOff>
    </xdr:from>
    <xdr:to>
      <xdr:col>16</xdr:col>
      <xdr:colOff>42334</xdr:colOff>
      <xdr:row>653</xdr:row>
      <xdr:rowOff>63501</xdr:rowOff>
    </xdr:to>
    <xdr:cxnSp macro="">
      <xdr:nvCxnSpPr>
        <xdr:cNvPr id="2954" name="Straight Arrow Connector 2953">
          <a:extLst>
            <a:ext uri="{FF2B5EF4-FFF2-40B4-BE49-F238E27FC236}">
              <a16:creationId xmlns:a16="http://schemas.microsoft.com/office/drawing/2014/main" id="{00000000-0008-0000-1300-00008A0B0000}"/>
            </a:ext>
          </a:extLst>
        </xdr:cNvPr>
        <xdr:cNvCxnSpPr/>
      </xdr:nvCxnSpPr>
      <xdr:spPr>
        <a:xfrm>
          <a:off x="11281833" y="113760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659</xdr:row>
      <xdr:rowOff>31750</xdr:rowOff>
    </xdr:from>
    <xdr:to>
      <xdr:col>16</xdr:col>
      <xdr:colOff>21167</xdr:colOff>
      <xdr:row>666</xdr:row>
      <xdr:rowOff>95250</xdr:rowOff>
    </xdr:to>
    <xdr:cxnSp macro="">
      <xdr:nvCxnSpPr>
        <xdr:cNvPr id="2955" name="Straight Arrow Connector 2954">
          <a:extLst>
            <a:ext uri="{FF2B5EF4-FFF2-40B4-BE49-F238E27FC236}">
              <a16:creationId xmlns:a16="http://schemas.microsoft.com/office/drawing/2014/main" id="{00000000-0008-0000-1300-00008B0B0000}"/>
            </a:ext>
          </a:extLst>
        </xdr:cNvPr>
        <xdr:cNvCxnSpPr/>
      </xdr:nvCxnSpPr>
      <xdr:spPr>
        <a:xfrm>
          <a:off x="11324166" y="116427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659</xdr:row>
      <xdr:rowOff>31750</xdr:rowOff>
    </xdr:from>
    <xdr:to>
      <xdr:col>16</xdr:col>
      <xdr:colOff>21167</xdr:colOff>
      <xdr:row>666</xdr:row>
      <xdr:rowOff>95250</xdr:rowOff>
    </xdr:to>
    <xdr:cxnSp macro="">
      <xdr:nvCxnSpPr>
        <xdr:cNvPr id="2956" name="Straight Arrow Connector 2955">
          <a:extLst>
            <a:ext uri="{FF2B5EF4-FFF2-40B4-BE49-F238E27FC236}">
              <a16:creationId xmlns:a16="http://schemas.microsoft.com/office/drawing/2014/main" id="{00000000-0008-0000-1300-00008C0B0000}"/>
            </a:ext>
          </a:extLst>
        </xdr:cNvPr>
        <xdr:cNvCxnSpPr/>
      </xdr:nvCxnSpPr>
      <xdr:spPr>
        <a:xfrm>
          <a:off x="11324166" y="116427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659</xdr:row>
      <xdr:rowOff>31750</xdr:rowOff>
    </xdr:from>
    <xdr:to>
      <xdr:col>16</xdr:col>
      <xdr:colOff>21167</xdr:colOff>
      <xdr:row>666</xdr:row>
      <xdr:rowOff>95250</xdr:rowOff>
    </xdr:to>
    <xdr:cxnSp macro="">
      <xdr:nvCxnSpPr>
        <xdr:cNvPr id="2957" name="Straight Arrow Connector 2956">
          <a:extLst>
            <a:ext uri="{FF2B5EF4-FFF2-40B4-BE49-F238E27FC236}">
              <a16:creationId xmlns:a16="http://schemas.microsoft.com/office/drawing/2014/main" id="{00000000-0008-0000-1300-00008D0B0000}"/>
            </a:ext>
          </a:extLst>
        </xdr:cNvPr>
        <xdr:cNvCxnSpPr/>
      </xdr:nvCxnSpPr>
      <xdr:spPr>
        <a:xfrm>
          <a:off x="11324166" y="116427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646</xdr:row>
      <xdr:rowOff>31750</xdr:rowOff>
    </xdr:from>
    <xdr:to>
      <xdr:col>16</xdr:col>
      <xdr:colOff>42334</xdr:colOff>
      <xdr:row>653</xdr:row>
      <xdr:rowOff>63501</xdr:rowOff>
    </xdr:to>
    <xdr:cxnSp macro="">
      <xdr:nvCxnSpPr>
        <xdr:cNvPr id="2958" name="Straight Arrow Connector 2957">
          <a:extLst>
            <a:ext uri="{FF2B5EF4-FFF2-40B4-BE49-F238E27FC236}">
              <a16:creationId xmlns:a16="http://schemas.microsoft.com/office/drawing/2014/main" id="{00000000-0008-0000-1300-00008E0B0000}"/>
            </a:ext>
          </a:extLst>
        </xdr:cNvPr>
        <xdr:cNvCxnSpPr/>
      </xdr:nvCxnSpPr>
      <xdr:spPr>
        <a:xfrm>
          <a:off x="11281833" y="113760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659</xdr:row>
      <xdr:rowOff>31750</xdr:rowOff>
    </xdr:from>
    <xdr:to>
      <xdr:col>16</xdr:col>
      <xdr:colOff>21167</xdr:colOff>
      <xdr:row>666</xdr:row>
      <xdr:rowOff>95250</xdr:rowOff>
    </xdr:to>
    <xdr:cxnSp macro="">
      <xdr:nvCxnSpPr>
        <xdr:cNvPr id="2959" name="Straight Arrow Connector 2958">
          <a:extLst>
            <a:ext uri="{FF2B5EF4-FFF2-40B4-BE49-F238E27FC236}">
              <a16:creationId xmlns:a16="http://schemas.microsoft.com/office/drawing/2014/main" id="{00000000-0008-0000-1300-00008F0B0000}"/>
            </a:ext>
          </a:extLst>
        </xdr:cNvPr>
        <xdr:cNvCxnSpPr/>
      </xdr:nvCxnSpPr>
      <xdr:spPr>
        <a:xfrm>
          <a:off x="11324166" y="116427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646</xdr:row>
      <xdr:rowOff>31750</xdr:rowOff>
    </xdr:from>
    <xdr:to>
      <xdr:col>16</xdr:col>
      <xdr:colOff>42334</xdr:colOff>
      <xdr:row>653</xdr:row>
      <xdr:rowOff>63501</xdr:rowOff>
    </xdr:to>
    <xdr:cxnSp macro="">
      <xdr:nvCxnSpPr>
        <xdr:cNvPr id="2960" name="Straight Arrow Connector 2959">
          <a:extLst>
            <a:ext uri="{FF2B5EF4-FFF2-40B4-BE49-F238E27FC236}">
              <a16:creationId xmlns:a16="http://schemas.microsoft.com/office/drawing/2014/main" id="{00000000-0008-0000-1300-0000900B0000}"/>
            </a:ext>
          </a:extLst>
        </xdr:cNvPr>
        <xdr:cNvCxnSpPr/>
      </xdr:nvCxnSpPr>
      <xdr:spPr>
        <a:xfrm>
          <a:off x="11281833" y="113760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659</xdr:row>
      <xdr:rowOff>31750</xdr:rowOff>
    </xdr:from>
    <xdr:to>
      <xdr:col>16</xdr:col>
      <xdr:colOff>21167</xdr:colOff>
      <xdr:row>666</xdr:row>
      <xdr:rowOff>95250</xdr:rowOff>
    </xdr:to>
    <xdr:cxnSp macro="">
      <xdr:nvCxnSpPr>
        <xdr:cNvPr id="2961" name="Straight Arrow Connector 2960">
          <a:extLst>
            <a:ext uri="{FF2B5EF4-FFF2-40B4-BE49-F238E27FC236}">
              <a16:creationId xmlns:a16="http://schemas.microsoft.com/office/drawing/2014/main" id="{00000000-0008-0000-1300-0000910B0000}"/>
            </a:ext>
          </a:extLst>
        </xdr:cNvPr>
        <xdr:cNvCxnSpPr/>
      </xdr:nvCxnSpPr>
      <xdr:spPr>
        <a:xfrm>
          <a:off x="11324166" y="116427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646</xdr:row>
      <xdr:rowOff>31750</xdr:rowOff>
    </xdr:from>
    <xdr:to>
      <xdr:col>16</xdr:col>
      <xdr:colOff>42334</xdr:colOff>
      <xdr:row>653</xdr:row>
      <xdr:rowOff>63501</xdr:rowOff>
    </xdr:to>
    <xdr:cxnSp macro="">
      <xdr:nvCxnSpPr>
        <xdr:cNvPr id="2962" name="Straight Arrow Connector 2961">
          <a:extLst>
            <a:ext uri="{FF2B5EF4-FFF2-40B4-BE49-F238E27FC236}">
              <a16:creationId xmlns:a16="http://schemas.microsoft.com/office/drawing/2014/main" id="{00000000-0008-0000-1300-0000920B0000}"/>
            </a:ext>
          </a:extLst>
        </xdr:cNvPr>
        <xdr:cNvCxnSpPr/>
      </xdr:nvCxnSpPr>
      <xdr:spPr>
        <a:xfrm>
          <a:off x="11281833" y="113760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659</xdr:row>
      <xdr:rowOff>31750</xdr:rowOff>
    </xdr:from>
    <xdr:to>
      <xdr:col>16</xdr:col>
      <xdr:colOff>21167</xdr:colOff>
      <xdr:row>666</xdr:row>
      <xdr:rowOff>95250</xdr:rowOff>
    </xdr:to>
    <xdr:cxnSp macro="">
      <xdr:nvCxnSpPr>
        <xdr:cNvPr id="2963" name="Straight Arrow Connector 2962">
          <a:extLst>
            <a:ext uri="{FF2B5EF4-FFF2-40B4-BE49-F238E27FC236}">
              <a16:creationId xmlns:a16="http://schemas.microsoft.com/office/drawing/2014/main" id="{00000000-0008-0000-1300-0000930B0000}"/>
            </a:ext>
          </a:extLst>
        </xdr:cNvPr>
        <xdr:cNvCxnSpPr/>
      </xdr:nvCxnSpPr>
      <xdr:spPr>
        <a:xfrm>
          <a:off x="11324166" y="116427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672</xdr:row>
      <xdr:rowOff>31750</xdr:rowOff>
    </xdr:from>
    <xdr:to>
      <xdr:col>16</xdr:col>
      <xdr:colOff>42334</xdr:colOff>
      <xdr:row>679</xdr:row>
      <xdr:rowOff>63501</xdr:rowOff>
    </xdr:to>
    <xdr:cxnSp macro="">
      <xdr:nvCxnSpPr>
        <xdr:cNvPr id="2964" name="Straight Arrow Connector 2963">
          <a:extLst>
            <a:ext uri="{FF2B5EF4-FFF2-40B4-BE49-F238E27FC236}">
              <a16:creationId xmlns:a16="http://schemas.microsoft.com/office/drawing/2014/main" id="{00000000-0008-0000-1300-0000940B0000}"/>
            </a:ext>
          </a:extLst>
        </xdr:cNvPr>
        <xdr:cNvCxnSpPr/>
      </xdr:nvCxnSpPr>
      <xdr:spPr>
        <a:xfrm>
          <a:off x="11281833" y="11890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672</xdr:row>
      <xdr:rowOff>31750</xdr:rowOff>
    </xdr:from>
    <xdr:to>
      <xdr:col>16</xdr:col>
      <xdr:colOff>42334</xdr:colOff>
      <xdr:row>679</xdr:row>
      <xdr:rowOff>63501</xdr:rowOff>
    </xdr:to>
    <xdr:cxnSp macro="">
      <xdr:nvCxnSpPr>
        <xdr:cNvPr id="2965" name="Straight Arrow Connector 2964">
          <a:extLst>
            <a:ext uri="{FF2B5EF4-FFF2-40B4-BE49-F238E27FC236}">
              <a16:creationId xmlns:a16="http://schemas.microsoft.com/office/drawing/2014/main" id="{00000000-0008-0000-1300-0000950B0000}"/>
            </a:ext>
          </a:extLst>
        </xdr:cNvPr>
        <xdr:cNvCxnSpPr/>
      </xdr:nvCxnSpPr>
      <xdr:spPr>
        <a:xfrm>
          <a:off x="11281833" y="11890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715</xdr:row>
      <xdr:rowOff>31750</xdr:rowOff>
    </xdr:from>
    <xdr:to>
      <xdr:col>16</xdr:col>
      <xdr:colOff>21167</xdr:colOff>
      <xdr:row>722</xdr:row>
      <xdr:rowOff>95250</xdr:rowOff>
    </xdr:to>
    <xdr:cxnSp macro="">
      <xdr:nvCxnSpPr>
        <xdr:cNvPr id="2966" name="Straight Arrow Connector 2965">
          <a:extLst>
            <a:ext uri="{FF2B5EF4-FFF2-40B4-BE49-F238E27FC236}">
              <a16:creationId xmlns:a16="http://schemas.microsoft.com/office/drawing/2014/main" id="{00000000-0008-0000-1300-0000960B0000}"/>
            </a:ext>
          </a:extLst>
        </xdr:cNvPr>
        <xdr:cNvCxnSpPr/>
      </xdr:nvCxnSpPr>
      <xdr:spPr>
        <a:xfrm>
          <a:off x="11324166" y="127285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715</xdr:row>
      <xdr:rowOff>31750</xdr:rowOff>
    </xdr:from>
    <xdr:to>
      <xdr:col>16</xdr:col>
      <xdr:colOff>21167</xdr:colOff>
      <xdr:row>722</xdr:row>
      <xdr:rowOff>95250</xdr:rowOff>
    </xdr:to>
    <xdr:cxnSp macro="">
      <xdr:nvCxnSpPr>
        <xdr:cNvPr id="2967" name="Straight Arrow Connector 2966">
          <a:extLst>
            <a:ext uri="{FF2B5EF4-FFF2-40B4-BE49-F238E27FC236}">
              <a16:creationId xmlns:a16="http://schemas.microsoft.com/office/drawing/2014/main" id="{00000000-0008-0000-1300-0000970B0000}"/>
            </a:ext>
          </a:extLst>
        </xdr:cNvPr>
        <xdr:cNvCxnSpPr/>
      </xdr:nvCxnSpPr>
      <xdr:spPr>
        <a:xfrm>
          <a:off x="11324166" y="127285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715</xdr:row>
      <xdr:rowOff>31750</xdr:rowOff>
    </xdr:from>
    <xdr:to>
      <xdr:col>16</xdr:col>
      <xdr:colOff>21167</xdr:colOff>
      <xdr:row>722</xdr:row>
      <xdr:rowOff>95250</xdr:rowOff>
    </xdr:to>
    <xdr:cxnSp macro="">
      <xdr:nvCxnSpPr>
        <xdr:cNvPr id="2968" name="Straight Arrow Connector 2967">
          <a:extLst>
            <a:ext uri="{FF2B5EF4-FFF2-40B4-BE49-F238E27FC236}">
              <a16:creationId xmlns:a16="http://schemas.microsoft.com/office/drawing/2014/main" id="{00000000-0008-0000-1300-0000980B0000}"/>
            </a:ext>
          </a:extLst>
        </xdr:cNvPr>
        <xdr:cNvCxnSpPr/>
      </xdr:nvCxnSpPr>
      <xdr:spPr>
        <a:xfrm>
          <a:off x="11324166" y="127285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702</xdr:row>
      <xdr:rowOff>31750</xdr:rowOff>
    </xdr:from>
    <xdr:to>
      <xdr:col>16</xdr:col>
      <xdr:colOff>42334</xdr:colOff>
      <xdr:row>709</xdr:row>
      <xdr:rowOff>63501</xdr:rowOff>
    </xdr:to>
    <xdr:cxnSp macro="">
      <xdr:nvCxnSpPr>
        <xdr:cNvPr id="2969" name="Straight Arrow Connector 2968">
          <a:extLst>
            <a:ext uri="{FF2B5EF4-FFF2-40B4-BE49-F238E27FC236}">
              <a16:creationId xmlns:a16="http://schemas.microsoft.com/office/drawing/2014/main" id="{00000000-0008-0000-1300-0000990B0000}"/>
            </a:ext>
          </a:extLst>
        </xdr:cNvPr>
        <xdr:cNvCxnSpPr/>
      </xdr:nvCxnSpPr>
      <xdr:spPr>
        <a:xfrm>
          <a:off x="11281833" y="124618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715</xdr:row>
      <xdr:rowOff>31750</xdr:rowOff>
    </xdr:from>
    <xdr:to>
      <xdr:col>16</xdr:col>
      <xdr:colOff>21167</xdr:colOff>
      <xdr:row>722</xdr:row>
      <xdr:rowOff>95250</xdr:rowOff>
    </xdr:to>
    <xdr:cxnSp macro="">
      <xdr:nvCxnSpPr>
        <xdr:cNvPr id="2970" name="Straight Arrow Connector 2969">
          <a:extLst>
            <a:ext uri="{FF2B5EF4-FFF2-40B4-BE49-F238E27FC236}">
              <a16:creationId xmlns:a16="http://schemas.microsoft.com/office/drawing/2014/main" id="{00000000-0008-0000-1300-00009A0B0000}"/>
            </a:ext>
          </a:extLst>
        </xdr:cNvPr>
        <xdr:cNvCxnSpPr/>
      </xdr:nvCxnSpPr>
      <xdr:spPr>
        <a:xfrm>
          <a:off x="11324166" y="127285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702</xdr:row>
      <xdr:rowOff>31750</xdr:rowOff>
    </xdr:from>
    <xdr:to>
      <xdr:col>16</xdr:col>
      <xdr:colOff>42334</xdr:colOff>
      <xdr:row>709</xdr:row>
      <xdr:rowOff>63501</xdr:rowOff>
    </xdr:to>
    <xdr:cxnSp macro="">
      <xdr:nvCxnSpPr>
        <xdr:cNvPr id="2971" name="Straight Arrow Connector 2970">
          <a:extLst>
            <a:ext uri="{FF2B5EF4-FFF2-40B4-BE49-F238E27FC236}">
              <a16:creationId xmlns:a16="http://schemas.microsoft.com/office/drawing/2014/main" id="{00000000-0008-0000-1300-00009B0B0000}"/>
            </a:ext>
          </a:extLst>
        </xdr:cNvPr>
        <xdr:cNvCxnSpPr/>
      </xdr:nvCxnSpPr>
      <xdr:spPr>
        <a:xfrm>
          <a:off x="11281833" y="124618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715</xdr:row>
      <xdr:rowOff>31750</xdr:rowOff>
    </xdr:from>
    <xdr:to>
      <xdr:col>16</xdr:col>
      <xdr:colOff>21167</xdr:colOff>
      <xdr:row>722</xdr:row>
      <xdr:rowOff>95250</xdr:rowOff>
    </xdr:to>
    <xdr:cxnSp macro="">
      <xdr:nvCxnSpPr>
        <xdr:cNvPr id="2972" name="Straight Arrow Connector 2971">
          <a:extLst>
            <a:ext uri="{FF2B5EF4-FFF2-40B4-BE49-F238E27FC236}">
              <a16:creationId xmlns:a16="http://schemas.microsoft.com/office/drawing/2014/main" id="{00000000-0008-0000-1300-00009C0B0000}"/>
            </a:ext>
          </a:extLst>
        </xdr:cNvPr>
        <xdr:cNvCxnSpPr/>
      </xdr:nvCxnSpPr>
      <xdr:spPr>
        <a:xfrm>
          <a:off x="11324166" y="127285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702</xdr:row>
      <xdr:rowOff>31750</xdr:rowOff>
    </xdr:from>
    <xdr:to>
      <xdr:col>16</xdr:col>
      <xdr:colOff>42334</xdr:colOff>
      <xdr:row>709</xdr:row>
      <xdr:rowOff>63501</xdr:rowOff>
    </xdr:to>
    <xdr:cxnSp macro="">
      <xdr:nvCxnSpPr>
        <xdr:cNvPr id="2973" name="Straight Arrow Connector 2972">
          <a:extLst>
            <a:ext uri="{FF2B5EF4-FFF2-40B4-BE49-F238E27FC236}">
              <a16:creationId xmlns:a16="http://schemas.microsoft.com/office/drawing/2014/main" id="{00000000-0008-0000-1300-00009D0B0000}"/>
            </a:ext>
          </a:extLst>
        </xdr:cNvPr>
        <xdr:cNvCxnSpPr/>
      </xdr:nvCxnSpPr>
      <xdr:spPr>
        <a:xfrm>
          <a:off x="11281833" y="124618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715</xdr:row>
      <xdr:rowOff>31750</xdr:rowOff>
    </xdr:from>
    <xdr:to>
      <xdr:col>16</xdr:col>
      <xdr:colOff>21167</xdr:colOff>
      <xdr:row>722</xdr:row>
      <xdr:rowOff>95250</xdr:rowOff>
    </xdr:to>
    <xdr:cxnSp macro="">
      <xdr:nvCxnSpPr>
        <xdr:cNvPr id="2974" name="Straight Arrow Connector 2973">
          <a:extLst>
            <a:ext uri="{FF2B5EF4-FFF2-40B4-BE49-F238E27FC236}">
              <a16:creationId xmlns:a16="http://schemas.microsoft.com/office/drawing/2014/main" id="{00000000-0008-0000-1300-00009E0B0000}"/>
            </a:ext>
          </a:extLst>
        </xdr:cNvPr>
        <xdr:cNvCxnSpPr/>
      </xdr:nvCxnSpPr>
      <xdr:spPr>
        <a:xfrm>
          <a:off x="11324166" y="127285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702</xdr:row>
      <xdr:rowOff>31750</xdr:rowOff>
    </xdr:from>
    <xdr:to>
      <xdr:col>16</xdr:col>
      <xdr:colOff>42334</xdr:colOff>
      <xdr:row>709</xdr:row>
      <xdr:rowOff>63501</xdr:rowOff>
    </xdr:to>
    <xdr:cxnSp macro="">
      <xdr:nvCxnSpPr>
        <xdr:cNvPr id="2975" name="Straight Arrow Connector 2974">
          <a:extLst>
            <a:ext uri="{FF2B5EF4-FFF2-40B4-BE49-F238E27FC236}">
              <a16:creationId xmlns:a16="http://schemas.microsoft.com/office/drawing/2014/main" id="{00000000-0008-0000-1300-00009F0B0000}"/>
            </a:ext>
          </a:extLst>
        </xdr:cNvPr>
        <xdr:cNvCxnSpPr/>
      </xdr:nvCxnSpPr>
      <xdr:spPr>
        <a:xfrm>
          <a:off x="11281833" y="124618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715</xdr:row>
      <xdr:rowOff>31750</xdr:rowOff>
    </xdr:from>
    <xdr:to>
      <xdr:col>16</xdr:col>
      <xdr:colOff>21167</xdr:colOff>
      <xdr:row>722</xdr:row>
      <xdr:rowOff>95250</xdr:rowOff>
    </xdr:to>
    <xdr:cxnSp macro="">
      <xdr:nvCxnSpPr>
        <xdr:cNvPr id="2976" name="Straight Arrow Connector 2975">
          <a:extLst>
            <a:ext uri="{FF2B5EF4-FFF2-40B4-BE49-F238E27FC236}">
              <a16:creationId xmlns:a16="http://schemas.microsoft.com/office/drawing/2014/main" id="{00000000-0008-0000-1300-0000A00B0000}"/>
            </a:ext>
          </a:extLst>
        </xdr:cNvPr>
        <xdr:cNvCxnSpPr/>
      </xdr:nvCxnSpPr>
      <xdr:spPr>
        <a:xfrm>
          <a:off x="11324166" y="127285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715</xdr:row>
      <xdr:rowOff>31750</xdr:rowOff>
    </xdr:from>
    <xdr:to>
      <xdr:col>16</xdr:col>
      <xdr:colOff>21167</xdr:colOff>
      <xdr:row>722</xdr:row>
      <xdr:rowOff>95250</xdr:rowOff>
    </xdr:to>
    <xdr:cxnSp macro="">
      <xdr:nvCxnSpPr>
        <xdr:cNvPr id="2977" name="Straight Arrow Connector 2976">
          <a:extLst>
            <a:ext uri="{FF2B5EF4-FFF2-40B4-BE49-F238E27FC236}">
              <a16:creationId xmlns:a16="http://schemas.microsoft.com/office/drawing/2014/main" id="{00000000-0008-0000-1300-0000A10B0000}"/>
            </a:ext>
          </a:extLst>
        </xdr:cNvPr>
        <xdr:cNvCxnSpPr/>
      </xdr:nvCxnSpPr>
      <xdr:spPr>
        <a:xfrm>
          <a:off x="11324166" y="127285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715</xdr:row>
      <xdr:rowOff>31750</xdr:rowOff>
    </xdr:from>
    <xdr:to>
      <xdr:col>16</xdr:col>
      <xdr:colOff>21167</xdr:colOff>
      <xdr:row>722</xdr:row>
      <xdr:rowOff>95250</xdr:rowOff>
    </xdr:to>
    <xdr:cxnSp macro="">
      <xdr:nvCxnSpPr>
        <xdr:cNvPr id="2978" name="Straight Arrow Connector 2977">
          <a:extLst>
            <a:ext uri="{FF2B5EF4-FFF2-40B4-BE49-F238E27FC236}">
              <a16:creationId xmlns:a16="http://schemas.microsoft.com/office/drawing/2014/main" id="{00000000-0008-0000-1300-0000A20B0000}"/>
            </a:ext>
          </a:extLst>
        </xdr:cNvPr>
        <xdr:cNvCxnSpPr/>
      </xdr:nvCxnSpPr>
      <xdr:spPr>
        <a:xfrm>
          <a:off x="11324166" y="127285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702</xdr:row>
      <xdr:rowOff>31750</xdr:rowOff>
    </xdr:from>
    <xdr:to>
      <xdr:col>16</xdr:col>
      <xdr:colOff>42334</xdr:colOff>
      <xdr:row>709</xdr:row>
      <xdr:rowOff>63501</xdr:rowOff>
    </xdr:to>
    <xdr:cxnSp macro="">
      <xdr:nvCxnSpPr>
        <xdr:cNvPr id="2979" name="Straight Arrow Connector 2978">
          <a:extLst>
            <a:ext uri="{FF2B5EF4-FFF2-40B4-BE49-F238E27FC236}">
              <a16:creationId xmlns:a16="http://schemas.microsoft.com/office/drawing/2014/main" id="{00000000-0008-0000-1300-0000A30B0000}"/>
            </a:ext>
          </a:extLst>
        </xdr:cNvPr>
        <xdr:cNvCxnSpPr/>
      </xdr:nvCxnSpPr>
      <xdr:spPr>
        <a:xfrm>
          <a:off x="11281833" y="124618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715</xdr:row>
      <xdr:rowOff>31750</xdr:rowOff>
    </xdr:from>
    <xdr:to>
      <xdr:col>16</xdr:col>
      <xdr:colOff>21167</xdr:colOff>
      <xdr:row>722</xdr:row>
      <xdr:rowOff>95250</xdr:rowOff>
    </xdr:to>
    <xdr:cxnSp macro="">
      <xdr:nvCxnSpPr>
        <xdr:cNvPr id="2980" name="Straight Arrow Connector 2979">
          <a:extLst>
            <a:ext uri="{FF2B5EF4-FFF2-40B4-BE49-F238E27FC236}">
              <a16:creationId xmlns:a16="http://schemas.microsoft.com/office/drawing/2014/main" id="{00000000-0008-0000-1300-0000A40B0000}"/>
            </a:ext>
          </a:extLst>
        </xdr:cNvPr>
        <xdr:cNvCxnSpPr/>
      </xdr:nvCxnSpPr>
      <xdr:spPr>
        <a:xfrm>
          <a:off x="11324166" y="127285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702</xdr:row>
      <xdr:rowOff>31750</xdr:rowOff>
    </xdr:from>
    <xdr:to>
      <xdr:col>16</xdr:col>
      <xdr:colOff>42334</xdr:colOff>
      <xdr:row>709</xdr:row>
      <xdr:rowOff>63501</xdr:rowOff>
    </xdr:to>
    <xdr:cxnSp macro="">
      <xdr:nvCxnSpPr>
        <xdr:cNvPr id="2981" name="Straight Arrow Connector 2980">
          <a:extLst>
            <a:ext uri="{FF2B5EF4-FFF2-40B4-BE49-F238E27FC236}">
              <a16:creationId xmlns:a16="http://schemas.microsoft.com/office/drawing/2014/main" id="{00000000-0008-0000-1300-0000A50B0000}"/>
            </a:ext>
          </a:extLst>
        </xdr:cNvPr>
        <xdr:cNvCxnSpPr/>
      </xdr:nvCxnSpPr>
      <xdr:spPr>
        <a:xfrm>
          <a:off x="11281833" y="124618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715</xdr:row>
      <xdr:rowOff>31750</xdr:rowOff>
    </xdr:from>
    <xdr:to>
      <xdr:col>16</xdr:col>
      <xdr:colOff>21167</xdr:colOff>
      <xdr:row>722</xdr:row>
      <xdr:rowOff>95250</xdr:rowOff>
    </xdr:to>
    <xdr:cxnSp macro="">
      <xdr:nvCxnSpPr>
        <xdr:cNvPr id="2982" name="Straight Arrow Connector 2981">
          <a:extLst>
            <a:ext uri="{FF2B5EF4-FFF2-40B4-BE49-F238E27FC236}">
              <a16:creationId xmlns:a16="http://schemas.microsoft.com/office/drawing/2014/main" id="{00000000-0008-0000-1300-0000A60B0000}"/>
            </a:ext>
          </a:extLst>
        </xdr:cNvPr>
        <xdr:cNvCxnSpPr/>
      </xdr:nvCxnSpPr>
      <xdr:spPr>
        <a:xfrm>
          <a:off x="11324166" y="127285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702</xdr:row>
      <xdr:rowOff>31750</xdr:rowOff>
    </xdr:from>
    <xdr:to>
      <xdr:col>16</xdr:col>
      <xdr:colOff>42334</xdr:colOff>
      <xdr:row>709</xdr:row>
      <xdr:rowOff>63501</xdr:rowOff>
    </xdr:to>
    <xdr:cxnSp macro="">
      <xdr:nvCxnSpPr>
        <xdr:cNvPr id="2983" name="Straight Arrow Connector 2982">
          <a:extLst>
            <a:ext uri="{FF2B5EF4-FFF2-40B4-BE49-F238E27FC236}">
              <a16:creationId xmlns:a16="http://schemas.microsoft.com/office/drawing/2014/main" id="{00000000-0008-0000-1300-0000A70B0000}"/>
            </a:ext>
          </a:extLst>
        </xdr:cNvPr>
        <xdr:cNvCxnSpPr/>
      </xdr:nvCxnSpPr>
      <xdr:spPr>
        <a:xfrm>
          <a:off x="11281833" y="124618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715</xdr:row>
      <xdr:rowOff>31750</xdr:rowOff>
    </xdr:from>
    <xdr:to>
      <xdr:col>16</xdr:col>
      <xdr:colOff>21167</xdr:colOff>
      <xdr:row>722</xdr:row>
      <xdr:rowOff>95250</xdr:rowOff>
    </xdr:to>
    <xdr:cxnSp macro="">
      <xdr:nvCxnSpPr>
        <xdr:cNvPr id="2984" name="Straight Arrow Connector 2983">
          <a:extLst>
            <a:ext uri="{FF2B5EF4-FFF2-40B4-BE49-F238E27FC236}">
              <a16:creationId xmlns:a16="http://schemas.microsoft.com/office/drawing/2014/main" id="{00000000-0008-0000-1300-0000A80B0000}"/>
            </a:ext>
          </a:extLst>
        </xdr:cNvPr>
        <xdr:cNvCxnSpPr/>
      </xdr:nvCxnSpPr>
      <xdr:spPr>
        <a:xfrm>
          <a:off x="11324166" y="127285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728</xdr:row>
      <xdr:rowOff>31750</xdr:rowOff>
    </xdr:from>
    <xdr:to>
      <xdr:col>16</xdr:col>
      <xdr:colOff>42334</xdr:colOff>
      <xdr:row>735</xdr:row>
      <xdr:rowOff>63501</xdr:rowOff>
    </xdr:to>
    <xdr:cxnSp macro="">
      <xdr:nvCxnSpPr>
        <xdr:cNvPr id="2985" name="Straight Arrow Connector 2984">
          <a:extLst>
            <a:ext uri="{FF2B5EF4-FFF2-40B4-BE49-F238E27FC236}">
              <a16:creationId xmlns:a16="http://schemas.microsoft.com/office/drawing/2014/main" id="{00000000-0008-0000-1300-0000A90B0000}"/>
            </a:ext>
          </a:extLst>
        </xdr:cNvPr>
        <xdr:cNvCxnSpPr/>
      </xdr:nvCxnSpPr>
      <xdr:spPr>
        <a:xfrm>
          <a:off x="11281833" y="129762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728</xdr:row>
      <xdr:rowOff>31750</xdr:rowOff>
    </xdr:from>
    <xdr:to>
      <xdr:col>16</xdr:col>
      <xdr:colOff>42334</xdr:colOff>
      <xdr:row>735</xdr:row>
      <xdr:rowOff>63501</xdr:rowOff>
    </xdr:to>
    <xdr:cxnSp macro="">
      <xdr:nvCxnSpPr>
        <xdr:cNvPr id="2986" name="Straight Arrow Connector 2985">
          <a:extLst>
            <a:ext uri="{FF2B5EF4-FFF2-40B4-BE49-F238E27FC236}">
              <a16:creationId xmlns:a16="http://schemas.microsoft.com/office/drawing/2014/main" id="{00000000-0008-0000-1300-0000AA0B0000}"/>
            </a:ext>
          </a:extLst>
        </xdr:cNvPr>
        <xdr:cNvCxnSpPr/>
      </xdr:nvCxnSpPr>
      <xdr:spPr>
        <a:xfrm>
          <a:off x="11281833" y="129762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758</xdr:row>
      <xdr:rowOff>31750</xdr:rowOff>
    </xdr:from>
    <xdr:to>
      <xdr:col>16</xdr:col>
      <xdr:colOff>42334</xdr:colOff>
      <xdr:row>765</xdr:row>
      <xdr:rowOff>63501</xdr:rowOff>
    </xdr:to>
    <xdr:cxnSp macro="">
      <xdr:nvCxnSpPr>
        <xdr:cNvPr id="2987" name="Straight Arrow Connector 2986">
          <a:extLst>
            <a:ext uri="{FF2B5EF4-FFF2-40B4-BE49-F238E27FC236}">
              <a16:creationId xmlns:a16="http://schemas.microsoft.com/office/drawing/2014/main" id="{00000000-0008-0000-1300-0000AB0B0000}"/>
            </a:ext>
          </a:extLst>
        </xdr:cNvPr>
        <xdr:cNvCxnSpPr/>
      </xdr:nvCxnSpPr>
      <xdr:spPr>
        <a:xfrm>
          <a:off x="11281833" y="135477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771</xdr:row>
      <xdr:rowOff>31750</xdr:rowOff>
    </xdr:from>
    <xdr:to>
      <xdr:col>16</xdr:col>
      <xdr:colOff>21167</xdr:colOff>
      <xdr:row>778</xdr:row>
      <xdr:rowOff>95250</xdr:rowOff>
    </xdr:to>
    <xdr:cxnSp macro="">
      <xdr:nvCxnSpPr>
        <xdr:cNvPr id="2988" name="Straight Arrow Connector 2987">
          <a:extLst>
            <a:ext uri="{FF2B5EF4-FFF2-40B4-BE49-F238E27FC236}">
              <a16:creationId xmlns:a16="http://schemas.microsoft.com/office/drawing/2014/main" id="{00000000-0008-0000-1300-0000AC0B0000}"/>
            </a:ext>
          </a:extLst>
        </xdr:cNvPr>
        <xdr:cNvCxnSpPr/>
      </xdr:nvCxnSpPr>
      <xdr:spPr>
        <a:xfrm>
          <a:off x="11324166" y="138144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758</xdr:row>
      <xdr:rowOff>31750</xdr:rowOff>
    </xdr:from>
    <xdr:to>
      <xdr:col>16</xdr:col>
      <xdr:colOff>42334</xdr:colOff>
      <xdr:row>765</xdr:row>
      <xdr:rowOff>63501</xdr:rowOff>
    </xdr:to>
    <xdr:cxnSp macro="">
      <xdr:nvCxnSpPr>
        <xdr:cNvPr id="2989" name="Straight Arrow Connector 2988">
          <a:extLst>
            <a:ext uri="{FF2B5EF4-FFF2-40B4-BE49-F238E27FC236}">
              <a16:creationId xmlns:a16="http://schemas.microsoft.com/office/drawing/2014/main" id="{00000000-0008-0000-1300-0000AD0B0000}"/>
            </a:ext>
          </a:extLst>
        </xdr:cNvPr>
        <xdr:cNvCxnSpPr/>
      </xdr:nvCxnSpPr>
      <xdr:spPr>
        <a:xfrm>
          <a:off x="11281833" y="135477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771</xdr:row>
      <xdr:rowOff>31750</xdr:rowOff>
    </xdr:from>
    <xdr:to>
      <xdr:col>16</xdr:col>
      <xdr:colOff>21167</xdr:colOff>
      <xdr:row>778</xdr:row>
      <xdr:rowOff>95250</xdr:rowOff>
    </xdr:to>
    <xdr:cxnSp macro="">
      <xdr:nvCxnSpPr>
        <xdr:cNvPr id="2990" name="Straight Arrow Connector 2989">
          <a:extLst>
            <a:ext uri="{FF2B5EF4-FFF2-40B4-BE49-F238E27FC236}">
              <a16:creationId xmlns:a16="http://schemas.microsoft.com/office/drawing/2014/main" id="{00000000-0008-0000-1300-0000AE0B0000}"/>
            </a:ext>
          </a:extLst>
        </xdr:cNvPr>
        <xdr:cNvCxnSpPr/>
      </xdr:nvCxnSpPr>
      <xdr:spPr>
        <a:xfrm>
          <a:off x="11324166" y="138144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771</xdr:row>
      <xdr:rowOff>31750</xdr:rowOff>
    </xdr:from>
    <xdr:to>
      <xdr:col>16</xdr:col>
      <xdr:colOff>21167</xdr:colOff>
      <xdr:row>778</xdr:row>
      <xdr:rowOff>95250</xdr:rowOff>
    </xdr:to>
    <xdr:cxnSp macro="">
      <xdr:nvCxnSpPr>
        <xdr:cNvPr id="2991" name="Straight Arrow Connector 2990">
          <a:extLst>
            <a:ext uri="{FF2B5EF4-FFF2-40B4-BE49-F238E27FC236}">
              <a16:creationId xmlns:a16="http://schemas.microsoft.com/office/drawing/2014/main" id="{00000000-0008-0000-1300-0000AF0B0000}"/>
            </a:ext>
          </a:extLst>
        </xdr:cNvPr>
        <xdr:cNvCxnSpPr/>
      </xdr:nvCxnSpPr>
      <xdr:spPr>
        <a:xfrm>
          <a:off x="11324166" y="138144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771</xdr:row>
      <xdr:rowOff>31750</xdr:rowOff>
    </xdr:from>
    <xdr:to>
      <xdr:col>16</xdr:col>
      <xdr:colOff>21167</xdr:colOff>
      <xdr:row>778</xdr:row>
      <xdr:rowOff>95250</xdr:rowOff>
    </xdr:to>
    <xdr:cxnSp macro="">
      <xdr:nvCxnSpPr>
        <xdr:cNvPr id="2992" name="Straight Arrow Connector 2991">
          <a:extLst>
            <a:ext uri="{FF2B5EF4-FFF2-40B4-BE49-F238E27FC236}">
              <a16:creationId xmlns:a16="http://schemas.microsoft.com/office/drawing/2014/main" id="{00000000-0008-0000-1300-0000B00B0000}"/>
            </a:ext>
          </a:extLst>
        </xdr:cNvPr>
        <xdr:cNvCxnSpPr/>
      </xdr:nvCxnSpPr>
      <xdr:spPr>
        <a:xfrm>
          <a:off x="11324166" y="138144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758</xdr:row>
      <xdr:rowOff>31750</xdr:rowOff>
    </xdr:from>
    <xdr:to>
      <xdr:col>16</xdr:col>
      <xdr:colOff>42334</xdr:colOff>
      <xdr:row>765</xdr:row>
      <xdr:rowOff>63501</xdr:rowOff>
    </xdr:to>
    <xdr:cxnSp macro="">
      <xdr:nvCxnSpPr>
        <xdr:cNvPr id="2993" name="Straight Arrow Connector 2992">
          <a:extLst>
            <a:ext uri="{FF2B5EF4-FFF2-40B4-BE49-F238E27FC236}">
              <a16:creationId xmlns:a16="http://schemas.microsoft.com/office/drawing/2014/main" id="{00000000-0008-0000-1300-0000B10B0000}"/>
            </a:ext>
          </a:extLst>
        </xdr:cNvPr>
        <xdr:cNvCxnSpPr/>
      </xdr:nvCxnSpPr>
      <xdr:spPr>
        <a:xfrm>
          <a:off x="11281833" y="135477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771</xdr:row>
      <xdr:rowOff>31750</xdr:rowOff>
    </xdr:from>
    <xdr:to>
      <xdr:col>16</xdr:col>
      <xdr:colOff>21167</xdr:colOff>
      <xdr:row>778</xdr:row>
      <xdr:rowOff>95250</xdr:rowOff>
    </xdr:to>
    <xdr:cxnSp macro="">
      <xdr:nvCxnSpPr>
        <xdr:cNvPr id="2994" name="Straight Arrow Connector 2993">
          <a:extLst>
            <a:ext uri="{FF2B5EF4-FFF2-40B4-BE49-F238E27FC236}">
              <a16:creationId xmlns:a16="http://schemas.microsoft.com/office/drawing/2014/main" id="{00000000-0008-0000-1300-0000B20B0000}"/>
            </a:ext>
          </a:extLst>
        </xdr:cNvPr>
        <xdr:cNvCxnSpPr/>
      </xdr:nvCxnSpPr>
      <xdr:spPr>
        <a:xfrm>
          <a:off x="11324166" y="138144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771</xdr:row>
      <xdr:rowOff>31750</xdr:rowOff>
    </xdr:from>
    <xdr:to>
      <xdr:col>16</xdr:col>
      <xdr:colOff>21167</xdr:colOff>
      <xdr:row>778</xdr:row>
      <xdr:rowOff>95250</xdr:rowOff>
    </xdr:to>
    <xdr:cxnSp macro="">
      <xdr:nvCxnSpPr>
        <xdr:cNvPr id="2995" name="Straight Arrow Connector 2994">
          <a:extLst>
            <a:ext uri="{FF2B5EF4-FFF2-40B4-BE49-F238E27FC236}">
              <a16:creationId xmlns:a16="http://schemas.microsoft.com/office/drawing/2014/main" id="{00000000-0008-0000-1300-0000B30B0000}"/>
            </a:ext>
          </a:extLst>
        </xdr:cNvPr>
        <xdr:cNvCxnSpPr/>
      </xdr:nvCxnSpPr>
      <xdr:spPr>
        <a:xfrm>
          <a:off x="11324166" y="138144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771</xdr:row>
      <xdr:rowOff>31750</xdr:rowOff>
    </xdr:from>
    <xdr:to>
      <xdr:col>16</xdr:col>
      <xdr:colOff>21167</xdr:colOff>
      <xdr:row>778</xdr:row>
      <xdr:rowOff>95250</xdr:rowOff>
    </xdr:to>
    <xdr:cxnSp macro="">
      <xdr:nvCxnSpPr>
        <xdr:cNvPr id="2996" name="Straight Arrow Connector 2995">
          <a:extLst>
            <a:ext uri="{FF2B5EF4-FFF2-40B4-BE49-F238E27FC236}">
              <a16:creationId xmlns:a16="http://schemas.microsoft.com/office/drawing/2014/main" id="{00000000-0008-0000-1300-0000B40B0000}"/>
            </a:ext>
          </a:extLst>
        </xdr:cNvPr>
        <xdr:cNvCxnSpPr/>
      </xdr:nvCxnSpPr>
      <xdr:spPr>
        <a:xfrm>
          <a:off x="11324166" y="138144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771</xdr:row>
      <xdr:rowOff>31750</xdr:rowOff>
    </xdr:from>
    <xdr:to>
      <xdr:col>16</xdr:col>
      <xdr:colOff>21167</xdr:colOff>
      <xdr:row>778</xdr:row>
      <xdr:rowOff>95250</xdr:rowOff>
    </xdr:to>
    <xdr:cxnSp macro="">
      <xdr:nvCxnSpPr>
        <xdr:cNvPr id="2997" name="Straight Arrow Connector 2996">
          <a:extLst>
            <a:ext uri="{FF2B5EF4-FFF2-40B4-BE49-F238E27FC236}">
              <a16:creationId xmlns:a16="http://schemas.microsoft.com/office/drawing/2014/main" id="{00000000-0008-0000-1300-0000B50B0000}"/>
            </a:ext>
          </a:extLst>
        </xdr:cNvPr>
        <xdr:cNvCxnSpPr/>
      </xdr:nvCxnSpPr>
      <xdr:spPr>
        <a:xfrm>
          <a:off x="11324166" y="138144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758</xdr:row>
      <xdr:rowOff>31750</xdr:rowOff>
    </xdr:from>
    <xdr:to>
      <xdr:col>16</xdr:col>
      <xdr:colOff>42334</xdr:colOff>
      <xdr:row>765</xdr:row>
      <xdr:rowOff>63501</xdr:rowOff>
    </xdr:to>
    <xdr:cxnSp macro="">
      <xdr:nvCxnSpPr>
        <xdr:cNvPr id="2998" name="Straight Arrow Connector 2997">
          <a:extLst>
            <a:ext uri="{FF2B5EF4-FFF2-40B4-BE49-F238E27FC236}">
              <a16:creationId xmlns:a16="http://schemas.microsoft.com/office/drawing/2014/main" id="{00000000-0008-0000-1300-0000B60B0000}"/>
            </a:ext>
          </a:extLst>
        </xdr:cNvPr>
        <xdr:cNvCxnSpPr/>
      </xdr:nvCxnSpPr>
      <xdr:spPr>
        <a:xfrm>
          <a:off x="11281833" y="135477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771</xdr:row>
      <xdr:rowOff>31750</xdr:rowOff>
    </xdr:from>
    <xdr:to>
      <xdr:col>16</xdr:col>
      <xdr:colOff>21167</xdr:colOff>
      <xdr:row>778</xdr:row>
      <xdr:rowOff>95250</xdr:rowOff>
    </xdr:to>
    <xdr:cxnSp macro="">
      <xdr:nvCxnSpPr>
        <xdr:cNvPr id="2999" name="Straight Arrow Connector 2998">
          <a:extLst>
            <a:ext uri="{FF2B5EF4-FFF2-40B4-BE49-F238E27FC236}">
              <a16:creationId xmlns:a16="http://schemas.microsoft.com/office/drawing/2014/main" id="{00000000-0008-0000-1300-0000B70B0000}"/>
            </a:ext>
          </a:extLst>
        </xdr:cNvPr>
        <xdr:cNvCxnSpPr/>
      </xdr:nvCxnSpPr>
      <xdr:spPr>
        <a:xfrm>
          <a:off x="11324166" y="138144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758</xdr:row>
      <xdr:rowOff>31750</xdr:rowOff>
    </xdr:from>
    <xdr:to>
      <xdr:col>16</xdr:col>
      <xdr:colOff>42334</xdr:colOff>
      <xdr:row>765</xdr:row>
      <xdr:rowOff>63501</xdr:rowOff>
    </xdr:to>
    <xdr:cxnSp macro="">
      <xdr:nvCxnSpPr>
        <xdr:cNvPr id="3000" name="Straight Arrow Connector 2999">
          <a:extLst>
            <a:ext uri="{FF2B5EF4-FFF2-40B4-BE49-F238E27FC236}">
              <a16:creationId xmlns:a16="http://schemas.microsoft.com/office/drawing/2014/main" id="{00000000-0008-0000-1300-0000B80B0000}"/>
            </a:ext>
          </a:extLst>
        </xdr:cNvPr>
        <xdr:cNvCxnSpPr/>
      </xdr:nvCxnSpPr>
      <xdr:spPr>
        <a:xfrm>
          <a:off x="11281833" y="135477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771</xdr:row>
      <xdr:rowOff>31750</xdr:rowOff>
    </xdr:from>
    <xdr:to>
      <xdr:col>16</xdr:col>
      <xdr:colOff>21167</xdr:colOff>
      <xdr:row>778</xdr:row>
      <xdr:rowOff>95250</xdr:rowOff>
    </xdr:to>
    <xdr:cxnSp macro="">
      <xdr:nvCxnSpPr>
        <xdr:cNvPr id="3001" name="Straight Arrow Connector 3000">
          <a:extLst>
            <a:ext uri="{FF2B5EF4-FFF2-40B4-BE49-F238E27FC236}">
              <a16:creationId xmlns:a16="http://schemas.microsoft.com/office/drawing/2014/main" id="{00000000-0008-0000-1300-0000B90B0000}"/>
            </a:ext>
          </a:extLst>
        </xdr:cNvPr>
        <xdr:cNvCxnSpPr/>
      </xdr:nvCxnSpPr>
      <xdr:spPr>
        <a:xfrm>
          <a:off x="11324166" y="138144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758</xdr:row>
      <xdr:rowOff>31750</xdr:rowOff>
    </xdr:from>
    <xdr:to>
      <xdr:col>16</xdr:col>
      <xdr:colOff>42334</xdr:colOff>
      <xdr:row>765</xdr:row>
      <xdr:rowOff>63501</xdr:rowOff>
    </xdr:to>
    <xdr:cxnSp macro="">
      <xdr:nvCxnSpPr>
        <xdr:cNvPr id="3002" name="Straight Arrow Connector 3001">
          <a:extLst>
            <a:ext uri="{FF2B5EF4-FFF2-40B4-BE49-F238E27FC236}">
              <a16:creationId xmlns:a16="http://schemas.microsoft.com/office/drawing/2014/main" id="{00000000-0008-0000-1300-0000BA0B0000}"/>
            </a:ext>
          </a:extLst>
        </xdr:cNvPr>
        <xdr:cNvCxnSpPr/>
      </xdr:nvCxnSpPr>
      <xdr:spPr>
        <a:xfrm>
          <a:off x="11281833" y="135477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771</xdr:row>
      <xdr:rowOff>31750</xdr:rowOff>
    </xdr:from>
    <xdr:to>
      <xdr:col>16</xdr:col>
      <xdr:colOff>21167</xdr:colOff>
      <xdr:row>778</xdr:row>
      <xdr:rowOff>95250</xdr:rowOff>
    </xdr:to>
    <xdr:cxnSp macro="">
      <xdr:nvCxnSpPr>
        <xdr:cNvPr id="3003" name="Straight Arrow Connector 3002">
          <a:extLst>
            <a:ext uri="{FF2B5EF4-FFF2-40B4-BE49-F238E27FC236}">
              <a16:creationId xmlns:a16="http://schemas.microsoft.com/office/drawing/2014/main" id="{00000000-0008-0000-1300-0000BB0B0000}"/>
            </a:ext>
          </a:extLst>
        </xdr:cNvPr>
        <xdr:cNvCxnSpPr/>
      </xdr:nvCxnSpPr>
      <xdr:spPr>
        <a:xfrm>
          <a:off x="11324166" y="138144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758</xdr:row>
      <xdr:rowOff>31750</xdr:rowOff>
    </xdr:from>
    <xdr:to>
      <xdr:col>16</xdr:col>
      <xdr:colOff>42334</xdr:colOff>
      <xdr:row>765</xdr:row>
      <xdr:rowOff>63501</xdr:rowOff>
    </xdr:to>
    <xdr:cxnSp macro="">
      <xdr:nvCxnSpPr>
        <xdr:cNvPr id="3004" name="Straight Arrow Connector 3003">
          <a:extLst>
            <a:ext uri="{FF2B5EF4-FFF2-40B4-BE49-F238E27FC236}">
              <a16:creationId xmlns:a16="http://schemas.microsoft.com/office/drawing/2014/main" id="{00000000-0008-0000-1300-0000BC0B0000}"/>
            </a:ext>
          </a:extLst>
        </xdr:cNvPr>
        <xdr:cNvCxnSpPr/>
      </xdr:nvCxnSpPr>
      <xdr:spPr>
        <a:xfrm>
          <a:off x="11281833" y="135477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771</xdr:row>
      <xdr:rowOff>31750</xdr:rowOff>
    </xdr:from>
    <xdr:to>
      <xdr:col>16</xdr:col>
      <xdr:colOff>21167</xdr:colOff>
      <xdr:row>778</xdr:row>
      <xdr:rowOff>95250</xdr:rowOff>
    </xdr:to>
    <xdr:cxnSp macro="">
      <xdr:nvCxnSpPr>
        <xdr:cNvPr id="3005" name="Straight Arrow Connector 3004">
          <a:extLst>
            <a:ext uri="{FF2B5EF4-FFF2-40B4-BE49-F238E27FC236}">
              <a16:creationId xmlns:a16="http://schemas.microsoft.com/office/drawing/2014/main" id="{00000000-0008-0000-1300-0000BD0B0000}"/>
            </a:ext>
          </a:extLst>
        </xdr:cNvPr>
        <xdr:cNvCxnSpPr/>
      </xdr:nvCxnSpPr>
      <xdr:spPr>
        <a:xfrm>
          <a:off x="11324166" y="138144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771</xdr:row>
      <xdr:rowOff>31750</xdr:rowOff>
    </xdr:from>
    <xdr:to>
      <xdr:col>16</xdr:col>
      <xdr:colOff>21167</xdr:colOff>
      <xdr:row>778</xdr:row>
      <xdr:rowOff>95250</xdr:rowOff>
    </xdr:to>
    <xdr:cxnSp macro="">
      <xdr:nvCxnSpPr>
        <xdr:cNvPr id="3006" name="Straight Arrow Connector 3005">
          <a:extLst>
            <a:ext uri="{FF2B5EF4-FFF2-40B4-BE49-F238E27FC236}">
              <a16:creationId xmlns:a16="http://schemas.microsoft.com/office/drawing/2014/main" id="{00000000-0008-0000-1300-0000BE0B0000}"/>
            </a:ext>
          </a:extLst>
        </xdr:cNvPr>
        <xdr:cNvCxnSpPr/>
      </xdr:nvCxnSpPr>
      <xdr:spPr>
        <a:xfrm>
          <a:off x="11324166" y="138144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771</xdr:row>
      <xdr:rowOff>31750</xdr:rowOff>
    </xdr:from>
    <xdr:to>
      <xdr:col>16</xdr:col>
      <xdr:colOff>21167</xdr:colOff>
      <xdr:row>778</xdr:row>
      <xdr:rowOff>95250</xdr:rowOff>
    </xdr:to>
    <xdr:cxnSp macro="">
      <xdr:nvCxnSpPr>
        <xdr:cNvPr id="3007" name="Straight Arrow Connector 3006">
          <a:extLst>
            <a:ext uri="{FF2B5EF4-FFF2-40B4-BE49-F238E27FC236}">
              <a16:creationId xmlns:a16="http://schemas.microsoft.com/office/drawing/2014/main" id="{00000000-0008-0000-1300-0000BF0B0000}"/>
            </a:ext>
          </a:extLst>
        </xdr:cNvPr>
        <xdr:cNvCxnSpPr/>
      </xdr:nvCxnSpPr>
      <xdr:spPr>
        <a:xfrm>
          <a:off x="11324166" y="138144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758</xdr:row>
      <xdr:rowOff>31750</xdr:rowOff>
    </xdr:from>
    <xdr:to>
      <xdr:col>16</xdr:col>
      <xdr:colOff>42334</xdr:colOff>
      <xdr:row>765</xdr:row>
      <xdr:rowOff>63501</xdr:rowOff>
    </xdr:to>
    <xdr:cxnSp macro="">
      <xdr:nvCxnSpPr>
        <xdr:cNvPr id="3008" name="Straight Arrow Connector 3007">
          <a:extLst>
            <a:ext uri="{FF2B5EF4-FFF2-40B4-BE49-F238E27FC236}">
              <a16:creationId xmlns:a16="http://schemas.microsoft.com/office/drawing/2014/main" id="{00000000-0008-0000-1300-0000C00B0000}"/>
            </a:ext>
          </a:extLst>
        </xdr:cNvPr>
        <xdr:cNvCxnSpPr/>
      </xdr:nvCxnSpPr>
      <xdr:spPr>
        <a:xfrm>
          <a:off x="11281833" y="135477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771</xdr:row>
      <xdr:rowOff>31750</xdr:rowOff>
    </xdr:from>
    <xdr:to>
      <xdr:col>16</xdr:col>
      <xdr:colOff>21167</xdr:colOff>
      <xdr:row>778</xdr:row>
      <xdr:rowOff>95250</xdr:rowOff>
    </xdr:to>
    <xdr:cxnSp macro="">
      <xdr:nvCxnSpPr>
        <xdr:cNvPr id="3009" name="Straight Arrow Connector 3008">
          <a:extLst>
            <a:ext uri="{FF2B5EF4-FFF2-40B4-BE49-F238E27FC236}">
              <a16:creationId xmlns:a16="http://schemas.microsoft.com/office/drawing/2014/main" id="{00000000-0008-0000-1300-0000C10B0000}"/>
            </a:ext>
          </a:extLst>
        </xdr:cNvPr>
        <xdr:cNvCxnSpPr/>
      </xdr:nvCxnSpPr>
      <xdr:spPr>
        <a:xfrm>
          <a:off x="11324166" y="138144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758</xdr:row>
      <xdr:rowOff>31750</xdr:rowOff>
    </xdr:from>
    <xdr:to>
      <xdr:col>16</xdr:col>
      <xdr:colOff>42334</xdr:colOff>
      <xdr:row>765</xdr:row>
      <xdr:rowOff>63501</xdr:rowOff>
    </xdr:to>
    <xdr:cxnSp macro="">
      <xdr:nvCxnSpPr>
        <xdr:cNvPr id="3010" name="Straight Arrow Connector 3009">
          <a:extLst>
            <a:ext uri="{FF2B5EF4-FFF2-40B4-BE49-F238E27FC236}">
              <a16:creationId xmlns:a16="http://schemas.microsoft.com/office/drawing/2014/main" id="{00000000-0008-0000-1300-0000C20B0000}"/>
            </a:ext>
          </a:extLst>
        </xdr:cNvPr>
        <xdr:cNvCxnSpPr/>
      </xdr:nvCxnSpPr>
      <xdr:spPr>
        <a:xfrm>
          <a:off x="11281833" y="135477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771</xdr:row>
      <xdr:rowOff>31750</xdr:rowOff>
    </xdr:from>
    <xdr:to>
      <xdr:col>16</xdr:col>
      <xdr:colOff>21167</xdr:colOff>
      <xdr:row>778</xdr:row>
      <xdr:rowOff>95250</xdr:rowOff>
    </xdr:to>
    <xdr:cxnSp macro="">
      <xdr:nvCxnSpPr>
        <xdr:cNvPr id="3011" name="Straight Arrow Connector 3010">
          <a:extLst>
            <a:ext uri="{FF2B5EF4-FFF2-40B4-BE49-F238E27FC236}">
              <a16:creationId xmlns:a16="http://schemas.microsoft.com/office/drawing/2014/main" id="{00000000-0008-0000-1300-0000C30B0000}"/>
            </a:ext>
          </a:extLst>
        </xdr:cNvPr>
        <xdr:cNvCxnSpPr/>
      </xdr:nvCxnSpPr>
      <xdr:spPr>
        <a:xfrm>
          <a:off x="11324166" y="138144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758</xdr:row>
      <xdr:rowOff>31750</xdr:rowOff>
    </xdr:from>
    <xdr:to>
      <xdr:col>16</xdr:col>
      <xdr:colOff>42334</xdr:colOff>
      <xdr:row>765</xdr:row>
      <xdr:rowOff>63501</xdr:rowOff>
    </xdr:to>
    <xdr:cxnSp macro="">
      <xdr:nvCxnSpPr>
        <xdr:cNvPr id="3012" name="Straight Arrow Connector 3011">
          <a:extLst>
            <a:ext uri="{FF2B5EF4-FFF2-40B4-BE49-F238E27FC236}">
              <a16:creationId xmlns:a16="http://schemas.microsoft.com/office/drawing/2014/main" id="{00000000-0008-0000-1300-0000C40B0000}"/>
            </a:ext>
          </a:extLst>
        </xdr:cNvPr>
        <xdr:cNvCxnSpPr/>
      </xdr:nvCxnSpPr>
      <xdr:spPr>
        <a:xfrm>
          <a:off x="11281833" y="135477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771</xdr:row>
      <xdr:rowOff>31750</xdr:rowOff>
    </xdr:from>
    <xdr:to>
      <xdr:col>16</xdr:col>
      <xdr:colOff>21167</xdr:colOff>
      <xdr:row>778</xdr:row>
      <xdr:rowOff>95250</xdr:rowOff>
    </xdr:to>
    <xdr:cxnSp macro="">
      <xdr:nvCxnSpPr>
        <xdr:cNvPr id="3013" name="Straight Arrow Connector 3012">
          <a:extLst>
            <a:ext uri="{FF2B5EF4-FFF2-40B4-BE49-F238E27FC236}">
              <a16:creationId xmlns:a16="http://schemas.microsoft.com/office/drawing/2014/main" id="{00000000-0008-0000-1300-0000C50B0000}"/>
            </a:ext>
          </a:extLst>
        </xdr:cNvPr>
        <xdr:cNvCxnSpPr/>
      </xdr:nvCxnSpPr>
      <xdr:spPr>
        <a:xfrm>
          <a:off x="11324166" y="138144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784</xdr:row>
      <xdr:rowOff>31750</xdr:rowOff>
    </xdr:from>
    <xdr:to>
      <xdr:col>16</xdr:col>
      <xdr:colOff>42334</xdr:colOff>
      <xdr:row>791</xdr:row>
      <xdr:rowOff>63501</xdr:rowOff>
    </xdr:to>
    <xdr:cxnSp macro="">
      <xdr:nvCxnSpPr>
        <xdr:cNvPr id="3014" name="Straight Arrow Connector 3013">
          <a:extLst>
            <a:ext uri="{FF2B5EF4-FFF2-40B4-BE49-F238E27FC236}">
              <a16:creationId xmlns:a16="http://schemas.microsoft.com/office/drawing/2014/main" id="{00000000-0008-0000-1300-0000C60B0000}"/>
            </a:ext>
          </a:extLst>
        </xdr:cNvPr>
        <xdr:cNvCxnSpPr/>
      </xdr:nvCxnSpPr>
      <xdr:spPr>
        <a:xfrm>
          <a:off x="11281833" y="140620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784</xdr:row>
      <xdr:rowOff>31750</xdr:rowOff>
    </xdr:from>
    <xdr:to>
      <xdr:col>16</xdr:col>
      <xdr:colOff>42334</xdr:colOff>
      <xdr:row>791</xdr:row>
      <xdr:rowOff>63501</xdr:rowOff>
    </xdr:to>
    <xdr:cxnSp macro="">
      <xdr:nvCxnSpPr>
        <xdr:cNvPr id="3015" name="Straight Arrow Connector 3014">
          <a:extLst>
            <a:ext uri="{FF2B5EF4-FFF2-40B4-BE49-F238E27FC236}">
              <a16:creationId xmlns:a16="http://schemas.microsoft.com/office/drawing/2014/main" id="{00000000-0008-0000-1300-0000C70B0000}"/>
            </a:ext>
          </a:extLst>
        </xdr:cNvPr>
        <xdr:cNvCxnSpPr/>
      </xdr:nvCxnSpPr>
      <xdr:spPr>
        <a:xfrm>
          <a:off x="11281833" y="140620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814</xdr:row>
      <xdr:rowOff>31750</xdr:rowOff>
    </xdr:from>
    <xdr:to>
      <xdr:col>16</xdr:col>
      <xdr:colOff>42334</xdr:colOff>
      <xdr:row>821</xdr:row>
      <xdr:rowOff>63501</xdr:rowOff>
    </xdr:to>
    <xdr:cxnSp macro="">
      <xdr:nvCxnSpPr>
        <xdr:cNvPr id="3018" name="Straight Arrow Connector 3017">
          <a:extLst>
            <a:ext uri="{FF2B5EF4-FFF2-40B4-BE49-F238E27FC236}">
              <a16:creationId xmlns:a16="http://schemas.microsoft.com/office/drawing/2014/main" id="{00000000-0008-0000-1300-0000CA0B0000}"/>
            </a:ext>
          </a:extLst>
        </xdr:cNvPr>
        <xdr:cNvCxnSpPr/>
      </xdr:nvCxnSpPr>
      <xdr:spPr>
        <a:xfrm>
          <a:off x="11281833" y="146335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814</xdr:row>
      <xdr:rowOff>31750</xdr:rowOff>
    </xdr:from>
    <xdr:to>
      <xdr:col>16</xdr:col>
      <xdr:colOff>42334</xdr:colOff>
      <xdr:row>821</xdr:row>
      <xdr:rowOff>63501</xdr:rowOff>
    </xdr:to>
    <xdr:cxnSp macro="">
      <xdr:nvCxnSpPr>
        <xdr:cNvPr id="3022" name="Straight Arrow Connector 3021">
          <a:extLst>
            <a:ext uri="{FF2B5EF4-FFF2-40B4-BE49-F238E27FC236}">
              <a16:creationId xmlns:a16="http://schemas.microsoft.com/office/drawing/2014/main" id="{00000000-0008-0000-1300-0000CE0B0000}"/>
            </a:ext>
          </a:extLst>
        </xdr:cNvPr>
        <xdr:cNvCxnSpPr/>
      </xdr:nvCxnSpPr>
      <xdr:spPr>
        <a:xfrm>
          <a:off x="11281833" y="146335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814</xdr:row>
      <xdr:rowOff>31750</xdr:rowOff>
    </xdr:from>
    <xdr:to>
      <xdr:col>16</xdr:col>
      <xdr:colOff>42334</xdr:colOff>
      <xdr:row>821</xdr:row>
      <xdr:rowOff>63501</xdr:rowOff>
    </xdr:to>
    <xdr:cxnSp macro="">
      <xdr:nvCxnSpPr>
        <xdr:cNvPr id="3024" name="Straight Arrow Connector 3023">
          <a:extLst>
            <a:ext uri="{FF2B5EF4-FFF2-40B4-BE49-F238E27FC236}">
              <a16:creationId xmlns:a16="http://schemas.microsoft.com/office/drawing/2014/main" id="{00000000-0008-0000-1300-0000D00B0000}"/>
            </a:ext>
          </a:extLst>
        </xdr:cNvPr>
        <xdr:cNvCxnSpPr/>
      </xdr:nvCxnSpPr>
      <xdr:spPr>
        <a:xfrm>
          <a:off x="11281833" y="146335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814</xdr:row>
      <xdr:rowOff>31750</xdr:rowOff>
    </xdr:from>
    <xdr:to>
      <xdr:col>16</xdr:col>
      <xdr:colOff>42334</xdr:colOff>
      <xdr:row>821</xdr:row>
      <xdr:rowOff>63501</xdr:rowOff>
    </xdr:to>
    <xdr:cxnSp macro="">
      <xdr:nvCxnSpPr>
        <xdr:cNvPr id="3026" name="Straight Arrow Connector 3025">
          <a:extLst>
            <a:ext uri="{FF2B5EF4-FFF2-40B4-BE49-F238E27FC236}">
              <a16:creationId xmlns:a16="http://schemas.microsoft.com/office/drawing/2014/main" id="{00000000-0008-0000-1300-0000D20B0000}"/>
            </a:ext>
          </a:extLst>
        </xdr:cNvPr>
        <xdr:cNvCxnSpPr/>
      </xdr:nvCxnSpPr>
      <xdr:spPr>
        <a:xfrm>
          <a:off x="11281833" y="146335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814</xdr:row>
      <xdr:rowOff>31750</xdr:rowOff>
    </xdr:from>
    <xdr:to>
      <xdr:col>16</xdr:col>
      <xdr:colOff>42334</xdr:colOff>
      <xdr:row>821</xdr:row>
      <xdr:rowOff>63501</xdr:rowOff>
    </xdr:to>
    <xdr:cxnSp macro="">
      <xdr:nvCxnSpPr>
        <xdr:cNvPr id="3030" name="Straight Arrow Connector 3029">
          <a:extLst>
            <a:ext uri="{FF2B5EF4-FFF2-40B4-BE49-F238E27FC236}">
              <a16:creationId xmlns:a16="http://schemas.microsoft.com/office/drawing/2014/main" id="{00000000-0008-0000-1300-0000D60B0000}"/>
            </a:ext>
          </a:extLst>
        </xdr:cNvPr>
        <xdr:cNvCxnSpPr/>
      </xdr:nvCxnSpPr>
      <xdr:spPr>
        <a:xfrm>
          <a:off x="11281833" y="146335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814</xdr:row>
      <xdr:rowOff>31750</xdr:rowOff>
    </xdr:from>
    <xdr:to>
      <xdr:col>16</xdr:col>
      <xdr:colOff>42334</xdr:colOff>
      <xdr:row>821</xdr:row>
      <xdr:rowOff>63501</xdr:rowOff>
    </xdr:to>
    <xdr:cxnSp macro="">
      <xdr:nvCxnSpPr>
        <xdr:cNvPr id="3035" name="Straight Arrow Connector 3034">
          <a:extLst>
            <a:ext uri="{FF2B5EF4-FFF2-40B4-BE49-F238E27FC236}">
              <a16:creationId xmlns:a16="http://schemas.microsoft.com/office/drawing/2014/main" id="{00000000-0008-0000-1300-0000DB0B0000}"/>
            </a:ext>
          </a:extLst>
        </xdr:cNvPr>
        <xdr:cNvCxnSpPr/>
      </xdr:nvCxnSpPr>
      <xdr:spPr>
        <a:xfrm>
          <a:off x="11281833" y="146335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814</xdr:row>
      <xdr:rowOff>31750</xdr:rowOff>
    </xdr:from>
    <xdr:to>
      <xdr:col>16</xdr:col>
      <xdr:colOff>42334</xdr:colOff>
      <xdr:row>821</xdr:row>
      <xdr:rowOff>63501</xdr:rowOff>
    </xdr:to>
    <xdr:cxnSp macro="">
      <xdr:nvCxnSpPr>
        <xdr:cNvPr id="3037" name="Straight Arrow Connector 3036">
          <a:extLst>
            <a:ext uri="{FF2B5EF4-FFF2-40B4-BE49-F238E27FC236}">
              <a16:creationId xmlns:a16="http://schemas.microsoft.com/office/drawing/2014/main" id="{00000000-0008-0000-1300-0000DD0B0000}"/>
            </a:ext>
          </a:extLst>
        </xdr:cNvPr>
        <xdr:cNvCxnSpPr/>
      </xdr:nvCxnSpPr>
      <xdr:spPr>
        <a:xfrm>
          <a:off x="11281833" y="146335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814</xdr:row>
      <xdr:rowOff>31750</xdr:rowOff>
    </xdr:from>
    <xdr:to>
      <xdr:col>16</xdr:col>
      <xdr:colOff>42334</xdr:colOff>
      <xdr:row>821</xdr:row>
      <xdr:rowOff>63501</xdr:rowOff>
    </xdr:to>
    <xdr:cxnSp macro="">
      <xdr:nvCxnSpPr>
        <xdr:cNvPr id="3039" name="Straight Arrow Connector 3038">
          <a:extLst>
            <a:ext uri="{FF2B5EF4-FFF2-40B4-BE49-F238E27FC236}">
              <a16:creationId xmlns:a16="http://schemas.microsoft.com/office/drawing/2014/main" id="{00000000-0008-0000-1300-0000DF0B0000}"/>
            </a:ext>
          </a:extLst>
        </xdr:cNvPr>
        <xdr:cNvCxnSpPr/>
      </xdr:nvCxnSpPr>
      <xdr:spPr>
        <a:xfrm>
          <a:off x="11281833" y="146335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814</xdr:row>
      <xdr:rowOff>31750</xdr:rowOff>
    </xdr:from>
    <xdr:to>
      <xdr:col>16</xdr:col>
      <xdr:colOff>42334</xdr:colOff>
      <xdr:row>821</xdr:row>
      <xdr:rowOff>63501</xdr:rowOff>
    </xdr:to>
    <xdr:cxnSp macro="">
      <xdr:nvCxnSpPr>
        <xdr:cNvPr id="3041" name="Straight Arrow Connector 3040">
          <a:extLst>
            <a:ext uri="{FF2B5EF4-FFF2-40B4-BE49-F238E27FC236}">
              <a16:creationId xmlns:a16="http://schemas.microsoft.com/office/drawing/2014/main" id="{00000000-0008-0000-1300-0000E10B0000}"/>
            </a:ext>
          </a:extLst>
        </xdr:cNvPr>
        <xdr:cNvCxnSpPr/>
      </xdr:nvCxnSpPr>
      <xdr:spPr>
        <a:xfrm>
          <a:off x="11281833" y="146335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814</xdr:row>
      <xdr:rowOff>31750</xdr:rowOff>
    </xdr:from>
    <xdr:to>
      <xdr:col>16</xdr:col>
      <xdr:colOff>42334</xdr:colOff>
      <xdr:row>821</xdr:row>
      <xdr:rowOff>63501</xdr:rowOff>
    </xdr:to>
    <xdr:cxnSp macro="">
      <xdr:nvCxnSpPr>
        <xdr:cNvPr id="3045" name="Straight Arrow Connector 3044">
          <a:extLst>
            <a:ext uri="{FF2B5EF4-FFF2-40B4-BE49-F238E27FC236}">
              <a16:creationId xmlns:a16="http://schemas.microsoft.com/office/drawing/2014/main" id="{00000000-0008-0000-1300-0000E50B0000}"/>
            </a:ext>
          </a:extLst>
        </xdr:cNvPr>
        <xdr:cNvCxnSpPr/>
      </xdr:nvCxnSpPr>
      <xdr:spPr>
        <a:xfrm>
          <a:off x="11281833" y="146335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883</xdr:row>
      <xdr:rowOff>31750</xdr:rowOff>
    </xdr:from>
    <xdr:to>
      <xdr:col>16</xdr:col>
      <xdr:colOff>21167</xdr:colOff>
      <xdr:row>890</xdr:row>
      <xdr:rowOff>95250</xdr:rowOff>
    </xdr:to>
    <xdr:cxnSp macro="">
      <xdr:nvCxnSpPr>
        <xdr:cNvPr id="3054" name="Straight Arrow Connector 3053">
          <a:extLst>
            <a:ext uri="{FF2B5EF4-FFF2-40B4-BE49-F238E27FC236}">
              <a16:creationId xmlns:a16="http://schemas.microsoft.com/office/drawing/2014/main" id="{00000000-0008-0000-1300-0000EE0B0000}"/>
            </a:ext>
          </a:extLst>
        </xdr:cNvPr>
        <xdr:cNvCxnSpPr/>
      </xdr:nvCxnSpPr>
      <xdr:spPr>
        <a:xfrm>
          <a:off x="11324166" y="15986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883</xdr:row>
      <xdr:rowOff>31750</xdr:rowOff>
    </xdr:from>
    <xdr:to>
      <xdr:col>16</xdr:col>
      <xdr:colOff>21167</xdr:colOff>
      <xdr:row>890</xdr:row>
      <xdr:rowOff>95250</xdr:rowOff>
    </xdr:to>
    <xdr:cxnSp macro="">
      <xdr:nvCxnSpPr>
        <xdr:cNvPr id="3056" name="Straight Arrow Connector 3055">
          <a:extLst>
            <a:ext uri="{FF2B5EF4-FFF2-40B4-BE49-F238E27FC236}">
              <a16:creationId xmlns:a16="http://schemas.microsoft.com/office/drawing/2014/main" id="{00000000-0008-0000-1300-0000F00B0000}"/>
            </a:ext>
          </a:extLst>
        </xdr:cNvPr>
        <xdr:cNvCxnSpPr/>
      </xdr:nvCxnSpPr>
      <xdr:spPr>
        <a:xfrm>
          <a:off x="11324166" y="15986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883</xdr:row>
      <xdr:rowOff>31750</xdr:rowOff>
    </xdr:from>
    <xdr:to>
      <xdr:col>16</xdr:col>
      <xdr:colOff>21167</xdr:colOff>
      <xdr:row>890</xdr:row>
      <xdr:rowOff>95250</xdr:rowOff>
    </xdr:to>
    <xdr:cxnSp macro="">
      <xdr:nvCxnSpPr>
        <xdr:cNvPr id="3058" name="Straight Arrow Connector 3057">
          <a:extLst>
            <a:ext uri="{FF2B5EF4-FFF2-40B4-BE49-F238E27FC236}">
              <a16:creationId xmlns:a16="http://schemas.microsoft.com/office/drawing/2014/main" id="{00000000-0008-0000-1300-0000F20B0000}"/>
            </a:ext>
          </a:extLst>
        </xdr:cNvPr>
        <xdr:cNvCxnSpPr/>
      </xdr:nvCxnSpPr>
      <xdr:spPr>
        <a:xfrm>
          <a:off x="11324166" y="15986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883</xdr:row>
      <xdr:rowOff>31750</xdr:rowOff>
    </xdr:from>
    <xdr:to>
      <xdr:col>16</xdr:col>
      <xdr:colOff>21167</xdr:colOff>
      <xdr:row>890</xdr:row>
      <xdr:rowOff>95250</xdr:rowOff>
    </xdr:to>
    <xdr:cxnSp macro="">
      <xdr:nvCxnSpPr>
        <xdr:cNvPr id="3059" name="Straight Arrow Connector 3058">
          <a:extLst>
            <a:ext uri="{FF2B5EF4-FFF2-40B4-BE49-F238E27FC236}">
              <a16:creationId xmlns:a16="http://schemas.microsoft.com/office/drawing/2014/main" id="{00000000-0008-0000-1300-0000F30B0000}"/>
            </a:ext>
          </a:extLst>
        </xdr:cNvPr>
        <xdr:cNvCxnSpPr/>
      </xdr:nvCxnSpPr>
      <xdr:spPr>
        <a:xfrm>
          <a:off x="11324166" y="15986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883</xdr:row>
      <xdr:rowOff>31750</xdr:rowOff>
    </xdr:from>
    <xdr:to>
      <xdr:col>16</xdr:col>
      <xdr:colOff>21167</xdr:colOff>
      <xdr:row>890</xdr:row>
      <xdr:rowOff>95250</xdr:rowOff>
    </xdr:to>
    <xdr:cxnSp macro="">
      <xdr:nvCxnSpPr>
        <xdr:cNvPr id="3060" name="Straight Arrow Connector 3059">
          <a:extLst>
            <a:ext uri="{FF2B5EF4-FFF2-40B4-BE49-F238E27FC236}">
              <a16:creationId xmlns:a16="http://schemas.microsoft.com/office/drawing/2014/main" id="{00000000-0008-0000-1300-0000F40B0000}"/>
            </a:ext>
          </a:extLst>
        </xdr:cNvPr>
        <xdr:cNvCxnSpPr/>
      </xdr:nvCxnSpPr>
      <xdr:spPr>
        <a:xfrm>
          <a:off x="11324166" y="15986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883</xdr:row>
      <xdr:rowOff>31750</xdr:rowOff>
    </xdr:from>
    <xdr:to>
      <xdr:col>16</xdr:col>
      <xdr:colOff>21167</xdr:colOff>
      <xdr:row>890</xdr:row>
      <xdr:rowOff>95250</xdr:rowOff>
    </xdr:to>
    <xdr:cxnSp macro="">
      <xdr:nvCxnSpPr>
        <xdr:cNvPr id="3062" name="Straight Arrow Connector 3061">
          <a:extLst>
            <a:ext uri="{FF2B5EF4-FFF2-40B4-BE49-F238E27FC236}">
              <a16:creationId xmlns:a16="http://schemas.microsoft.com/office/drawing/2014/main" id="{00000000-0008-0000-1300-0000F60B0000}"/>
            </a:ext>
          </a:extLst>
        </xdr:cNvPr>
        <xdr:cNvCxnSpPr/>
      </xdr:nvCxnSpPr>
      <xdr:spPr>
        <a:xfrm>
          <a:off x="11324166" y="15986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883</xdr:row>
      <xdr:rowOff>31750</xdr:rowOff>
    </xdr:from>
    <xdr:to>
      <xdr:col>16</xdr:col>
      <xdr:colOff>21167</xdr:colOff>
      <xdr:row>890</xdr:row>
      <xdr:rowOff>95250</xdr:rowOff>
    </xdr:to>
    <xdr:cxnSp macro="">
      <xdr:nvCxnSpPr>
        <xdr:cNvPr id="3063" name="Straight Arrow Connector 3062">
          <a:extLst>
            <a:ext uri="{FF2B5EF4-FFF2-40B4-BE49-F238E27FC236}">
              <a16:creationId xmlns:a16="http://schemas.microsoft.com/office/drawing/2014/main" id="{00000000-0008-0000-1300-0000F70B0000}"/>
            </a:ext>
          </a:extLst>
        </xdr:cNvPr>
        <xdr:cNvCxnSpPr/>
      </xdr:nvCxnSpPr>
      <xdr:spPr>
        <a:xfrm>
          <a:off x="11324166" y="15986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883</xdr:row>
      <xdr:rowOff>31750</xdr:rowOff>
    </xdr:from>
    <xdr:to>
      <xdr:col>16</xdr:col>
      <xdr:colOff>21167</xdr:colOff>
      <xdr:row>890</xdr:row>
      <xdr:rowOff>95250</xdr:rowOff>
    </xdr:to>
    <xdr:cxnSp macro="">
      <xdr:nvCxnSpPr>
        <xdr:cNvPr id="3064" name="Straight Arrow Connector 3063">
          <a:extLst>
            <a:ext uri="{FF2B5EF4-FFF2-40B4-BE49-F238E27FC236}">
              <a16:creationId xmlns:a16="http://schemas.microsoft.com/office/drawing/2014/main" id="{00000000-0008-0000-1300-0000F80B0000}"/>
            </a:ext>
          </a:extLst>
        </xdr:cNvPr>
        <xdr:cNvCxnSpPr/>
      </xdr:nvCxnSpPr>
      <xdr:spPr>
        <a:xfrm>
          <a:off x="11324166" y="15986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883</xdr:row>
      <xdr:rowOff>31750</xdr:rowOff>
    </xdr:from>
    <xdr:to>
      <xdr:col>16</xdr:col>
      <xdr:colOff>21167</xdr:colOff>
      <xdr:row>890</xdr:row>
      <xdr:rowOff>95250</xdr:rowOff>
    </xdr:to>
    <xdr:cxnSp macro="">
      <xdr:nvCxnSpPr>
        <xdr:cNvPr id="3066" name="Straight Arrow Connector 3065">
          <a:extLst>
            <a:ext uri="{FF2B5EF4-FFF2-40B4-BE49-F238E27FC236}">
              <a16:creationId xmlns:a16="http://schemas.microsoft.com/office/drawing/2014/main" id="{00000000-0008-0000-1300-0000FA0B0000}"/>
            </a:ext>
          </a:extLst>
        </xdr:cNvPr>
        <xdr:cNvCxnSpPr/>
      </xdr:nvCxnSpPr>
      <xdr:spPr>
        <a:xfrm>
          <a:off x="11324166" y="15986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883</xdr:row>
      <xdr:rowOff>31750</xdr:rowOff>
    </xdr:from>
    <xdr:to>
      <xdr:col>16</xdr:col>
      <xdr:colOff>21167</xdr:colOff>
      <xdr:row>890</xdr:row>
      <xdr:rowOff>95250</xdr:rowOff>
    </xdr:to>
    <xdr:cxnSp macro="">
      <xdr:nvCxnSpPr>
        <xdr:cNvPr id="3067" name="Straight Arrow Connector 3066">
          <a:extLst>
            <a:ext uri="{FF2B5EF4-FFF2-40B4-BE49-F238E27FC236}">
              <a16:creationId xmlns:a16="http://schemas.microsoft.com/office/drawing/2014/main" id="{00000000-0008-0000-1300-0000FB0B0000}"/>
            </a:ext>
          </a:extLst>
        </xdr:cNvPr>
        <xdr:cNvCxnSpPr/>
      </xdr:nvCxnSpPr>
      <xdr:spPr>
        <a:xfrm>
          <a:off x="11324166" y="15986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883</xdr:row>
      <xdr:rowOff>31750</xdr:rowOff>
    </xdr:from>
    <xdr:to>
      <xdr:col>16</xdr:col>
      <xdr:colOff>21167</xdr:colOff>
      <xdr:row>890</xdr:row>
      <xdr:rowOff>95250</xdr:rowOff>
    </xdr:to>
    <xdr:cxnSp macro="">
      <xdr:nvCxnSpPr>
        <xdr:cNvPr id="3068" name="Straight Arrow Connector 3067">
          <a:extLst>
            <a:ext uri="{FF2B5EF4-FFF2-40B4-BE49-F238E27FC236}">
              <a16:creationId xmlns:a16="http://schemas.microsoft.com/office/drawing/2014/main" id="{00000000-0008-0000-1300-0000FC0B0000}"/>
            </a:ext>
          </a:extLst>
        </xdr:cNvPr>
        <xdr:cNvCxnSpPr/>
      </xdr:nvCxnSpPr>
      <xdr:spPr>
        <a:xfrm>
          <a:off x="11324166" y="15986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883</xdr:row>
      <xdr:rowOff>31750</xdr:rowOff>
    </xdr:from>
    <xdr:to>
      <xdr:col>16</xdr:col>
      <xdr:colOff>21167</xdr:colOff>
      <xdr:row>890</xdr:row>
      <xdr:rowOff>95250</xdr:rowOff>
    </xdr:to>
    <xdr:cxnSp macro="">
      <xdr:nvCxnSpPr>
        <xdr:cNvPr id="3070" name="Straight Arrow Connector 3069">
          <a:extLst>
            <a:ext uri="{FF2B5EF4-FFF2-40B4-BE49-F238E27FC236}">
              <a16:creationId xmlns:a16="http://schemas.microsoft.com/office/drawing/2014/main" id="{00000000-0008-0000-1300-0000FE0B0000}"/>
            </a:ext>
          </a:extLst>
        </xdr:cNvPr>
        <xdr:cNvCxnSpPr/>
      </xdr:nvCxnSpPr>
      <xdr:spPr>
        <a:xfrm>
          <a:off x="11324166" y="15986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883</xdr:row>
      <xdr:rowOff>31750</xdr:rowOff>
    </xdr:from>
    <xdr:to>
      <xdr:col>16</xdr:col>
      <xdr:colOff>21167</xdr:colOff>
      <xdr:row>890</xdr:row>
      <xdr:rowOff>95250</xdr:rowOff>
    </xdr:to>
    <xdr:cxnSp macro="">
      <xdr:nvCxnSpPr>
        <xdr:cNvPr id="3072" name="Straight Arrow Connector 3071">
          <a:extLst>
            <a:ext uri="{FF2B5EF4-FFF2-40B4-BE49-F238E27FC236}">
              <a16:creationId xmlns:a16="http://schemas.microsoft.com/office/drawing/2014/main" id="{00000000-0008-0000-1300-0000000C0000}"/>
            </a:ext>
          </a:extLst>
        </xdr:cNvPr>
        <xdr:cNvCxnSpPr/>
      </xdr:nvCxnSpPr>
      <xdr:spPr>
        <a:xfrm>
          <a:off x="11324166" y="15986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883</xdr:row>
      <xdr:rowOff>31750</xdr:rowOff>
    </xdr:from>
    <xdr:to>
      <xdr:col>16</xdr:col>
      <xdr:colOff>21167</xdr:colOff>
      <xdr:row>890</xdr:row>
      <xdr:rowOff>95250</xdr:rowOff>
    </xdr:to>
    <xdr:cxnSp macro="">
      <xdr:nvCxnSpPr>
        <xdr:cNvPr id="3074" name="Straight Arrow Connector 3073">
          <a:extLst>
            <a:ext uri="{FF2B5EF4-FFF2-40B4-BE49-F238E27FC236}">
              <a16:creationId xmlns:a16="http://schemas.microsoft.com/office/drawing/2014/main" id="{00000000-0008-0000-1300-0000020C0000}"/>
            </a:ext>
          </a:extLst>
        </xdr:cNvPr>
        <xdr:cNvCxnSpPr/>
      </xdr:nvCxnSpPr>
      <xdr:spPr>
        <a:xfrm>
          <a:off x="11324166" y="15986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883</xdr:row>
      <xdr:rowOff>31750</xdr:rowOff>
    </xdr:from>
    <xdr:to>
      <xdr:col>16</xdr:col>
      <xdr:colOff>21167</xdr:colOff>
      <xdr:row>890</xdr:row>
      <xdr:rowOff>95250</xdr:rowOff>
    </xdr:to>
    <xdr:cxnSp macro="">
      <xdr:nvCxnSpPr>
        <xdr:cNvPr id="3075" name="Straight Arrow Connector 3074">
          <a:extLst>
            <a:ext uri="{FF2B5EF4-FFF2-40B4-BE49-F238E27FC236}">
              <a16:creationId xmlns:a16="http://schemas.microsoft.com/office/drawing/2014/main" id="{00000000-0008-0000-1300-0000030C0000}"/>
            </a:ext>
          </a:extLst>
        </xdr:cNvPr>
        <xdr:cNvCxnSpPr/>
      </xdr:nvCxnSpPr>
      <xdr:spPr>
        <a:xfrm>
          <a:off x="11324166" y="15986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883</xdr:row>
      <xdr:rowOff>31750</xdr:rowOff>
    </xdr:from>
    <xdr:to>
      <xdr:col>16</xdr:col>
      <xdr:colOff>21167</xdr:colOff>
      <xdr:row>890</xdr:row>
      <xdr:rowOff>95250</xdr:rowOff>
    </xdr:to>
    <xdr:cxnSp macro="">
      <xdr:nvCxnSpPr>
        <xdr:cNvPr id="3076" name="Straight Arrow Connector 3075">
          <a:extLst>
            <a:ext uri="{FF2B5EF4-FFF2-40B4-BE49-F238E27FC236}">
              <a16:creationId xmlns:a16="http://schemas.microsoft.com/office/drawing/2014/main" id="{00000000-0008-0000-1300-0000040C0000}"/>
            </a:ext>
          </a:extLst>
        </xdr:cNvPr>
        <xdr:cNvCxnSpPr/>
      </xdr:nvCxnSpPr>
      <xdr:spPr>
        <a:xfrm>
          <a:off x="11324166" y="15986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883</xdr:row>
      <xdr:rowOff>31750</xdr:rowOff>
    </xdr:from>
    <xdr:to>
      <xdr:col>16</xdr:col>
      <xdr:colOff>21167</xdr:colOff>
      <xdr:row>890</xdr:row>
      <xdr:rowOff>95250</xdr:rowOff>
    </xdr:to>
    <xdr:cxnSp macro="">
      <xdr:nvCxnSpPr>
        <xdr:cNvPr id="3078" name="Straight Arrow Connector 3077">
          <a:extLst>
            <a:ext uri="{FF2B5EF4-FFF2-40B4-BE49-F238E27FC236}">
              <a16:creationId xmlns:a16="http://schemas.microsoft.com/office/drawing/2014/main" id="{00000000-0008-0000-1300-0000060C0000}"/>
            </a:ext>
          </a:extLst>
        </xdr:cNvPr>
        <xdr:cNvCxnSpPr/>
      </xdr:nvCxnSpPr>
      <xdr:spPr>
        <a:xfrm>
          <a:off x="11324166" y="15986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883</xdr:row>
      <xdr:rowOff>31750</xdr:rowOff>
    </xdr:from>
    <xdr:to>
      <xdr:col>16</xdr:col>
      <xdr:colOff>21167</xdr:colOff>
      <xdr:row>890</xdr:row>
      <xdr:rowOff>95250</xdr:rowOff>
    </xdr:to>
    <xdr:cxnSp macro="">
      <xdr:nvCxnSpPr>
        <xdr:cNvPr id="3079" name="Straight Arrow Connector 3078">
          <a:extLst>
            <a:ext uri="{FF2B5EF4-FFF2-40B4-BE49-F238E27FC236}">
              <a16:creationId xmlns:a16="http://schemas.microsoft.com/office/drawing/2014/main" id="{00000000-0008-0000-1300-0000070C0000}"/>
            </a:ext>
          </a:extLst>
        </xdr:cNvPr>
        <xdr:cNvCxnSpPr/>
      </xdr:nvCxnSpPr>
      <xdr:spPr>
        <a:xfrm>
          <a:off x="11324166" y="15986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883</xdr:row>
      <xdr:rowOff>31750</xdr:rowOff>
    </xdr:from>
    <xdr:to>
      <xdr:col>16</xdr:col>
      <xdr:colOff>21167</xdr:colOff>
      <xdr:row>890</xdr:row>
      <xdr:rowOff>95250</xdr:rowOff>
    </xdr:to>
    <xdr:cxnSp macro="">
      <xdr:nvCxnSpPr>
        <xdr:cNvPr id="3080" name="Straight Arrow Connector 3079">
          <a:extLst>
            <a:ext uri="{FF2B5EF4-FFF2-40B4-BE49-F238E27FC236}">
              <a16:creationId xmlns:a16="http://schemas.microsoft.com/office/drawing/2014/main" id="{00000000-0008-0000-1300-0000080C0000}"/>
            </a:ext>
          </a:extLst>
        </xdr:cNvPr>
        <xdr:cNvCxnSpPr/>
      </xdr:nvCxnSpPr>
      <xdr:spPr>
        <a:xfrm>
          <a:off x="11324166" y="15986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883</xdr:row>
      <xdr:rowOff>31750</xdr:rowOff>
    </xdr:from>
    <xdr:to>
      <xdr:col>16</xdr:col>
      <xdr:colOff>21167</xdr:colOff>
      <xdr:row>890</xdr:row>
      <xdr:rowOff>95250</xdr:rowOff>
    </xdr:to>
    <xdr:cxnSp macro="">
      <xdr:nvCxnSpPr>
        <xdr:cNvPr id="3081" name="Straight Arrow Connector 3080">
          <a:extLst>
            <a:ext uri="{FF2B5EF4-FFF2-40B4-BE49-F238E27FC236}">
              <a16:creationId xmlns:a16="http://schemas.microsoft.com/office/drawing/2014/main" id="{00000000-0008-0000-1300-0000090C0000}"/>
            </a:ext>
          </a:extLst>
        </xdr:cNvPr>
        <xdr:cNvCxnSpPr/>
      </xdr:nvCxnSpPr>
      <xdr:spPr>
        <a:xfrm>
          <a:off x="11324166" y="15986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883</xdr:row>
      <xdr:rowOff>31750</xdr:rowOff>
    </xdr:from>
    <xdr:to>
      <xdr:col>16</xdr:col>
      <xdr:colOff>21167</xdr:colOff>
      <xdr:row>890</xdr:row>
      <xdr:rowOff>95250</xdr:rowOff>
    </xdr:to>
    <xdr:cxnSp macro="">
      <xdr:nvCxnSpPr>
        <xdr:cNvPr id="3083" name="Straight Arrow Connector 3082">
          <a:extLst>
            <a:ext uri="{FF2B5EF4-FFF2-40B4-BE49-F238E27FC236}">
              <a16:creationId xmlns:a16="http://schemas.microsoft.com/office/drawing/2014/main" id="{00000000-0008-0000-1300-00000B0C0000}"/>
            </a:ext>
          </a:extLst>
        </xdr:cNvPr>
        <xdr:cNvCxnSpPr/>
      </xdr:nvCxnSpPr>
      <xdr:spPr>
        <a:xfrm>
          <a:off x="11324166" y="15986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883</xdr:row>
      <xdr:rowOff>31750</xdr:rowOff>
    </xdr:from>
    <xdr:to>
      <xdr:col>16</xdr:col>
      <xdr:colOff>21167</xdr:colOff>
      <xdr:row>890</xdr:row>
      <xdr:rowOff>95250</xdr:rowOff>
    </xdr:to>
    <xdr:cxnSp macro="">
      <xdr:nvCxnSpPr>
        <xdr:cNvPr id="3085" name="Straight Arrow Connector 3084">
          <a:extLst>
            <a:ext uri="{FF2B5EF4-FFF2-40B4-BE49-F238E27FC236}">
              <a16:creationId xmlns:a16="http://schemas.microsoft.com/office/drawing/2014/main" id="{00000000-0008-0000-1300-00000D0C0000}"/>
            </a:ext>
          </a:extLst>
        </xdr:cNvPr>
        <xdr:cNvCxnSpPr/>
      </xdr:nvCxnSpPr>
      <xdr:spPr>
        <a:xfrm>
          <a:off x="11324166" y="15986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883</xdr:row>
      <xdr:rowOff>31750</xdr:rowOff>
    </xdr:from>
    <xdr:to>
      <xdr:col>16</xdr:col>
      <xdr:colOff>21167</xdr:colOff>
      <xdr:row>890</xdr:row>
      <xdr:rowOff>95250</xdr:rowOff>
    </xdr:to>
    <xdr:cxnSp macro="">
      <xdr:nvCxnSpPr>
        <xdr:cNvPr id="3087" name="Straight Arrow Connector 3086">
          <a:extLst>
            <a:ext uri="{FF2B5EF4-FFF2-40B4-BE49-F238E27FC236}">
              <a16:creationId xmlns:a16="http://schemas.microsoft.com/office/drawing/2014/main" id="{00000000-0008-0000-1300-00000F0C0000}"/>
            </a:ext>
          </a:extLst>
        </xdr:cNvPr>
        <xdr:cNvCxnSpPr/>
      </xdr:nvCxnSpPr>
      <xdr:spPr>
        <a:xfrm>
          <a:off x="11324166" y="15986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603250</xdr:colOff>
      <xdr:row>912</xdr:row>
      <xdr:rowOff>10584</xdr:rowOff>
    </xdr:from>
    <xdr:to>
      <xdr:col>1</xdr:col>
      <xdr:colOff>603250</xdr:colOff>
      <xdr:row>1005</xdr:row>
      <xdr:rowOff>158750</xdr:rowOff>
    </xdr:to>
    <xdr:cxnSp macro="">
      <xdr:nvCxnSpPr>
        <xdr:cNvPr id="3100" name="Straight Arrow Connector 3099">
          <a:extLst>
            <a:ext uri="{FF2B5EF4-FFF2-40B4-BE49-F238E27FC236}">
              <a16:creationId xmlns:a16="http://schemas.microsoft.com/office/drawing/2014/main" id="{00000000-0008-0000-1300-00001C0C0000}"/>
            </a:ext>
          </a:extLst>
        </xdr:cNvPr>
        <xdr:cNvCxnSpPr/>
      </xdr:nvCxnSpPr>
      <xdr:spPr>
        <a:xfrm flipV="1">
          <a:off x="603250" y="963084"/>
          <a:ext cx="613833" cy="18245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603250</xdr:colOff>
      <xdr:row>1008</xdr:row>
      <xdr:rowOff>169333</xdr:rowOff>
    </xdr:from>
    <xdr:to>
      <xdr:col>1</xdr:col>
      <xdr:colOff>603250</xdr:colOff>
      <xdr:row>1050</xdr:row>
      <xdr:rowOff>148167</xdr:rowOff>
    </xdr:to>
    <xdr:cxnSp macro="">
      <xdr:nvCxnSpPr>
        <xdr:cNvPr id="3101" name="Straight Arrow Connector 3100">
          <a:extLst>
            <a:ext uri="{FF2B5EF4-FFF2-40B4-BE49-F238E27FC236}">
              <a16:creationId xmlns:a16="http://schemas.microsoft.com/office/drawing/2014/main" id="{00000000-0008-0000-1300-00001D0C0000}"/>
            </a:ext>
          </a:extLst>
        </xdr:cNvPr>
        <xdr:cNvCxnSpPr/>
      </xdr:nvCxnSpPr>
      <xdr:spPr>
        <a:xfrm>
          <a:off x="603250" y="19790833"/>
          <a:ext cx="613833" cy="7979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10584</xdr:colOff>
      <xdr:row>984</xdr:row>
      <xdr:rowOff>158750</xdr:rowOff>
    </xdr:from>
    <xdr:to>
      <xdr:col>3</xdr:col>
      <xdr:colOff>603250</xdr:colOff>
      <xdr:row>1051</xdr:row>
      <xdr:rowOff>10583</xdr:rowOff>
    </xdr:to>
    <xdr:cxnSp macro="">
      <xdr:nvCxnSpPr>
        <xdr:cNvPr id="3102" name="Straight Arrow Connector 3101">
          <a:extLst>
            <a:ext uri="{FF2B5EF4-FFF2-40B4-BE49-F238E27FC236}">
              <a16:creationId xmlns:a16="http://schemas.microsoft.com/office/drawing/2014/main" id="{00000000-0008-0000-1300-00001E0C0000}"/>
            </a:ext>
          </a:extLst>
        </xdr:cNvPr>
        <xdr:cNvCxnSpPr/>
      </xdr:nvCxnSpPr>
      <xdr:spPr>
        <a:xfrm flipV="1">
          <a:off x="2381251" y="15017750"/>
          <a:ext cx="592666" cy="12805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21167</xdr:colOff>
      <xdr:row>1053</xdr:row>
      <xdr:rowOff>10583</xdr:rowOff>
    </xdr:from>
    <xdr:to>
      <xdr:col>4</xdr:col>
      <xdr:colOff>63500</xdr:colOff>
      <xdr:row>1204</xdr:row>
      <xdr:rowOff>158750</xdr:rowOff>
    </xdr:to>
    <xdr:cxnSp macro="">
      <xdr:nvCxnSpPr>
        <xdr:cNvPr id="3103" name="Straight Arrow Connector 3102">
          <a:extLst>
            <a:ext uri="{FF2B5EF4-FFF2-40B4-BE49-F238E27FC236}">
              <a16:creationId xmlns:a16="http://schemas.microsoft.com/office/drawing/2014/main" id="{00000000-0008-0000-1300-00001F0C0000}"/>
            </a:ext>
          </a:extLst>
        </xdr:cNvPr>
        <xdr:cNvCxnSpPr/>
      </xdr:nvCxnSpPr>
      <xdr:spPr>
        <a:xfrm>
          <a:off x="2391834" y="28395083"/>
          <a:ext cx="656166" cy="29294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825500</xdr:colOff>
      <xdr:row>947</xdr:row>
      <xdr:rowOff>1</xdr:rowOff>
    </xdr:from>
    <xdr:to>
      <xdr:col>6</xdr:col>
      <xdr:colOff>0</xdr:colOff>
      <xdr:row>981</xdr:row>
      <xdr:rowOff>116417</xdr:rowOff>
    </xdr:to>
    <xdr:cxnSp macro="">
      <xdr:nvCxnSpPr>
        <xdr:cNvPr id="3104" name="Straight Arrow Connector 3103">
          <a:extLst>
            <a:ext uri="{FF2B5EF4-FFF2-40B4-BE49-F238E27FC236}">
              <a16:creationId xmlns:a16="http://schemas.microsoft.com/office/drawing/2014/main" id="{00000000-0008-0000-1300-0000200C0000}"/>
            </a:ext>
          </a:extLst>
        </xdr:cNvPr>
        <xdr:cNvCxnSpPr/>
      </xdr:nvCxnSpPr>
      <xdr:spPr>
        <a:xfrm flipV="1">
          <a:off x="3810000" y="7810501"/>
          <a:ext cx="677333" cy="65934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21167</xdr:colOff>
      <xdr:row>984</xdr:row>
      <xdr:rowOff>169334</xdr:rowOff>
    </xdr:from>
    <xdr:to>
      <xdr:col>5</xdr:col>
      <xdr:colOff>571500</xdr:colOff>
      <xdr:row>1053</xdr:row>
      <xdr:rowOff>0</xdr:rowOff>
    </xdr:to>
    <xdr:cxnSp macro="">
      <xdr:nvCxnSpPr>
        <xdr:cNvPr id="3105" name="Straight Arrow Connector 3104">
          <a:extLst>
            <a:ext uri="{FF2B5EF4-FFF2-40B4-BE49-F238E27FC236}">
              <a16:creationId xmlns:a16="http://schemas.microsoft.com/office/drawing/2014/main" id="{00000000-0008-0000-1300-0000210C0000}"/>
            </a:ext>
          </a:extLst>
        </xdr:cNvPr>
        <xdr:cNvCxnSpPr/>
      </xdr:nvCxnSpPr>
      <xdr:spPr>
        <a:xfrm>
          <a:off x="3894667" y="15028334"/>
          <a:ext cx="550333" cy="133244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922</xdr:row>
      <xdr:rowOff>148167</xdr:rowOff>
    </xdr:from>
    <xdr:to>
      <xdr:col>7</xdr:col>
      <xdr:colOff>603250</xdr:colOff>
      <xdr:row>944</xdr:row>
      <xdr:rowOff>31750</xdr:rowOff>
    </xdr:to>
    <xdr:cxnSp macro="">
      <xdr:nvCxnSpPr>
        <xdr:cNvPr id="3106" name="Straight Arrow Connector 3105">
          <a:extLst>
            <a:ext uri="{FF2B5EF4-FFF2-40B4-BE49-F238E27FC236}">
              <a16:creationId xmlns:a16="http://schemas.microsoft.com/office/drawing/2014/main" id="{00000000-0008-0000-1300-0000220C0000}"/>
            </a:ext>
          </a:extLst>
        </xdr:cNvPr>
        <xdr:cNvCxnSpPr/>
      </xdr:nvCxnSpPr>
      <xdr:spPr>
        <a:xfrm flipV="1">
          <a:off x="5461000" y="3005667"/>
          <a:ext cx="603250" cy="42650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947</xdr:row>
      <xdr:rowOff>10584</xdr:rowOff>
    </xdr:from>
    <xdr:to>
      <xdr:col>8</xdr:col>
      <xdr:colOff>21167</xdr:colOff>
      <xdr:row>975</xdr:row>
      <xdr:rowOff>148166</xdr:rowOff>
    </xdr:to>
    <xdr:cxnSp macro="">
      <xdr:nvCxnSpPr>
        <xdr:cNvPr id="3107" name="Straight Arrow Connector 3106">
          <a:extLst>
            <a:ext uri="{FF2B5EF4-FFF2-40B4-BE49-F238E27FC236}">
              <a16:creationId xmlns:a16="http://schemas.microsoft.com/office/drawing/2014/main" id="{00000000-0008-0000-1300-0000230C0000}"/>
            </a:ext>
          </a:extLst>
        </xdr:cNvPr>
        <xdr:cNvCxnSpPr/>
      </xdr:nvCxnSpPr>
      <xdr:spPr>
        <a:xfrm>
          <a:off x="5461000" y="7821084"/>
          <a:ext cx="635000" cy="547158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914</xdr:row>
      <xdr:rowOff>137583</xdr:rowOff>
    </xdr:from>
    <xdr:to>
      <xdr:col>9</xdr:col>
      <xdr:colOff>603250</xdr:colOff>
      <xdr:row>920</xdr:row>
      <xdr:rowOff>21166</xdr:rowOff>
    </xdr:to>
    <xdr:cxnSp macro="">
      <xdr:nvCxnSpPr>
        <xdr:cNvPr id="3108" name="Straight Arrow Connector 3107">
          <a:extLst>
            <a:ext uri="{FF2B5EF4-FFF2-40B4-BE49-F238E27FC236}">
              <a16:creationId xmlns:a16="http://schemas.microsoft.com/office/drawing/2014/main" id="{00000000-0008-0000-1300-0000240C0000}"/>
            </a:ext>
          </a:extLst>
        </xdr:cNvPr>
        <xdr:cNvCxnSpPr/>
      </xdr:nvCxnSpPr>
      <xdr:spPr>
        <a:xfrm flipV="1">
          <a:off x="6688667" y="1471083"/>
          <a:ext cx="603250" cy="1026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923</xdr:row>
      <xdr:rowOff>0</xdr:rowOff>
    </xdr:from>
    <xdr:to>
      <xdr:col>9</xdr:col>
      <xdr:colOff>582083</xdr:colOff>
      <xdr:row>931</xdr:row>
      <xdr:rowOff>10583</xdr:rowOff>
    </xdr:to>
    <xdr:cxnSp macro="">
      <xdr:nvCxnSpPr>
        <xdr:cNvPr id="3109" name="Straight Arrow Connector 3108">
          <a:extLst>
            <a:ext uri="{FF2B5EF4-FFF2-40B4-BE49-F238E27FC236}">
              <a16:creationId xmlns:a16="http://schemas.microsoft.com/office/drawing/2014/main" id="{00000000-0008-0000-1300-0000250C0000}"/>
            </a:ext>
          </a:extLst>
        </xdr:cNvPr>
        <xdr:cNvCxnSpPr/>
      </xdr:nvCxnSpPr>
      <xdr:spPr>
        <a:xfrm>
          <a:off x="6720417" y="3048000"/>
          <a:ext cx="550333" cy="1534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21167</xdr:colOff>
      <xdr:row>928</xdr:row>
      <xdr:rowOff>169333</xdr:rowOff>
    </xdr:from>
    <xdr:to>
      <xdr:col>11</xdr:col>
      <xdr:colOff>603250</xdr:colOff>
      <xdr:row>931</xdr:row>
      <xdr:rowOff>21167</xdr:rowOff>
    </xdr:to>
    <xdr:cxnSp macro="">
      <xdr:nvCxnSpPr>
        <xdr:cNvPr id="3110" name="Straight Arrow Connector 3109">
          <a:extLst>
            <a:ext uri="{FF2B5EF4-FFF2-40B4-BE49-F238E27FC236}">
              <a16:creationId xmlns:a16="http://schemas.microsoft.com/office/drawing/2014/main" id="{00000000-0008-0000-1300-0000260C0000}"/>
            </a:ext>
          </a:extLst>
        </xdr:cNvPr>
        <xdr:cNvCxnSpPr/>
      </xdr:nvCxnSpPr>
      <xdr:spPr>
        <a:xfrm flipV="1">
          <a:off x="7937500" y="4169833"/>
          <a:ext cx="582083" cy="423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934</xdr:row>
      <xdr:rowOff>42333</xdr:rowOff>
    </xdr:from>
    <xdr:to>
      <xdr:col>11</xdr:col>
      <xdr:colOff>603250</xdr:colOff>
      <xdr:row>946</xdr:row>
      <xdr:rowOff>10583</xdr:rowOff>
    </xdr:to>
    <xdr:cxnSp macro="">
      <xdr:nvCxnSpPr>
        <xdr:cNvPr id="3111" name="Straight Arrow Connector 3110">
          <a:extLst>
            <a:ext uri="{FF2B5EF4-FFF2-40B4-BE49-F238E27FC236}">
              <a16:creationId xmlns:a16="http://schemas.microsoft.com/office/drawing/2014/main" id="{00000000-0008-0000-1300-0000270C0000}"/>
            </a:ext>
          </a:extLst>
        </xdr:cNvPr>
        <xdr:cNvCxnSpPr/>
      </xdr:nvCxnSpPr>
      <xdr:spPr>
        <a:xfrm>
          <a:off x="7926917" y="51858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924</xdr:row>
      <xdr:rowOff>21167</xdr:rowOff>
    </xdr:from>
    <xdr:to>
      <xdr:col>13</xdr:col>
      <xdr:colOff>592667</xdr:colOff>
      <xdr:row>926</xdr:row>
      <xdr:rowOff>0</xdr:rowOff>
    </xdr:to>
    <xdr:cxnSp macro="">
      <xdr:nvCxnSpPr>
        <xdr:cNvPr id="3112" name="Straight Arrow Connector 3111">
          <a:extLst>
            <a:ext uri="{FF2B5EF4-FFF2-40B4-BE49-F238E27FC236}">
              <a16:creationId xmlns:a16="http://schemas.microsoft.com/office/drawing/2014/main" id="{00000000-0008-0000-1300-0000280C0000}"/>
            </a:ext>
          </a:extLst>
        </xdr:cNvPr>
        <xdr:cNvCxnSpPr/>
      </xdr:nvCxnSpPr>
      <xdr:spPr>
        <a:xfrm flipV="1">
          <a:off x="9133417" y="3259667"/>
          <a:ext cx="984250"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929</xdr:row>
      <xdr:rowOff>21166</xdr:rowOff>
    </xdr:from>
    <xdr:to>
      <xdr:col>13</xdr:col>
      <xdr:colOff>592667</xdr:colOff>
      <xdr:row>930</xdr:row>
      <xdr:rowOff>169334</xdr:rowOff>
    </xdr:to>
    <xdr:cxnSp macro="">
      <xdr:nvCxnSpPr>
        <xdr:cNvPr id="3113" name="Straight Arrow Connector 3112">
          <a:extLst>
            <a:ext uri="{FF2B5EF4-FFF2-40B4-BE49-F238E27FC236}">
              <a16:creationId xmlns:a16="http://schemas.microsoft.com/office/drawing/2014/main" id="{00000000-0008-0000-1300-0000290C0000}"/>
            </a:ext>
          </a:extLst>
        </xdr:cNvPr>
        <xdr:cNvCxnSpPr/>
      </xdr:nvCxnSpPr>
      <xdr:spPr>
        <a:xfrm>
          <a:off x="9122833" y="4212166"/>
          <a:ext cx="994834"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944</xdr:row>
      <xdr:rowOff>21167</xdr:rowOff>
    </xdr:from>
    <xdr:to>
      <xdr:col>13</xdr:col>
      <xdr:colOff>592667</xdr:colOff>
      <xdr:row>946</xdr:row>
      <xdr:rowOff>63500</xdr:rowOff>
    </xdr:to>
    <xdr:cxnSp macro="">
      <xdr:nvCxnSpPr>
        <xdr:cNvPr id="3114" name="Straight Arrow Connector 3113">
          <a:extLst>
            <a:ext uri="{FF2B5EF4-FFF2-40B4-BE49-F238E27FC236}">
              <a16:creationId xmlns:a16="http://schemas.microsoft.com/office/drawing/2014/main" id="{00000000-0008-0000-1300-00002A0C0000}"/>
            </a:ext>
          </a:extLst>
        </xdr:cNvPr>
        <xdr:cNvCxnSpPr/>
      </xdr:nvCxnSpPr>
      <xdr:spPr>
        <a:xfrm flipV="1">
          <a:off x="9525000" y="72601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949</xdr:row>
      <xdr:rowOff>0</xdr:rowOff>
    </xdr:from>
    <xdr:to>
      <xdr:col>14</xdr:col>
      <xdr:colOff>10584</xdr:colOff>
      <xdr:row>957</xdr:row>
      <xdr:rowOff>148167</xdr:rowOff>
    </xdr:to>
    <xdr:cxnSp macro="">
      <xdr:nvCxnSpPr>
        <xdr:cNvPr id="3115" name="Straight Arrow Connector 3114">
          <a:extLst>
            <a:ext uri="{FF2B5EF4-FFF2-40B4-BE49-F238E27FC236}">
              <a16:creationId xmlns:a16="http://schemas.microsoft.com/office/drawing/2014/main" id="{00000000-0008-0000-1300-00002B0C0000}"/>
            </a:ext>
          </a:extLst>
        </xdr:cNvPr>
        <xdr:cNvCxnSpPr/>
      </xdr:nvCxnSpPr>
      <xdr:spPr>
        <a:xfrm>
          <a:off x="9535583" y="8191500"/>
          <a:ext cx="613834"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916</xdr:row>
      <xdr:rowOff>0</xdr:rowOff>
    </xdr:from>
    <xdr:to>
      <xdr:col>15</xdr:col>
      <xdr:colOff>603250</xdr:colOff>
      <xdr:row>921</xdr:row>
      <xdr:rowOff>31750</xdr:rowOff>
    </xdr:to>
    <xdr:cxnSp macro="">
      <xdr:nvCxnSpPr>
        <xdr:cNvPr id="3116" name="Straight Arrow Connector 3115">
          <a:extLst>
            <a:ext uri="{FF2B5EF4-FFF2-40B4-BE49-F238E27FC236}">
              <a16:creationId xmlns:a16="http://schemas.microsoft.com/office/drawing/2014/main" id="{00000000-0008-0000-1300-00002C0C0000}"/>
            </a:ext>
          </a:extLst>
        </xdr:cNvPr>
        <xdr:cNvCxnSpPr/>
      </xdr:nvCxnSpPr>
      <xdr:spPr>
        <a:xfrm flipV="1">
          <a:off x="11281833" y="1714500"/>
          <a:ext cx="603250" cy="984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919</xdr:row>
      <xdr:rowOff>52917</xdr:rowOff>
    </xdr:from>
    <xdr:to>
      <xdr:col>15</xdr:col>
      <xdr:colOff>603250</xdr:colOff>
      <xdr:row>921</xdr:row>
      <xdr:rowOff>95250</xdr:rowOff>
    </xdr:to>
    <xdr:cxnSp macro="">
      <xdr:nvCxnSpPr>
        <xdr:cNvPr id="3117" name="Straight Arrow Connector 3116">
          <a:extLst>
            <a:ext uri="{FF2B5EF4-FFF2-40B4-BE49-F238E27FC236}">
              <a16:creationId xmlns:a16="http://schemas.microsoft.com/office/drawing/2014/main" id="{00000000-0008-0000-1300-00002D0C0000}"/>
            </a:ext>
          </a:extLst>
        </xdr:cNvPr>
        <xdr:cNvCxnSpPr/>
      </xdr:nvCxnSpPr>
      <xdr:spPr>
        <a:xfrm flipV="1">
          <a:off x="11324166" y="2338917"/>
          <a:ext cx="56091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921</xdr:row>
      <xdr:rowOff>158750</xdr:rowOff>
    </xdr:from>
    <xdr:to>
      <xdr:col>15</xdr:col>
      <xdr:colOff>582083</xdr:colOff>
      <xdr:row>922</xdr:row>
      <xdr:rowOff>137583</xdr:rowOff>
    </xdr:to>
    <xdr:cxnSp macro="">
      <xdr:nvCxnSpPr>
        <xdr:cNvPr id="3118" name="Straight Arrow Connector 3117">
          <a:extLst>
            <a:ext uri="{FF2B5EF4-FFF2-40B4-BE49-F238E27FC236}">
              <a16:creationId xmlns:a16="http://schemas.microsoft.com/office/drawing/2014/main" id="{00000000-0008-0000-1300-00002E0C0000}"/>
            </a:ext>
          </a:extLst>
        </xdr:cNvPr>
        <xdr:cNvCxnSpPr/>
      </xdr:nvCxnSpPr>
      <xdr:spPr>
        <a:xfrm>
          <a:off x="11345333" y="2825750"/>
          <a:ext cx="518583" cy="169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1121834</xdr:colOff>
      <xdr:row>921</xdr:row>
      <xdr:rowOff>105834</xdr:rowOff>
    </xdr:from>
    <xdr:to>
      <xdr:col>16</xdr:col>
      <xdr:colOff>0</xdr:colOff>
      <xdr:row>925</xdr:row>
      <xdr:rowOff>84667</xdr:rowOff>
    </xdr:to>
    <xdr:cxnSp macro="">
      <xdr:nvCxnSpPr>
        <xdr:cNvPr id="3119" name="Straight Arrow Connector 3118">
          <a:extLst>
            <a:ext uri="{FF2B5EF4-FFF2-40B4-BE49-F238E27FC236}">
              <a16:creationId xmlns:a16="http://schemas.microsoft.com/office/drawing/2014/main" id="{00000000-0008-0000-1300-00002F0C0000}"/>
            </a:ext>
          </a:extLst>
        </xdr:cNvPr>
        <xdr:cNvCxnSpPr/>
      </xdr:nvCxnSpPr>
      <xdr:spPr>
        <a:xfrm>
          <a:off x="11260667" y="2772834"/>
          <a:ext cx="63500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929</xdr:row>
      <xdr:rowOff>52916</xdr:rowOff>
    </xdr:from>
    <xdr:to>
      <xdr:col>16</xdr:col>
      <xdr:colOff>0</xdr:colOff>
      <xdr:row>931</xdr:row>
      <xdr:rowOff>0</xdr:rowOff>
    </xdr:to>
    <xdr:cxnSp macro="">
      <xdr:nvCxnSpPr>
        <xdr:cNvPr id="3120" name="Straight Arrow Connector 3119">
          <a:extLst>
            <a:ext uri="{FF2B5EF4-FFF2-40B4-BE49-F238E27FC236}">
              <a16:creationId xmlns:a16="http://schemas.microsoft.com/office/drawing/2014/main" id="{00000000-0008-0000-1300-0000300C0000}"/>
            </a:ext>
          </a:extLst>
        </xdr:cNvPr>
        <xdr:cNvCxnSpPr/>
      </xdr:nvCxnSpPr>
      <xdr:spPr>
        <a:xfrm flipV="1">
          <a:off x="11281833" y="4243916"/>
          <a:ext cx="613834"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931</xdr:row>
      <xdr:rowOff>21167</xdr:rowOff>
    </xdr:from>
    <xdr:to>
      <xdr:col>15</xdr:col>
      <xdr:colOff>582083</xdr:colOff>
      <xdr:row>932</xdr:row>
      <xdr:rowOff>42333</xdr:rowOff>
    </xdr:to>
    <xdr:cxnSp macro="">
      <xdr:nvCxnSpPr>
        <xdr:cNvPr id="3121" name="Straight Arrow Connector 3120">
          <a:extLst>
            <a:ext uri="{FF2B5EF4-FFF2-40B4-BE49-F238E27FC236}">
              <a16:creationId xmlns:a16="http://schemas.microsoft.com/office/drawing/2014/main" id="{00000000-0008-0000-1300-0000310C0000}"/>
            </a:ext>
          </a:extLst>
        </xdr:cNvPr>
        <xdr:cNvCxnSpPr/>
      </xdr:nvCxnSpPr>
      <xdr:spPr>
        <a:xfrm>
          <a:off x="11292416" y="4593167"/>
          <a:ext cx="571500" cy="211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931</xdr:row>
      <xdr:rowOff>21167</xdr:rowOff>
    </xdr:from>
    <xdr:to>
      <xdr:col>16</xdr:col>
      <xdr:colOff>42333</xdr:colOff>
      <xdr:row>936</xdr:row>
      <xdr:rowOff>21168</xdr:rowOff>
    </xdr:to>
    <xdr:cxnSp macro="">
      <xdr:nvCxnSpPr>
        <xdr:cNvPr id="3122" name="Straight Arrow Connector 3121">
          <a:extLst>
            <a:ext uri="{FF2B5EF4-FFF2-40B4-BE49-F238E27FC236}">
              <a16:creationId xmlns:a16="http://schemas.microsoft.com/office/drawing/2014/main" id="{00000000-0008-0000-1300-0000320C0000}"/>
            </a:ext>
          </a:extLst>
        </xdr:cNvPr>
        <xdr:cNvCxnSpPr/>
      </xdr:nvCxnSpPr>
      <xdr:spPr>
        <a:xfrm>
          <a:off x="11271250" y="4593167"/>
          <a:ext cx="666750" cy="9525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931</xdr:row>
      <xdr:rowOff>31750</xdr:rowOff>
    </xdr:from>
    <xdr:to>
      <xdr:col>16</xdr:col>
      <xdr:colOff>42334</xdr:colOff>
      <xdr:row>938</xdr:row>
      <xdr:rowOff>63501</xdr:rowOff>
    </xdr:to>
    <xdr:cxnSp macro="">
      <xdr:nvCxnSpPr>
        <xdr:cNvPr id="3123" name="Straight Arrow Connector 3122">
          <a:extLst>
            <a:ext uri="{FF2B5EF4-FFF2-40B4-BE49-F238E27FC236}">
              <a16:creationId xmlns:a16="http://schemas.microsoft.com/office/drawing/2014/main" id="{00000000-0008-0000-1300-0000330C0000}"/>
            </a:ext>
          </a:extLst>
        </xdr:cNvPr>
        <xdr:cNvCxnSpPr/>
      </xdr:nvCxnSpPr>
      <xdr:spPr>
        <a:xfrm>
          <a:off x="11281833" y="460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10583</xdr:colOff>
      <xdr:row>968</xdr:row>
      <xdr:rowOff>42333</xdr:rowOff>
    </xdr:from>
    <xdr:to>
      <xdr:col>9</xdr:col>
      <xdr:colOff>592666</xdr:colOff>
      <xdr:row>976</xdr:row>
      <xdr:rowOff>42333</xdr:rowOff>
    </xdr:to>
    <xdr:cxnSp macro="">
      <xdr:nvCxnSpPr>
        <xdr:cNvPr id="3124" name="Straight Arrow Connector 3123">
          <a:extLst>
            <a:ext uri="{FF2B5EF4-FFF2-40B4-BE49-F238E27FC236}">
              <a16:creationId xmlns:a16="http://schemas.microsoft.com/office/drawing/2014/main" id="{00000000-0008-0000-1300-0000340C0000}"/>
            </a:ext>
          </a:extLst>
        </xdr:cNvPr>
        <xdr:cNvCxnSpPr/>
      </xdr:nvCxnSpPr>
      <xdr:spPr>
        <a:xfrm flipV="1">
          <a:off x="6699250" y="11853333"/>
          <a:ext cx="582083" cy="152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978</xdr:row>
      <xdr:rowOff>169334</xdr:rowOff>
    </xdr:from>
    <xdr:to>
      <xdr:col>9</xdr:col>
      <xdr:colOff>603250</xdr:colOff>
      <xdr:row>987</xdr:row>
      <xdr:rowOff>31750</xdr:rowOff>
    </xdr:to>
    <xdr:cxnSp macro="">
      <xdr:nvCxnSpPr>
        <xdr:cNvPr id="3125" name="Straight Arrow Connector 3124">
          <a:extLst>
            <a:ext uri="{FF2B5EF4-FFF2-40B4-BE49-F238E27FC236}">
              <a16:creationId xmlns:a16="http://schemas.microsoft.com/office/drawing/2014/main" id="{00000000-0008-0000-1300-0000350C0000}"/>
            </a:ext>
          </a:extLst>
        </xdr:cNvPr>
        <xdr:cNvCxnSpPr/>
      </xdr:nvCxnSpPr>
      <xdr:spPr>
        <a:xfrm>
          <a:off x="6720417" y="13885334"/>
          <a:ext cx="571500" cy="1576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571500</xdr:colOff>
      <xdr:row>984</xdr:row>
      <xdr:rowOff>158750</xdr:rowOff>
    </xdr:from>
    <xdr:to>
      <xdr:col>11</xdr:col>
      <xdr:colOff>571500</xdr:colOff>
      <xdr:row>987</xdr:row>
      <xdr:rowOff>0</xdr:rowOff>
    </xdr:to>
    <xdr:cxnSp macro="">
      <xdr:nvCxnSpPr>
        <xdr:cNvPr id="3126" name="Straight Arrow Connector 3125">
          <a:extLst>
            <a:ext uri="{FF2B5EF4-FFF2-40B4-BE49-F238E27FC236}">
              <a16:creationId xmlns:a16="http://schemas.microsoft.com/office/drawing/2014/main" id="{00000000-0008-0000-1300-0000360C0000}"/>
            </a:ext>
          </a:extLst>
        </xdr:cNvPr>
        <xdr:cNvCxnSpPr/>
      </xdr:nvCxnSpPr>
      <xdr:spPr>
        <a:xfrm flipV="1">
          <a:off x="7874000" y="15017750"/>
          <a:ext cx="613833" cy="412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942</xdr:row>
      <xdr:rowOff>0</xdr:rowOff>
    </xdr:from>
    <xdr:to>
      <xdr:col>15</xdr:col>
      <xdr:colOff>603250</xdr:colOff>
      <xdr:row>944</xdr:row>
      <xdr:rowOff>1</xdr:rowOff>
    </xdr:to>
    <xdr:cxnSp macro="">
      <xdr:nvCxnSpPr>
        <xdr:cNvPr id="3127" name="Straight Arrow Connector 3126">
          <a:extLst>
            <a:ext uri="{FF2B5EF4-FFF2-40B4-BE49-F238E27FC236}">
              <a16:creationId xmlns:a16="http://schemas.microsoft.com/office/drawing/2014/main" id="{00000000-0008-0000-1300-0000370C0000}"/>
            </a:ext>
          </a:extLst>
        </xdr:cNvPr>
        <xdr:cNvCxnSpPr/>
      </xdr:nvCxnSpPr>
      <xdr:spPr>
        <a:xfrm flipV="1">
          <a:off x="11271250" y="68580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944</xdr:row>
      <xdr:rowOff>10584</xdr:rowOff>
    </xdr:from>
    <xdr:to>
      <xdr:col>15</xdr:col>
      <xdr:colOff>592666</xdr:colOff>
      <xdr:row>945</xdr:row>
      <xdr:rowOff>95250</xdr:rowOff>
    </xdr:to>
    <xdr:cxnSp macro="">
      <xdr:nvCxnSpPr>
        <xdr:cNvPr id="3128" name="Straight Arrow Connector 3127">
          <a:extLst>
            <a:ext uri="{FF2B5EF4-FFF2-40B4-BE49-F238E27FC236}">
              <a16:creationId xmlns:a16="http://schemas.microsoft.com/office/drawing/2014/main" id="{00000000-0008-0000-1300-0000380C0000}"/>
            </a:ext>
          </a:extLst>
        </xdr:cNvPr>
        <xdr:cNvCxnSpPr/>
      </xdr:nvCxnSpPr>
      <xdr:spPr>
        <a:xfrm>
          <a:off x="11313583" y="72495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944</xdr:row>
      <xdr:rowOff>10584</xdr:rowOff>
    </xdr:from>
    <xdr:to>
      <xdr:col>15</xdr:col>
      <xdr:colOff>560916</xdr:colOff>
      <xdr:row>948</xdr:row>
      <xdr:rowOff>52917</xdr:rowOff>
    </xdr:to>
    <xdr:cxnSp macro="">
      <xdr:nvCxnSpPr>
        <xdr:cNvPr id="3129" name="Straight Arrow Connector 3128">
          <a:extLst>
            <a:ext uri="{FF2B5EF4-FFF2-40B4-BE49-F238E27FC236}">
              <a16:creationId xmlns:a16="http://schemas.microsoft.com/office/drawing/2014/main" id="{00000000-0008-0000-1300-0000390C0000}"/>
            </a:ext>
          </a:extLst>
        </xdr:cNvPr>
        <xdr:cNvCxnSpPr/>
      </xdr:nvCxnSpPr>
      <xdr:spPr>
        <a:xfrm>
          <a:off x="11292416" y="72495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944</xdr:row>
      <xdr:rowOff>31750</xdr:rowOff>
    </xdr:from>
    <xdr:to>
      <xdr:col>16</xdr:col>
      <xdr:colOff>21167</xdr:colOff>
      <xdr:row>951</xdr:row>
      <xdr:rowOff>95250</xdr:rowOff>
    </xdr:to>
    <xdr:cxnSp macro="">
      <xdr:nvCxnSpPr>
        <xdr:cNvPr id="3130" name="Straight Arrow Connector 3129">
          <a:extLst>
            <a:ext uri="{FF2B5EF4-FFF2-40B4-BE49-F238E27FC236}">
              <a16:creationId xmlns:a16="http://schemas.microsoft.com/office/drawing/2014/main" id="{00000000-0008-0000-1300-00003A0C0000}"/>
            </a:ext>
          </a:extLst>
        </xdr:cNvPr>
        <xdr:cNvCxnSpPr/>
      </xdr:nvCxnSpPr>
      <xdr:spPr>
        <a:xfrm>
          <a:off x="11324166" y="727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958</xdr:row>
      <xdr:rowOff>0</xdr:rowOff>
    </xdr:from>
    <xdr:to>
      <xdr:col>16</xdr:col>
      <xdr:colOff>0</xdr:colOff>
      <xdr:row>958</xdr:row>
      <xdr:rowOff>42334</xdr:rowOff>
    </xdr:to>
    <xdr:cxnSp macro="">
      <xdr:nvCxnSpPr>
        <xdr:cNvPr id="3131" name="Straight Arrow Connector 3130">
          <a:extLst>
            <a:ext uri="{FF2B5EF4-FFF2-40B4-BE49-F238E27FC236}">
              <a16:creationId xmlns:a16="http://schemas.microsoft.com/office/drawing/2014/main" id="{00000000-0008-0000-1300-00003B0C0000}"/>
            </a:ext>
          </a:extLst>
        </xdr:cNvPr>
        <xdr:cNvCxnSpPr/>
      </xdr:nvCxnSpPr>
      <xdr:spPr>
        <a:xfrm>
          <a:off x="11302999" y="9906000"/>
          <a:ext cx="592668"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958</xdr:row>
      <xdr:rowOff>21166</xdr:rowOff>
    </xdr:from>
    <xdr:to>
      <xdr:col>15</xdr:col>
      <xdr:colOff>560916</xdr:colOff>
      <xdr:row>961</xdr:row>
      <xdr:rowOff>84667</xdr:rowOff>
    </xdr:to>
    <xdr:cxnSp macro="">
      <xdr:nvCxnSpPr>
        <xdr:cNvPr id="3132" name="Straight Arrow Connector 3131">
          <a:extLst>
            <a:ext uri="{FF2B5EF4-FFF2-40B4-BE49-F238E27FC236}">
              <a16:creationId xmlns:a16="http://schemas.microsoft.com/office/drawing/2014/main" id="{00000000-0008-0000-1300-00003C0C0000}"/>
            </a:ext>
          </a:extLst>
        </xdr:cNvPr>
        <xdr:cNvCxnSpPr/>
      </xdr:nvCxnSpPr>
      <xdr:spPr>
        <a:xfrm>
          <a:off x="11355916" y="99271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958</xdr:row>
      <xdr:rowOff>52916</xdr:rowOff>
    </xdr:from>
    <xdr:to>
      <xdr:col>15</xdr:col>
      <xdr:colOff>592666</xdr:colOff>
      <xdr:row>964</xdr:row>
      <xdr:rowOff>63501</xdr:rowOff>
    </xdr:to>
    <xdr:cxnSp macro="">
      <xdr:nvCxnSpPr>
        <xdr:cNvPr id="3133" name="Straight Arrow Connector 3132">
          <a:extLst>
            <a:ext uri="{FF2B5EF4-FFF2-40B4-BE49-F238E27FC236}">
              <a16:creationId xmlns:a16="http://schemas.microsoft.com/office/drawing/2014/main" id="{00000000-0008-0000-1300-00003D0C0000}"/>
            </a:ext>
          </a:extLst>
        </xdr:cNvPr>
        <xdr:cNvCxnSpPr/>
      </xdr:nvCxnSpPr>
      <xdr:spPr>
        <a:xfrm>
          <a:off x="11313583" y="99589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972</xdr:row>
      <xdr:rowOff>116416</xdr:rowOff>
    </xdr:from>
    <xdr:to>
      <xdr:col>15</xdr:col>
      <xdr:colOff>592666</xdr:colOff>
      <xdr:row>975</xdr:row>
      <xdr:rowOff>158750</xdr:rowOff>
    </xdr:to>
    <xdr:cxnSp macro="">
      <xdr:nvCxnSpPr>
        <xdr:cNvPr id="3134" name="Straight Arrow Connector 3133">
          <a:extLst>
            <a:ext uri="{FF2B5EF4-FFF2-40B4-BE49-F238E27FC236}">
              <a16:creationId xmlns:a16="http://schemas.microsoft.com/office/drawing/2014/main" id="{00000000-0008-0000-1300-00003E0C0000}"/>
            </a:ext>
          </a:extLst>
        </xdr:cNvPr>
        <xdr:cNvCxnSpPr/>
      </xdr:nvCxnSpPr>
      <xdr:spPr>
        <a:xfrm flipV="1">
          <a:off x="11302999" y="12689416"/>
          <a:ext cx="571500" cy="613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974</xdr:row>
      <xdr:rowOff>95250</xdr:rowOff>
    </xdr:from>
    <xdr:to>
      <xdr:col>15</xdr:col>
      <xdr:colOff>582083</xdr:colOff>
      <xdr:row>976</xdr:row>
      <xdr:rowOff>52917</xdr:rowOff>
    </xdr:to>
    <xdr:cxnSp macro="">
      <xdr:nvCxnSpPr>
        <xdr:cNvPr id="3135" name="Straight Arrow Connector 3134">
          <a:extLst>
            <a:ext uri="{FF2B5EF4-FFF2-40B4-BE49-F238E27FC236}">
              <a16:creationId xmlns:a16="http://schemas.microsoft.com/office/drawing/2014/main" id="{00000000-0008-0000-1300-00003F0C0000}"/>
            </a:ext>
          </a:extLst>
        </xdr:cNvPr>
        <xdr:cNvCxnSpPr/>
      </xdr:nvCxnSpPr>
      <xdr:spPr>
        <a:xfrm flipV="1">
          <a:off x="11345333" y="13049250"/>
          <a:ext cx="518583" cy="338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976</xdr:row>
      <xdr:rowOff>116417</xdr:rowOff>
    </xdr:from>
    <xdr:to>
      <xdr:col>15</xdr:col>
      <xdr:colOff>592666</xdr:colOff>
      <xdr:row>980</xdr:row>
      <xdr:rowOff>95250</xdr:rowOff>
    </xdr:to>
    <xdr:cxnSp macro="">
      <xdr:nvCxnSpPr>
        <xdr:cNvPr id="3136" name="Straight Arrow Connector 3135">
          <a:extLst>
            <a:ext uri="{FF2B5EF4-FFF2-40B4-BE49-F238E27FC236}">
              <a16:creationId xmlns:a16="http://schemas.microsoft.com/office/drawing/2014/main" id="{00000000-0008-0000-1300-0000400C0000}"/>
            </a:ext>
          </a:extLst>
        </xdr:cNvPr>
        <xdr:cNvCxnSpPr/>
      </xdr:nvCxnSpPr>
      <xdr:spPr>
        <a:xfrm>
          <a:off x="11334749" y="13451417"/>
          <a:ext cx="53975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987</xdr:row>
      <xdr:rowOff>116416</xdr:rowOff>
    </xdr:from>
    <xdr:to>
      <xdr:col>16</xdr:col>
      <xdr:colOff>0</xdr:colOff>
      <xdr:row>994</xdr:row>
      <xdr:rowOff>74084</xdr:rowOff>
    </xdr:to>
    <xdr:cxnSp macro="">
      <xdr:nvCxnSpPr>
        <xdr:cNvPr id="3137" name="Straight Arrow Connector 3136">
          <a:extLst>
            <a:ext uri="{FF2B5EF4-FFF2-40B4-BE49-F238E27FC236}">
              <a16:creationId xmlns:a16="http://schemas.microsoft.com/office/drawing/2014/main" id="{00000000-0008-0000-1300-0000410C0000}"/>
            </a:ext>
          </a:extLst>
        </xdr:cNvPr>
        <xdr:cNvCxnSpPr/>
      </xdr:nvCxnSpPr>
      <xdr:spPr>
        <a:xfrm>
          <a:off x="11313583" y="15546916"/>
          <a:ext cx="582084" cy="12911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955</xdr:row>
      <xdr:rowOff>52917</xdr:rowOff>
    </xdr:from>
    <xdr:to>
      <xdr:col>15</xdr:col>
      <xdr:colOff>603250</xdr:colOff>
      <xdr:row>957</xdr:row>
      <xdr:rowOff>148167</xdr:rowOff>
    </xdr:to>
    <xdr:cxnSp macro="">
      <xdr:nvCxnSpPr>
        <xdr:cNvPr id="3138" name="Straight Arrow Connector 3137">
          <a:extLst>
            <a:ext uri="{FF2B5EF4-FFF2-40B4-BE49-F238E27FC236}">
              <a16:creationId xmlns:a16="http://schemas.microsoft.com/office/drawing/2014/main" id="{00000000-0008-0000-1300-0000420C0000}"/>
            </a:ext>
          </a:extLst>
        </xdr:cNvPr>
        <xdr:cNvCxnSpPr/>
      </xdr:nvCxnSpPr>
      <xdr:spPr>
        <a:xfrm flipV="1">
          <a:off x="11324166" y="93874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990</xdr:row>
      <xdr:rowOff>42333</xdr:rowOff>
    </xdr:from>
    <xdr:to>
      <xdr:col>11</xdr:col>
      <xdr:colOff>603250</xdr:colOff>
      <xdr:row>1002</xdr:row>
      <xdr:rowOff>10583</xdr:rowOff>
    </xdr:to>
    <xdr:cxnSp macro="">
      <xdr:nvCxnSpPr>
        <xdr:cNvPr id="3139" name="Straight Arrow Connector 3138">
          <a:extLst>
            <a:ext uri="{FF2B5EF4-FFF2-40B4-BE49-F238E27FC236}">
              <a16:creationId xmlns:a16="http://schemas.microsoft.com/office/drawing/2014/main" id="{00000000-0008-0000-1300-0000430C0000}"/>
            </a:ext>
          </a:extLst>
        </xdr:cNvPr>
        <xdr:cNvCxnSpPr/>
      </xdr:nvCxnSpPr>
      <xdr:spPr>
        <a:xfrm>
          <a:off x="7926917" y="160443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980</xdr:row>
      <xdr:rowOff>21167</xdr:rowOff>
    </xdr:from>
    <xdr:to>
      <xdr:col>13</xdr:col>
      <xdr:colOff>592667</xdr:colOff>
      <xdr:row>982</xdr:row>
      <xdr:rowOff>0</xdr:rowOff>
    </xdr:to>
    <xdr:cxnSp macro="">
      <xdr:nvCxnSpPr>
        <xdr:cNvPr id="3140" name="Straight Arrow Connector 3139">
          <a:extLst>
            <a:ext uri="{FF2B5EF4-FFF2-40B4-BE49-F238E27FC236}">
              <a16:creationId xmlns:a16="http://schemas.microsoft.com/office/drawing/2014/main" id="{00000000-0008-0000-1300-0000440C0000}"/>
            </a:ext>
          </a:extLst>
        </xdr:cNvPr>
        <xdr:cNvCxnSpPr/>
      </xdr:nvCxnSpPr>
      <xdr:spPr>
        <a:xfrm flipV="1">
          <a:off x="9133417" y="14118167"/>
          <a:ext cx="984250"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985</xdr:row>
      <xdr:rowOff>21166</xdr:rowOff>
    </xdr:from>
    <xdr:to>
      <xdr:col>13</xdr:col>
      <xdr:colOff>592667</xdr:colOff>
      <xdr:row>986</xdr:row>
      <xdr:rowOff>169334</xdr:rowOff>
    </xdr:to>
    <xdr:cxnSp macro="">
      <xdr:nvCxnSpPr>
        <xdr:cNvPr id="3141" name="Straight Arrow Connector 3140">
          <a:extLst>
            <a:ext uri="{FF2B5EF4-FFF2-40B4-BE49-F238E27FC236}">
              <a16:creationId xmlns:a16="http://schemas.microsoft.com/office/drawing/2014/main" id="{00000000-0008-0000-1300-0000450C0000}"/>
            </a:ext>
          </a:extLst>
        </xdr:cNvPr>
        <xdr:cNvCxnSpPr/>
      </xdr:nvCxnSpPr>
      <xdr:spPr>
        <a:xfrm>
          <a:off x="9122833" y="15070666"/>
          <a:ext cx="994834"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1000</xdr:row>
      <xdr:rowOff>21167</xdr:rowOff>
    </xdr:from>
    <xdr:to>
      <xdr:col>13</xdr:col>
      <xdr:colOff>592667</xdr:colOff>
      <xdr:row>1002</xdr:row>
      <xdr:rowOff>63500</xdr:rowOff>
    </xdr:to>
    <xdr:cxnSp macro="">
      <xdr:nvCxnSpPr>
        <xdr:cNvPr id="3142" name="Straight Arrow Connector 3141">
          <a:extLst>
            <a:ext uri="{FF2B5EF4-FFF2-40B4-BE49-F238E27FC236}">
              <a16:creationId xmlns:a16="http://schemas.microsoft.com/office/drawing/2014/main" id="{00000000-0008-0000-1300-0000460C0000}"/>
            </a:ext>
          </a:extLst>
        </xdr:cNvPr>
        <xdr:cNvCxnSpPr/>
      </xdr:nvCxnSpPr>
      <xdr:spPr>
        <a:xfrm flipV="1">
          <a:off x="9525000" y="181186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1005</xdr:row>
      <xdr:rowOff>0</xdr:rowOff>
    </xdr:from>
    <xdr:to>
      <xdr:col>14</xdr:col>
      <xdr:colOff>10584</xdr:colOff>
      <xdr:row>1013</xdr:row>
      <xdr:rowOff>148167</xdr:rowOff>
    </xdr:to>
    <xdr:cxnSp macro="">
      <xdr:nvCxnSpPr>
        <xdr:cNvPr id="3143" name="Straight Arrow Connector 3142">
          <a:extLst>
            <a:ext uri="{FF2B5EF4-FFF2-40B4-BE49-F238E27FC236}">
              <a16:creationId xmlns:a16="http://schemas.microsoft.com/office/drawing/2014/main" id="{00000000-0008-0000-1300-0000470C0000}"/>
            </a:ext>
          </a:extLst>
        </xdr:cNvPr>
        <xdr:cNvCxnSpPr/>
      </xdr:nvCxnSpPr>
      <xdr:spPr>
        <a:xfrm>
          <a:off x="9535583" y="19050000"/>
          <a:ext cx="613834"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976</xdr:row>
      <xdr:rowOff>95250</xdr:rowOff>
    </xdr:from>
    <xdr:to>
      <xdr:col>15</xdr:col>
      <xdr:colOff>582083</xdr:colOff>
      <xdr:row>978</xdr:row>
      <xdr:rowOff>137583</xdr:rowOff>
    </xdr:to>
    <xdr:cxnSp macro="">
      <xdr:nvCxnSpPr>
        <xdr:cNvPr id="3144" name="Straight Arrow Connector 3143">
          <a:extLst>
            <a:ext uri="{FF2B5EF4-FFF2-40B4-BE49-F238E27FC236}">
              <a16:creationId xmlns:a16="http://schemas.microsoft.com/office/drawing/2014/main" id="{00000000-0008-0000-1300-0000480C0000}"/>
            </a:ext>
          </a:extLst>
        </xdr:cNvPr>
        <xdr:cNvCxnSpPr/>
      </xdr:nvCxnSpPr>
      <xdr:spPr>
        <a:xfrm>
          <a:off x="11334749" y="13430250"/>
          <a:ext cx="5291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985</xdr:row>
      <xdr:rowOff>52916</xdr:rowOff>
    </xdr:from>
    <xdr:to>
      <xdr:col>16</xdr:col>
      <xdr:colOff>0</xdr:colOff>
      <xdr:row>987</xdr:row>
      <xdr:rowOff>0</xdr:rowOff>
    </xdr:to>
    <xdr:cxnSp macro="">
      <xdr:nvCxnSpPr>
        <xdr:cNvPr id="3145" name="Straight Arrow Connector 3144">
          <a:extLst>
            <a:ext uri="{FF2B5EF4-FFF2-40B4-BE49-F238E27FC236}">
              <a16:creationId xmlns:a16="http://schemas.microsoft.com/office/drawing/2014/main" id="{00000000-0008-0000-1300-0000490C0000}"/>
            </a:ext>
          </a:extLst>
        </xdr:cNvPr>
        <xdr:cNvCxnSpPr/>
      </xdr:nvCxnSpPr>
      <xdr:spPr>
        <a:xfrm flipV="1">
          <a:off x="11281833" y="15102416"/>
          <a:ext cx="613834"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987</xdr:row>
      <xdr:rowOff>21167</xdr:rowOff>
    </xdr:from>
    <xdr:to>
      <xdr:col>15</xdr:col>
      <xdr:colOff>592666</xdr:colOff>
      <xdr:row>988</xdr:row>
      <xdr:rowOff>84667</xdr:rowOff>
    </xdr:to>
    <xdr:cxnSp macro="">
      <xdr:nvCxnSpPr>
        <xdr:cNvPr id="3146" name="Straight Arrow Connector 3145">
          <a:extLst>
            <a:ext uri="{FF2B5EF4-FFF2-40B4-BE49-F238E27FC236}">
              <a16:creationId xmlns:a16="http://schemas.microsoft.com/office/drawing/2014/main" id="{00000000-0008-0000-1300-00004A0C0000}"/>
            </a:ext>
          </a:extLst>
        </xdr:cNvPr>
        <xdr:cNvCxnSpPr/>
      </xdr:nvCxnSpPr>
      <xdr:spPr>
        <a:xfrm>
          <a:off x="11271250" y="15451667"/>
          <a:ext cx="603249" cy="25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987</xdr:row>
      <xdr:rowOff>0</xdr:rowOff>
    </xdr:from>
    <xdr:to>
      <xdr:col>16</xdr:col>
      <xdr:colOff>0</xdr:colOff>
      <xdr:row>991</xdr:row>
      <xdr:rowOff>42334</xdr:rowOff>
    </xdr:to>
    <xdr:cxnSp macro="">
      <xdr:nvCxnSpPr>
        <xdr:cNvPr id="3147" name="Straight Arrow Connector 3146">
          <a:extLst>
            <a:ext uri="{FF2B5EF4-FFF2-40B4-BE49-F238E27FC236}">
              <a16:creationId xmlns:a16="http://schemas.microsoft.com/office/drawing/2014/main" id="{00000000-0008-0000-1300-00004B0C0000}"/>
            </a:ext>
          </a:extLst>
        </xdr:cNvPr>
        <xdr:cNvCxnSpPr/>
      </xdr:nvCxnSpPr>
      <xdr:spPr>
        <a:xfrm>
          <a:off x="11271250" y="15430500"/>
          <a:ext cx="624417" cy="804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1000</xdr:row>
      <xdr:rowOff>10584</xdr:rowOff>
    </xdr:from>
    <xdr:to>
      <xdr:col>15</xdr:col>
      <xdr:colOff>560916</xdr:colOff>
      <xdr:row>1004</xdr:row>
      <xdr:rowOff>52917</xdr:rowOff>
    </xdr:to>
    <xdr:cxnSp macro="">
      <xdr:nvCxnSpPr>
        <xdr:cNvPr id="3150" name="Straight Arrow Connector 3149">
          <a:extLst>
            <a:ext uri="{FF2B5EF4-FFF2-40B4-BE49-F238E27FC236}">
              <a16:creationId xmlns:a16="http://schemas.microsoft.com/office/drawing/2014/main" id="{00000000-0008-0000-1300-00004E0C0000}"/>
            </a:ext>
          </a:extLst>
        </xdr:cNvPr>
        <xdr:cNvCxnSpPr/>
      </xdr:nvCxnSpPr>
      <xdr:spPr>
        <a:xfrm>
          <a:off x="11292416" y="181080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1000</xdr:row>
      <xdr:rowOff>31750</xdr:rowOff>
    </xdr:from>
    <xdr:to>
      <xdr:col>16</xdr:col>
      <xdr:colOff>21167</xdr:colOff>
      <xdr:row>1007</xdr:row>
      <xdr:rowOff>95250</xdr:rowOff>
    </xdr:to>
    <xdr:cxnSp macro="">
      <xdr:nvCxnSpPr>
        <xdr:cNvPr id="3151" name="Straight Arrow Connector 3150">
          <a:extLst>
            <a:ext uri="{FF2B5EF4-FFF2-40B4-BE49-F238E27FC236}">
              <a16:creationId xmlns:a16="http://schemas.microsoft.com/office/drawing/2014/main" id="{00000000-0008-0000-1300-00004F0C0000}"/>
            </a:ext>
          </a:extLst>
        </xdr:cNvPr>
        <xdr:cNvCxnSpPr/>
      </xdr:nvCxnSpPr>
      <xdr:spPr>
        <a:xfrm>
          <a:off x="11324166" y="18129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1014</xdr:row>
      <xdr:rowOff>0</xdr:rowOff>
    </xdr:from>
    <xdr:to>
      <xdr:col>16</xdr:col>
      <xdr:colOff>0</xdr:colOff>
      <xdr:row>1014</xdr:row>
      <xdr:rowOff>42334</xdr:rowOff>
    </xdr:to>
    <xdr:cxnSp macro="">
      <xdr:nvCxnSpPr>
        <xdr:cNvPr id="3152" name="Straight Arrow Connector 3151">
          <a:extLst>
            <a:ext uri="{FF2B5EF4-FFF2-40B4-BE49-F238E27FC236}">
              <a16:creationId xmlns:a16="http://schemas.microsoft.com/office/drawing/2014/main" id="{00000000-0008-0000-1300-0000500C0000}"/>
            </a:ext>
          </a:extLst>
        </xdr:cNvPr>
        <xdr:cNvCxnSpPr/>
      </xdr:nvCxnSpPr>
      <xdr:spPr>
        <a:xfrm>
          <a:off x="11302999" y="20764500"/>
          <a:ext cx="592668"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1014</xdr:row>
      <xdr:rowOff>21166</xdr:rowOff>
    </xdr:from>
    <xdr:to>
      <xdr:col>15</xdr:col>
      <xdr:colOff>560916</xdr:colOff>
      <xdr:row>1017</xdr:row>
      <xdr:rowOff>84667</xdr:rowOff>
    </xdr:to>
    <xdr:cxnSp macro="">
      <xdr:nvCxnSpPr>
        <xdr:cNvPr id="3153" name="Straight Arrow Connector 3152">
          <a:extLst>
            <a:ext uri="{FF2B5EF4-FFF2-40B4-BE49-F238E27FC236}">
              <a16:creationId xmlns:a16="http://schemas.microsoft.com/office/drawing/2014/main" id="{00000000-0008-0000-1300-0000510C0000}"/>
            </a:ext>
          </a:extLst>
        </xdr:cNvPr>
        <xdr:cNvCxnSpPr/>
      </xdr:nvCxnSpPr>
      <xdr:spPr>
        <a:xfrm>
          <a:off x="11355916" y="207856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1014</xdr:row>
      <xdr:rowOff>52916</xdr:rowOff>
    </xdr:from>
    <xdr:to>
      <xdr:col>15</xdr:col>
      <xdr:colOff>592666</xdr:colOff>
      <xdr:row>1020</xdr:row>
      <xdr:rowOff>63501</xdr:rowOff>
    </xdr:to>
    <xdr:cxnSp macro="">
      <xdr:nvCxnSpPr>
        <xdr:cNvPr id="3154" name="Straight Arrow Connector 3153">
          <a:extLst>
            <a:ext uri="{FF2B5EF4-FFF2-40B4-BE49-F238E27FC236}">
              <a16:creationId xmlns:a16="http://schemas.microsoft.com/office/drawing/2014/main" id="{00000000-0008-0000-1300-0000520C0000}"/>
            </a:ext>
          </a:extLst>
        </xdr:cNvPr>
        <xdr:cNvCxnSpPr/>
      </xdr:nvCxnSpPr>
      <xdr:spPr>
        <a:xfrm>
          <a:off x="11313583" y="208174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1011</xdr:row>
      <xdr:rowOff>52917</xdr:rowOff>
    </xdr:from>
    <xdr:to>
      <xdr:col>15</xdr:col>
      <xdr:colOff>603250</xdr:colOff>
      <xdr:row>1013</xdr:row>
      <xdr:rowOff>148167</xdr:rowOff>
    </xdr:to>
    <xdr:cxnSp macro="">
      <xdr:nvCxnSpPr>
        <xdr:cNvPr id="3155" name="Straight Arrow Connector 3154">
          <a:extLst>
            <a:ext uri="{FF2B5EF4-FFF2-40B4-BE49-F238E27FC236}">
              <a16:creationId xmlns:a16="http://schemas.microsoft.com/office/drawing/2014/main" id="{00000000-0008-0000-1300-0000530C0000}"/>
            </a:ext>
          </a:extLst>
        </xdr:cNvPr>
        <xdr:cNvCxnSpPr/>
      </xdr:nvCxnSpPr>
      <xdr:spPr>
        <a:xfrm flipV="1">
          <a:off x="11324166" y="202459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698500</xdr:colOff>
      <xdr:row>1055</xdr:row>
      <xdr:rowOff>95250</xdr:rowOff>
    </xdr:from>
    <xdr:to>
      <xdr:col>8</xdr:col>
      <xdr:colOff>21167</xdr:colOff>
      <xdr:row>1087</xdr:row>
      <xdr:rowOff>148166</xdr:rowOff>
    </xdr:to>
    <xdr:cxnSp macro="">
      <xdr:nvCxnSpPr>
        <xdr:cNvPr id="3156" name="Straight Arrow Connector 3155">
          <a:extLst>
            <a:ext uri="{FF2B5EF4-FFF2-40B4-BE49-F238E27FC236}">
              <a16:creationId xmlns:a16="http://schemas.microsoft.com/office/drawing/2014/main" id="{00000000-0008-0000-1300-0000540C0000}"/>
            </a:ext>
          </a:extLst>
        </xdr:cNvPr>
        <xdr:cNvCxnSpPr/>
      </xdr:nvCxnSpPr>
      <xdr:spPr>
        <a:xfrm>
          <a:off x="5185833" y="28860750"/>
          <a:ext cx="910167" cy="6148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1026</xdr:row>
      <xdr:rowOff>137583</xdr:rowOff>
    </xdr:from>
    <xdr:to>
      <xdr:col>9</xdr:col>
      <xdr:colOff>603250</xdr:colOff>
      <xdr:row>1032</xdr:row>
      <xdr:rowOff>21166</xdr:rowOff>
    </xdr:to>
    <xdr:cxnSp macro="">
      <xdr:nvCxnSpPr>
        <xdr:cNvPr id="3157" name="Straight Arrow Connector 3156">
          <a:extLst>
            <a:ext uri="{FF2B5EF4-FFF2-40B4-BE49-F238E27FC236}">
              <a16:creationId xmlns:a16="http://schemas.microsoft.com/office/drawing/2014/main" id="{00000000-0008-0000-1300-0000550C0000}"/>
            </a:ext>
          </a:extLst>
        </xdr:cNvPr>
        <xdr:cNvCxnSpPr/>
      </xdr:nvCxnSpPr>
      <xdr:spPr>
        <a:xfrm flipV="1">
          <a:off x="6688667" y="23188083"/>
          <a:ext cx="603250" cy="1026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1035</xdr:row>
      <xdr:rowOff>0</xdr:rowOff>
    </xdr:from>
    <xdr:to>
      <xdr:col>9</xdr:col>
      <xdr:colOff>582083</xdr:colOff>
      <xdr:row>1043</xdr:row>
      <xdr:rowOff>10583</xdr:rowOff>
    </xdr:to>
    <xdr:cxnSp macro="">
      <xdr:nvCxnSpPr>
        <xdr:cNvPr id="3158" name="Straight Arrow Connector 3157">
          <a:extLst>
            <a:ext uri="{FF2B5EF4-FFF2-40B4-BE49-F238E27FC236}">
              <a16:creationId xmlns:a16="http://schemas.microsoft.com/office/drawing/2014/main" id="{00000000-0008-0000-1300-0000560C0000}"/>
            </a:ext>
          </a:extLst>
        </xdr:cNvPr>
        <xdr:cNvCxnSpPr/>
      </xdr:nvCxnSpPr>
      <xdr:spPr>
        <a:xfrm>
          <a:off x="6720417" y="24765000"/>
          <a:ext cx="550333" cy="1534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21167</xdr:colOff>
      <xdr:row>1040</xdr:row>
      <xdr:rowOff>169333</xdr:rowOff>
    </xdr:from>
    <xdr:to>
      <xdr:col>11</xdr:col>
      <xdr:colOff>603250</xdr:colOff>
      <xdr:row>1043</xdr:row>
      <xdr:rowOff>21167</xdr:rowOff>
    </xdr:to>
    <xdr:cxnSp macro="">
      <xdr:nvCxnSpPr>
        <xdr:cNvPr id="3159" name="Straight Arrow Connector 3158">
          <a:extLst>
            <a:ext uri="{FF2B5EF4-FFF2-40B4-BE49-F238E27FC236}">
              <a16:creationId xmlns:a16="http://schemas.microsoft.com/office/drawing/2014/main" id="{00000000-0008-0000-1300-0000570C0000}"/>
            </a:ext>
          </a:extLst>
        </xdr:cNvPr>
        <xdr:cNvCxnSpPr/>
      </xdr:nvCxnSpPr>
      <xdr:spPr>
        <a:xfrm flipV="1">
          <a:off x="7937500" y="25886833"/>
          <a:ext cx="582083" cy="423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1046</xdr:row>
      <xdr:rowOff>42333</xdr:rowOff>
    </xdr:from>
    <xdr:to>
      <xdr:col>11</xdr:col>
      <xdr:colOff>603250</xdr:colOff>
      <xdr:row>1058</xdr:row>
      <xdr:rowOff>10583</xdr:rowOff>
    </xdr:to>
    <xdr:cxnSp macro="">
      <xdr:nvCxnSpPr>
        <xdr:cNvPr id="3160" name="Straight Arrow Connector 3159">
          <a:extLst>
            <a:ext uri="{FF2B5EF4-FFF2-40B4-BE49-F238E27FC236}">
              <a16:creationId xmlns:a16="http://schemas.microsoft.com/office/drawing/2014/main" id="{00000000-0008-0000-1300-0000580C0000}"/>
            </a:ext>
          </a:extLst>
        </xdr:cNvPr>
        <xdr:cNvCxnSpPr/>
      </xdr:nvCxnSpPr>
      <xdr:spPr>
        <a:xfrm>
          <a:off x="7926917" y="269028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1036</xdr:row>
      <xdr:rowOff>21167</xdr:rowOff>
    </xdr:from>
    <xdr:to>
      <xdr:col>13</xdr:col>
      <xdr:colOff>592667</xdr:colOff>
      <xdr:row>1038</xdr:row>
      <xdr:rowOff>0</xdr:rowOff>
    </xdr:to>
    <xdr:cxnSp macro="">
      <xdr:nvCxnSpPr>
        <xdr:cNvPr id="3161" name="Straight Arrow Connector 3160">
          <a:extLst>
            <a:ext uri="{FF2B5EF4-FFF2-40B4-BE49-F238E27FC236}">
              <a16:creationId xmlns:a16="http://schemas.microsoft.com/office/drawing/2014/main" id="{00000000-0008-0000-1300-0000590C0000}"/>
            </a:ext>
          </a:extLst>
        </xdr:cNvPr>
        <xdr:cNvCxnSpPr/>
      </xdr:nvCxnSpPr>
      <xdr:spPr>
        <a:xfrm flipV="1">
          <a:off x="9133417" y="24976667"/>
          <a:ext cx="984250"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1041</xdr:row>
      <xdr:rowOff>21166</xdr:rowOff>
    </xdr:from>
    <xdr:to>
      <xdr:col>13</xdr:col>
      <xdr:colOff>592667</xdr:colOff>
      <xdr:row>1042</xdr:row>
      <xdr:rowOff>169334</xdr:rowOff>
    </xdr:to>
    <xdr:cxnSp macro="">
      <xdr:nvCxnSpPr>
        <xdr:cNvPr id="3162" name="Straight Arrow Connector 3161">
          <a:extLst>
            <a:ext uri="{FF2B5EF4-FFF2-40B4-BE49-F238E27FC236}">
              <a16:creationId xmlns:a16="http://schemas.microsoft.com/office/drawing/2014/main" id="{00000000-0008-0000-1300-00005A0C0000}"/>
            </a:ext>
          </a:extLst>
        </xdr:cNvPr>
        <xdr:cNvCxnSpPr/>
      </xdr:nvCxnSpPr>
      <xdr:spPr>
        <a:xfrm>
          <a:off x="9122833" y="25929166"/>
          <a:ext cx="994834"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1056</xdr:row>
      <xdr:rowOff>21167</xdr:rowOff>
    </xdr:from>
    <xdr:to>
      <xdr:col>13</xdr:col>
      <xdr:colOff>592667</xdr:colOff>
      <xdr:row>1058</xdr:row>
      <xdr:rowOff>63500</xdr:rowOff>
    </xdr:to>
    <xdr:cxnSp macro="">
      <xdr:nvCxnSpPr>
        <xdr:cNvPr id="3163" name="Straight Arrow Connector 3162">
          <a:extLst>
            <a:ext uri="{FF2B5EF4-FFF2-40B4-BE49-F238E27FC236}">
              <a16:creationId xmlns:a16="http://schemas.microsoft.com/office/drawing/2014/main" id="{00000000-0008-0000-1300-00005B0C0000}"/>
            </a:ext>
          </a:extLst>
        </xdr:cNvPr>
        <xdr:cNvCxnSpPr/>
      </xdr:nvCxnSpPr>
      <xdr:spPr>
        <a:xfrm flipV="1">
          <a:off x="9525000" y="289771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1061</xdr:row>
      <xdr:rowOff>0</xdr:rowOff>
    </xdr:from>
    <xdr:to>
      <xdr:col>14</xdr:col>
      <xdr:colOff>10584</xdr:colOff>
      <xdr:row>1069</xdr:row>
      <xdr:rowOff>148167</xdr:rowOff>
    </xdr:to>
    <xdr:cxnSp macro="">
      <xdr:nvCxnSpPr>
        <xdr:cNvPr id="3164" name="Straight Arrow Connector 3163">
          <a:extLst>
            <a:ext uri="{FF2B5EF4-FFF2-40B4-BE49-F238E27FC236}">
              <a16:creationId xmlns:a16="http://schemas.microsoft.com/office/drawing/2014/main" id="{00000000-0008-0000-1300-00005C0C0000}"/>
            </a:ext>
          </a:extLst>
        </xdr:cNvPr>
        <xdr:cNvCxnSpPr/>
      </xdr:nvCxnSpPr>
      <xdr:spPr>
        <a:xfrm>
          <a:off x="9535583" y="29908500"/>
          <a:ext cx="613834"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1028</xdr:row>
      <xdr:rowOff>0</xdr:rowOff>
    </xdr:from>
    <xdr:to>
      <xdr:col>15</xdr:col>
      <xdr:colOff>603250</xdr:colOff>
      <xdr:row>1033</xdr:row>
      <xdr:rowOff>31750</xdr:rowOff>
    </xdr:to>
    <xdr:cxnSp macro="">
      <xdr:nvCxnSpPr>
        <xdr:cNvPr id="3165" name="Straight Arrow Connector 3164">
          <a:extLst>
            <a:ext uri="{FF2B5EF4-FFF2-40B4-BE49-F238E27FC236}">
              <a16:creationId xmlns:a16="http://schemas.microsoft.com/office/drawing/2014/main" id="{00000000-0008-0000-1300-00005D0C0000}"/>
            </a:ext>
          </a:extLst>
        </xdr:cNvPr>
        <xdr:cNvCxnSpPr/>
      </xdr:nvCxnSpPr>
      <xdr:spPr>
        <a:xfrm flipV="1">
          <a:off x="11281833" y="23431500"/>
          <a:ext cx="603250" cy="984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1031</xdr:row>
      <xdr:rowOff>52917</xdr:rowOff>
    </xdr:from>
    <xdr:to>
      <xdr:col>15</xdr:col>
      <xdr:colOff>603250</xdr:colOff>
      <xdr:row>1033</xdr:row>
      <xdr:rowOff>95250</xdr:rowOff>
    </xdr:to>
    <xdr:cxnSp macro="">
      <xdr:nvCxnSpPr>
        <xdr:cNvPr id="3166" name="Straight Arrow Connector 3165">
          <a:extLst>
            <a:ext uri="{FF2B5EF4-FFF2-40B4-BE49-F238E27FC236}">
              <a16:creationId xmlns:a16="http://schemas.microsoft.com/office/drawing/2014/main" id="{00000000-0008-0000-1300-00005E0C0000}"/>
            </a:ext>
          </a:extLst>
        </xdr:cNvPr>
        <xdr:cNvCxnSpPr/>
      </xdr:nvCxnSpPr>
      <xdr:spPr>
        <a:xfrm flipV="1">
          <a:off x="11324166" y="24055917"/>
          <a:ext cx="56091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1033</xdr:row>
      <xdr:rowOff>158750</xdr:rowOff>
    </xdr:from>
    <xdr:to>
      <xdr:col>15</xdr:col>
      <xdr:colOff>582083</xdr:colOff>
      <xdr:row>1034</xdr:row>
      <xdr:rowOff>137583</xdr:rowOff>
    </xdr:to>
    <xdr:cxnSp macro="">
      <xdr:nvCxnSpPr>
        <xdr:cNvPr id="3167" name="Straight Arrow Connector 3166">
          <a:extLst>
            <a:ext uri="{FF2B5EF4-FFF2-40B4-BE49-F238E27FC236}">
              <a16:creationId xmlns:a16="http://schemas.microsoft.com/office/drawing/2014/main" id="{00000000-0008-0000-1300-00005F0C0000}"/>
            </a:ext>
          </a:extLst>
        </xdr:cNvPr>
        <xdr:cNvCxnSpPr/>
      </xdr:nvCxnSpPr>
      <xdr:spPr>
        <a:xfrm>
          <a:off x="11345333" y="24542750"/>
          <a:ext cx="518583" cy="169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1121834</xdr:colOff>
      <xdr:row>1033</xdr:row>
      <xdr:rowOff>105834</xdr:rowOff>
    </xdr:from>
    <xdr:to>
      <xdr:col>16</xdr:col>
      <xdr:colOff>0</xdr:colOff>
      <xdr:row>1037</xdr:row>
      <xdr:rowOff>84667</xdr:rowOff>
    </xdr:to>
    <xdr:cxnSp macro="">
      <xdr:nvCxnSpPr>
        <xdr:cNvPr id="3168" name="Straight Arrow Connector 3167">
          <a:extLst>
            <a:ext uri="{FF2B5EF4-FFF2-40B4-BE49-F238E27FC236}">
              <a16:creationId xmlns:a16="http://schemas.microsoft.com/office/drawing/2014/main" id="{00000000-0008-0000-1300-0000600C0000}"/>
            </a:ext>
          </a:extLst>
        </xdr:cNvPr>
        <xdr:cNvCxnSpPr/>
      </xdr:nvCxnSpPr>
      <xdr:spPr>
        <a:xfrm>
          <a:off x="11260667" y="24489834"/>
          <a:ext cx="63500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1041</xdr:row>
      <xdr:rowOff>52916</xdr:rowOff>
    </xdr:from>
    <xdr:to>
      <xdr:col>16</xdr:col>
      <xdr:colOff>0</xdr:colOff>
      <xdr:row>1043</xdr:row>
      <xdr:rowOff>0</xdr:rowOff>
    </xdr:to>
    <xdr:cxnSp macro="">
      <xdr:nvCxnSpPr>
        <xdr:cNvPr id="3169" name="Straight Arrow Connector 3168">
          <a:extLst>
            <a:ext uri="{FF2B5EF4-FFF2-40B4-BE49-F238E27FC236}">
              <a16:creationId xmlns:a16="http://schemas.microsoft.com/office/drawing/2014/main" id="{00000000-0008-0000-1300-0000610C0000}"/>
            </a:ext>
          </a:extLst>
        </xdr:cNvPr>
        <xdr:cNvCxnSpPr/>
      </xdr:nvCxnSpPr>
      <xdr:spPr>
        <a:xfrm flipV="1">
          <a:off x="11281833" y="25960916"/>
          <a:ext cx="613834"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1043</xdr:row>
      <xdr:rowOff>21167</xdr:rowOff>
    </xdr:from>
    <xdr:to>
      <xdr:col>15</xdr:col>
      <xdr:colOff>582083</xdr:colOff>
      <xdr:row>1044</xdr:row>
      <xdr:rowOff>42333</xdr:rowOff>
    </xdr:to>
    <xdr:cxnSp macro="">
      <xdr:nvCxnSpPr>
        <xdr:cNvPr id="3170" name="Straight Arrow Connector 3169">
          <a:extLst>
            <a:ext uri="{FF2B5EF4-FFF2-40B4-BE49-F238E27FC236}">
              <a16:creationId xmlns:a16="http://schemas.microsoft.com/office/drawing/2014/main" id="{00000000-0008-0000-1300-0000620C0000}"/>
            </a:ext>
          </a:extLst>
        </xdr:cNvPr>
        <xdr:cNvCxnSpPr/>
      </xdr:nvCxnSpPr>
      <xdr:spPr>
        <a:xfrm>
          <a:off x="11292416" y="26310167"/>
          <a:ext cx="571500" cy="211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1043</xdr:row>
      <xdr:rowOff>21167</xdr:rowOff>
    </xdr:from>
    <xdr:to>
      <xdr:col>16</xdr:col>
      <xdr:colOff>42333</xdr:colOff>
      <xdr:row>1048</xdr:row>
      <xdr:rowOff>21168</xdr:rowOff>
    </xdr:to>
    <xdr:cxnSp macro="">
      <xdr:nvCxnSpPr>
        <xdr:cNvPr id="3171" name="Straight Arrow Connector 3170">
          <a:extLst>
            <a:ext uri="{FF2B5EF4-FFF2-40B4-BE49-F238E27FC236}">
              <a16:creationId xmlns:a16="http://schemas.microsoft.com/office/drawing/2014/main" id="{00000000-0008-0000-1300-0000630C0000}"/>
            </a:ext>
          </a:extLst>
        </xdr:cNvPr>
        <xdr:cNvCxnSpPr/>
      </xdr:nvCxnSpPr>
      <xdr:spPr>
        <a:xfrm>
          <a:off x="11271250" y="26310167"/>
          <a:ext cx="666750" cy="9525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1043</xdr:row>
      <xdr:rowOff>31750</xdr:rowOff>
    </xdr:from>
    <xdr:to>
      <xdr:col>16</xdr:col>
      <xdr:colOff>42334</xdr:colOff>
      <xdr:row>1050</xdr:row>
      <xdr:rowOff>63501</xdr:rowOff>
    </xdr:to>
    <xdr:cxnSp macro="">
      <xdr:nvCxnSpPr>
        <xdr:cNvPr id="3172" name="Straight Arrow Connector 3171">
          <a:extLst>
            <a:ext uri="{FF2B5EF4-FFF2-40B4-BE49-F238E27FC236}">
              <a16:creationId xmlns:a16="http://schemas.microsoft.com/office/drawing/2014/main" id="{00000000-0008-0000-1300-0000640C0000}"/>
            </a:ext>
          </a:extLst>
        </xdr:cNvPr>
        <xdr:cNvCxnSpPr/>
      </xdr:nvCxnSpPr>
      <xdr:spPr>
        <a:xfrm>
          <a:off x="11281833" y="26320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10583</xdr:colOff>
      <xdr:row>1080</xdr:row>
      <xdr:rowOff>42333</xdr:rowOff>
    </xdr:from>
    <xdr:to>
      <xdr:col>9</xdr:col>
      <xdr:colOff>592666</xdr:colOff>
      <xdr:row>1088</xdr:row>
      <xdr:rowOff>42333</xdr:rowOff>
    </xdr:to>
    <xdr:cxnSp macro="">
      <xdr:nvCxnSpPr>
        <xdr:cNvPr id="3173" name="Straight Arrow Connector 3172">
          <a:extLst>
            <a:ext uri="{FF2B5EF4-FFF2-40B4-BE49-F238E27FC236}">
              <a16:creationId xmlns:a16="http://schemas.microsoft.com/office/drawing/2014/main" id="{00000000-0008-0000-1300-0000650C0000}"/>
            </a:ext>
          </a:extLst>
        </xdr:cNvPr>
        <xdr:cNvCxnSpPr/>
      </xdr:nvCxnSpPr>
      <xdr:spPr>
        <a:xfrm flipV="1">
          <a:off x="6699250" y="33570333"/>
          <a:ext cx="582083" cy="152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1090</xdr:row>
      <xdr:rowOff>169334</xdr:rowOff>
    </xdr:from>
    <xdr:to>
      <xdr:col>9</xdr:col>
      <xdr:colOff>603250</xdr:colOff>
      <xdr:row>1099</xdr:row>
      <xdr:rowOff>31750</xdr:rowOff>
    </xdr:to>
    <xdr:cxnSp macro="">
      <xdr:nvCxnSpPr>
        <xdr:cNvPr id="3174" name="Straight Arrow Connector 3173">
          <a:extLst>
            <a:ext uri="{FF2B5EF4-FFF2-40B4-BE49-F238E27FC236}">
              <a16:creationId xmlns:a16="http://schemas.microsoft.com/office/drawing/2014/main" id="{00000000-0008-0000-1300-0000660C0000}"/>
            </a:ext>
          </a:extLst>
        </xdr:cNvPr>
        <xdr:cNvCxnSpPr/>
      </xdr:nvCxnSpPr>
      <xdr:spPr>
        <a:xfrm>
          <a:off x="6720417" y="35602334"/>
          <a:ext cx="571500" cy="1576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571500</xdr:colOff>
      <xdr:row>1096</xdr:row>
      <xdr:rowOff>158750</xdr:rowOff>
    </xdr:from>
    <xdr:to>
      <xdr:col>11</xdr:col>
      <xdr:colOff>571500</xdr:colOff>
      <xdr:row>1099</xdr:row>
      <xdr:rowOff>0</xdr:rowOff>
    </xdr:to>
    <xdr:cxnSp macro="">
      <xdr:nvCxnSpPr>
        <xdr:cNvPr id="3175" name="Straight Arrow Connector 3174">
          <a:extLst>
            <a:ext uri="{FF2B5EF4-FFF2-40B4-BE49-F238E27FC236}">
              <a16:creationId xmlns:a16="http://schemas.microsoft.com/office/drawing/2014/main" id="{00000000-0008-0000-1300-0000670C0000}"/>
            </a:ext>
          </a:extLst>
        </xdr:cNvPr>
        <xdr:cNvCxnSpPr/>
      </xdr:nvCxnSpPr>
      <xdr:spPr>
        <a:xfrm flipV="1">
          <a:off x="7874000" y="36734750"/>
          <a:ext cx="613833" cy="412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1054</xdr:row>
      <xdr:rowOff>0</xdr:rowOff>
    </xdr:from>
    <xdr:to>
      <xdr:col>15</xdr:col>
      <xdr:colOff>603250</xdr:colOff>
      <xdr:row>1056</xdr:row>
      <xdr:rowOff>1</xdr:rowOff>
    </xdr:to>
    <xdr:cxnSp macro="">
      <xdr:nvCxnSpPr>
        <xdr:cNvPr id="3176" name="Straight Arrow Connector 3175">
          <a:extLst>
            <a:ext uri="{FF2B5EF4-FFF2-40B4-BE49-F238E27FC236}">
              <a16:creationId xmlns:a16="http://schemas.microsoft.com/office/drawing/2014/main" id="{00000000-0008-0000-1300-0000680C0000}"/>
            </a:ext>
          </a:extLst>
        </xdr:cNvPr>
        <xdr:cNvCxnSpPr/>
      </xdr:nvCxnSpPr>
      <xdr:spPr>
        <a:xfrm flipV="1">
          <a:off x="11271250" y="285750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1056</xdr:row>
      <xdr:rowOff>10584</xdr:rowOff>
    </xdr:from>
    <xdr:to>
      <xdr:col>15</xdr:col>
      <xdr:colOff>592666</xdr:colOff>
      <xdr:row>1057</xdr:row>
      <xdr:rowOff>95250</xdr:rowOff>
    </xdr:to>
    <xdr:cxnSp macro="">
      <xdr:nvCxnSpPr>
        <xdr:cNvPr id="3177" name="Straight Arrow Connector 3176">
          <a:extLst>
            <a:ext uri="{FF2B5EF4-FFF2-40B4-BE49-F238E27FC236}">
              <a16:creationId xmlns:a16="http://schemas.microsoft.com/office/drawing/2014/main" id="{00000000-0008-0000-1300-0000690C0000}"/>
            </a:ext>
          </a:extLst>
        </xdr:cNvPr>
        <xdr:cNvCxnSpPr/>
      </xdr:nvCxnSpPr>
      <xdr:spPr>
        <a:xfrm>
          <a:off x="11313583" y="289665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1056</xdr:row>
      <xdr:rowOff>10584</xdr:rowOff>
    </xdr:from>
    <xdr:to>
      <xdr:col>15</xdr:col>
      <xdr:colOff>560916</xdr:colOff>
      <xdr:row>1060</xdr:row>
      <xdr:rowOff>52917</xdr:rowOff>
    </xdr:to>
    <xdr:cxnSp macro="">
      <xdr:nvCxnSpPr>
        <xdr:cNvPr id="3178" name="Straight Arrow Connector 3177">
          <a:extLst>
            <a:ext uri="{FF2B5EF4-FFF2-40B4-BE49-F238E27FC236}">
              <a16:creationId xmlns:a16="http://schemas.microsoft.com/office/drawing/2014/main" id="{00000000-0008-0000-1300-00006A0C0000}"/>
            </a:ext>
          </a:extLst>
        </xdr:cNvPr>
        <xdr:cNvCxnSpPr/>
      </xdr:nvCxnSpPr>
      <xdr:spPr>
        <a:xfrm>
          <a:off x="11292416" y="289665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1056</xdr:row>
      <xdr:rowOff>31750</xdr:rowOff>
    </xdr:from>
    <xdr:to>
      <xdr:col>16</xdr:col>
      <xdr:colOff>21167</xdr:colOff>
      <xdr:row>1063</xdr:row>
      <xdr:rowOff>95250</xdr:rowOff>
    </xdr:to>
    <xdr:cxnSp macro="">
      <xdr:nvCxnSpPr>
        <xdr:cNvPr id="3179" name="Straight Arrow Connector 3178">
          <a:extLst>
            <a:ext uri="{FF2B5EF4-FFF2-40B4-BE49-F238E27FC236}">
              <a16:creationId xmlns:a16="http://schemas.microsoft.com/office/drawing/2014/main" id="{00000000-0008-0000-1300-00006B0C0000}"/>
            </a:ext>
          </a:extLst>
        </xdr:cNvPr>
        <xdr:cNvCxnSpPr/>
      </xdr:nvCxnSpPr>
      <xdr:spPr>
        <a:xfrm>
          <a:off x="11324166" y="28987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1070</xdr:row>
      <xdr:rowOff>0</xdr:rowOff>
    </xdr:from>
    <xdr:to>
      <xdr:col>16</xdr:col>
      <xdr:colOff>0</xdr:colOff>
      <xdr:row>1070</xdr:row>
      <xdr:rowOff>42334</xdr:rowOff>
    </xdr:to>
    <xdr:cxnSp macro="">
      <xdr:nvCxnSpPr>
        <xdr:cNvPr id="3180" name="Straight Arrow Connector 3179">
          <a:extLst>
            <a:ext uri="{FF2B5EF4-FFF2-40B4-BE49-F238E27FC236}">
              <a16:creationId xmlns:a16="http://schemas.microsoft.com/office/drawing/2014/main" id="{00000000-0008-0000-1300-00006C0C0000}"/>
            </a:ext>
          </a:extLst>
        </xdr:cNvPr>
        <xdr:cNvCxnSpPr/>
      </xdr:nvCxnSpPr>
      <xdr:spPr>
        <a:xfrm>
          <a:off x="11302999" y="31623000"/>
          <a:ext cx="592668"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1070</xdr:row>
      <xdr:rowOff>21166</xdr:rowOff>
    </xdr:from>
    <xdr:to>
      <xdr:col>15</xdr:col>
      <xdr:colOff>560916</xdr:colOff>
      <xdr:row>1073</xdr:row>
      <xdr:rowOff>84667</xdr:rowOff>
    </xdr:to>
    <xdr:cxnSp macro="">
      <xdr:nvCxnSpPr>
        <xdr:cNvPr id="3181" name="Straight Arrow Connector 3180">
          <a:extLst>
            <a:ext uri="{FF2B5EF4-FFF2-40B4-BE49-F238E27FC236}">
              <a16:creationId xmlns:a16="http://schemas.microsoft.com/office/drawing/2014/main" id="{00000000-0008-0000-1300-00006D0C0000}"/>
            </a:ext>
          </a:extLst>
        </xdr:cNvPr>
        <xdr:cNvCxnSpPr/>
      </xdr:nvCxnSpPr>
      <xdr:spPr>
        <a:xfrm>
          <a:off x="11355916" y="316441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1070</xdr:row>
      <xdr:rowOff>52916</xdr:rowOff>
    </xdr:from>
    <xdr:to>
      <xdr:col>15</xdr:col>
      <xdr:colOff>592666</xdr:colOff>
      <xdr:row>1076</xdr:row>
      <xdr:rowOff>63501</xdr:rowOff>
    </xdr:to>
    <xdr:cxnSp macro="">
      <xdr:nvCxnSpPr>
        <xdr:cNvPr id="3182" name="Straight Arrow Connector 3181">
          <a:extLst>
            <a:ext uri="{FF2B5EF4-FFF2-40B4-BE49-F238E27FC236}">
              <a16:creationId xmlns:a16="http://schemas.microsoft.com/office/drawing/2014/main" id="{00000000-0008-0000-1300-00006E0C0000}"/>
            </a:ext>
          </a:extLst>
        </xdr:cNvPr>
        <xdr:cNvCxnSpPr/>
      </xdr:nvCxnSpPr>
      <xdr:spPr>
        <a:xfrm>
          <a:off x="11313583" y="316759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1084</xdr:row>
      <xdr:rowOff>116416</xdr:rowOff>
    </xdr:from>
    <xdr:to>
      <xdr:col>15</xdr:col>
      <xdr:colOff>592666</xdr:colOff>
      <xdr:row>1087</xdr:row>
      <xdr:rowOff>158750</xdr:rowOff>
    </xdr:to>
    <xdr:cxnSp macro="">
      <xdr:nvCxnSpPr>
        <xdr:cNvPr id="3183" name="Straight Arrow Connector 3182">
          <a:extLst>
            <a:ext uri="{FF2B5EF4-FFF2-40B4-BE49-F238E27FC236}">
              <a16:creationId xmlns:a16="http://schemas.microsoft.com/office/drawing/2014/main" id="{00000000-0008-0000-1300-00006F0C0000}"/>
            </a:ext>
          </a:extLst>
        </xdr:cNvPr>
        <xdr:cNvCxnSpPr/>
      </xdr:nvCxnSpPr>
      <xdr:spPr>
        <a:xfrm flipV="1">
          <a:off x="11302999" y="34406416"/>
          <a:ext cx="571500" cy="613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1086</xdr:row>
      <xdr:rowOff>95250</xdr:rowOff>
    </xdr:from>
    <xdr:to>
      <xdr:col>15</xdr:col>
      <xdr:colOff>582083</xdr:colOff>
      <xdr:row>1088</xdr:row>
      <xdr:rowOff>52917</xdr:rowOff>
    </xdr:to>
    <xdr:cxnSp macro="">
      <xdr:nvCxnSpPr>
        <xdr:cNvPr id="3184" name="Straight Arrow Connector 3183">
          <a:extLst>
            <a:ext uri="{FF2B5EF4-FFF2-40B4-BE49-F238E27FC236}">
              <a16:creationId xmlns:a16="http://schemas.microsoft.com/office/drawing/2014/main" id="{00000000-0008-0000-1300-0000700C0000}"/>
            </a:ext>
          </a:extLst>
        </xdr:cNvPr>
        <xdr:cNvCxnSpPr/>
      </xdr:nvCxnSpPr>
      <xdr:spPr>
        <a:xfrm flipV="1">
          <a:off x="11345333" y="34766250"/>
          <a:ext cx="518583" cy="338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1088</xdr:row>
      <xdr:rowOff>116417</xdr:rowOff>
    </xdr:from>
    <xdr:to>
      <xdr:col>15</xdr:col>
      <xdr:colOff>592666</xdr:colOff>
      <xdr:row>1092</xdr:row>
      <xdr:rowOff>95250</xdr:rowOff>
    </xdr:to>
    <xdr:cxnSp macro="">
      <xdr:nvCxnSpPr>
        <xdr:cNvPr id="3185" name="Straight Arrow Connector 3184">
          <a:extLst>
            <a:ext uri="{FF2B5EF4-FFF2-40B4-BE49-F238E27FC236}">
              <a16:creationId xmlns:a16="http://schemas.microsoft.com/office/drawing/2014/main" id="{00000000-0008-0000-1300-0000710C0000}"/>
            </a:ext>
          </a:extLst>
        </xdr:cNvPr>
        <xdr:cNvCxnSpPr/>
      </xdr:nvCxnSpPr>
      <xdr:spPr>
        <a:xfrm>
          <a:off x="11334749" y="35168417"/>
          <a:ext cx="53975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1099</xdr:row>
      <xdr:rowOff>116416</xdr:rowOff>
    </xdr:from>
    <xdr:to>
      <xdr:col>16</xdr:col>
      <xdr:colOff>0</xdr:colOff>
      <xdr:row>1106</xdr:row>
      <xdr:rowOff>74084</xdr:rowOff>
    </xdr:to>
    <xdr:cxnSp macro="">
      <xdr:nvCxnSpPr>
        <xdr:cNvPr id="3186" name="Straight Arrow Connector 3185">
          <a:extLst>
            <a:ext uri="{FF2B5EF4-FFF2-40B4-BE49-F238E27FC236}">
              <a16:creationId xmlns:a16="http://schemas.microsoft.com/office/drawing/2014/main" id="{00000000-0008-0000-1300-0000720C0000}"/>
            </a:ext>
          </a:extLst>
        </xdr:cNvPr>
        <xdr:cNvCxnSpPr/>
      </xdr:nvCxnSpPr>
      <xdr:spPr>
        <a:xfrm>
          <a:off x="11313583" y="37263916"/>
          <a:ext cx="582084" cy="12911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1067</xdr:row>
      <xdr:rowOff>52917</xdr:rowOff>
    </xdr:from>
    <xdr:to>
      <xdr:col>15</xdr:col>
      <xdr:colOff>603250</xdr:colOff>
      <xdr:row>1069</xdr:row>
      <xdr:rowOff>148167</xdr:rowOff>
    </xdr:to>
    <xdr:cxnSp macro="">
      <xdr:nvCxnSpPr>
        <xdr:cNvPr id="3187" name="Straight Arrow Connector 3186">
          <a:extLst>
            <a:ext uri="{FF2B5EF4-FFF2-40B4-BE49-F238E27FC236}">
              <a16:creationId xmlns:a16="http://schemas.microsoft.com/office/drawing/2014/main" id="{00000000-0008-0000-1300-0000730C0000}"/>
            </a:ext>
          </a:extLst>
        </xdr:cNvPr>
        <xdr:cNvCxnSpPr/>
      </xdr:nvCxnSpPr>
      <xdr:spPr>
        <a:xfrm flipV="1">
          <a:off x="11324166" y="311044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1102</xdr:row>
      <xdr:rowOff>42333</xdr:rowOff>
    </xdr:from>
    <xdr:to>
      <xdr:col>11</xdr:col>
      <xdr:colOff>603250</xdr:colOff>
      <xdr:row>1114</xdr:row>
      <xdr:rowOff>10583</xdr:rowOff>
    </xdr:to>
    <xdr:cxnSp macro="">
      <xdr:nvCxnSpPr>
        <xdr:cNvPr id="3188" name="Straight Arrow Connector 3187">
          <a:extLst>
            <a:ext uri="{FF2B5EF4-FFF2-40B4-BE49-F238E27FC236}">
              <a16:creationId xmlns:a16="http://schemas.microsoft.com/office/drawing/2014/main" id="{00000000-0008-0000-1300-0000740C0000}"/>
            </a:ext>
          </a:extLst>
        </xdr:cNvPr>
        <xdr:cNvCxnSpPr/>
      </xdr:nvCxnSpPr>
      <xdr:spPr>
        <a:xfrm>
          <a:off x="7926917" y="377613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1092</xdr:row>
      <xdr:rowOff>21167</xdr:rowOff>
    </xdr:from>
    <xdr:to>
      <xdr:col>13</xdr:col>
      <xdr:colOff>592667</xdr:colOff>
      <xdr:row>1094</xdr:row>
      <xdr:rowOff>0</xdr:rowOff>
    </xdr:to>
    <xdr:cxnSp macro="">
      <xdr:nvCxnSpPr>
        <xdr:cNvPr id="3189" name="Straight Arrow Connector 3188">
          <a:extLst>
            <a:ext uri="{FF2B5EF4-FFF2-40B4-BE49-F238E27FC236}">
              <a16:creationId xmlns:a16="http://schemas.microsoft.com/office/drawing/2014/main" id="{00000000-0008-0000-1300-0000750C0000}"/>
            </a:ext>
          </a:extLst>
        </xdr:cNvPr>
        <xdr:cNvCxnSpPr/>
      </xdr:nvCxnSpPr>
      <xdr:spPr>
        <a:xfrm flipV="1">
          <a:off x="9133417" y="35835167"/>
          <a:ext cx="984250"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1097</xdr:row>
      <xdr:rowOff>21166</xdr:rowOff>
    </xdr:from>
    <xdr:to>
      <xdr:col>13</xdr:col>
      <xdr:colOff>592667</xdr:colOff>
      <xdr:row>1098</xdr:row>
      <xdr:rowOff>169334</xdr:rowOff>
    </xdr:to>
    <xdr:cxnSp macro="">
      <xdr:nvCxnSpPr>
        <xdr:cNvPr id="3190" name="Straight Arrow Connector 3189">
          <a:extLst>
            <a:ext uri="{FF2B5EF4-FFF2-40B4-BE49-F238E27FC236}">
              <a16:creationId xmlns:a16="http://schemas.microsoft.com/office/drawing/2014/main" id="{00000000-0008-0000-1300-0000760C0000}"/>
            </a:ext>
          </a:extLst>
        </xdr:cNvPr>
        <xdr:cNvCxnSpPr/>
      </xdr:nvCxnSpPr>
      <xdr:spPr>
        <a:xfrm>
          <a:off x="9122833" y="36787666"/>
          <a:ext cx="994834"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1112</xdr:row>
      <xdr:rowOff>21167</xdr:rowOff>
    </xdr:from>
    <xdr:to>
      <xdr:col>13</xdr:col>
      <xdr:colOff>592667</xdr:colOff>
      <xdr:row>1114</xdr:row>
      <xdr:rowOff>63500</xdr:rowOff>
    </xdr:to>
    <xdr:cxnSp macro="">
      <xdr:nvCxnSpPr>
        <xdr:cNvPr id="3191" name="Straight Arrow Connector 3190">
          <a:extLst>
            <a:ext uri="{FF2B5EF4-FFF2-40B4-BE49-F238E27FC236}">
              <a16:creationId xmlns:a16="http://schemas.microsoft.com/office/drawing/2014/main" id="{00000000-0008-0000-1300-0000770C0000}"/>
            </a:ext>
          </a:extLst>
        </xdr:cNvPr>
        <xdr:cNvCxnSpPr/>
      </xdr:nvCxnSpPr>
      <xdr:spPr>
        <a:xfrm flipV="1">
          <a:off x="9525000" y="398356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1117</xdr:row>
      <xdr:rowOff>0</xdr:rowOff>
    </xdr:from>
    <xdr:to>
      <xdr:col>14</xdr:col>
      <xdr:colOff>10584</xdr:colOff>
      <xdr:row>1125</xdr:row>
      <xdr:rowOff>148167</xdr:rowOff>
    </xdr:to>
    <xdr:cxnSp macro="">
      <xdr:nvCxnSpPr>
        <xdr:cNvPr id="3192" name="Straight Arrow Connector 3191">
          <a:extLst>
            <a:ext uri="{FF2B5EF4-FFF2-40B4-BE49-F238E27FC236}">
              <a16:creationId xmlns:a16="http://schemas.microsoft.com/office/drawing/2014/main" id="{00000000-0008-0000-1300-0000780C0000}"/>
            </a:ext>
          </a:extLst>
        </xdr:cNvPr>
        <xdr:cNvCxnSpPr/>
      </xdr:nvCxnSpPr>
      <xdr:spPr>
        <a:xfrm>
          <a:off x="9535583" y="40767000"/>
          <a:ext cx="613834"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1088</xdr:row>
      <xdr:rowOff>95250</xdr:rowOff>
    </xdr:from>
    <xdr:to>
      <xdr:col>15</xdr:col>
      <xdr:colOff>582083</xdr:colOff>
      <xdr:row>1090</xdr:row>
      <xdr:rowOff>137583</xdr:rowOff>
    </xdr:to>
    <xdr:cxnSp macro="">
      <xdr:nvCxnSpPr>
        <xdr:cNvPr id="3193" name="Straight Arrow Connector 3192">
          <a:extLst>
            <a:ext uri="{FF2B5EF4-FFF2-40B4-BE49-F238E27FC236}">
              <a16:creationId xmlns:a16="http://schemas.microsoft.com/office/drawing/2014/main" id="{00000000-0008-0000-1300-0000790C0000}"/>
            </a:ext>
          </a:extLst>
        </xdr:cNvPr>
        <xdr:cNvCxnSpPr/>
      </xdr:nvCxnSpPr>
      <xdr:spPr>
        <a:xfrm>
          <a:off x="11334749" y="35147250"/>
          <a:ext cx="5291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1097</xdr:row>
      <xdr:rowOff>52916</xdr:rowOff>
    </xdr:from>
    <xdr:to>
      <xdr:col>16</xdr:col>
      <xdr:colOff>0</xdr:colOff>
      <xdr:row>1099</xdr:row>
      <xdr:rowOff>0</xdr:rowOff>
    </xdr:to>
    <xdr:cxnSp macro="">
      <xdr:nvCxnSpPr>
        <xdr:cNvPr id="3194" name="Straight Arrow Connector 3193">
          <a:extLst>
            <a:ext uri="{FF2B5EF4-FFF2-40B4-BE49-F238E27FC236}">
              <a16:creationId xmlns:a16="http://schemas.microsoft.com/office/drawing/2014/main" id="{00000000-0008-0000-1300-00007A0C0000}"/>
            </a:ext>
          </a:extLst>
        </xdr:cNvPr>
        <xdr:cNvCxnSpPr/>
      </xdr:nvCxnSpPr>
      <xdr:spPr>
        <a:xfrm flipV="1">
          <a:off x="11281833" y="36819416"/>
          <a:ext cx="613834"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1099</xdr:row>
      <xdr:rowOff>21167</xdr:rowOff>
    </xdr:from>
    <xdr:to>
      <xdr:col>15</xdr:col>
      <xdr:colOff>592666</xdr:colOff>
      <xdr:row>1100</xdr:row>
      <xdr:rowOff>84667</xdr:rowOff>
    </xdr:to>
    <xdr:cxnSp macro="">
      <xdr:nvCxnSpPr>
        <xdr:cNvPr id="3195" name="Straight Arrow Connector 3194">
          <a:extLst>
            <a:ext uri="{FF2B5EF4-FFF2-40B4-BE49-F238E27FC236}">
              <a16:creationId xmlns:a16="http://schemas.microsoft.com/office/drawing/2014/main" id="{00000000-0008-0000-1300-00007B0C0000}"/>
            </a:ext>
          </a:extLst>
        </xdr:cNvPr>
        <xdr:cNvCxnSpPr/>
      </xdr:nvCxnSpPr>
      <xdr:spPr>
        <a:xfrm>
          <a:off x="11271250" y="37168667"/>
          <a:ext cx="603249" cy="25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1099</xdr:row>
      <xdr:rowOff>0</xdr:rowOff>
    </xdr:from>
    <xdr:to>
      <xdr:col>16</xdr:col>
      <xdr:colOff>0</xdr:colOff>
      <xdr:row>1103</xdr:row>
      <xdr:rowOff>42334</xdr:rowOff>
    </xdr:to>
    <xdr:cxnSp macro="">
      <xdr:nvCxnSpPr>
        <xdr:cNvPr id="3196" name="Straight Arrow Connector 3195">
          <a:extLst>
            <a:ext uri="{FF2B5EF4-FFF2-40B4-BE49-F238E27FC236}">
              <a16:creationId xmlns:a16="http://schemas.microsoft.com/office/drawing/2014/main" id="{00000000-0008-0000-1300-00007C0C0000}"/>
            </a:ext>
          </a:extLst>
        </xdr:cNvPr>
        <xdr:cNvCxnSpPr/>
      </xdr:nvCxnSpPr>
      <xdr:spPr>
        <a:xfrm>
          <a:off x="11271250" y="37147500"/>
          <a:ext cx="624417" cy="804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1110</xdr:row>
      <xdr:rowOff>0</xdr:rowOff>
    </xdr:from>
    <xdr:to>
      <xdr:col>15</xdr:col>
      <xdr:colOff>603250</xdr:colOff>
      <xdr:row>1112</xdr:row>
      <xdr:rowOff>1</xdr:rowOff>
    </xdr:to>
    <xdr:cxnSp macro="">
      <xdr:nvCxnSpPr>
        <xdr:cNvPr id="3197" name="Straight Arrow Connector 3196">
          <a:extLst>
            <a:ext uri="{FF2B5EF4-FFF2-40B4-BE49-F238E27FC236}">
              <a16:creationId xmlns:a16="http://schemas.microsoft.com/office/drawing/2014/main" id="{00000000-0008-0000-1300-00007D0C0000}"/>
            </a:ext>
          </a:extLst>
        </xdr:cNvPr>
        <xdr:cNvCxnSpPr/>
      </xdr:nvCxnSpPr>
      <xdr:spPr>
        <a:xfrm flipV="1">
          <a:off x="11271250" y="394335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1112</xdr:row>
      <xdr:rowOff>10584</xdr:rowOff>
    </xdr:from>
    <xdr:to>
      <xdr:col>15</xdr:col>
      <xdr:colOff>592666</xdr:colOff>
      <xdr:row>1113</xdr:row>
      <xdr:rowOff>95250</xdr:rowOff>
    </xdr:to>
    <xdr:cxnSp macro="">
      <xdr:nvCxnSpPr>
        <xdr:cNvPr id="3198" name="Straight Arrow Connector 3197">
          <a:extLst>
            <a:ext uri="{FF2B5EF4-FFF2-40B4-BE49-F238E27FC236}">
              <a16:creationId xmlns:a16="http://schemas.microsoft.com/office/drawing/2014/main" id="{00000000-0008-0000-1300-00007E0C0000}"/>
            </a:ext>
          </a:extLst>
        </xdr:cNvPr>
        <xdr:cNvCxnSpPr/>
      </xdr:nvCxnSpPr>
      <xdr:spPr>
        <a:xfrm>
          <a:off x="11313583" y="398250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1112</xdr:row>
      <xdr:rowOff>10584</xdr:rowOff>
    </xdr:from>
    <xdr:to>
      <xdr:col>15</xdr:col>
      <xdr:colOff>560916</xdr:colOff>
      <xdr:row>1116</xdr:row>
      <xdr:rowOff>52917</xdr:rowOff>
    </xdr:to>
    <xdr:cxnSp macro="">
      <xdr:nvCxnSpPr>
        <xdr:cNvPr id="3199" name="Straight Arrow Connector 3198">
          <a:extLst>
            <a:ext uri="{FF2B5EF4-FFF2-40B4-BE49-F238E27FC236}">
              <a16:creationId xmlns:a16="http://schemas.microsoft.com/office/drawing/2014/main" id="{00000000-0008-0000-1300-00007F0C0000}"/>
            </a:ext>
          </a:extLst>
        </xdr:cNvPr>
        <xdr:cNvCxnSpPr/>
      </xdr:nvCxnSpPr>
      <xdr:spPr>
        <a:xfrm>
          <a:off x="11292416" y="398250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1112</xdr:row>
      <xdr:rowOff>31750</xdr:rowOff>
    </xdr:from>
    <xdr:to>
      <xdr:col>16</xdr:col>
      <xdr:colOff>21167</xdr:colOff>
      <xdr:row>1119</xdr:row>
      <xdr:rowOff>95250</xdr:rowOff>
    </xdr:to>
    <xdr:cxnSp macro="">
      <xdr:nvCxnSpPr>
        <xdr:cNvPr id="3200" name="Straight Arrow Connector 3199">
          <a:extLst>
            <a:ext uri="{FF2B5EF4-FFF2-40B4-BE49-F238E27FC236}">
              <a16:creationId xmlns:a16="http://schemas.microsoft.com/office/drawing/2014/main" id="{00000000-0008-0000-1300-0000800C0000}"/>
            </a:ext>
          </a:extLst>
        </xdr:cNvPr>
        <xdr:cNvCxnSpPr/>
      </xdr:nvCxnSpPr>
      <xdr:spPr>
        <a:xfrm>
          <a:off x="11324166" y="39846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1126</xdr:row>
      <xdr:rowOff>0</xdr:rowOff>
    </xdr:from>
    <xdr:to>
      <xdr:col>16</xdr:col>
      <xdr:colOff>0</xdr:colOff>
      <xdr:row>1126</xdr:row>
      <xdr:rowOff>42334</xdr:rowOff>
    </xdr:to>
    <xdr:cxnSp macro="">
      <xdr:nvCxnSpPr>
        <xdr:cNvPr id="3201" name="Straight Arrow Connector 3200">
          <a:extLst>
            <a:ext uri="{FF2B5EF4-FFF2-40B4-BE49-F238E27FC236}">
              <a16:creationId xmlns:a16="http://schemas.microsoft.com/office/drawing/2014/main" id="{00000000-0008-0000-1300-0000810C0000}"/>
            </a:ext>
          </a:extLst>
        </xdr:cNvPr>
        <xdr:cNvCxnSpPr/>
      </xdr:nvCxnSpPr>
      <xdr:spPr>
        <a:xfrm>
          <a:off x="11302999" y="42481500"/>
          <a:ext cx="592668"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1126</xdr:row>
      <xdr:rowOff>21166</xdr:rowOff>
    </xdr:from>
    <xdr:to>
      <xdr:col>15</xdr:col>
      <xdr:colOff>560916</xdr:colOff>
      <xdr:row>1129</xdr:row>
      <xdr:rowOff>84667</xdr:rowOff>
    </xdr:to>
    <xdr:cxnSp macro="">
      <xdr:nvCxnSpPr>
        <xdr:cNvPr id="3202" name="Straight Arrow Connector 3201">
          <a:extLst>
            <a:ext uri="{FF2B5EF4-FFF2-40B4-BE49-F238E27FC236}">
              <a16:creationId xmlns:a16="http://schemas.microsoft.com/office/drawing/2014/main" id="{00000000-0008-0000-1300-0000820C0000}"/>
            </a:ext>
          </a:extLst>
        </xdr:cNvPr>
        <xdr:cNvCxnSpPr/>
      </xdr:nvCxnSpPr>
      <xdr:spPr>
        <a:xfrm>
          <a:off x="11355916" y="425026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1126</xdr:row>
      <xdr:rowOff>52916</xdr:rowOff>
    </xdr:from>
    <xdr:to>
      <xdr:col>15</xdr:col>
      <xdr:colOff>592666</xdr:colOff>
      <xdr:row>1132</xdr:row>
      <xdr:rowOff>63501</xdr:rowOff>
    </xdr:to>
    <xdr:cxnSp macro="">
      <xdr:nvCxnSpPr>
        <xdr:cNvPr id="3203" name="Straight Arrow Connector 3202">
          <a:extLst>
            <a:ext uri="{FF2B5EF4-FFF2-40B4-BE49-F238E27FC236}">
              <a16:creationId xmlns:a16="http://schemas.microsoft.com/office/drawing/2014/main" id="{00000000-0008-0000-1300-0000830C0000}"/>
            </a:ext>
          </a:extLst>
        </xdr:cNvPr>
        <xdr:cNvCxnSpPr/>
      </xdr:nvCxnSpPr>
      <xdr:spPr>
        <a:xfrm>
          <a:off x="11313583" y="425344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1123</xdr:row>
      <xdr:rowOff>52917</xdr:rowOff>
    </xdr:from>
    <xdr:to>
      <xdr:col>15</xdr:col>
      <xdr:colOff>603250</xdr:colOff>
      <xdr:row>1125</xdr:row>
      <xdr:rowOff>148167</xdr:rowOff>
    </xdr:to>
    <xdr:cxnSp macro="">
      <xdr:nvCxnSpPr>
        <xdr:cNvPr id="3204" name="Straight Arrow Connector 3203">
          <a:extLst>
            <a:ext uri="{FF2B5EF4-FFF2-40B4-BE49-F238E27FC236}">
              <a16:creationId xmlns:a16="http://schemas.microsoft.com/office/drawing/2014/main" id="{00000000-0008-0000-1300-0000840C0000}"/>
            </a:ext>
          </a:extLst>
        </xdr:cNvPr>
        <xdr:cNvCxnSpPr/>
      </xdr:nvCxnSpPr>
      <xdr:spPr>
        <a:xfrm flipV="1">
          <a:off x="11324166" y="419629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31750</xdr:colOff>
      <xdr:row>1034</xdr:row>
      <xdr:rowOff>127000</xdr:rowOff>
    </xdr:from>
    <xdr:to>
      <xdr:col>8</xdr:col>
      <xdr:colOff>63500</xdr:colOff>
      <xdr:row>1053</xdr:row>
      <xdr:rowOff>0</xdr:rowOff>
    </xdr:to>
    <xdr:cxnSp macro="">
      <xdr:nvCxnSpPr>
        <xdr:cNvPr id="3205" name="Straight Arrow Connector 3204">
          <a:extLst>
            <a:ext uri="{FF2B5EF4-FFF2-40B4-BE49-F238E27FC236}">
              <a16:creationId xmlns:a16="http://schemas.microsoft.com/office/drawing/2014/main" id="{00000000-0008-0000-1300-0000850C0000}"/>
            </a:ext>
          </a:extLst>
        </xdr:cNvPr>
        <xdr:cNvCxnSpPr/>
      </xdr:nvCxnSpPr>
      <xdr:spPr>
        <a:xfrm flipV="1">
          <a:off x="5492750" y="24701500"/>
          <a:ext cx="645583" cy="3587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825500</xdr:colOff>
      <xdr:row>1171</xdr:row>
      <xdr:rowOff>1</xdr:rowOff>
    </xdr:from>
    <xdr:to>
      <xdr:col>6</xdr:col>
      <xdr:colOff>0</xdr:colOff>
      <xdr:row>1205</xdr:row>
      <xdr:rowOff>116417</xdr:rowOff>
    </xdr:to>
    <xdr:cxnSp macro="">
      <xdr:nvCxnSpPr>
        <xdr:cNvPr id="3206" name="Straight Arrow Connector 3205">
          <a:extLst>
            <a:ext uri="{FF2B5EF4-FFF2-40B4-BE49-F238E27FC236}">
              <a16:creationId xmlns:a16="http://schemas.microsoft.com/office/drawing/2014/main" id="{00000000-0008-0000-1300-0000860C0000}"/>
            </a:ext>
          </a:extLst>
        </xdr:cNvPr>
        <xdr:cNvCxnSpPr/>
      </xdr:nvCxnSpPr>
      <xdr:spPr>
        <a:xfrm flipV="1">
          <a:off x="3810000" y="51244501"/>
          <a:ext cx="677333" cy="65934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21167</xdr:colOff>
      <xdr:row>1208</xdr:row>
      <xdr:rowOff>169334</xdr:rowOff>
    </xdr:from>
    <xdr:to>
      <xdr:col>5</xdr:col>
      <xdr:colOff>571500</xdr:colOff>
      <xdr:row>1277</xdr:row>
      <xdr:rowOff>0</xdr:rowOff>
    </xdr:to>
    <xdr:cxnSp macro="">
      <xdr:nvCxnSpPr>
        <xdr:cNvPr id="3207" name="Straight Arrow Connector 3206">
          <a:extLst>
            <a:ext uri="{FF2B5EF4-FFF2-40B4-BE49-F238E27FC236}">
              <a16:creationId xmlns:a16="http://schemas.microsoft.com/office/drawing/2014/main" id="{00000000-0008-0000-1300-0000870C0000}"/>
            </a:ext>
          </a:extLst>
        </xdr:cNvPr>
        <xdr:cNvCxnSpPr/>
      </xdr:nvCxnSpPr>
      <xdr:spPr>
        <a:xfrm>
          <a:off x="3894667" y="58462334"/>
          <a:ext cx="550333" cy="133244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1146</xdr:row>
      <xdr:rowOff>148167</xdr:rowOff>
    </xdr:from>
    <xdr:to>
      <xdr:col>7</xdr:col>
      <xdr:colOff>603250</xdr:colOff>
      <xdr:row>1168</xdr:row>
      <xdr:rowOff>31750</xdr:rowOff>
    </xdr:to>
    <xdr:cxnSp macro="">
      <xdr:nvCxnSpPr>
        <xdr:cNvPr id="3208" name="Straight Arrow Connector 3207">
          <a:extLst>
            <a:ext uri="{FF2B5EF4-FFF2-40B4-BE49-F238E27FC236}">
              <a16:creationId xmlns:a16="http://schemas.microsoft.com/office/drawing/2014/main" id="{00000000-0008-0000-1300-0000880C0000}"/>
            </a:ext>
          </a:extLst>
        </xdr:cNvPr>
        <xdr:cNvCxnSpPr/>
      </xdr:nvCxnSpPr>
      <xdr:spPr>
        <a:xfrm flipV="1">
          <a:off x="5461000" y="46439667"/>
          <a:ext cx="603250" cy="42650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1171</xdr:row>
      <xdr:rowOff>10584</xdr:rowOff>
    </xdr:from>
    <xdr:to>
      <xdr:col>8</xdr:col>
      <xdr:colOff>21167</xdr:colOff>
      <xdr:row>1199</xdr:row>
      <xdr:rowOff>148166</xdr:rowOff>
    </xdr:to>
    <xdr:cxnSp macro="">
      <xdr:nvCxnSpPr>
        <xdr:cNvPr id="3209" name="Straight Arrow Connector 3208">
          <a:extLst>
            <a:ext uri="{FF2B5EF4-FFF2-40B4-BE49-F238E27FC236}">
              <a16:creationId xmlns:a16="http://schemas.microsoft.com/office/drawing/2014/main" id="{00000000-0008-0000-1300-0000890C0000}"/>
            </a:ext>
          </a:extLst>
        </xdr:cNvPr>
        <xdr:cNvCxnSpPr/>
      </xdr:nvCxnSpPr>
      <xdr:spPr>
        <a:xfrm>
          <a:off x="5461000" y="51255084"/>
          <a:ext cx="635000" cy="547158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1138</xdr:row>
      <xdr:rowOff>137583</xdr:rowOff>
    </xdr:from>
    <xdr:to>
      <xdr:col>9</xdr:col>
      <xdr:colOff>603250</xdr:colOff>
      <xdr:row>1144</xdr:row>
      <xdr:rowOff>21166</xdr:rowOff>
    </xdr:to>
    <xdr:cxnSp macro="">
      <xdr:nvCxnSpPr>
        <xdr:cNvPr id="3210" name="Straight Arrow Connector 3209">
          <a:extLst>
            <a:ext uri="{FF2B5EF4-FFF2-40B4-BE49-F238E27FC236}">
              <a16:creationId xmlns:a16="http://schemas.microsoft.com/office/drawing/2014/main" id="{00000000-0008-0000-1300-00008A0C0000}"/>
            </a:ext>
          </a:extLst>
        </xdr:cNvPr>
        <xdr:cNvCxnSpPr/>
      </xdr:nvCxnSpPr>
      <xdr:spPr>
        <a:xfrm flipV="1">
          <a:off x="6688667" y="44905083"/>
          <a:ext cx="603250" cy="1026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1147</xdr:row>
      <xdr:rowOff>0</xdr:rowOff>
    </xdr:from>
    <xdr:to>
      <xdr:col>9</xdr:col>
      <xdr:colOff>582083</xdr:colOff>
      <xdr:row>1155</xdr:row>
      <xdr:rowOff>10583</xdr:rowOff>
    </xdr:to>
    <xdr:cxnSp macro="">
      <xdr:nvCxnSpPr>
        <xdr:cNvPr id="3211" name="Straight Arrow Connector 3210">
          <a:extLst>
            <a:ext uri="{FF2B5EF4-FFF2-40B4-BE49-F238E27FC236}">
              <a16:creationId xmlns:a16="http://schemas.microsoft.com/office/drawing/2014/main" id="{00000000-0008-0000-1300-00008B0C0000}"/>
            </a:ext>
          </a:extLst>
        </xdr:cNvPr>
        <xdr:cNvCxnSpPr/>
      </xdr:nvCxnSpPr>
      <xdr:spPr>
        <a:xfrm>
          <a:off x="6720417" y="46482000"/>
          <a:ext cx="550333" cy="1534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21167</xdr:colOff>
      <xdr:row>1152</xdr:row>
      <xdr:rowOff>169333</xdr:rowOff>
    </xdr:from>
    <xdr:to>
      <xdr:col>11</xdr:col>
      <xdr:colOff>603250</xdr:colOff>
      <xdr:row>1155</xdr:row>
      <xdr:rowOff>21167</xdr:rowOff>
    </xdr:to>
    <xdr:cxnSp macro="">
      <xdr:nvCxnSpPr>
        <xdr:cNvPr id="3212" name="Straight Arrow Connector 3211">
          <a:extLst>
            <a:ext uri="{FF2B5EF4-FFF2-40B4-BE49-F238E27FC236}">
              <a16:creationId xmlns:a16="http://schemas.microsoft.com/office/drawing/2014/main" id="{00000000-0008-0000-1300-00008C0C0000}"/>
            </a:ext>
          </a:extLst>
        </xdr:cNvPr>
        <xdr:cNvCxnSpPr/>
      </xdr:nvCxnSpPr>
      <xdr:spPr>
        <a:xfrm flipV="1">
          <a:off x="7937500" y="47603833"/>
          <a:ext cx="582083" cy="423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1158</xdr:row>
      <xdr:rowOff>42333</xdr:rowOff>
    </xdr:from>
    <xdr:to>
      <xdr:col>11</xdr:col>
      <xdr:colOff>603250</xdr:colOff>
      <xdr:row>1170</xdr:row>
      <xdr:rowOff>10583</xdr:rowOff>
    </xdr:to>
    <xdr:cxnSp macro="">
      <xdr:nvCxnSpPr>
        <xdr:cNvPr id="3213" name="Straight Arrow Connector 3212">
          <a:extLst>
            <a:ext uri="{FF2B5EF4-FFF2-40B4-BE49-F238E27FC236}">
              <a16:creationId xmlns:a16="http://schemas.microsoft.com/office/drawing/2014/main" id="{00000000-0008-0000-1300-00008D0C0000}"/>
            </a:ext>
          </a:extLst>
        </xdr:cNvPr>
        <xdr:cNvCxnSpPr/>
      </xdr:nvCxnSpPr>
      <xdr:spPr>
        <a:xfrm>
          <a:off x="7926917" y="486198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1148</xdr:row>
      <xdr:rowOff>21167</xdr:rowOff>
    </xdr:from>
    <xdr:to>
      <xdr:col>13</xdr:col>
      <xdr:colOff>592667</xdr:colOff>
      <xdr:row>1150</xdr:row>
      <xdr:rowOff>0</xdr:rowOff>
    </xdr:to>
    <xdr:cxnSp macro="">
      <xdr:nvCxnSpPr>
        <xdr:cNvPr id="3214" name="Straight Arrow Connector 3213">
          <a:extLst>
            <a:ext uri="{FF2B5EF4-FFF2-40B4-BE49-F238E27FC236}">
              <a16:creationId xmlns:a16="http://schemas.microsoft.com/office/drawing/2014/main" id="{00000000-0008-0000-1300-00008E0C0000}"/>
            </a:ext>
          </a:extLst>
        </xdr:cNvPr>
        <xdr:cNvCxnSpPr/>
      </xdr:nvCxnSpPr>
      <xdr:spPr>
        <a:xfrm flipV="1">
          <a:off x="9133417" y="46693667"/>
          <a:ext cx="984250"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1153</xdr:row>
      <xdr:rowOff>21166</xdr:rowOff>
    </xdr:from>
    <xdr:to>
      <xdr:col>13</xdr:col>
      <xdr:colOff>592667</xdr:colOff>
      <xdr:row>1154</xdr:row>
      <xdr:rowOff>169334</xdr:rowOff>
    </xdr:to>
    <xdr:cxnSp macro="">
      <xdr:nvCxnSpPr>
        <xdr:cNvPr id="3215" name="Straight Arrow Connector 3214">
          <a:extLst>
            <a:ext uri="{FF2B5EF4-FFF2-40B4-BE49-F238E27FC236}">
              <a16:creationId xmlns:a16="http://schemas.microsoft.com/office/drawing/2014/main" id="{00000000-0008-0000-1300-00008F0C0000}"/>
            </a:ext>
          </a:extLst>
        </xdr:cNvPr>
        <xdr:cNvCxnSpPr/>
      </xdr:nvCxnSpPr>
      <xdr:spPr>
        <a:xfrm>
          <a:off x="9122833" y="47646166"/>
          <a:ext cx="994834"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1168</xdr:row>
      <xdr:rowOff>21167</xdr:rowOff>
    </xdr:from>
    <xdr:to>
      <xdr:col>13</xdr:col>
      <xdr:colOff>592667</xdr:colOff>
      <xdr:row>1170</xdr:row>
      <xdr:rowOff>63500</xdr:rowOff>
    </xdr:to>
    <xdr:cxnSp macro="">
      <xdr:nvCxnSpPr>
        <xdr:cNvPr id="3216" name="Straight Arrow Connector 3215">
          <a:extLst>
            <a:ext uri="{FF2B5EF4-FFF2-40B4-BE49-F238E27FC236}">
              <a16:creationId xmlns:a16="http://schemas.microsoft.com/office/drawing/2014/main" id="{00000000-0008-0000-1300-0000900C0000}"/>
            </a:ext>
          </a:extLst>
        </xdr:cNvPr>
        <xdr:cNvCxnSpPr/>
      </xdr:nvCxnSpPr>
      <xdr:spPr>
        <a:xfrm flipV="1">
          <a:off x="9525000" y="506941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1173</xdr:row>
      <xdr:rowOff>0</xdr:rowOff>
    </xdr:from>
    <xdr:to>
      <xdr:col>14</xdr:col>
      <xdr:colOff>10584</xdr:colOff>
      <xdr:row>1181</xdr:row>
      <xdr:rowOff>148167</xdr:rowOff>
    </xdr:to>
    <xdr:cxnSp macro="">
      <xdr:nvCxnSpPr>
        <xdr:cNvPr id="3217" name="Straight Arrow Connector 3216">
          <a:extLst>
            <a:ext uri="{FF2B5EF4-FFF2-40B4-BE49-F238E27FC236}">
              <a16:creationId xmlns:a16="http://schemas.microsoft.com/office/drawing/2014/main" id="{00000000-0008-0000-1300-0000910C0000}"/>
            </a:ext>
          </a:extLst>
        </xdr:cNvPr>
        <xdr:cNvCxnSpPr/>
      </xdr:nvCxnSpPr>
      <xdr:spPr>
        <a:xfrm>
          <a:off x="9535583" y="51625500"/>
          <a:ext cx="613834"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1140</xdr:row>
      <xdr:rowOff>0</xdr:rowOff>
    </xdr:from>
    <xdr:to>
      <xdr:col>15</xdr:col>
      <xdr:colOff>603250</xdr:colOff>
      <xdr:row>1145</xdr:row>
      <xdr:rowOff>31750</xdr:rowOff>
    </xdr:to>
    <xdr:cxnSp macro="">
      <xdr:nvCxnSpPr>
        <xdr:cNvPr id="3218" name="Straight Arrow Connector 3217">
          <a:extLst>
            <a:ext uri="{FF2B5EF4-FFF2-40B4-BE49-F238E27FC236}">
              <a16:creationId xmlns:a16="http://schemas.microsoft.com/office/drawing/2014/main" id="{00000000-0008-0000-1300-0000920C0000}"/>
            </a:ext>
          </a:extLst>
        </xdr:cNvPr>
        <xdr:cNvCxnSpPr/>
      </xdr:nvCxnSpPr>
      <xdr:spPr>
        <a:xfrm flipV="1">
          <a:off x="11281833" y="45148500"/>
          <a:ext cx="603250" cy="984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1143</xdr:row>
      <xdr:rowOff>52917</xdr:rowOff>
    </xdr:from>
    <xdr:to>
      <xdr:col>15</xdr:col>
      <xdr:colOff>603250</xdr:colOff>
      <xdr:row>1145</xdr:row>
      <xdr:rowOff>95250</xdr:rowOff>
    </xdr:to>
    <xdr:cxnSp macro="">
      <xdr:nvCxnSpPr>
        <xdr:cNvPr id="3219" name="Straight Arrow Connector 3218">
          <a:extLst>
            <a:ext uri="{FF2B5EF4-FFF2-40B4-BE49-F238E27FC236}">
              <a16:creationId xmlns:a16="http://schemas.microsoft.com/office/drawing/2014/main" id="{00000000-0008-0000-1300-0000930C0000}"/>
            </a:ext>
          </a:extLst>
        </xdr:cNvPr>
        <xdr:cNvCxnSpPr/>
      </xdr:nvCxnSpPr>
      <xdr:spPr>
        <a:xfrm flipV="1">
          <a:off x="11324166" y="45772917"/>
          <a:ext cx="56091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1145</xdr:row>
      <xdr:rowOff>158750</xdr:rowOff>
    </xdr:from>
    <xdr:to>
      <xdr:col>15</xdr:col>
      <xdr:colOff>582083</xdr:colOff>
      <xdr:row>1146</xdr:row>
      <xdr:rowOff>137583</xdr:rowOff>
    </xdr:to>
    <xdr:cxnSp macro="">
      <xdr:nvCxnSpPr>
        <xdr:cNvPr id="3220" name="Straight Arrow Connector 3219">
          <a:extLst>
            <a:ext uri="{FF2B5EF4-FFF2-40B4-BE49-F238E27FC236}">
              <a16:creationId xmlns:a16="http://schemas.microsoft.com/office/drawing/2014/main" id="{00000000-0008-0000-1300-0000940C0000}"/>
            </a:ext>
          </a:extLst>
        </xdr:cNvPr>
        <xdr:cNvCxnSpPr/>
      </xdr:nvCxnSpPr>
      <xdr:spPr>
        <a:xfrm>
          <a:off x="11345333" y="46259750"/>
          <a:ext cx="518583" cy="169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1121834</xdr:colOff>
      <xdr:row>1145</xdr:row>
      <xdr:rowOff>105834</xdr:rowOff>
    </xdr:from>
    <xdr:to>
      <xdr:col>16</xdr:col>
      <xdr:colOff>0</xdr:colOff>
      <xdr:row>1149</xdr:row>
      <xdr:rowOff>84667</xdr:rowOff>
    </xdr:to>
    <xdr:cxnSp macro="">
      <xdr:nvCxnSpPr>
        <xdr:cNvPr id="3221" name="Straight Arrow Connector 3220">
          <a:extLst>
            <a:ext uri="{FF2B5EF4-FFF2-40B4-BE49-F238E27FC236}">
              <a16:creationId xmlns:a16="http://schemas.microsoft.com/office/drawing/2014/main" id="{00000000-0008-0000-1300-0000950C0000}"/>
            </a:ext>
          </a:extLst>
        </xdr:cNvPr>
        <xdr:cNvCxnSpPr/>
      </xdr:nvCxnSpPr>
      <xdr:spPr>
        <a:xfrm>
          <a:off x="11260667" y="46206834"/>
          <a:ext cx="63500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1153</xdr:row>
      <xdr:rowOff>52916</xdr:rowOff>
    </xdr:from>
    <xdr:to>
      <xdr:col>16</xdr:col>
      <xdr:colOff>0</xdr:colOff>
      <xdr:row>1155</xdr:row>
      <xdr:rowOff>0</xdr:rowOff>
    </xdr:to>
    <xdr:cxnSp macro="">
      <xdr:nvCxnSpPr>
        <xdr:cNvPr id="3222" name="Straight Arrow Connector 3221">
          <a:extLst>
            <a:ext uri="{FF2B5EF4-FFF2-40B4-BE49-F238E27FC236}">
              <a16:creationId xmlns:a16="http://schemas.microsoft.com/office/drawing/2014/main" id="{00000000-0008-0000-1300-0000960C0000}"/>
            </a:ext>
          </a:extLst>
        </xdr:cNvPr>
        <xdr:cNvCxnSpPr/>
      </xdr:nvCxnSpPr>
      <xdr:spPr>
        <a:xfrm flipV="1">
          <a:off x="11281833" y="47677916"/>
          <a:ext cx="613834"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1155</xdr:row>
      <xdr:rowOff>21167</xdr:rowOff>
    </xdr:from>
    <xdr:to>
      <xdr:col>15</xdr:col>
      <xdr:colOff>582083</xdr:colOff>
      <xdr:row>1156</xdr:row>
      <xdr:rowOff>42333</xdr:rowOff>
    </xdr:to>
    <xdr:cxnSp macro="">
      <xdr:nvCxnSpPr>
        <xdr:cNvPr id="3223" name="Straight Arrow Connector 3222">
          <a:extLst>
            <a:ext uri="{FF2B5EF4-FFF2-40B4-BE49-F238E27FC236}">
              <a16:creationId xmlns:a16="http://schemas.microsoft.com/office/drawing/2014/main" id="{00000000-0008-0000-1300-0000970C0000}"/>
            </a:ext>
          </a:extLst>
        </xdr:cNvPr>
        <xdr:cNvCxnSpPr/>
      </xdr:nvCxnSpPr>
      <xdr:spPr>
        <a:xfrm>
          <a:off x="11292416" y="48027167"/>
          <a:ext cx="571500" cy="211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1155</xdr:row>
      <xdr:rowOff>21167</xdr:rowOff>
    </xdr:from>
    <xdr:to>
      <xdr:col>16</xdr:col>
      <xdr:colOff>42333</xdr:colOff>
      <xdr:row>1160</xdr:row>
      <xdr:rowOff>21168</xdr:rowOff>
    </xdr:to>
    <xdr:cxnSp macro="">
      <xdr:nvCxnSpPr>
        <xdr:cNvPr id="3224" name="Straight Arrow Connector 3223">
          <a:extLst>
            <a:ext uri="{FF2B5EF4-FFF2-40B4-BE49-F238E27FC236}">
              <a16:creationId xmlns:a16="http://schemas.microsoft.com/office/drawing/2014/main" id="{00000000-0008-0000-1300-0000980C0000}"/>
            </a:ext>
          </a:extLst>
        </xdr:cNvPr>
        <xdr:cNvCxnSpPr/>
      </xdr:nvCxnSpPr>
      <xdr:spPr>
        <a:xfrm>
          <a:off x="11271250" y="48027167"/>
          <a:ext cx="666750" cy="9525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1155</xdr:row>
      <xdr:rowOff>31750</xdr:rowOff>
    </xdr:from>
    <xdr:to>
      <xdr:col>16</xdr:col>
      <xdr:colOff>42334</xdr:colOff>
      <xdr:row>1162</xdr:row>
      <xdr:rowOff>63501</xdr:rowOff>
    </xdr:to>
    <xdr:cxnSp macro="">
      <xdr:nvCxnSpPr>
        <xdr:cNvPr id="3225" name="Straight Arrow Connector 3224">
          <a:extLst>
            <a:ext uri="{FF2B5EF4-FFF2-40B4-BE49-F238E27FC236}">
              <a16:creationId xmlns:a16="http://schemas.microsoft.com/office/drawing/2014/main" id="{00000000-0008-0000-1300-0000990C0000}"/>
            </a:ext>
          </a:extLst>
        </xdr:cNvPr>
        <xdr:cNvCxnSpPr/>
      </xdr:nvCxnSpPr>
      <xdr:spPr>
        <a:xfrm>
          <a:off x="11281833" y="48037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10583</xdr:colOff>
      <xdr:row>1192</xdr:row>
      <xdr:rowOff>42333</xdr:rowOff>
    </xdr:from>
    <xdr:to>
      <xdr:col>9</xdr:col>
      <xdr:colOff>592666</xdr:colOff>
      <xdr:row>1200</xdr:row>
      <xdr:rowOff>42333</xdr:rowOff>
    </xdr:to>
    <xdr:cxnSp macro="">
      <xdr:nvCxnSpPr>
        <xdr:cNvPr id="3226" name="Straight Arrow Connector 3225">
          <a:extLst>
            <a:ext uri="{FF2B5EF4-FFF2-40B4-BE49-F238E27FC236}">
              <a16:creationId xmlns:a16="http://schemas.microsoft.com/office/drawing/2014/main" id="{00000000-0008-0000-1300-00009A0C0000}"/>
            </a:ext>
          </a:extLst>
        </xdr:cNvPr>
        <xdr:cNvCxnSpPr/>
      </xdr:nvCxnSpPr>
      <xdr:spPr>
        <a:xfrm flipV="1">
          <a:off x="6699250" y="55287333"/>
          <a:ext cx="582083" cy="152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1202</xdr:row>
      <xdr:rowOff>169334</xdr:rowOff>
    </xdr:from>
    <xdr:to>
      <xdr:col>9</xdr:col>
      <xdr:colOff>603250</xdr:colOff>
      <xdr:row>1211</xdr:row>
      <xdr:rowOff>31750</xdr:rowOff>
    </xdr:to>
    <xdr:cxnSp macro="">
      <xdr:nvCxnSpPr>
        <xdr:cNvPr id="3227" name="Straight Arrow Connector 3226">
          <a:extLst>
            <a:ext uri="{FF2B5EF4-FFF2-40B4-BE49-F238E27FC236}">
              <a16:creationId xmlns:a16="http://schemas.microsoft.com/office/drawing/2014/main" id="{00000000-0008-0000-1300-00009B0C0000}"/>
            </a:ext>
          </a:extLst>
        </xdr:cNvPr>
        <xdr:cNvCxnSpPr/>
      </xdr:nvCxnSpPr>
      <xdr:spPr>
        <a:xfrm>
          <a:off x="6720417" y="57319334"/>
          <a:ext cx="571500" cy="1576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571500</xdr:colOff>
      <xdr:row>1208</xdr:row>
      <xdr:rowOff>158750</xdr:rowOff>
    </xdr:from>
    <xdr:to>
      <xdr:col>11</xdr:col>
      <xdr:colOff>571500</xdr:colOff>
      <xdr:row>1211</xdr:row>
      <xdr:rowOff>0</xdr:rowOff>
    </xdr:to>
    <xdr:cxnSp macro="">
      <xdr:nvCxnSpPr>
        <xdr:cNvPr id="3228" name="Straight Arrow Connector 3227">
          <a:extLst>
            <a:ext uri="{FF2B5EF4-FFF2-40B4-BE49-F238E27FC236}">
              <a16:creationId xmlns:a16="http://schemas.microsoft.com/office/drawing/2014/main" id="{00000000-0008-0000-1300-00009C0C0000}"/>
            </a:ext>
          </a:extLst>
        </xdr:cNvPr>
        <xdr:cNvCxnSpPr/>
      </xdr:nvCxnSpPr>
      <xdr:spPr>
        <a:xfrm flipV="1">
          <a:off x="7874000" y="58451750"/>
          <a:ext cx="613833" cy="412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1166</xdr:row>
      <xdr:rowOff>0</xdr:rowOff>
    </xdr:from>
    <xdr:to>
      <xdr:col>15</xdr:col>
      <xdr:colOff>603250</xdr:colOff>
      <xdr:row>1168</xdr:row>
      <xdr:rowOff>1</xdr:rowOff>
    </xdr:to>
    <xdr:cxnSp macro="">
      <xdr:nvCxnSpPr>
        <xdr:cNvPr id="3229" name="Straight Arrow Connector 3228">
          <a:extLst>
            <a:ext uri="{FF2B5EF4-FFF2-40B4-BE49-F238E27FC236}">
              <a16:creationId xmlns:a16="http://schemas.microsoft.com/office/drawing/2014/main" id="{00000000-0008-0000-1300-00009D0C0000}"/>
            </a:ext>
          </a:extLst>
        </xdr:cNvPr>
        <xdr:cNvCxnSpPr/>
      </xdr:nvCxnSpPr>
      <xdr:spPr>
        <a:xfrm flipV="1">
          <a:off x="11271250" y="502920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1168</xdr:row>
      <xdr:rowOff>10584</xdr:rowOff>
    </xdr:from>
    <xdr:to>
      <xdr:col>15</xdr:col>
      <xdr:colOff>592666</xdr:colOff>
      <xdr:row>1169</xdr:row>
      <xdr:rowOff>95250</xdr:rowOff>
    </xdr:to>
    <xdr:cxnSp macro="">
      <xdr:nvCxnSpPr>
        <xdr:cNvPr id="3230" name="Straight Arrow Connector 3229">
          <a:extLst>
            <a:ext uri="{FF2B5EF4-FFF2-40B4-BE49-F238E27FC236}">
              <a16:creationId xmlns:a16="http://schemas.microsoft.com/office/drawing/2014/main" id="{00000000-0008-0000-1300-00009E0C0000}"/>
            </a:ext>
          </a:extLst>
        </xdr:cNvPr>
        <xdr:cNvCxnSpPr/>
      </xdr:nvCxnSpPr>
      <xdr:spPr>
        <a:xfrm>
          <a:off x="11313583" y="506835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1168</xdr:row>
      <xdr:rowOff>10584</xdr:rowOff>
    </xdr:from>
    <xdr:to>
      <xdr:col>15</xdr:col>
      <xdr:colOff>560916</xdr:colOff>
      <xdr:row>1172</xdr:row>
      <xdr:rowOff>52917</xdr:rowOff>
    </xdr:to>
    <xdr:cxnSp macro="">
      <xdr:nvCxnSpPr>
        <xdr:cNvPr id="3231" name="Straight Arrow Connector 3230">
          <a:extLst>
            <a:ext uri="{FF2B5EF4-FFF2-40B4-BE49-F238E27FC236}">
              <a16:creationId xmlns:a16="http://schemas.microsoft.com/office/drawing/2014/main" id="{00000000-0008-0000-1300-00009F0C0000}"/>
            </a:ext>
          </a:extLst>
        </xdr:cNvPr>
        <xdr:cNvCxnSpPr/>
      </xdr:nvCxnSpPr>
      <xdr:spPr>
        <a:xfrm>
          <a:off x="11292416" y="506835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1168</xdr:row>
      <xdr:rowOff>31750</xdr:rowOff>
    </xdr:from>
    <xdr:to>
      <xdr:col>16</xdr:col>
      <xdr:colOff>21167</xdr:colOff>
      <xdr:row>1175</xdr:row>
      <xdr:rowOff>95250</xdr:rowOff>
    </xdr:to>
    <xdr:cxnSp macro="">
      <xdr:nvCxnSpPr>
        <xdr:cNvPr id="3232" name="Straight Arrow Connector 3231">
          <a:extLst>
            <a:ext uri="{FF2B5EF4-FFF2-40B4-BE49-F238E27FC236}">
              <a16:creationId xmlns:a16="http://schemas.microsoft.com/office/drawing/2014/main" id="{00000000-0008-0000-1300-0000A00C0000}"/>
            </a:ext>
          </a:extLst>
        </xdr:cNvPr>
        <xdr:cNvCxnSpPr/>
      </xdr:nvCxnSpPr>
      <xdr:spPr>
        <a:xfrm>
          <a:off x="11324166" y="50704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1182</xdr:row>
      <xdr:rowOff>0</xdr:rowOff>
    </xdr:from>
    <xdr:to>
      <xdr:col>16</xdr:col>
      <xdr:colOff>0</xdr:colOff>
      <xdr:row>1182</xdr:row>
      <xdr:rowOff>42334</xdr:rowOff>
    </xdr:to>
    <xdr:cxnSp macro="">
      <xdr:nvCxnSpPr>
        <xdr:cNvPr id="3233" name="Straight Arrow Connector 3232">
          <a:extLst>
            <a:ext uri="{FF2B5EF4-FFF2-40B4-BE49-F238E27FC236}">
              <a16:creationId xmlns:a16="http://schemas.microsoft.com/office/drawing/2014/main" id="{00000000-0008-0000-1300-0000A10C0000}"/>
            </a:ext>
          </a:extLst>
        </xdr:cNvPr>
        <xdr:cNvCxnSpPr/>
      </xdr:nvCxnSpPr>
      <xdr:spPr>
        <a:xfrm>
          <a:off x="11302999" y="53340000"/>
          <a:ext cx="592668"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1182</xdr:row>
      <xdr:rowOff>21166</xdr:rowOff>
    </xdr:from>
    <xdr:to>
      <xdr:col>15</xdr:col>
      <xdr:colOff>560916</xdr:colOff>
      <xdr:row>1185</xdr:row>
      <xdr:rowOff>84667</xdr:rowOff>
    </xdr:to>
    <xdr:cxnSp macro="">
      <xdr:nvCxnSpPr>
        <xdr:cNvPr id="3234" name="Straight Arrow Connector 3233">
          <a:extLst>
            <a:ext uri="{FF2B5EF4-FFF2-40B4-BE49-F238E27FC236}">
              <a16:creationId xmlns:a16="http://schemas.microsoft.com/office/drawing/2014/main" id="{00000000-0008-0000-1300-0000A20C0000}"/>
            </a:ext>
          </a:extLst>
        </xdr:cNvPr>
        <xdr:cNvCxnSpPr/>
      </xdr:nvCxnSpPr>
      <xdr:spPr>
        <a:xfrm>
          <a:off x="11355916" y="533611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1182</xdr:row>
      <xdr:rowOff>52916</xdr:rowOff>
    </xdr:from>
    <xdr:to>
      <xdr:col>15</xdr:col>
      <xdr:colOff>592666</xdr:colOff>
      <xdr:row>1188</xdr:row>
      <xdr:rowOff>63501</xdr:rowOff>
    </xdr:to>
    <xdr:cxnSp macro="">
      <xdr:nvCxnSpPr>
        <xdr:cNvPr id="3235" name="Straight Arrow Connector 3234">
          <a:extLst>
            <a:ext uri="{FF2B5EF4-FFF2-40B4-BE49-F238E27FC236}">
              <a16:creationId xmlns:a16="http://schemas.microsoft.com/office/drawing/2014/main" id="{00000000-0008-0000-1300-0000A30C0000}"/>
            </a:ext>
          </a:extLst>
        </xdr:cNvPr>
        <xdr:cNvCxnSpPr/>
      </xdr:nvCxnSpPr>
      <xdr:spPr>
        <a:xfrm>
          <a:off x="11313583" y="533929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1196</xdr:row>
      <xdr:rowOff>116416</xdr:rowOff>
    </xdr:from>
    <xdr:to>
      <xdr:col>15</xdr:col>
      <xdr:colOff>592666</xdr:colOff>
      <xdr:row>1199</xdr:row>
      <xdr:rowOff>158750</xdr:rowOff>
    </xdr:to>
    <xdr:cxnSp macro="">
      <xdr:nvCxnSpPr>
        <xdr:cNvPr id="3236" name="Straight Arrow Connector 3235">
          <a:extLst>
            <a:ext uri="{FF2B5EF4-FFF2-40B4-BE49-F238E27FC236}">
              <a16:creationId xmlns:a16="http://schemas.microsoft.com/office/drawing/2014/main" id="{00000000-0008-0000-1300-0000A40C0000}"/>
            </a:ext>
          </a:extLst>
        </xdr:cNvPr>
        <xdr:cNvCxnSpPr/>
      </xdr:nvCxnSpPr>
      <xdr:spPr>
        <a:xfrm flipV="1">
          <a:off x="11302999" y="56123416"/>
          <a:ext cx="571500" cy="613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1198</xdr:row>
      <xdr:rowOff>95250</xdr:rowOff>
    </xdr:from>
    <xdr:to>
      <xdr:col>15</xdr:col>
      <xdr:colOff>582083</xdr:colOff>
      <xdr:row>1200</xdr:row>
      <xdr:rowOff>52917</xdr:rowOff>
    </xdr:to>
    <xdr:cxnSp macro="">
      <xdr:nvCxnSpPr>
        <xdr:cNvPr id="3237" name="Straight Arrow Connector 3236">
          <a:extLst>
            <a:ext uri="{FF2B5EF4-FFF2-40B4-BE49-F238E27FC236}">
              <a16:creationId xmlns:a16="http://schemas.microsoft.com/office/drawing/2014/main" id="{00000000-0008-0000-1300-0000A50C0000}"/>
            </a:ext>
          </a:extLst>
        </xdr:cNvPr>
        <xdr:cNvCxnSpPr/>
      </xdr:nvCxnSpPr>
      <xdr:spPr>
        <a:xfrm flipV="1">
          <a:off x="11345333" y="56483250"/>
          <a:ext cx="518583" cy="338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1200</xdr:row>
      <xdr:rowOff>116417</xdr:rowOff>
    </xdr:from>
    <xdr:to>
      <xdr:col>15</xdr:col>
      <xdr:colOff>592666</xdr:colOff>
      <xdr:row>1204</xdr:row>
      <xdr:rowOff>95250</xdr:rowOff>
    </xdr:to>
    <xdr:cxnSp macro="">
      <xdr:nvCxnSpPr>
        <xdr:cNvPr id="3238" name="Straight Arrow Connector 3237">
          <a:extLst>
            <a:ext uri="{FF2B5EF4-FFF2-40B4-BE49-F238E27FC236}">
              <a16:creationId xmlns:a16="http://schemas.microsoft.com/office/drawing/2014/main" id="{00000000-0008-0000-1300-0000A60C0000}"/>
            </a:ext>
          </a:extLst>
        </xdr:cNvPr>
        <xdr:cNvCxnSpPr/>
      </xdr:nvCxnSpPr>
      <xdr:spPr>
        <a:xfrm>
          <a:off x="11334749" y="56885417"/>
          <a:ext cx="53975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1211</xdr:row>
      <xdr:rowOff>116416</xdr:rowOff>
    </xdr:from>
    <xdr:to>
      <xdr:col>16</xdr:col>
      <xdr:colOff>0</xdr:colOff>
      <xdr:row>1218</xdr:row>
      <xdr:rowOff>74084</xdr:rowOff>
    </xdr:to>
    <xdr:cxnSp macro="">
      <xdr:nvCxnSpPr>
        <xdr:cNvPr id="3239" name="Straight Arrow Connector 3238">
          <a:extLst>
            <a:ext uri="{FF2B5EF4-FFF2-40B4-BE49-F238E27FC236}">
              <a16:creationId xmlns:a16="http://schemas.microsoft.com/office/drawing/2014/main" id="{00000000-0008-0000-1300-0000A70C0000}"/>
            </a:ext>
          </a:extLst>
        </xdr:cNvPr>
        <xdr:cNvCxnSpPr/>
      </xdr:nvCxnSpPr>
      <xdr:spPr>
        <a:xfrm>
          <a:off x="11313583" y="58980916"/>
          <a:ext cx="582084" cy="12911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1179</xdr:row>
      <xdr:rowOff>52917</xdr:rowOff>
    </xdr:from>
    <xdr:to>
      <xdr:col>15</xdr:col>
      <xdr:colOff>603250</xdr:colOff>
      <xdr:row>1181</xdr:row>
      <xdr:rowOff>148167</xdr:rowOff>
    </xdr:to>
    <xdr:cxnSp macro="">
      <xdr:nvCxnSpPr>
        <xdr:cNvPr id="3240" name="Straight Arrow Connector 3239">
          <a:extLst>
            <a:ext uri="{FF2B5EF4-FFF2-40B4-BE49-F238E27FC236}">
              <a16:creationId xmlns:a16="http://schemas.microsoft.com/office/drawing/2014/main" id="{00000000-0008-0000-1300-0000A80C0000}"/>
            </a:ext>
          </a:extLst>
        </xdr:cNvPr>
        <xdr:cNvCxnSpPr/>
      </xdr:nvCxnSpPr>
      <xdr:spPr>
        <a:xfrm flipV="1">
          <a:off x="11324166" y="528214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1214</xdr:row>
      <xdr:rowOff>42333</xdr:rowOff>
    </xdr:from>
    <xdr:to>
      <xdr:col>11</xdr:col>
      <xdr:colOff>603250</xdr:colOff>
      <xdr:row>1226</xdr:row>
      <xdr:rowOff>10583</xdr:rowOff>
    </xdr:to>
    <xdr:cxnSp macro="">
      <xdr:nvCxnSpPr>
        <xdr:cNvPr id="3241" name="Straight Arrow Connector 3240">
          <a:extLst>
            <a:ext uri="{FF2B5EF4-FFF2-40B4-BE49-F238E27FC236}">
              <a16:creationId xmlns:a16="http://schemas.microsoft.com/office/drawing/2014/main" id="{00000000-0008-0000-1300-0000A90C0000}"/>
            </a:ext>
          </a:extLst>
        </xdr:cNvPr>
        <xdr:cNvCxnSpPr/>
      </xdr:nvCxnSpPr>
      <xdr:spPr>
        <a:xfrm>
          <a:off x="7926917" y="594783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1204</xdr:row>
      <xdr:rowOff>21167</xdr:rowOff>
    </xdr:from>
    <xdr:to>
      <xdr:col>13</xdr:col>
      <xdr:colOff>592667</xdr:colOff>
      <xdr:row>1206</xdr:row>
      <xdr:rowOff>0</xdr:rowOff>
    </xdr:to>
    <xdr:cxnSp macro="">
      <xdr:nvCxnSpPr>
        <xdr:cNvPr id="3242" name="Straight Arrow Connector 3241">
          <a:extLst>
            <a:ext uri="{FF2B5EF4-FFF2-40B4-BE49-F238E27FC236}">
              <a16:creationId xmlns:a16="http://schemas.microsoft.com/office/drawing/2014/main" id="{00000000-0008-0000-1300-0000AA0C0000}"/>
            </a:ext>
          </a:extLst>
        </xdr:cNvPr>
        <xdr:cNvCxnSpPr/>
      </xdr:nvCxnSpPr>
      <xdr:spPr>
        <a:xfrm flipV="1">
          <a:off x="9133417" y="57552167"/>
          <a:ext cx="984250"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1209</xdr:row>
      <xdr:rowOff>21166</xdr:rowOff>
    </xdr:from>
    <xdr:to>
      <xdr:col>13</xdr:col>
      <xdr:colOff>592667</xdr:colOff>
      <xdr:row>1210</xdr:row>
      <xdr:rowOff>169334</xdr:rowOff>
    </xdr:to>
    <xdr:cxnSp macro="">
      <xdr:nvCxnSpPr>
        <xdr:cNvPr id="3243" name="Straight Arrow Connector 3242">
          <a:extLst>
            <a:ext uri="{FF2B5EF4-FFF2-40B4-BE49-F238E27FC236}">
              <a16:creationId xmlns:a16="http://schemas.microsoft.com/office/drawing/2014/main" id="{00000000-0008-0000-1300-0000AB0C0000}"/>
            </a:ext>
          </a:extLst>
        </xdr:cNvPr>
        <xdr:cNvCxnSpPr/>
      </xdr:nvCxnSpPr>
      <xdr:spPr>
        <a:xfrm>
          <a:off x="9122833" y="58504666"/>
          <a:ext cx="994834"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1224</xdr:row>
      <xdr:rowOff>21167</xdr:rowOff>
    </xdr:from>
    <xdr:to>
      <xdr:col>13</xdr:col>
      <xdr:colOff>592667</xdr:colOff>
      <xdr:row>1226</xdr:row>
      <xdr:rowOff>63500</xdr:rowOff>
    </xdr:to>
    <xdr:cxnSp macro="">
      <xdr:nvCxnSpPr>
        <xdr:cNvPr id="3244" name="Straight Arrow Connector 3243">
          <a:extLst>
            <a:ext uri="{FF2B5EF4-FFF2-40B4-BE49-F238E27FC236}">
              <a16:creationId xmlns:a16="http://schemas.microsoft.com/office/drawing/2014/main" id="{00000000-0008-0000-1300-0000AC0C0000}"/>
            </a:ext>
          </a:extLst>
        </xdr:cNvPr>
        <xdr:cNvCxnSpPr/>
      </xdr:nvCxnSpPr>
      <xdr:spPr>
        <a:xfrm flipV="1">
          <a:off x="9525000" y="615526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1229</xdr:row>
      <xdr:rowOff>0</xdr:rowOff>
    </xdr:from>
    <xdr:to>
      <xdr:col>14</xdr:col>
      <xdr:colOff>10584</xdr:colOff>
      <xdr:row>1237</xdr:row>
      <xdr:rowOff>148167</xdr:rowOff>
    </xdr:to>
    <xdr:cxnSp macro="">
      <xdr:nvCxnSpPr>
        <xdr:cNvPr id="3245" name="Straight Arrow Connector 3244">
          <a:extLst>
            <a:ext uri="{FF2B5EF4-FFF2-40B4-BE49-F238E27FC236}">
              <a16:creationId xmlns:a16="http://schemas.microsoft.com/office/drawing/2014/main" id="{00000000-0008-0000-1300-0000AD0C0000}"/>
            </a:ext>
          </a:extLst>
        </xdr:cNvPr>
        <xdr:cNvCxnSpPr/>
      </xdr:nvCxnSpPr>
      <xdr:spPr>
        <a:xfrm>
          <a:off x="9535583" y="62484000"/>
          <a:ext cx="613834"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1200</xdr:row>
      <xdr:rowOff>95250</xdr:rowOff>
    </xdr:from>
    <xdr:to>
      <xdr:col>15</xdr:col>
      <xdr:colOff>582083</xdr:colOff>
      <xdr:row>1202</xdr:row>
      <xdr:rowOff>137583</xdr:rowOff>
    </xdr:to>
    <xdr:cxnSp macro="">
      <xdr:nvCxnSpPr>
        <xdr:cNvPr id="3246" name="Straight Arrow Connector 3245">
          <a:extLst>
            <a:ext uri="{FF2B5EF4-FFF2-40B4-BE49-F238E27FC236}">
              <a16:creationId xmlns:a16="http://schemas.microsoft.com/office/drawing/2014/main" id="{00000000-0008-0000-1300-0000AE0C0000}"/>
            </a:ext>
          </a:extLst>
        </xdr:cNvPr>
        <xdr:cNvCxnSpPr/>
      </xdr:nvCxnSpPr>
      <xdr:spPr>
        <a:xfrm>
          <a:off x="11334749" y="56864250"/>
          <a:ext cx="5291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1209</xdr:row>
      <xdr:rowOff>52916</xdr:rowOff>
    </xdr:from>
    <xdr:to>
      <xdr:col>16</xdr:col>
      <xdr:colOff>0</xdr:colOff>
      <xdr:row>1211</xdr:row>
      <xdr:rowOff>0</xdr:rowOff>
    </xdr:to>
    <xdr:cxnSp macro="">
      <xdr:nvCxnSpPr>
        <xdr:cNvPr id="3247" name="Straight Arrow Connector 3246">
          <a:extLst>
            <a:ext uri="{FF2B5EF4-FFF2-40B4-BE49-F238E27FC236}">
              <a16:creationId xmlns:a16="http://schemas.microsoft.com/office/drawing/2014/main" id="{00000000-0008-0000-1300-0000AF0C0000}"/>
            </a:ext>
          </a:extLst>
        </xdr:cNvPr>
        <xdr:cNvCxnSpPr/>
      </xdr:nvCxnSpPr>
      <xdr:spPr>
        <a:xfrm flipV="1">
          <a:off x="11281833" y="58536416"/>
          <a:ext cx="613834"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1211</xdr:row>
      <xdr:rowOff>21167</xdr:rowOff>
    </xdr:from>
    <xdr:to>
      <xdr:col>15</xdr:col>
      <xdr:colOff>592666</xdr:colOff>
      <xdr:row>1212</xdr:row>
      <xdr:rowOff>84667</xdr:rowOff>
    </xdr:to>
    <xdr:cxnSp macro="">
      <xdr:nvCxnSpPr>
        <xdr:cNvPr id="3248" name="Straight Arrow Connector 3247">
          <a:extLst>
            <a:ext uri="{FF2B5EF4-FFF2-40B4-BE49-F238E27FC236}">
              <a16:creationId xmlns:a16="http://schemas.microsoft.com/office/drawing/2014/main" id="{00000000-0008-0000-1300-0000B00C0000}"/>
            </a:ext>
          </a:extLst>
        </xdr:cNvPr>
        <xdr:cNvCxnSpPr/>
      </xdr:nvCxnSpPr>
      <xdr:spPr>
        <a:xfrm>
          <a:off x="11271250" y="58885667"/>
          <a:ext cx="603249" cy="25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1211</xdr:row>
      <xdr:rowOff>0</xdr:rowOff>
    </xdr:from>
    <xdr:to>
      <xdr:col>16</xdr:col>
      <xdr:colOff>0</xdr:colOff>
      <xdr:row>1215</xdr:row>
      <xdr:rowOff>42334</xdr:rowOff>
    </xdr:to>
    <xdr:cxnSp macro="">
      <xdr:nvCxnSpPr>
        <xdr:cNvPr id="3249" name="Straight Arrow Connector 3248">
          <a:extLst>
            <a:ext uri="{FF2B5EF4-FFF2-40B4-BE49-F238E27FC236}">
              <a16:creationId xmlns:a16="http://schemas.microsoft.com/office/drawing/2014/main" id="{00000000-0008-0000-1300-0000B10C0000}"/>
            </a:ext>
          </a:extLst>
        </xdr:cNvPr>
        <xdr:cNvCxnSpPr/>
      </xdr:nvCxnSpPr>
      <xdr:spPr>
        <a:xfrm>
          <a:off x="11271250" y="58864500"/>
          <a:ext cx="624417" cy="804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1222</xdr:row>
      <xdr:rowOff>0</xdr:rowOff>
    </xdr:from>
    <xdr:to>
      <xdr:col>15</xdr:col>
      <xdr:colOff>603250</xdr:colOff>
      <xdr:row>1224</xdr:row>
      <xdr:rowOff>1</xdr:rowOff>
    </xdr:to>
    <xdr:cxnSp macro="">
      <xdr:nvCxnSpPr>
        <xdr:cNvPr id="3250" name="Straight Arrow Connector 3249">
          <a:extLst>
            <a:ext uri="{FF2B5EF4-FFF2-40B4-BE49-F238E27FC236}">
              <a16:creationId xmlns:a16="http://schemas.microsoft.com/office/drawing/2014/main" id="{00000000-0008-0000-1300-0000B20C0000}"/>
            </a:ext>
          </a:extLst>
        </xdr:cNvPr>
        <xdr:cNvCxnSpPr/>
      </xdr:nvCxnSpPr>
      <xdr:spPr>
        <a:xfrm flipV="1">
          <a:off x="11271250" y="611505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1224</xdr:row>
      <xdr:rowOff>10584</xdr:rowOff>
    </xdr:from>
    <xdr:to>
      <xdr:col>15</xdr:col>
      <xdr:colOff>592666</xdr:colOff>
      <xdr:row>1225</xdr:row>
      <xdr:rowOff>95250</xdr:rowOff>
    </xdr:to>
    <xdr:cxnSp macro="">
      <xdr:nvCxnSpPr>
        <xdr:cNvPr id="3251" name="Straight Arrow Connector 3250">
          <a:extLst>
            <a:ext uri="{FF2B5EF4-FFF2-40B4-BE49-F238E27FC236}">
              <a16:creationId xmlns:a16="http://schemas.microsoft.com/office/drawing/2014/main" id="{00000000-0008-0000-1300-0000B30C0000}"/>
            </a:ext>
          </a:extLst>
        </xdr:cNvPr>
        <xdr:cNvCxnSpPr/>
      </xdr:nvCxnSpPr>
      <xdr:spPr>
        <a:xfrm>
          <a:off x="11313583" y="615420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1224</xdr:row>
      <xdr:rowOff>10584</xdr:rowOff>
    </xdr:from>
    <xdr:to>
      <xdr:col>15</xdr:col>
      <xdr:colOff>560916</xdr:colOff>
      <xdr:row>1228</xdr:row>
      <xdr:rowOff>52917</xdr:rowOff>
    </xdr:to>
    <xdr:cxnSp macro="">
      <xdr:nvCxnSpPr>
        <xdr:cNvPr id="3252" name="Straight Arrow Connector 3251">
          <a:extLst>
            <a:ext uri="{FF2B5EF4-FFF2-40B4-BE49-F238E27FC236}">
              <a16:creationId xmlns:a16="http://schemas.microsoft.com/office/drawing/2014/main" id="{00000000-0008-0000-1300-0000B40C0000}"/>
            </a:ext>
          </a:extLst>
        </xdr:cNvPr>
        <xdr:cNvCxnSpPr/>
      </xdr:nvCxnSpPr>
      <xdr:spPr>
        <a:xfrm>
          <a:off x="11292416" y="615420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1224</xdr:row>
      <xdr:rowOff>31750</xdr:rowOff>
    </xdr:from>
    <xdr:to>
      <xdr:col>16</xdr:col>
      <xdr:colOff>21167</xdr:colOff>
      <xdr:row>1231</xdr:row>
      <xdr:rowOff>95250</xdr:rowOff>
    </xdr:to>
    <xdr:cxnSp macro="">
      <xdr:nvCxnSpPr>
        <xdr:cNvPr id="3253" name="Straight Arrow Connector 3252">
          <a:extLst>
            <a:ext uri="{FF2B5EF4-FFF2-40B4-BE49-F238E27FC236}">
              <a16:creationId xmlns:a16="http://schemas.microsoft.com/office/drawing/2014/main" id="{00000000-0008-0000-1300-0000B50C0000}"/>
            </a:ext>
          </a:extLst>
        </xdr:cNvPr>
        <xdr:cNvCxnSpPr/>
      </xdr:nvCxnSpPr>
      <xdr:spPr>
        <a:xfrm>
          <a:off x="11324166" y="61563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1238</xdr:row>
      <xdr:rowOff>0</xdr:rowOff>
    </xdr:from>
    <xdr:to>
      <xdr:col>16</xdr:col>
      <xdr:colOff>0</xdr:colOff>
      <xdr:row>1238</xdr:row>
      <xdr:rowOff>42334</xdr:rowOff>
    </xdr:to>
    <xdr:cxnSp macro="">
      <xdr:nvCxnSpPr>
        <xdr:cNvPr id="3254" name="Straight Arrow Connector 3253">
          <a:extLst>
            <a:ext uri="{FF2B5EF4-FFF2-40B4-BE49-F238E27FC236}">
              <a16:creationId xmlns:a16="http://schemas.microsoft.com/office/drawing/2014/main" id="{00000000-0008-0000-1300-0000B60C0000}"/>
            </a:ext>
          </a:extLst>
        </xdr:cNvPr>
        <xdr:cNvCxnSpPr/>
      </xdr:nvCxnSpPr>
      <xdr:spPr>
        <a:xfrm>
          <a:off x="11302999" y="64198500"/>
          <a:ext cx="592668"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1238</xdr:row>
      <xdr:rowOff>21166</xdr:rowOff>
    </xdr:from>
    <xdr:to>
      <xdr:col>15</xdr:col>
      <xdr:colOff>560916</xdr:colOff>
      <xdr:row>1241</xdr:row>
      <xdr:rowOff>84667</xdr:rowOff>
    </xdr:to>
    <xdr:cxnSp macro="">
      <xdr:nvCxnSpPr>
        <xdr:cNvPr id="3255" name="Straight Arrow Connector 3254">
          <a:extLst>
            <a:ext uri="{FF2B5EF4-FFF2-40B4-BE49-F238E27FC236}">
              <a16:creationId xmlns:a16="http://schemas.microsoft.com/office/drawing/2014/main" id="{00000000-0008-0000-1300-0000B70C0000}"/>
            </a:ext>
          </a:extLst>
        </xdr:cNvPr>
        <xdr:cNvCxnSpPr/>
      </xdr:nvCxnSpPr>
      <xdr:spPr>
        <a:xfrm>
          <a:off x="11355916" y="642196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1238</xdr:row>
      <xdr:rowOff>52916</xdr:rowOff>
    </xdr:from>
    <xdr:to>
      <xdr:col>15</xdr:col>
      <xdr:colOff>592666</xdr:colOff>
      <xdr:row>1244</xdr:row>
      <xdr:rowOff>63501</xdr:rowOff>
    </xdr:to>
    <xdr:cxnSp macro="">
      <xdr:nvCxnSpPr>
        <xdr:cNvPr id="3256" name="Straight Arrow Connector 3255">
          <a:extLst>
            <a:ext uri="{FF2B5EF4-FFF2-40B4-BE49-F238E27FC236}">
              <a16:creationId xmlns:a16="http://schemas.microsoft.com/office/drawing/2014/main" id="{00000000-0008-0000-1300-0000B80C0000}"/>
            </a:ext>
          </a:extLst>
        </xdr:cNvPr>
        <xdr:cNvCxnSpPr/>
      </xdr:nvCxnSpPr>
      <xdr:spPr>
        <a:xfrm>
          <a:off x="11313583" y="642514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1235</xdr:row>
      <xdr:rowOff>52917</xdr:rowOff>
    </xdr:from>
    <xdr:to>
      <xdr:col>15</xdr:col>
      <xdr:colOff>603250</xdr:colOff>
      <xdr:row>1237</xdr:row>
      <xdr:rowOff>148167</xdr:rowOff>
    </xdr:to>
    <xdr:cxnSp macro="">
      <xdr:nvCxnSpPr>
        <xdr:cNvPr id="3257" name="Straight Arrow Connector 3256">
          <a:extLst>
            <a:ext uri="{FF2B5EF4-FFF2-40B4-BE49-F238E27FC236}">
              <a16:creationId xmlns:a16="http://schemas.microsoft.com/office/drawing/2014/main" id="{00000000-0008-0000-1300-0000B90C0000}"/>
            </a:ext>
          </a:extLst>
        </xdr:cNvPr>
        <xdr:cNvCxnSpPr/>
      </xdr:nvCxnSpPr>
      <xdr:spPr>
        <a:xfrm flipV="1">
          <a:off x="11324166" y="636799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698500</xdr:colOff>
      <xdr:row>1279</xdr:row>
      <xdr:rowOff>95250</xdr:rowOff>
    </xdr:from>
    <xdr:to>
      <xdr:col>8</xdr:col>
      <xdr:colOff>21167</xdr:colOff>
      <xdr:row>1311</xdr:row>
      <xdr:rowOff>148166</xdr:rowOff>
    </xdr:to>
    <xdr:cxnSp macro="">
      <xdr:nvCxnSpPr>
        <xdr:cNvPr id="3258" name="Straight Arrow Connector 3257">
          <a:extLst>
            <a:ext uri="{FF2B5EF4-FFF2-40B4-BE49-F238E27FC236}">
              <a16:creationId xmlns:a16="http://schemas.microsoft.com/office/drawing/2014/main" id="{00000000-0008-0000-1300-0000BA0C0000}"/>
            </a:ext>
          </a:extLst>
        </xdr:cNvPr>
        <xdr:cNvCxnSpPr/>
      </xdr:nvCxnSpPr>
      <xdr:spPr>
        <a:xfrm>
          <a:off x="5185833" y="72294750"/>
          <a:ext cx="910167" cy="6148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1250</xdr:row>
      <xdr:rowOff>137583</xdr:rowOff>
    </xdr:from>
    <xdr:to>
      <xdr:col>9</xdr:col>
      <xdr:colOff>603250</xdr:colOff>
      <xdr:row>1256</xdr:row>
      <xdr:rowOff>21166</xdr:rowOff>
    </xdr:to>
    <xdr:cxnSp macro="">
      <xdr:nvCxnSpPr>
        <xdr:cNvPr id="3259" name="Straight Arrow Connector 3258">
          <a:extLst>
            <a:ext uri="{FF2B5EF4-FFF2-40B4-BE49-F238E27FC236}">
              <a16:creationId xmlns:a16="http://schemas.microsoft.com/office/drawing/2014/main" id="{00000000-0008-0000-1300-0000BB0C0000}"/>
            </a:ext>
          </a:extLst>
        </xdr:cNvPr>
        <xdr:cNvCxnSpPr/>
      </xdr:nvCxnSpPr>
      <xdr:spPr>
        <a:xfrm flipV="1">
          <a:off x="6688667" y="66622083"/>
          <a:ext cx="603250" cy="1026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1259</xdr:row>
      <xdr:rowOff>0</xdr:rowOff>
    </xdr:from>
    <xdr:to>
      <xdr:col>9</xdr:col>
      <xdr:colOff>582083</xdr:colOff>
      <xdr:row>1267</xdr:row>
      <xdr:rowOff>10583</xdr:rowOff>
    </xdr:to>
    <xdr:cxnSp macro="">
      <xdr:nvCxnSpPr>
        <xdr:cNvPr id="3260" name="Straight Arrow Connector 3259">
          <a:extLst>
            <a:ext uri="{FF2B5EF4-FFF2-40B4-BE49-F238E27FC236}">
              <a16:creationId xmlns:a16="http://schemas.microsoft.com/office/drawing/2014/main" id="{00000000-0008-0000-1300-0000BC0C0000}"/>
            </a:ext>
          </a:extLst>
        </xdr:cNvPr>
        <xdr:cNvCxnSpPr/>
      </xdr:nvCxnSpPr>
      <xdr:spPr>
        <a:xfrm>
          <a:off x="6720417" y="68199000"/>
          <a:ext cx="550333" cy="1534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21167</xdr:colOff>
      <xdr:row>1264</xdr:row>
      <xdr:rowOff>169333</xdr:rowOff>
    </xdr:from>
    <xdr:to>
      <xdr:col>11</xdr:col>
      <xdr:colOff>603250</xdr:colOff>
      <xdr:row>1267</xdr:row>
      <xdr:rowOff>21167</xdr:rowOff>
    </xdr:to>
    <xdr:cxnSp macro="">
      <xdr:nvCxnSpPr>
        <xdr:cNvPr id="3261" name="Straight Arrow Connector 3260">
          <a:extLst>
            <a:ext uri="{FF2B5EF4-FFF2-40B4-BE49-F238E27FC236}">
              <a16:creationId xmlns:a16="http://schemas.microsoft.com/office/drawing/2014/main" id="{00000000-0008-0000-1300-0000BD0C0000}"/>
            </a:ext>
          </a:extLst>
        </xdr:cNvPr>
        <xdr:cNvCxnSpPr/>
      </xdr:nvCxnSpPr>
      <xdr:spPr>
        <a:xfrm flipV="1">
          <a:off x="7937500" y="69320833"/>
          <a:ext cx="582083" cy="423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1270</xdr:row>
      <xdr:rowOff>42333</xdr:rowOff>
    </xdr:from>
    <xdr:to>
      <xdr:col>11</xdr:col>
      <xdr:colOff>603250</xdr:colOff>
      <xdr:row>1282</xdr:row>
      <xdr:rowOff>10583</xdr:rowOff>
    </xdr:to>
    <xdr:cxnSp macro="">
      <xdr:nvCxnSpPr>
        <xdr:cNvPr id="3262" name="Straight Arrow Connector 3261">
          <a:extLst>
            <a:ext uri="{FF2B5EF4-FFF2-40B4-BE49-F238E27FC236}">
              <a16:creationId xmlns:a16="http://schemas.microsoft.com/office/drawing/2014/main" id="{00000000-0008-0000-1300-0000BE0C0000}"/>
            </a:ext>
          </a:extLst>
        </xdr:cNvPr>
        <xdr:cNvCxnSpPr/>
      </xdr:nvCxnSpPr>
      <xdr:spPr>
        <a:xfrm>
          <a:off x="7926917" y="703368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1260</xdr:row>
      <xdr:rowOff>21167</xdr:rowOff>
    </xdr:from>
    <xdr:to>
      <xdr:col>13</xdr:col>
      <xdr:colOff>592667</xdr:colOff>
      <xdr:row>1262</xdr:row>
      <xdr:rowOff>0</xdr:rowOff>
    </xdr:to>
    <xdr:cxnSp macro="">
      <xdr:nvCxnSpPr>
        <xdr:cNvPr id="3263" name="Straight Arrow Connector 3262">
          <a:extLst>
            <a:ext uri="{FF2B5EF4-FFF2-40B4-BE49-F238E27FC236}">
              <a16:creationId xmlns:a16="http://schemas.microsoft.com/office/drawing/2014/main" id="{00000000-0008-0000-1300-0000BF0C0000}"/>
            </a:ext>
          </a:extLst>
        </xdr:cNvPr>
        <xdr:cNvCxnSpPr/>
      </xdr:nvCxnSpPr>
      <xdr:spPr>
        <a:xfrm flipV="1">
          <a:off x="9133417" y="68410667"/>
          <a:ext cx="984250"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1265</xdr:row>
      <xdr:rowOff>21166</xdr:rowOff>
    </xdr:from>
    <xdr:to>
      <xdr:col>13</xdr:col>
      <xdr:colOff>592667</xdr:colOff>
      <xdr:row>1266</xdr:row>
      <xdr:rowOff>169334</xdr:rowOff>
    </xdr:to>
    <xdr:cxnSp macro="">
      <xdr:nvCxnSpPr>
        <xdr:cNvPr id="3264" name="Straight Arrow Connector 3263">
          <a:extLst>
            <a:ext uri="{FF2B5EF4-FFF2-40B4-BE49-F238E27FC236}">
              <a16:creationId xmlns:a16="http://schemas.microsoft.com/office/drawing/2014/main" id="{00000000-0008-0000-1300-0000C00C0000}"/>
            </a:ext>
          </a:extLst>
        </xdr:cNvPr>
        <xdr:cNvCxnSpPr/>
      </xdr:nvCxnSpPr>
      <xdr:spPr>
        <a:xfrm>
          <a:off x="9122833" y="69363166"/>
          <a:ext cx="994834"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1280</xdr:row>
      <xdr:rowOff>21167</xdr:rowOff>
    </xdr:from>
    <xdr:to>
      <xdr:col>13</xdr:col>
      <xdr:colOff>592667</xdr:colOff>
      <xdr:row>1282</xdr:row>
      <xdr:rowOff>63500</xdr:rowOff>
    </xdr:to>
    <xdr:cxnSp macro="">
      <xdr:nvCxnSpPr>
        <xdr:cNvPr id="3265" name="Straight Arrow Connector 3264">
          <a:extLst>
            <a:ext uri="{FF2B5EF4-FFF2-40B4-BE49-F238E27FC236}">
              <a16:creationId xmlns:a16="http://schemas.microsoft.com/office/drawing/2014/main" id="{00000000-0008-0000-1300-0000C10C0000}"/>
            </a:ext>
          </a:extLst>
        </xdr:cNvPr>
        <xdr:cNvCxnSpPr/>
      </xdr:nvCxnSpPr>
      <xdr:spPr>
        <a:xfrm flipV="1">
          <a:off x="9525000" y="724111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1285</xdr:row>
      <xdr:rowOff>0</xdr:rowOff>
    </xdr:from>
    <xdr:to>
      <xdr:col>14</xdr:col>
      <xdr:colOff>10584</xdr:colOff>
      <xdr:row>1293</xdr:row>
      <xdr:rowOff>148167</xdr:rowOff>
    </xdr:to>
    <xdr:cxnSp macro="">
      <xdr:nvCxnSpPr>
        <xdr:cNvPr id="3266" name="Straight Arrow Connector 3265">
          <a:extLst>
            <a:ext uri="{FF2B5EF4-FFF2-40B4-BE49-F238E27FC236}">
              <a16:creationId xmlns:a16="http://schemas.microsoft.com/office/drawing/2014/main" id="{00000000-0008-0000-1300-0000C20C0000}"/>
            </a:ext>
          </a:extLst>
        </xdr:cNvPr>
        <xdr:cNvCxnSpPr/>
      </xdr:nvCxnSpPr>
      <xdr:spPr>
        <a:xfrm>
          <a:off x="9535583" y="73342500"/>
          <a:ext cx="613834"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1252</xdr:row>
      <xdr:rowOff>0</xdr:rowOff>
    </xdr:from>
    <xdr:to>
      <xdr:col>15</xdr:col>
      <xdr:colOff>603250</xdr:colOff>
      <xdr:row>1257</xdr:row>
      <xdr:rowOff>31750</xdr:rowOff>
    </xdr:to>
    <xdr:cxnSp macro="">
      <xdr:nvCxnSpPr>
        <xdr:cNvPr id="3267" name="Straight Arrow Connector 3266">
          <a:extLst>
            <a:ext uri="{FF2B5EF4-FFF2-40B4-BE49-F238E27FC236}">
              <a16:creationId xmlns:a16="http://schemas.microsoft.com/office/drawing/2014/main" id="{00000000-0008-0000-1300-0000C30C0000}"/>
            </a:ext>
          </a:extLst>
        </xdr:cNvPr>
        <xdr:cNvCxnSpPr/>
      </xdr:nvCxnSpPr>
      <xdr:spPr>
        <a:xfrm flipV="1">
          <a:off x="11281833" y="66865500"/>
          <a:ext cx="603250" cy="984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1255</xdr:row>
      <xdr:rowOff>52917</xdr:rowOff>
    </xdr:from>
    <xdr:to>
      <xdr:col>15</xdr:col>
      <xdr:colOff>603250</xdr:colOff>
      <xdr:row>1257</xdr:row>
      <xdr:rowOff>95250</xdr:rowOff>
    </xdr:to>
    <xdr:cxnSp macro="">
      <xdr:nvCxnSpPr>
        <xdr:cNvPr id="3268" name="Straight Arrow Connector 3267">
          <a:extLst>
            <a:ext uri="{FF2B5EF4-FFF2-40B4-BE49-F238E27FC236}">
              <a16:creationId xmlns:a16="http://schemas.microsoft.com/office/drawing/2014/main" id="{00000000-0008-0000-1300-0000C40C0000}"/>
            </a:ext>
          </a:extLst>
        </xdr:cNvPr>
        <xdr:cNvCxnSpPr/>
      </xdr:nvCxnSpPr>
      <xdr:spPr>
        <a:xfrm flipV="1">
          <a:off x="11324166" y="67489917"/>
          <a:ext cx="56091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1257</xdr:row>
      <xdr:rowOff>158750</xdr:rowOff>
    </xdr:from>
    <xdr:to>
      <xdr:col>15</xdr:col>
      <xdr:colOff>582083</xdr:colOff>
      <xdr:row>1258</xdr:row>
      <xdr:rowOff>137583</xdr:rowOff>
    </xdr:to>
    <xdr:cxnSp macro="">
      <xdr:nvCxnSpPr>
        <xdr:cNvPr id="3269" name="Straight Arrow Connector 3268">
          <a:extLst>
            <a:ext uri="{FF2B5EF4-FFF2-40B4-BE49-F238E27FC236}">
              <a16:creationId xmlns:a16="http://schemas.microsoft.com/office/drawing/2014/main" id="{00000000-0008-0000-1300-0000C50C0000}"/>
            </a:ext>
          </a:extLst>
        </xdr:cNvPr>
        <xdr:cNvCxnSpPr/>
      </xdr:nvCxnSpPr>
      <xdr:spPr>
        <a:xfrm>
          <a:off x="11345333" y="67976750"/>
          <a:ext cx="518583" cy="169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1121834</xdr:colOff>
      <xdr:row>1257</xdr:row>
      <xdr:rowOff>105834</xdr:rowOff>
    </xdr:from>
    <xdr:to>
      <xdr:col>16</xdr:col>
      <xdr:colOff>0</xdr:colOff>
      <xdr:row>1261</xdr:row>
      <xdr:rowOff>84667</xdr:rowOff>
    </xdr:to>
    <xdr:cxnSp macro="">
      <xdr:nvCxnSpPr>
        <xdr:cNvPr id="3270" name="Straight Arrow Connector 3269">
          <a:extLst>
            <a:ext uri="{FF2B5EF4-FFF2-40B4-BE49-F238E27FC236}">
              <a16:creationId xmlns:a16="http://schemas.microsoft.com/office/drawing/2014/main" id="{00000000-0008-0000-1300-0000C60C0000}"/>
            </a:ext>
          </a:extLst>
        </xdr:cNvPr>
        <xdr:cNvCxnSpPr/>
      </xdr:nvCxnSpPr>
      <xdr:spPr>
        <a:xfrm>
          <a:off x="11260667" y="67923834"/>
          <a:ext cx="63500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1265</xdr:row>
      <xdr:rowOff>52916</xdr:rowOff>
    </xdr:from>
    <xdr:to>
      <xdr:col>16</xdr:col>
      <xdr:colOff>0</xdr:colOff>
      <xdr:row>1267</xdr:row>
      <xdr:rowOff>0</xdr:rowOff>
    </xdr:to>
    <xdr:cxnSp macro="">
      <xdr:nvCxnSpPr>
        <xdr:cNvPr id="3271" name="Straight Arrow Connector 3270">
          <a:extLst>
            <a:ext uri="{FF2B5EF4-FFF2-40B4-BE49-F238E27FC236}">
              <a16:creationId xmlns:a16="http://schemas.microsoft.com/office/drawing/2014/main" id="{00000000-0008-0000-1300-0000C70C0000}"/>
            </a:ext>
          </a:extLst>
        </xdr:cNvPr>
        <xdr:cNvCxnSpPr/>
      </xdr:nvCxnSpPr>
      <xdr:spPr>
        <a:xfrm flipV="1">
          <a:off x="11281833" y="69394916"/>
          <a:ext cx="613834"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1267</xdr:row>
      <xdr:rowOff>21167</xdr:rowOff>
    </xdr:from>
    <xdr:to>
      <xdr:col>15</xdr:col>
      <xdr:colOff>582083</xdr:colOff>
      <xdr:row>1268</xdr:row>
      <xdr:rowOff>42333</xdr:rowOff>
    </xdr:to>
    <xdr:cxnSp macro="">
      <xdr:nvCxnSpPr>
        <xdr:cNvPr id="3272" name="Straight Arrow Connector 3271">
          <a:extLst>
            <a:ext uri="{FF2B5EF4-FFF2-40B4-BE49-F238E27FC236}">
              <a16:creationId xmlns:a16="http://schemas.microsoft.com/office/drawing/2014/main" id="{00000000-0008-0000-1300-0000C80C0000}"/>
            </a:ext>
          </a:extLst>
        </xdr:cNvPr>
        <xdr:cNvCxnSpPr/>
      </xdr:nvCxnSpPr>
      <xdr:spPr>
        <a:xfrm>
          <a:off x="11292416" y="69744167"/>
          <a:ext cx="571500" cy="211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1267</xdr:row>
      <xdr:rowOff>21167</xdr:rowOff>
    </xdr:from>
    <xdr:to>
      <xdr:col>16</xdr:col>
      <xdr:colOff>42333</xdr:colOff>
      <xdr:row>1272</xdr:row>
      <xdr:rowOff>21168</xdr:rowOff>
    </xdr:to>
    <xdr:cxnSp macro="">
      <xdr:nvCxnSpPr>
        <xdr:cNvPr id="3273" name="Straight Arrow Connector 3272">
          <a:extLst>
            <a:ext uri="{FF2B5EF4-FFF2-40B4-BE49-F238E27FC236}">
              <a16:creationId xmlns:a16="http://schemas.microsoft.com/office/drawing/2014/main" id="{00000000-0008-0000-1300-0000C90C0000}"/>
            </a:ext>
          </a:extLst>
        </xdr:cNvPr>
        <xdr:cNvCxnSpPr/>
      </xdr:nvCxnSpPr>
      <xdr:spPr>
        <a:xfrm>
          <a:off x="11271250" y="69744167"/>
          <a:ext cx="666750" cy="9525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1267</xdr:row>
      <xdr:rowOff>31750</xdr:rowOff>
    </xdr:from>
    <xdr:to>
      <xdr:col>16</xdr:col>
      <xdr:colOff>42334</xdr:colOff>
      <xdr:row>1274</xdr:row>
      <xdr:rowOff>63501</xdr:rowOff>
    </xdr:to>
    <xdr:cxnSp macro="">
      <xdr:nvCxnSpPr>
        <xdr:cNvPr id="3274" name="Straight Arrow Connector 3273">
          <a:extLst>
            <a:ext uri="{FF2B5EF4-FFF2-40B4-BE49-F238E27FC236}">
              <a16:creationId xmlns:a16="http://schemas.microsoft.com/office/drawing/2014/main" id="{00000000-0008-0000-1300-0000CA0C0000}"/>
            </a:ext>
          </a:extLst>
        </xdr:cNvPr>
        <xdr:cNvCxnSpPr/>
      </xdr:nvCxnSpPr>
      <xdr:spPr>
        <a:xfrm>
          <a:off x="11281833" y="69754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10583</xdr:colOff>
      <xdr:row>1304</xdr:row>
      <xdr:rowOff>42333</xdr:rowOff>
    </xdr:from>
    <xdr:to>
      <xdr:col>9</xdr:col>
      <xdr:colOff>592666</xdr:colOff>
      <xdr:row>1312</xdr:row>
      <xdr:rowOff>42333</xdr:rowOff>
    </xdr:to>
    <xdr:cxnSp macro="">
      <xdr:nvCxnSpPr>
        <xdr:cNvPr id="3275" name="Straight Arrow Connector 3274">
          <a:extLst>
            <a:ext uri="{FF2B5EF4-FFF2-40B4-BE49-F238E27FC236}">
              <a16:creationId xmlns:a16="http://schemas.microsoft.com/office/drawing/2014/main" id="{00000000-0008-0000-1300-0000CB0C0000}"/>
            </a:ext>
          </a:extLst>
        </xdr:cNvPr>
        <xdr:cNvCxnSpPr/>
      </xdr:nvCxnSpPr>
      <xdr:spPr>
        <a:xfrm flipV="1">
          <a:off x="6699250" y="77004333"/>
          <a:ext cx="582083" cy="152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1314</xdr:row>
      <xdr:rowOff>169334</xdr:rowOff>
    </xdr:from>
    <xdr:to>
      <xdr:col>9</xdr:col>
      <xdr:colOff>603250</xdr:colOff>
      <xdr:row>1323</xdr:row>
      <xdr:rowOff>31750</xdr:rowOff>
    </xdr:to>
    <xdr:cxnSp macro="">
      <xdr:nvCxnSpPr>
        <xdr:cNvPr id="3276" name="Straight Arrow Connector 3275">
          <a:extLst>
            <a:ext uri="{FF2B5EF4-FFF2-40B4-BE49-F238E27FC236}">
              <a16:creationId xmlns:a16="http://schemas.microsoft.com/office/drawing/2014/main" id="{00000000-0008-0000-1300-0000CC0C0000}"/>
            </a:ext>
          </a:extLst>
        </xdr:cNvPr>
        <xdr:cNvCxnSpPr/>
      </xdr:nvCxnSpPr>
      <xdr:spPr>
        <a:xfrm>
          <a:off x="6720417" y="79036334"/>
          <a:ext cx="571500" cy="1576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571500</xdr:colOff>
      <xdr:row>1320</xdr:row>
      <xdr:rowOff>158750</xdr:rowOff>
    </xdr:from>
    <xdr:to>
      <xdr:col>11</xdr:col>
      <xdr:colOff>571500</xdr:colOff>
      <xdr:row>1323</xdr:row>
      <xdr:rowOff>0</xdr:rowOff>
    </xdr:to>
    <xdr:cxnSp macro="">
      <xdr:nvCxnSpPr>
        <xdr:cNvPr id="3277" name="Straight Arrow Connector 3276">
          <a:extLst>
            <a:ext uri="{FF2B5EF4-FFF2-40B4-BE49-F238E27FC236}">
              <a16:creationId xmlns:a16="http://schemas.microsoft.com/office/drawing/2014/main" id="{00000000-0008-0000-1300-0000CD0C0000}"/>
            </a:ext>
          </a:extLst>
        </xdr:cNvPr>
        <xdr:cNvCxnSpPr/>
      </xdr:nvCxnSpPr>
      <xdr:spPr>
        <a:xfrm flipV="1">
          <a:off x="7874000" y="80168750"/>
          <a:ext cx="613833" cy="412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1278</xdr:row>
      <xdr:rowOff>0</xdr:rowOff>
    </xdr:from>
    <xdr:to>
      <xdr:col>15</xdr:col>
      <xdr:colOff>603250</xdr:colOff>
      <xdr:row>1280</xdr:row>
      <xdr:rowOff>1</xdr:rowOff>
    </xdr:to>
    <xdr:cxnSp macro="">
      <xdr:nvCxnSpPr>
        <xdr:cNvPr id="3278" name="Straight Arrow Connector 3277">
          <a:extLst>
            <a:ext uri="{FF2B5EF4-FFF2-40B4-BE49-F238E27FC236}">
              <a16:creationId xmlns:a16="http://schemas.microsoft.com/office/drawing/2014/main" id="{00000000-0008-0000-1300-0000CE0C0000}"/>
            </a:ext>
          </a:extLst>
        </xdr:cNvPr>
        <xdr:cNvCxnSpPr/>
      </xdr:nvCxnSpPr>
      <xdr:spPr>
        <a:xfrm flipV="1">
          <a:off x="11271250" y="720090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1280</xdr:row>
      <xdr:rowOff>10584</xdr:rowOff>
    </xdr:from>
    <xdr:to>
      <xdr:col>15</xdr:col>
      <xdr:colOff>592666</xdr:colOff>
      <xdr:row>1281</xdr:row>
      <xdr:rowOff>95250</xdr:rowOff>
    </xdr:to>
    <xdr:cxnSp macro="">
      <xdr:nvCxnSpPr>
        <xdr:cNvPr id="3279" name="Straight Arrow Connector 3278">
          <a:extLst>
            <a:ext uri="{FF2B5EF4-FFF2-40B4-BE49-F238E27FC236}">
              <a16:creationId xmlns:a16="http://schemas.microsoft.com/office/drawing/2014/main" id="{00000000-0008-0000-1300-0000CF0C0000}"/>
            </a:ext>
          </a:extLst>
        </xdr:cNvPr>
        <xdr:cNvCxnSpPr/>
      </xdr:nvCxnSpPr>
      <xdr:spPr>
        <a:xfrm>
          <a:off x="11313583" y="724005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1280</xdr:row>
      <xdr:rowOff>10584</xdr:rowOff>
    </xdr:from>
    <xdr:to>
      <xdr:col>15</xdr:col>
      <xdr:colOff>560916</xdr:colOff>
      <xdr:row>1284</xdr:row>
      <xdr:rowOff>52917</xdr:rowOff>
    </xdr:to>
    <xdr:cxnSp macro="">
      <xdr:nvCxnSpPr>
        <xdr:cNvPr id="3280" name="Straight Arrow Connector 3279">
          <a:extLst>
            <a:ext uri="{FF2B5EF4-FFF2-40B4-BE49-F238E27FC236}">
              <a16:creationId xmlns:a16="http://schemas.microsoft.com/office/drawing/2014/main" id="{00000000-0008-0000-1300-0000D00C0000}"/>
            </a:ext>
          </a:extLst>
        </xdr:cNvPr>
        <xdr:cNvCxnSpPr/>
      </xdr:nvCxnSpPr>
      <xdr:spPr>
        <a:xfrm>
          <a:off x="11292416" y="724005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1280</xdr:row>
      <xdr:rowOff>31750</xdr:rowOff>
    </xdr:from>
    <xdr:to>
      <xdr:col>16</xdr:col>
      <xdr:colOff>21167</xdr:colOff>
      <xdr:row>1287</xdr:row>
      <xdr:rowOff>95250</xdr:rowOff>
    </xdr:to>
    <xdr:cxnSp macro="">
      <xdr:nvCxnSpPr>
        <xdr:cNvPr id="3281" name="Straight Arrow Connector 3280">
          <a:extLst>
            <a:ext uri="{FF2B5EF4-FFF2-40B4-BE49-F238E27FC236}">
              <a16:creationId xmlns:a16="http://schemas.microsoft.com/office/drawing/2014/main" id="{00000000-0008-0000-1300-0000D10C0000}"/>
            </a:ext>
          </a:extLst>
        </xdr:cNvPr>
        <xdr:cNvCxnSpPr/>
      </xdr:nvCxnSpPr>
      <xdr:spPr>
        <a:xfrm>
          <a:off x="11324166" y="72421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1294</xdr:row>
      <xdr:rowOff>0</xdr:rowOff>
    </xdr:from>
    <xdr:to>
      <xdr:col>16</xdr:col>
      <xdr:colOff>0</xdr:colOff>
      <xdr:row>1294</xdr:row>
      <xdr:rowOff>42334</xdr:rowOff>
    </xdr:to>
    <xdr:cxnSp macro="">
      <xdr:nvCxnSpPr>
        <xdr:cNvPr id="3282" name="Straight Arrow Connector 3281">
          <a:extLst>
            <a:ext uri="{FF2B5EF4-FFF2-40B4-BE49-F238E27FC236}">
              <a16:creationId xmlns:a16="http://schemas.microsoft.com/office/drawing/2014/main" id="{00000000-0008-0000-1300-0000D20C0000}"/>
            </a:ext>
          </a:extLst>
        </xdr:cNvPr>
        <xdr:cNvCxnSpPr/>
      </xdr:nvCxnSpPr>
      <xdr:spPr>
        <a:xfrm>
          <a:off x="11302999" y="75057000"/>
          <a:ext cx="592668"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1294</xdr:row>
      <xdr:rowOff>21166</xdr:rowOff>
    </xdr:from>
    <xdr:to>
      <xdr:col>15</xdr:col>
      <xdr:colOff>560916</xdr:colOff>
      <xdr:row>1297</xdr:row>
      <xdr:rowOff>84667</xdr:rowOff>
    </xdr:to>
    <xdr:cxnSp macro="">
      <xdr:nvCxnSpPr>
        <xdr:cNvPr id="3283" name="Straight Arrow Connector 3282">
          <a:extLst>
            <a:ext uri="{FF2B5EF4-FFF2-40B4-BE49-F238E27FC236}">
              <a16:creationId xmlns:a16="http://schemas.microsoft.com/office/drawing/2014/main" id="{00000000-0008-0000-1300-0000D30C0000}"/>
            </a:ext>
          </a:extLst>
        </xdr:cNvPr>
        <xdr:cNvCxnSpPr/>
      </xdr:nvCxnSpPr>
      <xdr:spPr>
        <a:xfrm>
          <a:off x="11355916" y="750781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1294</xdr:row>
      <xdr:rowOff>52916</xdr:rowOff>
    </xdr:from>
    <xdr:to>
      <xdr:col>15</xdr:col>
      <xdr:colOff>592666</xdr:colOff>
      <xdr:row>1300</xdr:row>
      <xdr:rowOff>63501</xdr:rowOff>
    </xdr:to>
    <xdr:cxnSp macro="">
      <xdr:nvCxnSpPr>
        <xdr:cNvPr id="3284" name="Straight Arrow Connector 3283">
          <a:extLst>
            <a:ext uri="{FF2B5EF4-FFF2-40B4-BE49-F238E27FC236}">
              <a16:creationId xmlns:a16="http://schemas.microsoft.com/office/drawing/2014/main" id="{00000000-0008-0000-1300-0000D40C0000}"/>
            </a:ext>
          </a:extLst>
        </xdr:cNvPr>
        <xdr:cNvCxnSpPr/>
      </xdr:nvCxnSpPr>
      <xdr:spPr>
        <a:xfrm>
          <a:off x="11313583" y="751099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1308</xdr:row>
      <xdr:rowOff>116416</xdr:rowOff>
    </xdr:from>
    <xdr:to>
      <xdr:col>15</xdr:col>
      <xdr:colOff>592666</xdr:colOff>
      <xdr:row>1311</xdr:row>
      <xdr:rowOff>158750</xdr:rowOff>
    </xdr:to>
    <xdr:cxnSp macro="">
      <xdr:nvCxnSpPr>
        <xdr:cNvPr id="3285" name="Straight Arrow Connector 3284">
          <a:extLst>
            <a:ext uri="{FF2B5EF4-FFF2-40B4-BE49-F238E27FC236}">
              <a16:creationId xmlns:a16="http://schemas.microsoft.com/office/drawing/2014/main" id="{00000000-0008-0000-1300-0000D50C0000}"/>
            </a:ext>
          </a:extLst>
        </xdr:cNvPr>
        <xdr:cNvCxnSpPr/>
      </xdr:nvCxnSpPr>
      <xdr:spPr>
        <a:xfrm flipV="1">
          <a:off x="11302999" y="77840416"/>
          <a:ext cx="571500" cy="613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1310</xdr:row>
      <xdr:rowOff>95250</xdr:rowOff>
    </xdr:from>
    <xdr:to>
      <xdr:col>15</xdr:col>
      <xdr:colOff>582083</xdr:colOff>
      <xdr:row>1312</xdr:row>
      <xdr:rowOff>52917</xdr:rowOff>
    </xdr:to>
    <xdr:cxnSp macro="">
      <xdr:nvCxnSpPr>
        <xdr:cNvPr id="3286" name="Straight Arrow Connector 3285">
          <a:extLst>
            <a:ext uri="{FF2B5EF4-FFF2-40B4-BE49-F238E27FC236}">
              <a16:creationId xmlns:a16="http://schemas.microsoft.com/office/drawing/2014/main" id="{00000000-0008-0000-1300-0000D60C0000}"/>
            </a:ext>
          </a:extLst>
        </xdr:cNvPr>
        <xdr:cNvCxnSpPr/>
      </xdr:nvCxnSpPr>
      <xdr:spPr>
        <a:xfrm flipV="1">
          <a:off x="11345333" y="78200250"/>
          <a:ext cx="518583" cy="338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1312</xdr:row>
      <xdr:rowOff>116417</xdr:rowOff>
    </xdr:from>
    <xdr:to>
      <xdr:col>15</xdr:col>
      <xdr:colOff>592666</xdr:colOff>
      <xdr:row>1316</xdr:row>
      <xdr:rowOff>95250</xdr:rowOff>
    </xdr:to>
    <xdr:cxnSp macro="">
      <xdr:nvCxnSpPr>
        <xdr:cNvPr id="3287" name="Straight Arrow Connector 3286">
          <a:extLst>
            <a:ext uri="{FF2B5EF4-FFF2-40B4-BE49-F238E27FC236}">
              <a16:creationId xmlns:a16="http://schemas.microsoft.com/office/drawing/2014/main" id="{00000000-0008-0000-1300-0000D70C0000}"/>
            </a:ext>
          </a:extLst>
        </xdr:cNvPr>
        <xdr:cNvCxnSpPr/>
      </xdr:nvCxnSpPr>
      <xdr:spPr>
        <a:xfrm>
          <a:off x="11334749" y="78602417"/>
          <a:ext cx="53975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1323</xdr:row>
      <xdr:rowOff>116416</xdr:rowOff>
    </xdr:from>
    <xdr:to>
      <xdr:col>16</xdr:col>
      <xdr:colOff>0</xdr:colOff>
      <xdr:row>1330</xdr:row>
      <xdr:rowOff>74084</xdr:rowOff>
    </xdr:to>
    <xdr:cxnSp macro="">
      <xdr:nvCxnSpPr>
        <xdr:cNvPr id="3288" name="Straight Arrow Connector 3287">
          <a:extLst>
            <a:ext uri="{FF2B5EF4-FFF2-40B4-BE49-F238E27FC236}">
              <a16:creationId xmlns:a16="http://schemas.microsoft.com/office/drawing/2014/main" id="{00000000-0008-0000-1300-0000D80C0000}"/>
            </a:ext>
          </a:extLst>
        </xdr:cNvPr>
        <xdr:cNvCxnSpPr/>
      </xdr:nvCxnSpPr>
      <xdr:spPr>
        <a:xfrm>
          <a:off x="11313583" y="80697916"/>
          <a:ext cx="582084" cy="12911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1291</xdr:row>
      <xdr:rowOff>52917</xdr:rowOff>
    </xdr:from>
    <xdr:to>
      <xdr:col>15</xdr:col>
      <xdr:colOff>603250</xdr:colOff>
      <xdr:row>1293</xdr:row>
      <xdr:rowOff>148167</xdr:rowOff>
    </xdr:to>
    <xdr:cxnSp macro="">
      <xdr:nvCxnSpPr>
        <xdr:cNvPr id="3289" name="Straight Arrow Connector 3288">
          <a:extLst>
            <a:ext uri="{FF2B5EF4-FFF2-40B4-BE49-F238E27FC236}">
              <a16:creationId xmlns:a16="http://schemas.microsoft.com/office/drawing/2014/main" id="{00000000-0008-0000-1300-0000D90C0000}"/>
            </a:ext>
          </a:extLst>
        </xdr:cNvPr>
        <xdr:cNvCxnSpPr/>
      </xdr:nvCxnSpPr>
      <xdr:spPr>
        <a:xfrm flipV="1">
          <a:off x="11324166" y="745384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1326</xdr:row>
      <xdr:rowOff>42333</xdr:rowOff>
    </xdr:from>
    <xdr:to>
      <xdr:col>11</xdr:col>
      <xdr:colOff>603250</xdr:colOff>
      <xdr:row>1338</xdr:row>
      <xdr:rowOff>10583</xdr:rowOff>
    </xdr:to>
    <xdr:cxnSp macro="">
      <xdr:nvCxnSpPr>
        <xdr:cNvPr id="3290" name="Straight Arrow Connector 3289">
          <a:extLst>
            <a:ext uri="{FF2B5EF4-FFF2-40B4-BE49-F238E27FC236}">
              <a16:creationId xmlns:a16="http://schemas.microsoft.com/office/drawing/2014/main" id="{00000000-0008-0000-1300-0000DA0C0000}"/>
            </a:ext>
          </a:extLst>
        </xdr:cNvPr>
        <xdr:cNvCxnSpPr/>
      </xdr:nvCxnSpPr>
      <xdr:spPr>
        <a:xfrm>
          <a:off x="7926917" y="811953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1316</xdr:row>
      <xdr:rowOff>21167</xdr:rowOff>
    </xdr:from>
    <xdr:to>
      <xdr:col>13</xdr:col>
      <xdr:colOff>592667</xdr:colOff>
      <xdr:row>1318</xdr:row>
      <xdr:rowOff>0</xdr:rowOff>
    </xdr:to>
    <xdr:cxnSp macro="">
      <xdr:nvCxnSpPr>
        <xdr:cNvPr id="3291" name="Straight Arrow Connector 3290">
          <a:extLst>
            <a:ext uri="{FF2B5EF4-FFF2-40B4-BE49-F238E27FC236}">
              <a16:creationId xmlns:a16="http://schemas.microsoft.com/office/drawing/2014/main" id="{00000000-0008-0000-1300-0000DB0C0000}"/>
            </a:ext>
          </a:extLst>
        </xdr:cNvPr>
        <xdr:cNvCxnSpPr/>
      </xdr:nvCxnSpPr>
      <xdr:spPr>
        <a:xfrm flipV="1">
          <a:off x="9133417" y="79269167"/>
          <a:ext cx="984250"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1321</xdr:row>
      <xdr:rowOff>21166</xdr:rowOff>
    </xdr:from>
    <xdr:to>
      <xdr:col>13</xdr:col>
      <xdr:colOff>592667</xdr:colOff>
      <xdr:row>1322</xdr:row>
      <xdr:rowOff>169334</xdr:rowOff>
    </xdr:to>
    <xdr:cxnSp macro="">
      <xdr:nvCxnSpPr>
        <xdr:cNvPr id="3292" name="Straight Arrow Connector 3291">
          <a:extLst>
            <a:ext uri="{FF2B5EF4-FFF2-40B4-BE49-F238E27FC236}">
              <a16:creationId xmlns:a16="http://schemas.microsoft.com/office/drawing/2014/main" id="{00000000-0008-0000-1300-0000DC0C0000}"/>
            </a:ext>
          </a:extLst>
        </xdr:cNvPr>
        <xdr:cNvCxnSpPr/>
      </xdr:nvCxnSpPr>
      <xdr:spPr>
        <a:xfrm>
          <a:off x="9122833" y="80221666"/>
          <a:ext cx="994834"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1336</xdr:row>
      <xdr:rowOff>21167</xdr:rowOff>
    </xdr:from>
    <xdr:to>
      <xdr:col>13</xdr:col>
      <xdr:colOff>592667</xdr:colOff>
      <xdr:row>1338</xdr:row>
      <xdr:rowOff>63500</xdr:rowOff>
    </xdr:to>
    <xdr:cxnSp macro="">
      <xdr:nvCxnSpPr>
        <xdr:cNvPr id="3293" name="Straight Arrow Connector 3292">
          <a:extLst>
            <a:ext uri="{FF2B5EF4-FFF2-40B4-BE49-F238E27FC236}">
              <a16:creationId xmlns:a16="http://schemas.microsoft.com/office/drawing/2014/main" id="{00000000-0008-0000-1300-0000DD0C0000}"/>
            </a:ext>
          </a:extLst>
        </xdr:cNvPr>
        <xdr:cNvCxnSpPr/>
      </xdr:nvCxnSpPr>
      <xdr:spPr>
        <a:xfrm flipV="1">
          <a:off x="9525000" y="832696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1341</xdr:row>
      <xdr:rowOff>0</xdr:rowOff>
    </xdr:from>
    <xdr:to>
      <xdr:col>14</xdr:col>
      <xdr:colOff>10584</xdr:colOff>
      <xdr:row>1349</xdr:row>
      <xdr:rowOff>148167</xdr:rowOff>
    </xdr:to>
    <xdr:cxnSp macro="">
      <xdr:nvCxnSpPr>
        <xdr:cNvPr id="3294" name="Straight Arrow Connector 3293">
          <a:extLst>
            <a:ext uri="{FF2B5EF4-FFF2-40B4-BE49-F238E27FC236}">
              <a16:creationId xmlns:a16="http://schemas.microsoft.com/office/drawing/2014/main" id="{00000000-0008-0000-1300-0000DE0C0000}"/>
            </a:ext>
          </a:extLst>
        </xdr:cNvPr>
        <xdr:cNvCxnSpPr/>
      </xdr:nvCxnSpPr>
      <xdr:spPr>
        <a:xfrm>
          <a:off x="9535583" y="84201000"/>
          <a:ext cx="613834"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1312</xdr:row>
      <xdr:rowOff>95250</xdr:rowOff>
    </xdr:from>
    <xdr:to>
      <xdr:col>15</xdr:col>
      <xdr:colOff>582083</xdr:colOff>
      <xdr:row>1314</xdr:row>
      <xdr:rowOff>137583</xdr:rowOff>
    </xdr:to>
    <xdr:cxnSp macro="">
      <xdr:nvCxnSpPr>
        <xdr:cNvPr id="3295" name="Straight Arrow Connector 3294">
          <a:extLst>
            <a:ext uri="{FF2B5EF4-FFF2-40B4-BE49-F238E27FC236}">
              <a16:creationId xmlns:a16="http://schemas.microsoft.com/office/drawing/2014/main" id="{00000000-0008-0000-1300-0000DF0C0000}"/>
            </a:ext>
          </a:extLst>
        </xdr:cNvPr>
        <xdr:cNvCxnSpPr/>
      </xdr:nvCxnSpPr>
      <xdr:spPr>
        <a:xfrm>
          <a:off x="11334749" y="78581250"/>
          <a:ext cx="5291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1321</xdr:row>
      <xdr:rowOff>52916</xdr:rowOff>
    </xdr:from>
    <xdr:to>
      <xdr:col>16</xdr:col>
      <xdr:colOff>0</xdr:colOff>
      <xdr:row>1323</xdr:row>
      <xdr:rowOff>0</xdr:rowOff>
    </xdr:to>
    <xdr:cxnSp macro="">
      <xdr:nvCxnSpPr>
        <xdr:cNvPr id="3296" name="Straight Arrow Connector 3295">
          <a:extLst>
            <a:ext uri="{FF2B5EF4-FFF2-40B4-BE49-F238E27FC236}">
              <a16:creationId xmlns:a16="http://schemas.microsoft.com/office/drawing/2014/main" id="{00000000-0008-0000-1300-0000E00C0000}"/>
            </a:ext>
          </a:extLst>
        </xdr:cNvPr>
        <xdr:cNvCxnSpPr/>
      </xdr:nvCxnSpPr>
      <xdr:spPr>
        <a:xfrm flipV="1">
          <a:off x="11281833" y="80253416"/>
          <a:ext cx="613834"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1323</xdr:row>
      <xdr:rowOff>21167</xdr:rowOff>
    </xdr:from>
    <xdr:to>
      <xdr:col>15</xdr:col>
      <xdr:colOff>592666</xdr:colOff>
      <xdr:row>1324</xdr:row>
      <xdr:rowOff>84667</xdr:rowOff>
    </xdr:to>
    <xdr:cxnSp macro="">
      <xdr:nvCxnSpPr>
        <xdr:cNvPr id="3297" name="Straight Arrow Connector 3296">
          <a:extLst>
            <a:ext uri="{FF2B5EF4-FFF2-40B4-BE49-F238E27FC236}">
              <a16:creationId xmlns:a16="http://schemas.microsoft.com/office/drawing/2014/main" id="{00000000-0008-0000-1300-0000E10C0000}"/>
            </a:ext>
          </a:extLst>
        </xdr:cNvPr>
        <xdr:cNvCxnSpPr/>
      </xdr:nvCxnSpPr>
      <xdr:spPr>
        <a:xfrm>
          <a:off x="11271250" y="80602667"/>
          <a:ext cx="603249" cy="25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1323</xdr:row>
      <xdr:rowOff>0</xdr:rowOff>
    </xdr:from>
    <xdr:to>
      <xdr:col>16</xdr:col>
      <xdr:colOff>0</xdr:colOff>
      <xdr:row>1327</xdr:row>
      <xdr:rowOff>42334</xdr:rowOff>
    </xdr:to>
    <xdr:cxnSp macro="">
      <xdr:nvCxnSpPr>
        <xdr:cNvPr id="3298" name="Straight Arrow Connector 3297">
          <a:extLst>
            <a:ext uri="{FF2B5EF4-FFF2-40B4-BE49-F238E27FC236}">
              <a16:creationId xmlns:a16="http://schemas.microsoft.com/office/drawing/2014/main" id="{00000000-0008-0000-1300-0000E20C0000}"/>
            </a:ext>
          </a:extLst>
        </xdr:cNvPr>
        <xdr:cNvCxnSpPr/>
      </xdr:nvCxnSpPr>
      <xdr:spPr>
        <a:xfrm>
          <a:off x="11271250" y="80581500"/>
          <a:ext cx="624417" cy="804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1334</xdr:row>
      <xdr:rowOff>0</xdr:rowOff>
    </xdr:from>
    <xdr:to>
      <xdr:col>15</xdr:col>
      <xdr:colOff>603250</xdr:colOff>
      <xdr:row>1336</xdr:row>
      <xdr:rowOff>1</xdr:rowOff>
    </xdr:to>
    <xdr:cxnSp macro="">
      <xdr:nvCxnSpPr>
        <xdr:cNvPr id="3299" name="Straight Arrow Connector 3298">
          <a:extLst>
            <a:ext uri="{FF2B5EF4-FFF2-40B4-BE49-F238E27FC236}">
              <a16:creationId xmlns:a16="http://schemas.microsoft.com/office/drawing/2014/main" id="{00000000-0008-0000-1300-0000E30C0000}"/>
            </a:ext>
          </a:extLst>
        </xdr:cNvPr>
        <xdr:cNvCxnSpPr/>
      </xdr:nvCxnSpPr>
      <xdr:spPr>
        <a:xfrm flipV="1">
          <a:off x="11271250" y="828675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1336</xdr:row>
      <xdr:rowOff>10584</xdr:rowOff>
    </xdr:from>
    <xdr:to>
      <xdr:col>15</xdr:col>
      <xdr:colOff>592666</xdr:colOff>
      <xdr:row>1337</xdr:row>
      <xdr:rowOff>95250</xdr:rowOff>
    </xdr:to>
    <xdr:cxnSp macro="">
      <xdr:nvCxnSpPr>
        <xdr:cNvPr id="3300" name="Straight Arrow Connector 3299">
          <a:extLst>
            <a:ext uri="{FF2B5EF4-FFF2-40B4-BE49-F238E27FC236}">
              <a16:creationId xmlns:a16="http://schemas.microsoft.com/office/drawing/2014/main" id="{00000000-0008-0000-1300-0000E40C0000}"/>
            </a:ext>
          </a:extLst>
        </xdr:cNvPr>
        <xdr:cNvCxnSpPr/>
      </xdr:nvCxnSpPr>
      <xdr:spPr>
        <a:xfrm>
          <a:off x="11313583" y="832590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1336</xdr:row>
      <xdr:rowOff>10584</xdr:rowOff>
    </xdr:from>
    <xdr:to>
      <xdr:col>15</xdr:col>
      <xdr:colOff>560916</xdr:colOff>
      <xdr:row>1340</xdr:row>
      <xdr:rowOff>52917</xdr:rowOff>
    </xdr:to>
    <xdr:cxnSp macro="">
      <xdr:nvCxnSpPr>
        <xdr:cNvPr id="3301" name="Straight Arrow Connector 3300">
          <a:extLst>
            <a:ext uri="{FF2B5EF4-FFF2-40B4-BE49-F238E27FC236}">
              <a16:creationId xmlns:a16="http://schemas.microsoft.com/office/drawing/2014/main" id="{00000000-0008-0000-1300-0000E50C0000}"/>
            </a:ext>
          </a:extLst>
        </xdr:cNvPr>
        <xdr:cNvCxnSpPr/>
      </xdr:nvCxnSpPr>
      <xdr:spPr>
        <a:xfrm>
          <a:off x="11292416" y="832590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1336</xdr:row>
      <xdr:rowOff>31750</xdr:rowOff>
    </xdr:from>
    <xdr:to>
      <xdr:col>16</xdr:col>
      <xdr:colOff>21167</xdr:colOff>
      <xdr:row>1343</xdr:row>
      <xdr:rowOff>95250</xdr:rowOff>
    </xdr:to>
    <xdr:cxnSp macro="">
      <xdr:nvCxnSpPr>
        <xdr:cNvPr id="3302" name="Straight Arrow Connector 3301">
          <a:extLst>
            <a:ext uri="{FF2B5EF4-FFF2-40B4-BE49-F238E27FC236}">
              <a16:creationId xmlns:a16="http://schemas.microsoft.com/office/drawing/2014/main" id="{00000000-0008-0000-1300-0000E60C0000}"/>
            </a:ext>
          </a:extLst>
        </xdr:cNvPr>
        <xdr:cNvCxnSpPr/>
      </xdr:nvCxnSpPr>
      <xdr:spPr>
        <a:xfrm>
          <a:off x="11324166" y="83280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1350</xdr:row>
      <xdr:rowOff>0</xdr:rowOff>
    </xdr:from>
    <xdr:to>
      <xdr:col>16</xdr:col>
      <xdr:colOff>0</xdr:colOff>
      <xdr:row>1350</xdr:row>
      <xdr:rowOff>42334</xdr:rowOff>
    </xdr:to>
    <xdr:cxnSp macro="">
      <xdr:nvCxnSpPr>
        <xdr:cNvPr id="3303" name="Straight Arrow Connector 3302">
          <a:extLst>
            <a:ext uri="{FF2B5EF4-FFF2-40B4-BE49-F238E27FC236}">
              <a16:creationId xmlns:a16="http://schemas.microsoft.com/office/drawing/2014/main" id="{00000000-0008-0000-1300-0000E70C0000}"/>
            </a:ext>
          </a:extLst>
        </xdr:cNvPr>
        <xdr:cNvCxnSpPr/>
      </xdr:nvCxnSpPr>
      <xdr:spPr>
        <a:xfrm>
          <a:off x="11302999" y="85915500"/>
          <a:ext cx="592668"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1350</xdr:row>
      <xdr:rowOff>21166</xdr:rowOff>
    </xdr:from>
    <xdr:to>
      <xdr:col>15</xdr:col>
      <xdr:colOff>560916</xdr:colOff>
      <xdr:row>1353</xdr:row>
      <xdr:rowOff>84667</xdr:rowOff>
    </xdr:to>
    <xdr:cxnSp macro="">
      <xdr:nvCxnSpPr>
        <xdr:cNvPr id="3304" name="Straight Arrow Connector 3303">
          <a:extLst>
            <a:ext uri="{FF2B5EF4-FFF2-40B4-BE49-F238E27FC236}">
              <a16:creationId xmlns:a16="http://schemas.microsoft.com/office/drawing/2014/main" id="{00000000-0008-0000-1300-0000E80C0000}"/>
            </a:ext>
          </a:extLst>
        </xdr:cNvPr>
        <xdr:cNvCxnSpPr/>
      </xdr:nvCxnSpPr>
      <xdr:spPr>
        <a:xfrm>
          <a:off x="11355916" y="859366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1350</xdr:row>
      <xdr:rowOff>52916</xdr:rowOff>
    </xdr:from>
    <xdr:to>
      <xdr:col>15</xdr:col>
      <xdr:colOff>592666</xdr:colOff>
      <xdr:row>1356</xdr:row>
      <xdr:rowOff>63501</xdr:rowOff>
    </xdr:to>
    <xdr:cxnSp macro="">
      <xdr:nvCxnSpPr>
        <xdr:cNvPr id="3305" name="Straight Arrow Connector 3304">
          <a:extLst>
            <a:ext uri="{FF2B5EF4-FFF2-40B4-BE49-F238E27FC236}">
              <a16:creationId xmlns:a16="http://schemas.microsoft.com/office/drawing/2014/main" id="{00000000-0008-0000-1300-0000E90C0000}"/>
            </a:ext>
          </a:extLst>
        </xdr:cNvPr>
        <xdr:cNvCxnSpPr/>
      </xdr:nvCxnSpPr>
      <xdr:spPr>
        <a:xfrm>
          <a:off x="11313583" y="859684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1347</xdr:row>
      <xdr:rowOff>52917</xdr:rowOff>
    </xdr:from>
    <xdr:to>
      <xdr:col>15</xdr:col>
      <xdr:colOff>603250</xdr:colOff>
      <xdr:row>1349</xdr:row>
      <xdr:rowOff>148167</xdr:rowOff>
    </xdr:to>
    <xdr:cxnSp macro="">
      <xdr:nvCxnSpPr>
        <xdr:cNvPr id="3306" name="Straight Arrow Connector 3305">
          <a:extLst>
            <a:ext uri="{FF2B5EF4-FFF2-40B4-BE49-F238E27FC236}">
              <a16:creationId xmlns:a16="http://schemas.microsoft.com/office/drawing/2014/main" id="{00000000-0008-0000-1300-0000EA0C0000}"/>
            </a:ext>
          </a:extLst>
        </xdr:cNvPr>
        <xdr:cNvCxnSpPr/>
      </xdr:nvCxnSpPr>
      <xdr:spPr>
        <a:xfrm flipV="1">
          <a:off x="11324166" y="853969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31750</xdr:colOff>
      <xdr:row>1258</xdr:row>
      <xdr:rowOff>127000</xdr:rowOff>
    </xdr:from>
    <xdr:to>
      <xdr:col>8</xdr:col>
      <xdr:colOff>63500</xdr:colOff>
      <xdr:row>1277</xdr:row>
      <xdr:rowOff>0</xdr:rowOff>
    </xdr:to>
    <xdr:cxnSp macro="">
      <xdr:nvCxnSpPr>
        <xdr:cNvPr id="3307" name="Straight Arrow Connector 3306">
          <a:extLst>
            <a:ext uri="{FF2B5EF4-FFF2-40B4-BE49-F238E27FC236}">
              <a16:creationId xmlns:a16="http://schemas.microsoft.com/office/drawing/2014/main" id="{00000000-0008-0000-1300-0000EB0C0000}"/>
            </a:ext>
          </a:extLst>
        </xdr:cNvPr>
        <xdr:cNvCxnSpPr/>
      </xdr:nvCxnSpPr>
      <xdr:spPr>
        <a:xfrm flipV="1">
          <a:off x="5492750" y="68135500"/>
          <a:ext cx="645583" cy="3587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603250</xdr:colOff>
      <xdr:row>1364</xdr:row>
      <xdr:rowOff>10584</xdr:rowOff>
    </xdr:from>
    <xdr:to>
      <xdr:col>1</xdr:col>
      <xdr:colOff>603250</xdr:colOff>
      <xdr:row>1457</xdr:row>
      <xdr:rowOff>158750</xdr:rowOff>
    </xdr:to>
    <xdr:cxnSp macro="">
      <xdr:nvCxnSpPr>
        <xdr:cNvPr id="3308" name="Straight Arrow Connector 3307">
          <a:extLst>
            <a:ext uri="{FF2B5EF4-FFF2-40B4-BE49-F238E27FC236}">
              <a16:creationId xmlns:a16="http://schemas.microsoft.com/office/drawing/2014/main" id="{00000000-0008-0000-1300-0000EC0C0000}"/>
            </a:ext>
          </a:extLst>
        </xdr:cNvPr>
        <xdr:cNvCxnSpPr/>
      </xdr:nvCxnSpPr>
      <xdr:spPr>
        <a:xfrm flipV="1">
          <a:off x="603250" y="88402584"/>
          <a:ext cx="613833" cy="18245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603250</xdr:colOff>
      <xdr:row>1460</xdr:row>
      <xdr:rowOff>169333</xdr:rowOff>
    </xdr:from>
    <xdr:to>
      <xdr:col>1</xdr:col>
      <xdr:colOff>603250</xdr:colOff>
      <xdr:row>1502</xdr:row>
      <xdr:rowOff>148167</xdr:rowOff>
    </xdr:to>
    <xdr:cxnSp macro="">
      <xdr:nvCxnSpPr>
        <xdr:cNvPr id="3309" name="Straight Arrow Connector 3308">
          <a:extLst>
            <a:ext uri="{FF2B5EF4-FFF2-40B4-BE49-F238E27FC236}">
              <a16:creationId xmlns:a16="http://schemas.microsoft.com/office/drawing/2014/main" id="{00000000-0008-0000-1300-0000ED0C0000}"/>
            </a:ext>
          </a:extLst>
        </xdr:cNvPr>
        <xdr:cNvCxnSpPr/>
      </xdr:nvCxnSpPr>
      <xdr:spPr>
        <a:xfrm>
          <a:off x="603250" y="107230333"/>
          <a:ext cx="613833" cy="7979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10584</xdr:colOff>
      <xdr:row>1436</xdr:row>
      <xdr:rowOff>158750</xdr:rowOff>
    </xdr:from>
    <xdr:to>
      <xdr:col>3</xdr:col>
      <xdr:colOff>603250</xdr:colOff>
      <xdr:row>1503</xdr:row>
      <xdr:rowOff>10583</xdr:rowOff>
    </xdr:to>
    <xdr:cxnSp macro="">
      <xdr:nvCxnSpPr>
        <xdr:cNvPr id="3310" name="Straight Arrow Connector 3309">
          <a:extLst>
            <a:ext uri="{FF2B5EF4-FFF2-40B4-BE49-F238E27FC236}">
              <a16:creationId xmlns:a16="http://schemas.microsoft.com/office/drawing/2014/main" id="{00000000-0008-0000-1300-0000EE0C0000}"/>
            </a:ext>
          </a:extLst>
        </xdr:cNvPr>
        <xdr:cNvCxnSpPr/>
      </xdr:nvCxnSpPr>
      <xdr:spPr>
        <a:xfrm flipV="1">
          <a:off x="2381251" y="102457250"/>
          <a:ext cx="592666" cy="12805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21167</xdr:colOff>
      <xdr:row>1505</xdr:row>
      <xdr:rowOff>10583</xdr:rowOff>
    </xdr:from>
    <xdr:to>
      <xdr:col>4</xdr:col>
      <xdr:colOff>63500</xdr:colOff>
      <xdr:row>1656</xdr:row>
      <xdr:rowOff>158750</xdr:rowOff>
    </xdr:to>
    <xdr:cxnSp macro="">
      <xdr:nvCxnSpPr>
        <xdr:cNvPr id="3311" name="Straight Arrow Connector 3310">
          <a:extLst>
            <a:ext uri="{FF2B5EF4-FFF2-40B4-BE49-F238E27FC236}">
              <a16:creationId xmlns:a16="http://schemas.microsoft.com/office/drawing/2014/main" id="{00000000-0008-0000-1300-0000EF0C0000}"/>
            </a:ext>
          </a:extLst>
        </xdr:cNvPr>
        <xdr:cNvCxnSpPr/>
      </xdr:nvCxnSpPr>
      <xdr:spPr>
        <a:xfrm>
          <a:off x="2391834" y="115834583"/>
          <a:ext cx="656166" cy="29294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825500</xdr:colOff>
      <xdr:row>1399</xdr:row>
      <xdr:rowOff>1</xdr:rowOff>
    </xdr:from>
    <xdr:to>
      <xdr:col>6</xdr:col>
      <xdr:colOff>0</xdr:colOff>
      <xdr:row>1433</xdr:row>
      <xdr:rowOff>116417</xdr:rowOff>
    </xdr:to>
    <xdr:cxnSp macro="">
      <xdr:nvCxnSpPr>
        <xdr:cNvPr id="3312" name="Straight Arrow Connector 3311">
          <a:extLst>
            <a:ext uri="{FF2B5EF4-FFF2-40B4-BE49-F238E27FC236}">
              <a16:creationId xmlns:a16="http://schemas.microsoft.com/office/drawing/2014/main" id="{00000000-0008-0000-1300-0000F00C0000}"/>
            </a:ext>
          </a:extLst>
        </xdr:cNvPr>
        <xdr:cNvCxnSpPr/>
      </xdr:nvCxnSpPr>
      <xdr:spPr>
        <a:xfrm flipV="1">
          <a:off x="3810000" y="95250001"/>
          <a:ext cx="677333" cy="65934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21167</xdr:colOff>
      <xdr:row>1436</xdr:row>
      <xdr:rowOff>169334</xdr:rowOff>
    </xdr:from>
    <xdr:to>
      <xdr:col>5</xdr:col>
      <xdr:colOff>571500</xdr:colOff>
      <xdr:row>1505</xdr:row>
      <xdr:rowOff>0</xdr:rowOff>
    </xdr:to>
    <xdr:cxnSp macro="">
      <xdr:nvCxnSpPr>
        <xdr:cNvPr id="3313" name="Straight Arrow Connector 3312">
          <a:extLst>
            <a:ext uri="{FF2B5EF4-FFF2-40B4-BE49-F238E27FC236}">
              <a16:creationId xmlns:a16="http://schemas.microsoft.com/office/drawing/2014/main" id="{00000000-0008-0000-1300-0000F10C0000}"/>
            </a:ext>
          </a:extLst>
        </xdr:cNvPr>
        <xdr:cNvCxnSpPr/>
      </xdr:nvCxnSpPr>
      <xdr:spPr>
        <a:xfrm>
          <a:off x="3894667" y="102467834"/>
          <a:ext cx="550333" cy="133244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1374</xdr:row>
      <xdr:rowOff>148167</xdr:rowOff>
    </xdr:from>
    <xdr:to>
      <xdr:col>7</xdr:col>
      <xdr:colOff>603250</xdr:colOff>
      <xdr:row>1396</xdr:row>
      <xdr:rowOff>31750</xdr:rowOff>
    </xdr:to>
    <xdr:cxnSp macro="">
      <xdr:nvCxnSpPr>
        <xdr:cNvPr id="3314" name="Straight Arrow Connector 3313">
          <a:extLst>
            <a:ext uri="{FF2B5EF4-FFF2-40B4-BE49-F238E27FC236}">
              <a16:creationId xmlns:a16="http://schemas.microsoft.com/office/drawing/2014/main" id="{00000000-0008-0000-1300-0000F20C0000}"/>
            </a:ext>
          </a:extLst>
        </xdr:cNvPr>
        <xdr:cNvCxnSpPr/>
      </xdr:nvCxnSpPr>
      <xdr:spPr>
        <a:xfrm flipV="1">
          <a:off x="5461000" y="90445167"/>
          <a:ext cx="603250" cy="42650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1399</xdr:row>
      <xdr:rowOff>10584</xdr:rowOff>
    </xdr:from>
    <xdr:to>
      <xdr:col>8</xdr:col>
      <xdr:colOff>21167</xdr:colOff>
      <xdr:row>1427</xdr:row>
      <xdr:rowOff>148166</xdr:rowOff>
    </xdr:to>
    <xdr:cxnSp macro="">
      <xdr:nvCxnSpPr>
        <xdr:cNvPr id="3315" name="Straight Arrow Connector 3314">
          <a:extLst>
            <a:ext uri="{FF2B5EF4-FFF2-40B4-BE49-F238E27FC236}">
              <a16:creationId xmlns:a16="http://schemas.microsoft.com/office/drawing/2014/main" id="{00000000-0008-0000-1300-0000F30C0000}"/>
            </a:ext>
          </a:extLst>
        </xdr:cNvPr>
        <xdr:cNvCxnSpPr/>
      </xdr:nvCxnSpPr>
      <xdr:spPr>
        <a:xfrm>
          <a:off x="5461000" y="95260584"/>
          <a:ext cx="635000" cy="547158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1366</xdr:row>
      <xdr:rowOff>137583</xdr:rowOff>
    </xdr:from>
    <xdr:to>
      <xdr:col>9</xdr:col>
      <xdr:colOff>603250</xdr:colOff>
      <xdr:row>1372</xdr:row>
      <xdr:rowOff>21166</xdr:rowOff>
    </xdr:to>
    <xdr:cxnSp macro="">
      <xdr:nvCxnSpPr>
        <xdr:cNvPr id="3316" name="Straight Arrow Connector 3315">
          <a:extLst>
            <a:ext uri="{FF2B5EF4-FFF2-40B4-BE49-F238E27FC236}">
              <a16:creationId xmlns:a16="http://schemas.microsoft.com/office/drawing/2014/main" id="{00000000-0008-0000-1300-0000F40C0000}"/>
            </a:ext>
          </a:extLst>
        </xdr:cNvPr>
        <xdr:cNvCxnSpPr/>
      </xdr:nvCxnSpPr>
      <xdr:spPr>
        <a:xfrm flipV="1">
          <a:off x="6688667" y="88910583"/>
          <a:ext cx="603250" cy="1026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1375</xdr:row>
      <xdr:rowOff>0</xdr:rowOff>
    </xdr:from>
    <xdr:to>
      <xdr:col>9</xdr:col>
      <xdr:colOff>582083</xdr:colOff>
      <xdr:row>1383</xdr:row>
      <xdr:rowOff>10583</xdr:rowOff>
    </xdr:to>
    <xdr:cxnSp macro="">
      <xdr:nvCxnSpPr>
        <xdr:cNvPr id="3317" name="Straight Arrow Connector 3316">
          <a:extLst>
            <a:ext uri="{FF2B5EF4-FFF2-40B4-BE49-F238E27FC236}">
              <a16:creationId xmlns:a16="http://schemas.microsoft.com/office/drawing/2014/main" id="{00000000-0008-0000-1300-0000F50C0000}"/>
            </a:ext>
          </a:extLst>
        </xdr:cNvPr>
        <xdr:cNvCxnSpPr/>
      </xdr:nvCxnSpPr>
      <xdr:spPr>
        <a:xfrm>
          <a:off x="6720417" y="90487500"/>
          <a:ext cx="550333" cy="1534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21167</xdr:colOff>
      <xdr:row>1380</xdr:row>
      <xdr:rowOff>169333</xdr:rowOff>
    </xdr:from>
    <xdr:to>
      <xdr:col>11</xdr:col>
      <xdr:colOff>603250</xdr:colOff>
      <xdr:row>1383</xdr:row>
      <xdr:rowOff>21167</xdr:rowOff>
    </xdr:to>
    <xdr:cxnSp macro="">
      <xdr:nvCxnSpPr>
        <xdr:cNvPr id="3318" name="Straight Arrow Connector 3317">
          <a:extLst>
            <a:ext uri="{FF2B5EF4-FFF2-40B4-BE49-F238E27FC236}">
              <a16:creationId xmlns:a16="http://schemas.microsoft.com/office/drawing/2014/main" id="{00000000-0008-0000-1300-0000F60C0000}"/>
            </a:ext>
          </a:extLst>
        </xdr:cNvPr>
        <xdr:cNvCxnSpPr/>
      </xdr:nvCxnSpPr>
      <xdr:spPr>
        <a:xfrm flipV="1">
          <a:off x="7937500" y="91609333"/>
          <a:ext cx="582083" cy="423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1386</xdr:row>
      <xdr:rowOff>42333</xdr:rowOff>
    </xdr:from>
    <xdr:to>
      <xdr:col>11</xdr:col>
      <xdr:colOff>603250</xdr:colOff>
      <xdr:row>1398</xdr:row>
      <xdr:rowOff>10583</xdr:rowOff>
    </xdr:to>
    <xdr:cxnSp macro="">
      <xdr:nvCxnSpPr>
        <xdr:cNvPr id="3319" name="Straight Arrow Connector 3318">
          <a:extLst>
            <a:ext uri="{FF2B5EF4-FFF2-40B4-BE49-F238E27FC236}">
              <a16:creationId xmlns:a16="http://schemas.microsoft.com/office/drawing/2014/main" id="{00000000-0008-0000-1300-0000F70C0000}"/>
            </a:ext>
          </a:extLst>
        </xdr:cNvPr>
        <xdr:cNvCxnSpPr/>
      </xdr:nvCxnSpPr>
      <xdr:spPr>
        <a:xfrm>
          <a:off x="7926917" y="926253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1376</xdr:row>
      <xdr:rowOff>21167</xdr:rowOff>
    </xdr:from>
    <xdr:to>
      <xdr:col>13</xdr:col>
      <xdr:colOff>592667</xdr:colOff>
      <xdr:row>1378</xdr:row>
      <xdr:rowOff>0</xdr:rowOff>
    </xdr:to>
    <xdr:cxnSp macro="">
      <xdr:nvCxnSpPr>
        <xdr:cNvPr id="3320" name="Straight Arrow Connector 3319">
          <a:extLst>
            <a:ext uri="{FF2B5EF4-FFF2-40B4-BE49-F238E27FC236}">
              <a16:creationId xmlns:a16="http://schemas.microsoft.com/office/drawing/2014/main" id="{00000000-0008-0000-1300-0000F80C0000}"/>
            </a:ext>
          </a:extLst>
        </xdr:cNvPr>
        <xdr:cNvCxnSpPr/>
      </xdr:nvCxnSpPr>
      <xdr:spPr>
        <a:xfrm flipV="1">
          <a:off x="9133417" y="90699167"/>
          <a:ext cx="984250"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1381</xdr:row>
      <xdr:rowOff>21166</xdr:rowOff>
    </xdr:from>
    <xdr:to>
      <xdr:col>13</xdr:col>
      <xdr:colOff>592667</xdr:colOff>
      <xdr:row>1382</xdr:row>
      <xdr:rowOff>169334</xdr:rowOff>
    </xdr:to>
    <xdr:cxnSp macro="">
      <xdr:nvCxnSpPr>
        <xdr:cNvPr id="3321" name="Straight Arrow Connector 3320">
          <a:extLst>
            <a:ext uri="{FF2B5EF4-FFF2-40B4-BE49-F238E27FC236}">
              <a16:creationId xmlns:a16="http://schemas.microsoft.com/office/drawing/2014/main" id="{00000000-0008-0000-1300-0000F90C0000}"/>
            </a:ext>
          </a:extLst>
        </xdr:cNvPr>
        <xdr:cNvCxnSpPr/>
      </xdr:nvCxnSpPr>
      <xdr:spPr>
        <a:xfrm>
          <a:off x="9122833" y="91651666"/>
          <a:ext cx="994834"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1396</xdr:row>
      <xdr:rowOff>21167</xdr:rowOff>
    </xdr:from>
    <xdr:to>
      <xdr:col>13</xdr:col>
      <xdr:colOff>592667</xdr:colOff>
      <xdr:row>1398</xdr:row>
      <xdr:rowOff>63500</xdr:rowOff>
    </xdr:to>
    <xdr:cxnSp macro="">
      <xdr:nvCxnSpPr>
        <xdr:cNvPr id="3322" name="Straight Arrow Connector 3321">
          <a:extLst>
            <a:ext uri="{FF2B5EF4-FFF2-40B4-BE49-F238E27FC236}">
              <a16:creationId xmlns:a16="http://schemas.microsoft.com/office/drawing/2014/main" id="{00000000-0008-0000-1300-0000FA0C0000}"/>
            </a:ext>
          </a:extLst>
        </xdr:cNvPr>
        <xdr:cNvCxnSpPr/>
      </xdr:nvCxnSpPr>
      <xdr:spPr>
        <a:xfrm flipV="1">
          <a:off x="9525000" y="946996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1401</xdr:row>
      <xdr:rowOff>0</xdr:rowOff>
    </xdr:from>
    <xdr:to>
      <xdr:col>14</xdr:col>
      <xdr:colOff>10584</xdr:colOff>
      <xdr:row>1409</xdr:row>
      <xdr:rowOff>148167</xdr:rowOff>
    </xdr:to>
    <xdr:cxnSp macro="">
      <xdr:nvCxnSpPr>
        <xdr:cNvPr id="3323" name="Straight Arrow Connector 3322">
          <a:extLst>
            <a:ext uri="{FF2B5EF4-FFF2-40B4-BE49-F238E27FC236}">
              <a16:creationId xmlns:a16="http://schemas.microsoft.com/office/drawing/2014/main" id="{00000000-0008-0000-1300-0000FB0C0000}"/>
            </a:ext>
          </a:extLst>
        </xdr:cNvPr>
        <xdr:cNvCxnSpPr/>
      </xdr:nvCxnSpPr>
      <xdr:spPr>
        <a:xfrm>
          <a:off x="9535583" y="95631000"/>
          <a:ext cx="613834"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1368</xdr:row>
      <xdr:rowOff>0</xdr:rowOff>
    </xdr:from>
    <xdr:to>
      <xdr:col>15</xdr:col>
      <xdr:colOff>603250</xdr:colOff>
      <xdr:row>1373</xdr:row>
      <xdr:rowOff>31750</xdr:rowOff>
    </xdr:to>
    <xdr:cxnSp macro="">
      <xdr:nvCxnSpPr>
        <xdr:cNvPr id="3324" name="Straight Arrow Connector 3323">
          <a:extLst>
            <a:ext uri="{FF2B5EF4-FFF2-40B4-BE49-F238E27FC236}">
              <a16:creationId xmlns:a16="http://schemas.microsoft.com/office/drawing/2014/main" id="{00000000-0008-0000-1300-0000FC0C0000}"/>
            </a:ext>
          </a:extLst>
        </xdr:cNvPr>
        <xdr:cNvCxnSpPr/>
      </xdr:nvCxnSpPr>
      <xdr:spPr>
        <a:xfrm flipV="1">
          <a:off x="11281833" y="89154000"/>
          <a:ext cx="603250" cy="984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1371</xdr:row>
      <xdr:rowOff>52917</xdr:rowOff>
    </xdr:from>
    <xdr:to>
      <xdr:col>15</xdr:col>
      <xdr:colOff>603250</xdr:colOff>
      <xdr:row>1373</xdr:row>
      <xdr:rowOff>95250</xdr:rowOff>
    </xdr:to>
    <xdr:cxnSp macro="">
      <xdr:nvCxnSpPr>
        <xdr:cNvPr id="3325" name="Straight Arrow Connector 3324">
          <a:extLst>
            <a:ext uri="{FF2B5EF4-FFF2-40B4-BE49-F238E27FC236}">
              <a16:creationId xmlns:a16="http://schemas.microsoft.com/office/drawing/2014/main" id="{00000000-0008-0000-1300-0000FD0C0000}"/>
            </a:ext>
          </a:extLst>
        </xdr:cNvPr>
        <xdr:cNvCxnSpPr/>
      </xdr:nvCxnSpPr>
      <xdr:spPr>
        <a:xfrm flipV="1">
          <a:off x="11324166" y="89778417"/>
          <a:ext cx="56091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1373</xdr:row>
      <xdr:rowOff>158750</xdr:rowOff>
    </xdr:from>
    <xdr:to>
      <xdr:col>15</xdr:col>
      <xdr:colOff>582083</xdr:colOff>
      <xdr:row>1374</xdr:row>
      <xdr:rowOff>137583</xdr:rowOff>
    </xdr:to>
    <xdr:cxnSp macro="">
      <xdr:nvCxnSpPr>
        <xdr:cNvPr id="3326" name="Straight Arrow Connector 3325">
          <a:extLst>
            <a:ext uri="{FF2B5EF4-FFF2-40B4-BE49-F238E27FC236}">
              <a16:creationId xmlns:a16="http://schemas.microsoft.com/office/drawing/2014/main" id="{00000000-0008-0000-1300-0000FE0C0000}"/>
            </a:ext>
          </a:extLst>
        </xdr:cNvPr>
        <xdr:cNvCxnSpPr/>
      </xdr:nvCxnSpPr>
      <xdr:spPr>
        <a:xfrm>
          <a:off x="11345333" y="90265250"/>
          <a:ext cx="518583" cy="169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1121834</xdr:colOff>
      <xdr:row>1373</xdr:row>
      <xdr:rowOff>105834</xdr:rowOff>
    </xdr:from>
    <xdr:to>
      <xdr:col>16</xdr:col>
      <xdr:colOff>0</xdr:colOff>
      <xdr:row>1377</xdr:row>
      <xdr:rowOff>84667</xdr:rowOff>
    </xdr:to>
    <xdr:cxnSp macro="">
      <xdr:nvCxnSpPr>
        <xdr:cNvPr id="3327" name="Straight Arrow Connector 3326">
          <a:extLst>
            <a:ext uri="{FF2B5EF4-FFF2-40B4-BE49-F238E27FC236}">
              <a16:creationId xmlns:a16="http://schemas.microsoft.com/office/drawing/2014/main" id="{00000000-0008-0000-1300-0000FF0C0000}"/>
            </a:ext>
          </a:extLst>
        </xdr:cNvPr>
        <xdr:cNvCxnSpPr/>
      </xdr:nvCxnSpPr>
      <xdr:spPr>
        <a:xfrm>
          <a:off x="11260667" y="90212334"/>
          <a:ext cx="63500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1381</xdr:row>
      <xdr:rowOff>52916</xdr:rowOff>
    </xdr:from>
    <xdr:to>
      <xdr:col>16</xdr:col>
      <xdr:colOff>0</xdr:colOff>
      <xdr:row>1383</xdr:row>
      <xdr:rowOff>0</xdr:rowOff>
    </xdr:to>
    <xdr:cxnSp macro="">
      <xdr:nvCxnSpPr>
        <xdr:cNvPr id="3328" name="Straight Arrow Connector 3327">
          <a:extLst>
            <a:ext uri="{FF2B5EF4-FFF2-40B4-BE49-F238E27FC236}">
              <a16:creationId xmlns:a16="http://schemas.microsoft.com/office/drawing/2014/main" id="{00000000-0008-0000-1300-0000000D0000}"/>
            </a:ext>
          </a:extLst>
        </xdr:cNvPr>
        <xdr:cNvCxnSpPr/>
      </xdr:nvCxnSpPr>
      <xdr:spPr>
        <a:xfrm flipV="1">
          <a:off x="11281833" y="91683416"/>
          <a:ext cx="613834"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1383</xdr:row>
      <xdr:rowOff>21167</xdr:rowOff>
    </xdr:from>
    <xdr:to>
      <xdr:col>15</xdr:col>
      <xdr:colOff>582083</xdr:colOff>
      <xdr:row>1384</xdr:row>
      <xdr:rowOff>42333</xdr:rowOff>
    </xdr:to>
    <xdr:cxnSp macro="">
      <xdr:nvCxnSpPr>
        <xdr:cNvPr id="3329" name="Straight Arrow Connector 3328">
          <a:extLst>
            <a:ext uri="{FF2B5EF4-FFF2-40B4-BE49-F238E27FC236}">
              <a16:creationId xmlns:a16="http://schemas.microsoft.com/office/drawing/2014/main" id="{00000000-0008-0000-1300-0000010D0000}"/>
            </a:ext>
          </a:extLst>
        </xdr:cNvPr>
        <xdr:cNvCxnSpPr/>
      </xdr:nvCxnSpPr>
      <xdr:spPr>
        <a:xfrm>
          <a:off x="11292416" y="92032667"/>
          <a:ext cx="571500" cy="211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1383</xdr:row>
      <xdr:rowOff>21167</xdr:rowOff>
    </xdr:from>
    <xdr:to>
      <xdr:col>16</xdr:col>
      <xdr:colOff>42333</xdr:colOff>
      <xdr:row>1388</xdr:row>
      <xdr:rowOff>21168</xdr:rowOff>
    </xdr:to>
    <xdr:cxnSp macro="">
      <xdr:nvCxnSpPr>
        <xdr:cNvPr id="3330" name="Straight Arrow Connector 3329">
          <a:extLst>
            <a:ext uri="{FF2B5EF4-FFF2-40B4-BE49-F238E27FC236}">
              <a16:creationId xmlns:a16="http://schemas.microsoft.com/office/drawing/2014/main" id="{00000000-0008-0000-1300-0000020D0000}"/>
            </a:ext>
          </a:extLst>
        </xdr:cNvPr>
        <xdr:cNvCxnSpPr/>
      </xdr:nvCxnSpPr>
      <xdr:spPr>
        <a:xfrm>
          <a:off x="11271250" y="92032667"/>
          <a:ext cx="666750" cy="9525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1383</xdr:row>
      <xdr:rowOff>31750</xdr:rowOff>
    </xdr:from>
    <xdr:to>
      <xdr:col>16</xdr:col>
      <xdr:colOff>42334</xdr:colOff>
      <xdr:row>1390</xdr:row>
      <xdr:rowOff>63501</xdr:rowOff>
    </xdr:to>
    <xdr:cxnSp macro="">
      <xdr:nvCxnSpPr>
        <xdr:cNvPr id="3331" name="Straight Arrow Connector 3330">
          <a:extLst>
            <a:ext uri="{FF2B5EF4-FFF2-40B4-BE49-F238E27FC236}">
              <a16:creationId xmlns:a16="http://schemas.microsoft.com/office/drawing/2014/main" id="{00000000-0008-0000-1300-0000030D0000}"/>
            </a:ext>
          </a:extLst>
        </xdr:cNvPr>
        <xdr:cNvCxnSpPr/>
      </xdr:nvCxnSpPr>
      <xdr:spPr>
        <a:xfrm>
          <a:off x="11281833" y="92043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10583</xdr:colOff>
      <xdr:row>1420</xdr:row>
      <xdr:rowOff>42333</xdr:rowOff>
    </xdr:from>
    <xdr:to>
      <xdr:col>9</xdr:col>
      <xdr:colOff>592666</xdr:colOff>
      <xdr:row>1428</xdr:row>
      <xdr:rowOff>42333</xdr:rowOff>
    </xdr:to>
    <xdr:cxnSp macro="">
      <xdr:nvCxnSpPr>
        <xdr:cNvPr id="3332" name="Straight Arrow Connector 3331">
          <a:extLst>
            <a:ext uri="{FF2B5EF4-FFF2-40B4-BE49-F238E27FC236}">
              <a16:creationId xmlns:a16="http://schemas.microsoft.com/office/drawing/2014/main" id="{00000000-0008-0000-1300-0000040D0000}"/>
            </a:ext>
          </a:extLst>
        </xdr:cNvPr>
        <xdr:cNvCxnSpPr/>
      </xdr:nvCxnSpPr>
      <xdr:spPr>
        <a:xfrm flipV="1">
          <a:off x="6699250" y="99292833"/>
          <a:ext cx="582083" cy="152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1430</xdr:row>
      <xdr:rowOff>169334</xdr:rowOff>
    </xdr:from>
    <xdr:to>
      <xdr:col>9</xdr:col>
      <xdr:colOff>603250</xdr:colOff>
      <xdr:row>1439</xdr:row>
      <xdr:rowOff>31750</xdr:rowOff>
    </xdr:to>
    <xdr:cxnSp macro="">
      <xdr:nvCxnSpPr>
        <xdr:cNvPr id="3333" name="Straight Arrow Connector 3332">
          <a:extLst>
            <a:ext uri="{FF2B5EF4-FFF2-40B4-BE49-F238E27FC236}">
              <a16:creationId xmlns:a16="http://schemas.microsoft.com/office/drawing/2014/main" id="{00000000-0008-0000-1300-0000050D0000}"/>
            </a:ext>
          </a:extLst>
        </xdr:cNvPr>
        <xdr:cNvCxnSpPr/>
      </xdr:nvCxnSpPr>
      <xdr:spPr>
        <a:xfrm>
          <a:off x="6720417" y="101324834"/>
          <a:ext cx="571500" cy="1576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571500</xdr:colOff>
      <xdr:row>1436</xdr:row>
      <xdr:rowOff>158750</xdr:rowOff>
    </xdr:from>
    <xdr:to>
      <xdr:col>11</xdr:col>
      <xdr:colOff>571500</xdr:colOff>
      <xdr:row>1439</xdr:row>
      <xdr:rowOff>0</xdr:rowOff>
    </xdr:to>
    <xdr:cxnSp macro="">
      <xdr:nvCxnSpPr>
        <xdr:cNvPr id="3334" name="Straight Arrow Connector 3333">
          <a:extLst>
            <a:ext uri="{FF2B5EF4-FFF2-40B4-BE49-F238E27FC236}">
              <a16:creationId xmlns:a16="http://schemas.microsoft.com/office/drawing/2014/main" id="{00000000-0008-0000-1300-0000060D0000}"/>
            </a:ext>
          </a:extLst>
        </xdr:cNvPr>
        <xdr:cNvCxnSpPr/>
      </xdr:nvCxnSpPr>
      <xdr:spPr>
        <a:xfrm flipV="1">
          <a:off x="7874000" y="102457250"/>
          <a:ext cx="613833" cy="412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1394</xdr:row>
      <xdr:rowOff>0</xdr:rowOff>
    </xdr:from>
    <xdr:to>
      <xdr:col>15</xdr:col>
      <xdr:colOff>603250</xdr:colOff>
      <xdr:row>1396</xdr:row>
      <xdr:rowOff>1</xdr:rowOff>
    </xdr:to>
    <xdr:cxnSp macro="">
      <xdr:nvCxnSpPr>
        <xdr:cNvPr id="3335" name="Straight Arrow Connector 3334">
          <a:extLst>
            <a:ext uri="{FF2B5EF4-FFF2-40B4-BE49-F238E27FC236}">
              <a16:creationId xmlns:a16="http://schemas.microsoft.com/office/drawing/2014/main" id="{00000000-0008-0000-1300-0000070D0000}"/>
            </a:ext>
          </a:extLst>
        </xdr:cNvPr>
        <xdr:cNvCxnSpPr/>
      </xdr:nvCxnSpPr>
      <xdr:spPr>
        <a:xfrm flipV="1">
          <a:off x="11271250" y="942975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1396</xdr:row>
      <xdr:rowOff>10584</xdr:rowOff>
    </xdr:from>
    <xdr:to>
      <xdr:col>15</xdr:col>
      <xdr:colOff>592666</xdr:colOff>
      <xdr:row>1397</xdr:row>
      <xdr:rowOff>95250</xdr:rowOff>
    </xdr:to>
    <xdr:cxnSp macro="">
      <xdr:nvCxnSpPr>
        <xdr:cNvPr id="3336" name="Straight Arrow Connector 3335">
          <a:extLst>
            <a:ext uri="{FF2B5EF4-FFF2-40B4-BE49-F238E27FC236}">
              <a16:creationId xmlns:a16="http://schemas.microsoft.com/office/drawing/2014/main" id="{00000000-0008-0000-1300-0000080D0000}"/>
            </a:ext>
          </a:extLst>
        </xdr:cNvPr>
        <xdr:cNvCxnSpPr/>
      </xdr:nvCxnSpPr>
      <xdr:spPr>
        <a:xfrm>
          <a:off x="11313583" y="946890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1396</xdr:row>
      <xdr:rowOff>10584</xdr:rowOff>
    </xdr:from>
    <xdr:to>
      <xdr:col>15</xdr:col>
      <xdr:colOff>560916</xdr:colOff>
      <xdr:row>1400</xdr:row>
      <xdr:rowOff>52917</xdr:rowOff>
    </xdr:to>
    <xdr:cxnSp macro="">
      <xdr:nvCxnSpPr>
        <xdr:cNvPr id="3337" name="Straight Arrow Connector 3336">
          <a:extLst>
            <a:ext uri="{FF2B5EF4-FFF2-40B4-BE49-F238E27FC236}">
              <a16:creationId xmlns:a16="http://schemas.microsoft.com/office/drawing/2014/main" id="{00000000-0008-0000-1300-0000090D0000}"/>
            </a:ext>
          </a:extLst>
        </xdr:cNvPr>
        <xdr:cNvCxnSpPr/>
      </xdr:nvCxnSpPr>
      <xdr:spPr>
        <a:xfrm>
          <a:off x="11292416" y="946890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1396</xdr:row>
      <xdr:rowOff>31750</xdr:rowOff>
    </xdr:from>
    <xdr:to>
      <xdr:col>16</xdr:col>
      <xdr:colOff>21167</xdr:colOff>
      <xdr:row>1403</xdr:row>
      <xdr:rowOff>95250</xdr:rowOff>
    </xdr:to>
    <xdr:cxnSp macro="">
      <xdr:nvCxnSpPr>
        <xdr:cNvPr id="3338" name="Straight Arrow Connector 3337">
          <a:extLst>
            <a:ext uri="{FF2B5EF4-FFF2-40B4-BE49-F238E27FC236}">
              <a16:creationId xmlns:a16="http://schemas.microsoft.com/office/drawing/2014/main" id="{00000000-0008-0000-1300-00000A0D0000}"/>
            </a:ext>
          </a:extLst>
        </xdr:cNvPr>
        <xdr:cNvCxnSpPr/>
      </xdr:nvCxnSpPr>
      <xdr:spPr>
        <a:xfrm>
          <a:off x="11324166" y="94710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1410</xdr:row>
      <xdr:rowOff>0</xdr:rowOff>
    </xdr:from>
    <xdr:to>
      <xdr:col>16</xdr:col>
      <xdr:colOff>0</xdr:colOff>
      <xdr:row>1410</xdr:row>
      <xdr:rowOff>42334</xdr:rowOff>
    </xdr:to>
    <xdr:cxnSp macro="">
      <xdr:nvCxnSpPr>
        <xdr:cNvPr id="3339" name="Straight Arrow Connector 3338">
          <a:extLst>
            <a:ext uri="{FF2B5EF4-FFF2-40B4-BE49-F238E27FC236}">
              <a16:creationId xmlns:a16="http://schemas.microsoft.com/office/drawing/2014/main" id="{00000000-0008-0000-1300-00000B0D0000}"/>
            </a:ext>
          </a:extLst>
        </xdr:cNvPr>
        <xdr:cNvCxnSpPr/>
      </xdr:nvCxnSpPr>
      <xdr:spPr>
        <a:xfrm>
          <a:off x="11302999" y="97345500"/>
          <a:ext cx="592668"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1410</xdr:row>
      <xdr:rowOff>21166</xdr:rowOff>
    </xdr:from>
    <xdr:to>
      <xdr:col>15</xdr:col>
      <xdr:colOff>560916</xdr:colOff>
      <xdr:row>1413</xdr:row>
      <xdr:rowOff>84667</xdr:rowOff>
    </xdr:to>
    <xdr:cxnSp macro="">
      <xdr:nvCxnSpPr>
        <xdr:cNvPr id="3340" name="Straight Arrow Connector 3339">
          <a:extLst>
            <a:ext uri="{FF2B5EF4-FFF2-40B4-BE49-F238E27FC236}">
              <a16:creationId xmlns:a16="http://schemas.microsoft.com/office/drawing/2014/main" id="{00000000-0008-0000-1300-00000C0D0000}"/>
            </a:ext>
          </a:extLst>
        </xdr:cNvPr>
        <xdr:cNvCxnSpPr/>
      </xdr:nvCxnSpPr>
      <xdr:spPr>
        <a:xfrm>
          <a:off x="11355916" y="973666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1410</xdr:row>
      <xdr:rowOff>52916</xdr:rowOff>
    </xdr:from>
    <xdr:to>
      <xdr:col>15</xdr:col>
      <xdr:colOff>592666</xdr:colOff>
      <xdr:row>1416</xdr:row>
      <xdr:rowOff>63501</xdr:rowOff>
    </xdr:to>
    <xdr:cxnSp macro="">
      <xdr:nvCxnSpPr>
        <xdr:cNvPr id="3341" name="Straight Arrow Connector 3340">
          <a:extLst>
            <a:ext uri="{FF2B5EF4-FFF2-40B4-BE49-F238E27FC236}">
              <a16:creationId xmlns:a16="http://schemas.microsoft.com/office/drawing/2014/main" id="{00000000-0008-0000-1300-00000D0D0000}"/>
            </a:ext>
          </a:extLst>
        </xdr:cNvPr>
        <xdr:cNvCxnSpPr/>
      </xdr:nvCxnSpPr>
      <xdr:spPr>
        <a:xfrm>
          <a:off x="11313583" y="973984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1424</xdr:row>
      <xdr:rowOff>116416</xdr:rowOff>
    </xdr:from>
    <xdr:to>
      <xdr:col>15</xdr:col>
      <xdr:colOff>592666</xdr:colOff>
      <xdr:row>1427</xdr:row>
      <xdr:rowOff>158750</xdr:rowOff>
    </xdr:to>
    <xdr:cxnSp macro="">
      <xdr:nvCxnSpPr>
        <xdr:cNvPr id="3342" name="Straight Arrow Connector 3341">
          <a:extLst>
            <a:ext uri="{FF2B5EF4-FFF2-40B4-BE49-F238E27FC236}">
              <a16:creationId xmlns:a16="http://schemas.microsoft.com/office/drawing/2014/main" id="{00000000-0008-0000-1300-00000E0D0000}"/>
            </a:ext>
          </a:extLst>
        </xdr:cNvPr>
        <xdr:cNvCxnSpPr/>
      </xdr:nvCxnSpPr>
      <xdr:spPr>
        <a:xfrm flipV="1">
          <a:off x="11302999" y="100128916"/>
          <a:ext cx="571500" cy="613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1426</xdr:row>
      <xdr:rowOff>95250</xdr:rowOff>
    </xdr:from>
    <xdr:to>
      <xdr:col>15</xdr:col>
      <xdr:colOff>582083</xdr:colOff>
      <xdr:row>1428</xdr:row>
      <xdr:rowOff>52917</xdr:rowOff>
    </xdr:to>
    <xdr:cxnSp macro="">
      <xdr:nvCxnSpPr>
        <xdr:cNvPr id="3343" name="Straight Arrow Connector 3342">
          <a:extLst>
            <a:ext uri="{FF2B5EF4-FFF2-40B4-BE49-F238E27FC236}">
              <a16:creationId xmlns:a16="http://schemas.microsoft.com/office/drawing/2014/main" id="{00000000-0008-0000-1300-00000F0D0000}"/>
            </a:ext>
          </a:extLst>
        </xdr:cNvPr>
        <xdr:cNvCxnSpPr/>
      </xdr:nvCxnSpPr>
      <xdr:spPr>
        <a:xfrm flipV="1">
          <a:off x="11345333" y="100488750"/>
          <a:ext cx="518583" cy="338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1428</xdr:row>
      <xdr:rowOff>116417</xdr:rowOff>
    </xdr:from>
    <xdr:to>
      <xdr:col>15</xdr:col>
      <xdr:colOff>592666</xdr:colOff>
      <xdr:row>1432</xdr:row>
      <xdr:rowOff>95250</xdr:rowOff>
    </xdr:to>
    <xdr:cxnSp macro="">
      <xdr:nvCxnSpPr>
        <xdr:cNvPr id="3344" name="Straight Arrow Connector 3343">
          <a:extLst>
            <a:ext uri="{FF2B5EF4-FFF2-40B4-BE49-F238E27FC236}">
              <a16:creationId xmlns:a16="http://schemas.microsoft.com/office/drawing/2014/main" id="{00000000-0008-0000-1300-0000100D0000}"/>
            </a:ext>
          </a:extLst>
        </xdr:cNvPr>
        <xdr:cNvCxnSpPr/>
      </xdr:nvCxnSpPr>
      <xdr:spPr>
        <a:xfrm>
          <a:off x="11334749" y="100890917"/>
          <a:ext cx="53975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1439</xdr:row>
      <xdr:rowOff>116416</xdr:rowOff>
    </xdr:from>
    <xdr:to>
      <xdr:col>16</xdr:col>
      <xdr:colOff>0</xdr:colOff>
      <xdr:row>1446</xdr:row>
      <xdr:rowOff>74084</xdr:rowOff>
    </xdr:to>
    <xdr:cxnSp macro="">
      <xdr:nvCxnSpPr>
        <xdr:cNvPr id="3345" name="Straight Arrow Connector 3344">
          <a:extLst>
            <a:ext uri="{FF2B5EF4-FFF2-40B4-BE49-F238E27FC236}">
              <a16:creationId xmlns:a16="http://schemas.microsoft.com/office/drawing/2014/main" id="{00000000-0008-0000-1300-0000110D0000}"/>
            </a:ext>
          </a:extLst>
        </xdr:cNvPr>
        <xdr:cNvCxnSpPr/>
      </xdr:nvCxnSpPr>
      <xdr:spPr>
        <a:xfrm>
          <a:off x="11313583" y="102986416"/>
          <a:ext cx="582084" cy="12911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1407</xdr:row>
      <xdr:rowOff>52917</xdr:rowOff>
    </xdr:from>
    <xdr:to>
      <xdr:col>15</xdr:col>
      <xdr:colOff>603250</xdr:colOff>
      <xdr:row>1409</xdr:row>
      <xdr:rowOff>148167</xdr:rowOff>
    </xdr:to>
    <xdr:cxnSp macro="">
      <xdr:nvCxnSpPr>
        <xdr:cNvPr id="3346" name="Straight Arrow Connector 3345">
          <a:extLst>
            <a:ext uri="{FF2B5EF4-FFF2-40B4-BE49-F238E27FC236}">
              <a16:creationId xmlns:a16="http://schemas.microsoft.com/office/drawing/2014/main" id="{00000000-0008-0000-1300-0000120D0000}"/>
            </a:ext>
          </a:extLst>
        </xdr:cNvPr>
        <xdr:cNvCxnSpPr/>
      </xdr:nvCxnSpPr>
      <xdr:spPr>
        <a:xfrm flipV="1">
          <a:off x="11324166" y="968269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1442</xdr:row>
      <xdr:rowOff>42333</xdr:rowOff>
    </xdr:from>
    <xdr:to>
      <xdr:col>11</xdr:col>
      <xdr:colOff>603250</xdr:colOff>
      <xdr:row>1454</xdr:row>
      <xdr:rowOff>10583</xdr:rowOff>
    </xdr:to>
    <xdr:cxnSp macro="">
      <xdr:nvCxnSpPr>
        <xdr:cNvPr id="3347" name="Straight Arrow Connector 3346">
          <a:extLst>
            <a:ext uri="{FF2B5EF4-FFF2-40B4-BE49-F238E27FC236}">
              <a16:creationId xmlns:a16="http://schemas.microsoft.com/office/drawing/2014/main" id="{00000000-0008-0000-1300-0000130D0000}"/>
            </a:ext>
          </a:extLst>
        </xdr:cNvPr>
        <xdr:cNvCxnSpPr/>
      </xdr:nvCxnSpPr>
      <xdr:spPr>
        <a:xfrm>
          <a:off x="7926917" y="1034838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1432</xdr:row>
      <xdr:rowOff>21167</xdr:rowOff>
    </xdr:from>
    <xdr:to>
      <xdr:col>13</xdr:col>
      <xdr:colOff>592667</xdr:colOff>
      <xdr:row>1434</xdr:row>
      <xdr:rowOff>0</xdr:rowOff>
    </xdr:to>
    <xdr:cxnSp macro="">
      <xdr:nvCxnSpPr>
        <xdr:cNvPr id="3348" name="Straight Arrow Connector 3347">
          <a:extLst>
            <a:ext uri="{FF2B5EF4-FFF2-40B4-BE49-F238E27FC236}">
              <a16:creationId xmlns:a16="http://schemas.microsoft.com/office/drawing/2014/main" id="{00000000-0008-0000-1300-0000140D0000}"/>
            </a:ext>
          </a:extLst>
        </xdr:cNvPr>
        <xdr:cNvCxnSpPr/>
      </xdr:nvCxnSpPr>
      <xdr:spPr>
        <a:xfrm flipV="1">
          <a:off x="9133417" y="101557667"/>
          <a:ext cx="984250"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1437</xdr:row>
      <xdr:rowOff>21166</xdr:rowOff>
    </xdr:from>
    <xdr:to>
      <xdr:col>13</xdr:col>
      <xdr:colOff>592667</xdr:colOff>
      <xdr:row>1438</xdr:row>
      <xdr:rowOff>169334</xdr:rowOff>
    </xdr:to>
    <xdr:cxnSp macro="">
      <xdr:nvCxnSpPr>
        <xdr:cNvPr id="3349" name="Straight Arrow Connector 3348">
          <a:extLst>
            <a:ext uri="{FF2B5EF4-FFF2-40B4-BE49-F238E27FC236}">
              <a16:creationId xmlns:a16="http://schemas.microsoft.com/office/drawing/2014/main" id="{00000000-0008-0000-1300-0000150D0000}"/>
            </a:ext>
          </a:extLst>
        </xdr:cNvPr>
        <xdr:cNvCxnSpPr/>
      </xdr:nvCxnSpPr>
      <xdr:spPr>
        <a:xfrm>
          <a:off x="9122833" y="102510166"/>
          <a:ext cx="994834"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1452</xdr:row>
      <xdr:rowOff>21167</xdr:rowOff>
    </xdr:from>
    <xdr:to>
      <xdr:col>13</xdr:col>
      <xdr:colOff>592667</xdr:colOff>
      <xdr:row>1454</xdr:row>
      <xdr:rowOff>63500</xdr:rowOff>
    </xdr:to>
    <xdr:cxnSp macro="">
      <xdr:nvCxnSpPr>
        <xdr:cNvPr id="3350" name="Straight Arrow Connector 3349">
          <a:extLst>
            <a:ext uri="{FF2B5EF4-FFF2-40B4-BE49-F238E27FC236}">
              <a16:creationId xmlns:a16="http://schemas.microsoft.com/office/drawing/2014/main" id="{00000000-0008-0000-1300-0000160D0000}"/>
            </a:ext>
          </a:extLst>
        </xdr:cNvPr>
        <xdr:cNvCxnSpPr/>
      </xdr:nvCxnSpPr>
      <xdr:spPr>
        <a:xfrm flipV="1">
          <a:off x="9525000" y="1055581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1457</xdr:row>
      <xdr:rowOff>0</xdr:rowOff>
    </xdr:from>
    <xdr:to>
      <xdr:col>14</xdr:col>
      <xdr:colOff>10584</xdr:colOff>
      <xdr:row>1465</xdr:row>
      <xdr:rowOff>148167</xdr:rowOff>
    </xdr:to>
    <xdr:cxnSp macro="">
      <xdr:nvCxnSpPr>
        <xdr:cNvPr id="3351" name="Straight Arrow Connector 3350">
          <a:extLst>
            <a:ext uri="{FF2B5EF4-FFF2-40B4-BE49-F238E27FC236}">
              <a16:creationId xmlns:a16="http://schemas.microsoft.com/office/drawing/2014/main" id="{00000000-0008-0000-1300-0000170D0000}"/>
            </a:ext>
          </a:extLst>
        </xdr:cNvPr>
        <xdr:cNvCxnSpPr/>
      </xdr:nvCxnSpPr>
      <xdr:spPr>
        <a:xfrm>
          <a:off x="9535583" y="106489500"/>
          <a:ext cx="613834"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1428</xdr:row>
      <xdr:rowOff>95250</xdr:rowOff>
    </xdr:from>
    <xdr:to>
      <xdr:col>15</xdr:col>
      <xdr:colOff>582083</xdr:colOff>
      <xdr:row>1430</xdr:row>
      <xdr:rowOff>137583</xdr:rowOff>
    </xdr:to>
    <xdr:cxnSp macro="">
      <xdr:nvCxnSpPr>
        <xdr:cNvPr id="3352" name="Straight Arrow Connector 3351">
          <a:extLst>
            <a:ext uri="{FF2B5EF4-FFF2-40B4-BE49-F238E27FC236}">
              <a16:creationId xmlns:a16="http://schemas.microsoft.com/office/drawing/2014/main" id="{00000000-0008-0000-1300-0000180D0000}"/>
            </a:ext>
          </a:extLst>
        </xdr:cNvPr>
        <xdr:cNvCxnSpPr/>
      </xdr:nvCxnSpPr>
      <xdr:spPr>
        <a:xfrm>
          <a:off x="11334749" y="100869750"/>
          <a:ext cx="5291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1437</xdr:row>
      <xdr:rowOff>52916</xdr:rowOff>
    </xdr:from>
    <xdr:to>
      <xdr:col>16</xdr:col>
      <xdr:colOff>0</xdr:colOff>
      <xdr:row>1439</xdr:row>
      <xdr:rowOff>0</xdr:rowOff>
    </xdr:to>
    <xdr:cxnSp macro="">
      <xdr:nvCxnSpPr>
        <xdr:cNvPr id="3353" name="Straight Arrow Connector 3352">
          <a:extLst>
            <a:ext uri="{FF2B5EF4-FFF2-40B4-BE49-F238E27FC236}">
              <a16:creationId xmlns:a16="http://schemas.microsoft.com/office/drawing/2014/main" id="{00000000-0008-0000-1300-0000190D0000}"/>
            </a:ext>
          </a:extLst>
        </xdr:cNvPr>
        <xdr:cNvCxnSpPr/>
      </xdr:nvCxnSpPr>
      <xdr:spPr>
        <a:xfrm flipV="1">
          <a:off x="11281833" y="102541916"/>
          <a:ext cx="613834"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1439</xdr:row>
      <xdr:rowOff>21167</xdr:rowOff>
    </xdr:from>
    <xdr:to>
      <xdr:col>15</xdr:col>
      <xdr:colOff>592666</xdr:colOff>
      <xdr:row>1440</xdr:row>
      <xdr:rowOff>84667</xdr:rowOff>
    </xdr:to>
    <xdr:cxnSp macro="">
      <xdr:nvCxnSpPr>
        <xdr:cNvPr id="3354" name="Straight Arrow Connector 3353">
          <a:extLst>
            <a:ext uri="{FF2B5EF4-FFF2-40B4-BE49-F238E27FC236}">
              <a16:creationId xmlns:a16="http://schemas.microsoft.com/office/drawing/2014/main" id="{00000000-0008-0000-1300-00001A0D0000}"/>
            </a:ext>
          </a:extLst>
        </xdr:cNvPr>
        <xdr:cNvCxnSpPr/>
      </xdr:nvCxnSpPr>
      <xdr:spPr>
        <a:xfrm>
          <a:off x="11271250" y="102891167"/>
          <a:ext cx="603249" cy="25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1439</xdr:row>
      <xdr:rowOff>0</xdr:rowOff>
    </xdr:from>
    <xdr:to>
      <xdr:col>16</xdr:col>
      <xdr:colOff>0</xdr:colOff>
      <xdr:row>1443</xdr:row>
      <xdr:rowOff>42334</xdr:rowOff>
    </xdr:to>
    <xdr:cxnSp macro="">
      <xdr:nvCxnSpPr>
        <xdr:cNvPr id="3355" name="Straight Arrow Connector 3354">
          <a:extLst>
            <a:ext uri="{FF2B5EF4-FFF2-40B4-BE49-F238E27FC236}">
              <a16:creationId xmlns:a16="http://schemas.microsoft.com/office/drawing/2014/main" id="{00000000-0008-0000-1300-00001B0D0000}"/>
            </a:ext>
          </a:extLst>
        </xdr:cNvPr>
        <xdr:cNvCxnSpPr/>
      </xdr:nvCxnSpPr>
      <xdr:spPr>
        <a:xfrm>
          <a:off x="11271250" y="102870000"/>
          <a:ext cx="624417" cy="804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1450</xdr:row>
      <xdr:rowOff>0</xdr:rowOff>
    </xdr:from>
    <xdr:to>
      <xdr:col>15</xdr:col>
      <xdr:colOff>603250</xdr:colOff>
      <xdr:row>1452</xdr:row>
      <xdr:rowOff>1</xdr:rowOff>
    </xdr:to>
    <xdr:cxnSp macro="">
      <xdr:nvCxnSpPr>
        <xdr:cNvPr id="3356" name="Straight Arrow Connector 3355">
          <a:extLst>
            <a:ext uri="{FF2B5EF4-FFF2-40B4-BE49-F238E27FC236}">
              <a16:creationId xmlns:a16="http://schemas.microsoft.com/office/drawing/2014/main" id="{00000000-0008-0000-1300-00001C0D0000}"/>
            </a:ext>
          </a:extLst>
        </xdr:cNvPr>
        <xdr:cNvCxnSpPr/>
      </xdr:nvCxnSpPr>
      <xdr:spPr>
        <a:xfrm flipV="1">
          <a:off x="11271250" y="1051560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1452</xdr:row>
      <xdr:rowOff>10584</xdr:rowOff>
    </xdr:from>
    <xdr:to>
      <xdr:col>15</xdr:col>
      <xdr:colOff>592666</xdr:colOff>
      <xdr:row>1453</xdr:row>
      <xdr:rowOff>95250</xdr:rowOff>
    </xdr:to>
    <xdr:cxnSp macro="">
      <xdr:nvCxnSpPr>
        <xdr:cNvPr id="3357" name="Straight Arrow Connector 3356">
          <a:extLst>
            <a:ext uri="{FF2B5EF4-FFF2-40B4-BE49-F238E27FC236}">
              <a16:creationId xmlns:a16="http://schemas.microsoft.com/office/drawing/2014/main" id="{00000000-0008-0000-1300-00001D0D0000}"/>
            </a:ext>
          </a:extLst>
        </xdr:cNvPr>
        <xdr:cNvCxnSpPr/>
      </xdr:nvCxnSpPr>
      <xdr:spPr>
        <a:xfrm>
          <a:off x="11313583" y="1055475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1452</xdr:row>
      <xdr:rowOff>10584</xdr:rowOff>
    </xdr:from>
    <xdr:to>
      <xdr:col>15</xdr:col>
      <xdr:colOff>560916</xdr:colOff>
      <xdr:row>1456</xdr:row>
      <xdr:rowOff>52917</xdr:rowOff>
    </xdr:to>
    <xdr:cxnSp macro="">
      <xdr:nvCxnSpPr>
        <xdr:cNvPr id="3358" name="Straight Arrow Connector 3357">
          <a:extLst>
            <a:ext uri="{FF2B5EF4-FFF2-40B4-BE49-F238E27FC236}">
              <a16:creationId xmlns:a16="http://schemas.microsoft.com/office/drawing/2014/main" id="{00000000-0008-0000-1300-00001E0D0000}"/>
            </a:ext>
          </a:extLst>
        </xdr:cNvPr>
        <xdr:cNvCxnSpPr/>
      </xdr:nvCxnSpPr>
      <xdr:spPr>
        <a:xfrm>
          <a:off x="11292416" y="1055475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1452</xdr:row>
      <xdr:rowOff>31750</xdr:rowOff>
    </xdr:from>
    <xdr:to>
      <xdr:col>16</xdr:col>
      <xdr:colOff>21167</xdr:colOff>
      <xdr:row>1459</xdr:row>
      <xdr:rowOff>95250</xdr:rowOff>
    </xdr:to>
    <xdr:cxnSp macro="">
      <xdr:nvCxnSpPr>
        <xdr:cNvPr id="3359" name="Straight Arrow Connector 3358">
          <a:extLst>
            <a:ext uri="{FF2B5EF4-FFF2-40B4-BE49-F238E27FC236}">
              <a16:creationId xmlns:a16="http://schemas.microsoft.com/office/drawing/2014/main" id="{00000000-0008-0000-1300-00001F0D0000}"/>
            </a:ext>
          </a:extLst>
        </xdr:cNvPr>
        <xdr:cNvCxnSpPr/>
      </xdr:nvCxnSpPr>
      <xdr:spPr>
        <a:xfrm>
          <a:off x="11324166" y="105568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698500</xdr:colOff>
      <xdr:row>1507</xdr:row>
      <xdr:rowOff>95250</xdr:rowOff>
    </xdr:from>
    <xdr:to>
      <xdr:col>8</xdr:col>
      <xdr:colOff>21167</xdr:colOff>
      <xdr:row>1539</xdr:row>
      <xdr:rowOff>148166</xdr:rowOff>
    </xdr:to>
    <xdr:cxnSp macro="">
      <xdr:nvCxnSpPr>
        <xdr:cNvPr id="3364" name="Straight Arrow Connector 3363">
          <a:extLst>
            <a:ext uri="{FF2B5EF4-FFF2-40B4-BE49-F238E27FC236}">
              <a16:creationId xmlns:a16="http://schemas.microsoft.com/office/drawing/2014/main" id="{00000000-0008-0000-1300-0000240D0000}"/>
            </a:ext>
          </a:extLst>
        </xdr:cNvPr>
        <xdr:cNvCxnSpPr/>
      </xdr:nvCxnSpPr>
      <xdr:spPr>
        <a:xfrm>
          <a:off x="5185833" y="116300250"/>
          <a:ext cx="910167" cy="6148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1478</xdr:row>
      <xdr:rowOff>137583</xdr:rowOff>
    </xdr:from>
    <xdr:to>
      <xdr:col>9</xdr:col>
      <xdr:colOff>603250</xdr:colOff>
      <xdr:row>1484</xdr:row>
      <xdr:rowOff>21166</xdr:rowOff>
    </xdr:to>
    <xdr:cxnSp macro="">
      <xdr:nvCxnSpPr>
        <xdr:cNvPr id="3365" name="Straight Arrow Connector 3364">
          <a:extLst>
            <a:ext uri="{FF2B5EF4-FFF2-40B4-BE49-F238E27FC236}">
              <a16:creationId xmlns:a16="http://schemas.microsoft.com/office/drawing/2014/main" id="{00000000-0008-0000-1300-0000250D0000}"/>
            </a:ext>
          </a:extLst>
        </xdr:cNvPr>
        <xdr:cNvCxnSpPr/>
      </xdr:nvCxnSpPr>
      <xdr:spPr>
        <a:xfrm flipV="1">
          <a:off x="6688667" y="110627583"/>
          <a:ext cx="603250" cy="1026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1487</xdr:row>
      <xdr:rowOff>0</xdr:rowOff>
    </xdr:from>
    <xdr:to>
      <xdr:col>9</xdr:col>
      <xdr:colOff>582083</xdr:colOff>
      <xdr:row>1495</xdr:row>
      <xdr:rowOff>10583</xdr:rowOff>
    </xdr:to>
    <xdr:cxnSp macro="">
      <xdr:nvCxnSpPr>
        <xdr:cNvPr id="3366" name="Straight Arrow Connector 3365">
          <a:extLst>
            <a:ext uri="{FF2B5EF4-FFF2-40B4-BE49-F238E27FC236}">
              <a16:creationId xmlns:a16="http://schemas.microsoft.com/office/drawing/2014/main" id="{00000000-0008-0000-1300-0000260D0000}"/>
            </a:ext>
          </a:extLst>
        </xdr:cNvPr>
        <xdr:cNvCxnSpPr/>
      </xdr:nvCxnSpPr>
      <xdr:spPr>
        <a:xfrm>
          <a:off x="6720417" y="112204500"/>
          <a:ext cx="550333" cy="1534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21167</xdr:colOff>
      <xdr:row>1492</xdr:row>
      <xdr:rowOff>169333</xdr:rowOff>
    </xdr:from>
    <xdr:to>
      <xdr:col>11</xdr:col>
      <xdr:colOff>603250</xdr:colOff>
      <xdr:row>1495</xdr:row>
      <xdr:rowOff>21167</xdr:rowOff>
    </xdr:to>
    <xdr:cxnSp macro="">
      <xdr:nvCxnSpPr>
        <xdr:cNvPr id="3367" name="Straight Arrow Connector 3366">
          <a:extLst>
            <a:ext uri="{FF2B5EF4-FFF2-40B4-BE49-F238E27FC236}">
              <a16:creationId xmlns:a16="http://schemas.microsoft.com/office/drawing/2014/main" id="{00000000-0008-0000-1300-0000270D0000}"/>
            </a:ext>
          </a:extLst>
        </xdr:cNvPr>
        <xdr:cNvCxnSpPr/>
      </xdr:nvCxnSpPr>
      <xdr:spPr>
        <a:xfrm flipV="1">
          <a:off x="7937500" y="113326333"/>
          <a:ext cx="582083" cy="423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1498</xdr:row>
      <xdr:rowOff>42333</xdr:rowOff>
    </xdr:from>
    <xdr:to>
      <xdr:col>11</xdr:col>
      <xdr:colOff>603250</xdr:colOff>
      <xdr:row>1510</xdr:row>
      <xdr:rowOff>10583</xdr:rowOff>
    </xdr:to>
    <xdr:cxnSp macro="">
      <xdr:nvCxnSpPr>
        <xdr:cNvPr id="3368" name="Straight Arrow Connector 3367">
          <a:extLst>
            <a:ext uri="{FF2B5EF4-FFF2-40B4-BE49-F238E27FC236}">
              <a16:creationId xmlns:a16="http://schemas.microsoft.com/office/drawing/2014/main" id="{00000000-0008-0000-1300-0000280D0000}"/>
            </a:ext>
          </a:extLst>
        </xdr:cNvPr>
        <xdr:cNvCxnSpPr/>
      </xdr:nvCxnSpPr>
      <xdr:spPr>
        <a:xfrm>
          <a:off x="7926917" y="1143423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1488</xdr:row>
      <xdr:rowOff>21167</xdr:rowOff>
    </xdr:from>
    <xdr:to>
      <xdr:col>13</xdr:col>
      <xdr:colOff>592667</xdr:colOff>
      <xdr:row>1490</xdr:row>
      <xdr:rowOff>0</xdr:rowOff>
    </xdr:to>
    <xdr:cxnSp macro="">
      <xdr:nvCxnSpPr>
        <xdr:cNvPr id="3369" name="Straight Arrow Connector 3368">
          <a:extLst>
            <a:ext uri="{FF2B5EF4-FFF2-40B4-BE49-F238E27FC236}">
              <a16:creationId xmlns:a16="http://schemas.microsoft.com/office/drawing/2014/main" id="{00000000-0008-0000-1300-0000290D0000}"/>
            </a:ext>
          </a:extLst>
        </xdr:cNvPr>
        <xdr:cNvCxnSpPr/>
      </xdr:nvCxnSpPr>
      <xdr:spPr>
        <a:xfrm flipV="1">
          <a:off x="9133417" y="112416167"/>
          <a:ext cx="984250"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1493</xdr:row>
      <xdr:rowOff>21166</xdr:rowOff>
    </xdr:from>
    <xdr:to>
      <xdr:col>13</xdr:col>
      <xdr:colOff>592667</xdr:colOff>
      <xdr:row>1494</xdr:row>
      <xdr:rowOff>169334</xdr:rowOff>
    </xdr:to>
    <xdr:cxnSp macro="">
      <xdr:nvCxnSpPr>
        <xdr:cNvPr id="3370" name="Straight Arrow Connector 3369">
          <a:extLst>
            <a:ext uri="{FF2B5EF4-FFF2-40B4-BE49-F238E27FC236}">
              <a16:creationId xmlns:a16="http://schemas.microsoft.com/office/drawing/2014/main" id="{00000000-0008-0000-1300-00002A0D0000}"/>
            </a:ext>
          </a:extLst>
        </xdr:cNvPr>
        <xdr:cNvCxnSpPr/>
      </xdr:nvCxnSpPr>
      <xdr:spPr>
        <a:xfrm>
          <a:off x="9122833" y="113368666"/>
          <a:ext cx="994834"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1508</xdr:row>
      <xdr:rowOff>21167</xdr:rowOff>
    </xdr:from>
    <xdr:to>
      <xdr:col>13</xdr:col>
      <xdr:colOff>592667</xdr:colOff>
      <xdr:row>1510</xdr:row>
      <xdr:rowOff>63500</xdr:rowOff>
    </xdr:to>
    <xdr:cxnSp macro="">
      <xdr:nvCxnSpPr>
        <xdr:cNvPr id="3371" name="Straight Arrow Connector 3370">
          <a:extLst>
            <a:ext uri="{FF2B5EF4-FFF2-40B4-BE49-F238E27FC236}">
              <a16:creationId xmlns:a16="http://schemas.microsoft.com/office/drawing/2014/main" id="{00000000-0008-0000-1300-00002B0D0000}"/>
            </a:ext>
          </a:extLst>
        </xdr:cNvPr>
        <xdr:cNvCxnSpPr/>
      </xdr:nvCxnSpPr>
      <xdr:spPr>
        <a:xfrm flipV="1">
          <a:off x="9525000" y="1164166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1513</xdr:row>
      <xdr:rowOff>0</xdr:rowOff>
    </xdr:from>
    <xdr:to>
      <xdr:col>14</xdr:col>
      <xdr:colOff>10584</xdr:colOff>
      <xdr:row>1521</xdr:row>
      <xdr:rowOff>148167</xdr:rowOff>
    </xdr:to>
    <xdr:cxnSp macro="">
      <xdr:nvCxnSpPr>
        <xdr:cNvPr id="3372" name="Straight Arrow Connector 3371">
          <a:extLst>
            <a:ext uri="{FF2B5EF4-FFF2-40B4-BE49-F238E27FC236}">
              <a16:creationId xmlns:a16="http://schemas.microsoft.com/office/drawing/2014/main" id="{00000000-0008-0000-1300-00002C0D0000}"/>
            </a:ext>
          </a:extLst>
        </xdr:cNvPr>
        <xdr:cNvCxnSpPr/>
      </xdr:nvCxnSpPr>
      <xdr:spPr>
        <a:xfrm>
          <a:off x="9535583" y="117348000"/>
          <a:ext cx="613834"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1480</xdr:row>
      <xdr:rowOff>0</xdr:rowOff>
    </xdr:from>
    <xdr:to>
      <xdr:col>15</xdr:col>
      <xdr:colOff>603250</xdr:colOff>
      <xdr:row>1485</xdr:row>
      <xdr:rowOff>31750</xdr:rowOff>
    </xdr:to>
    <xdr:cxnSp macro="">
      <xdr:nvCxnSpPr>
        <xdr:cNvPr id="3373" name="Straight Arrow Connector 3372">
          <a:extLst>
            <a:ext uri="{FF2B5EF4-FFF2-40B4-BE49-F238E27FC236}">
              <a16:creationId xmlns:a16="http://schemas.microsoft.com/office/drawing/2014/main" id="{00000000-0008-0000-1300-00002D0D0000}"/>
            </a:ext>
          </a:extLst>
        </xdr:cNvPr>
        <xdr:cNvCxnSpPr/>
      </xdr:nvCxnSpPr>
      <xdr:spPr>
        <a:xfrm flipV="1">
          <a:off x="11281833" y="110871000"/>
          <a:ext cx="603250" cy="984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1483</xdr:row>
      <xdr:rowOff>52917</xdr:rowOff>
    </xdr:from>
    <xdr:to>
      <xdr:col>15</xdr:col>
      <xdr:colOff>603250</xdr:colOff>
      <xdr:row>1485</xdr:row>
      <xdr:rowOff>95250</xdr:rowOff>
    </xdr:to>
    <xdr:cxnSp macro="">
      <xdr:nvCxnSpPr>
        <xdr:cNvPr id="3374" name="Straight Arrow Connector 3373">
          <a:extLst>
            <a:ext uri="{FF2B5EF4-FFF2-40B4-BE49-F238E27FC236}">
              <a16:creationId xmlns:a16="http://schemas.microsoft.com/office/drawing/2014/main" id="{00000000-0008-0000-1300-00002E0D0000}"/>
            </a:ext>
          </a:extLst>
        </xdr:cNvPr>
        <xdr:cNvCxnSpPr/>
      </xdr:nvCxnSpPr>
      <xdr:spPr>
        <a:xfrm flipV="1">
          <a:off x="11324166" y="111495417"/>
          <a:ext cx="56091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1485</xdr:row>
      <xdr:rowOff>158750</xdr:rowOff>
    </xdr:from>
    <xdr:to>
      <xdr:col>15</xdr:col>
      <xdr:colOff>582083</xdr:colOff>
      <xdr:row>1486</xdr:row>
      <xdr:rowOff>137583</xdr:rowOff>
    </xdr:to>
    <xdr:cxnSp macro="">
      <xdr:nvCxnSpPr>
        <xdr:cNvPr id="3375" name="Straight Arrow Connector 3374">
          <a:extLst>
            <a:ext uri="{FF2B5EF4-FFF2-40B4-BE49-F238E27FC236}">
              <a16:creationId xmlns:a16="http://schemas.microsoft.com/office/drawing/2014/main" id="{00000000-0008-0000-1300-00002F0D0000}"/>
            </a:ext>
          </a:extLst>
        </xdr:cNvPr>
        <xdr:cNvCxnSpPr/>
      </xdr:nvCxnSpPr>
      <xdr:spPr>
        <a:xfrm>
          <a:off x="11345333" y="111982250"/>
          <a:ext cx="518583" cy="169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1121834</xdr:colOff>
      <xdr:row>1485</xdr:row>
      <xdr:rowOff>105834</xdr:rowOff>
    </xdr:from>
    <xdr:to>
      <xdr:col>16</xdr:col>
      <xdr:colOff>0</xdr:colOff>
      <xdr:row>1489</xdr:row>
      <xdr:rowOff>84667</xdr:rowOff>
    </xdr:to>
    <xdr:cxnSp macro="">
      <xdr:nvCxnSpPr>
        <xdr:cNvPr id="3376" name="Straight Arrow Connector 3375">
          <a:extLst>
            <a:ext uri="{FF2B5EF4-FFF2-40B4-BE49-F238E27FC236}">
              <a16:creationId xmlns:a16="http://schemas.microsoft.com/office/drawing/2014/main" id="{00000000-0008-0000-1300-0000300D0000}"/>
            </a:ext>
          </a:extLst>
        </xdr:cNvPr>
        <xdr:cNvCxnSpPr/>
      </xdr:nvCxnSpPr>
      <xdr:spPr>
        <a:xfrm>
          <a:off x="11260667" y="111929334"/>
          <a:ext cx="63500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1493</xdr:row>
      <xdr:rowOff>52916</xdr:rowOff>
    </xdr:from>
    <xdr:to>
      <xdr:col>16</xdr:col>
      <xdr:colOff>0</xdr:colOff>
      <xdr:row>1495</xdr:row>
      <xdr:rowOff>0</xdr:rowOff>
    </xdr:to>
    <xdr:cxnSp macro="">
      <xdr:nvCxnSpPr>
        <xdr:cNvPr id="3377" name="Straight Arrow Connector 3376">
          <a:extLst>
            <a:ext uri="{FF2B5EF4-FFF2-40B4-BE49-F238E27FC236}">
              <a16:creationId xmlns:a16="http://schemas.microsoft.com/office/drawing/2014/main" id="{00000000-0008-0000-1300-0000310D0000}"/>
            </a:ext>
          </a:extLst>
        </xdr:cNvPr>
        <xdr:cNvCxnSpPr/>
      </xdr:nvCxnSpPr>
      <xdr:spPr>
        <a:xfrm flipV="1">
          <a:off x="11281833" y="113400416"/>
          <a:ext cx="613834"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1495</xdr:row>
      <xdr:rowOff>21167</xdr:rowOff>
    </xdr:from>
    <xdr:to>
      <xdr:col>15</xdr:col>
      <xdr:colOff>582083</xdr:colOff>
      <xdr:row>1496</xdr:row>
      <xdr:rowOff>42333</xdr:rowOff>
    </xdr:to>
    <xdr:cxnSp macro="">
      <xdr:nvCxnSpPr>
        <xdr:cNvPr id="3378" name="Straight Arrow Connector 3377">
          <a:extLst>
            <a:ext uri="{FF2B5EF4-FFF2-40B4-BE49-F238E27FC236}">
              <a16:creationId xmlns:a16="http://schemas.microsoft.com/office/drawing/2014/main" id="{00000000-0008-0000-1300-0000320D0000}"/>
            </a:ext>
          </a:extLst>
        </xdr:cNvPr>
        <xdr:cNvCxnSpPr/>
      </xdr:nvCxnSpPr>
      <xdr:spPr>
        <a:xfrm>
          <a:off x="11292416" y="113749667"/>
          <a:ext cx="571500" cy="211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1495</xdr:row>
      <xdr:rowOff>21167</xdr:rowOff>
    </xdr:from>
    <xdr:to>
      <xdr:col>16</xdr:col>
      <xdr:colOff>42333</xdr:colOff>
      <xdr:row>1500</xdr:row>
      <xdr:rowOff>21168</xdr:rowOff>
    </xdr:to>
    <xdr:cxnSp macro="">
      <xdr:nvCxnSpPr>
        <xdr:cNvPr id="3379" name="Straight Arrow Connector 3378">
          <a:extLst>
            <a:ext uri="{FF2B5EF4-FFF2-40B4-BE49-F238E27FC236}">
              <a16:creationId xmlns:a16="http://schemas.microsoft.com/office/drawing/2014/main" id="{00000000-0008-0000-1300-0000330D0000}"/>
            </a:ext>
          </a:extLst>
        </xdr:cNvPr>
        <xdr:cNvCxnSpPr/>
      </xdr:nvCxnSpPr>
      <xdr:spPr>
        <a:xfrm>
          <a:off x="11271250" y="113749667"/>
          <a:ext cx="666750" cy="9525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1495</xdr:row>
      <xdr:rowOff>31750</xdr:rowOff>
    </xdr:from>
    <xdr:to>
      <xdr:col>16</xdr:col>
      <xdr:colOff>42334</xdr:colOff>
      <xdr:row>1502</xdr:row>
      <xdr:rowOff>63501</xdr:rowOff>
    </xdr:to>
    <xdr:cxnSp macro="">
      <xdr:nvCxnSpPr>
        <xdr:cNvPr id="3380" name="Straight Arrow Connector 3379">
          <a:extLst>
            <a:ext uri="{FF2B5EF4-FFF2-40B4-BE49-F238E27FC236}">
              <a16:creationId xmlns:a16="http://schemas.microsoft.com/office/drawing/2014/main" id="{00000000-0008-0000-1300-0000340D0000}"/>
            </a:ext>
          </a:extLst>
        </xdr:cNvPr>
        <xdr:cNvCxnSpPr/>
      </xdr:nvCxnSpPr>
      <xdr:spPr>
        <a:xfrm>
          <a:off x="11281833" y="113760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10583</xdr:colOff>
      <xdr:row>1532</xdr:row>
      <xdr:rowOff>42333</xdr:rowOff>
    </xdr:from>
    <xdr:to>
      <xdr:col>9</xdr:col>
      <xdr:colOff>592666</xdr:colOff>
      <xdr:row>1540</xdr:row>
      <xdr:rowOff>42333</xdr:rowOff>
    </xdr:to>
    <xdr:cxnSp macro="">
      <xdr:nvCxnSpPr>
        <xdr:cNvPr id="3381" name="Straight Arrow Connector 3380">
          <a:extLst>
            <a:ext uri="{FF2B5EF4-FFF2-40B4-BE49-F238E27FC236}">
              <a16:creationId xmlns:a16="http://schemas.microsoft.com/office/drawing/2014/main" id="{00000000-0008-0000-1300-0000350D0000}"/>
            </a:ext>
          </a:extLst>
        </xdr:cNvPr>
        <xdr:cNvCxnSpPr/>
      </xdr:nvCxnSpPr>
      <xdr:spPr>
        <a:xfrm flipV="1">
          <a:off x="6699250" y="121009833"/>
          <a:ext cx="582083" cy="152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1542</xdr:row>
      <xdr:rowOff>169334</xdr:rowOff>
    </xdr:from>
    <xdr:to>
      <xdr:col>9</xdr:col>
      <xdr:colOff>603250</xdr:colOff>
      <xdr:row>1551</xdr:row>
      <xdr:rowOff>31750</xdr:rowOff>
    </xdr:to>
    <xdr:cxnSp macro="">
      <xdr:nvCxnSpPr>
        <xdr:cNvPr id="3382" name="Straight Arrow Connector 3381">
          <a:extLst>
            <a:ext uri="{FF2B5EF4-FFF2-40B4-BE49-F238E27FC236}">
              <a16:creationId xmlns:a16="http://schemas.microsoft.com/office/drawing/2014/main" id="{00000000-0008-0000-1300-0000360D0000}"/>
            </a:ext>
          </a:extLst>
        </xdr:cNvPr>
        <xdr:cNvCxnSpPr/>
      </xdr:nvCxnSpPr>
      <xdr:spPr>
        <a:xfrm>
          <a:off x="6720417" y="123041834"/>
          <a:ext cx="571500" cy="1576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571500</xdr:colOff>
      <xdr:row>1548</xdr:row>
      <xdr:rowOff>158750</xdr:rowOff>
    </xdr:from>
    <xdr:to>
      <xdr:col>11</xdr:col>
      <xdr:colOff>571500</xdr:colOff>
      <xdr:row>1551</xdr:row>
      <xdr:rowOff>0</xdr:rowOff>
    </xdr:to>
    <xdr:cxnSp macro="">
      <xdr:nvCxnSpPr>
        <xdr:cNvPr id="3383" name="Straight Arrow Connector 3382">
          <a:extLst>
            <a:ext uri="{FF2B5EF4-FFF2-40B4-BE49-F238E27FC236}">
              <a16:creationId xmlns:a16="http://schemas.microsoft.com/office/drawing/2014/main" id="{00000000-0008-0000-1300-0000370D0000}"/>
            </a:ext>
          </a:extLst>
        </xdr:cNvPr>
        <xdr:cNvCxnSpPr/>
      </xdr:nvCxnSpPr>
      <xdr:spPr>
        <a:xfrm flipV="1">
          <a:off x="7874000" y="124174250"/>
          <a:ext cx="613833" cy="412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1506</xdr:row>
      <xdr:rowOff>0</xdr:rowOff>
    </xdr:from>
    <xdr:to>
      <xdr:col>15</xdr:col>
      <xdr:colOff>603250</xdr:colOff>
      <xdr:row>1508</xdr:row>
      <xdr:rowOff>1</xdr:rowOff>
    </xdr:to>
    <xdr:cxnSp macro="">
      <xdr:nvCxnSpPr>
        <xdr:cNvPr id="3384" name="Straight Arrow Connector 3383">
          <a:extLst>
            <a:ext uri="{FF2B5EF4-FFF2-40B4-BE49-F238E27FC236}">
              <a16:creationId xmlns:a16="http://schemas.microsoft.com/office/drawing/2014/main" id="{00000000-0008-0000-1300-0000380D0000}"/>
            </a:ext>
          </a:extLst>
        </xdr:cNvPr>
        <xdr:cNvCxnSpPr/>
      </xdr:nvCxnSpPr>
      <xdr:spPr>
        <a:xfrm flipV="1">
          <a:off x="11271250" y="1160145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1508</xdr:row>
      <xdr:rowOff>10584</xdr:rowOff>
    </xdr:from>
    <xdr:to>
      <xdr:col>15</xdr:col>
      <xdr:colOff>592666</xdr:colOff>
      <xdr:row>1509</xdr:row>
      <xdr:rowOff>95250</xdr:rowOff>
    </xdr:to>
    <xdr:cxnSp macro="">
      <xdr:nvCxnSpPr>
        <xdr:cNvPr id="3385" name="Straight Arrow Connector 3384">
          <a:extLst>
            <a:ext uri="{FF2B5EF4-FFF2-40B4-BE49-F238E27FC236}">
              <a16:creationId xmlns:a16="http://schemas.microsoft.com/office/drawing/2014/main" id="{00000000-0008-0000-1300-0000390D0000}"/>
            </a:ext>
          </a:extLst>
        </xdr:cNvPr>
        <xdr:cNvCxnSpPr/>
      </xdr:nvCxnSpPr>
      <xdr:spPr>
        <a:xfrm>
          <a:off x="11313583" y="1164060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1508</xdr:row>
      <xdr:rowOff>10584</xdr:rowOff>
    </xdr:from>
    <xdr:to>
      <xdr:col>15</xdr:col>
      <xdr:colOff>560916</xdr:colOff>
      <xdr:row>1512</xdr:row>
      <xdr:rowOff>52917</xdr:rowOff>
    </xdr:to>
    <xdr:cxnSp macro="">
      <xdr:nvCxnSpPr>
        <xdr:cNvPr id="3386" name="Straight Arrow Connector 3385">
          <a:extLst>
            <a:ext uri="{FF2B5EF4-FFF2-40B4-BE49-F238E27FC236}">
              <a16:creationId xmlns:a16="http://schemas.microsoft.com/office/drawing/2014/main" id="{00000000-0008-0000-1300-00003A0D0000}"/>
            </a:ext>
          </a:extLst>
        </xdr:cNvPr>
        <xdr:cNvCxnSpPr/>
      </xdr:nvCxnSpPr>
      <xdr:spPr>
        <a:xfrm>
          <a:off x="11292416" y="1164060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1508</xdr:row>
      <xdr:rowOff>31750</xdr:rowOff>
    </xdr:from>
    <xdr:to>
      <xdr:col>16</xdr:col>
      <xdr:colOff>21167</xdr:colOff>
      <xdr:row>1515</xdr:row>
      <xdr:rowOff>95250</xdr:rowOff>
    </xdr:to>
    <xdr:cxnSp macro="">
      <xdr:nvCxnSpPr>
        <xdr:cNvPr id="3387" name="Straight Arrow Connector 3386">
          <a:extLst>
            <a:ext uri="{FF2B5EF4-FFF2-40B4-BE49-F238E27FC236}">
              <a16:creationId xmlns:a16="http://schemas.microsoft.com/office/drawing/2014/main" id="{00000000-0008-0000-1300-00003B0D0000}"/>
            </a:ext>
          </a:extLst>
        </xdr:cNvPr>
        <xdr:cNvCxnSpPr/>
      </xdr:nvCxnSpPr>
      <xdr:spPr>
        <a:xfrm>
          <a:off x="11324166" y="116427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1522</xdr:row>
      <xdr:rowOff>0</xdr:rowOff>
    </xdr:from>
    <xdr:to>
      <xdr:col>16</xdr:col>
      <xdr:colOff>0</xdr:colOff>
      <xdr:row>1522</xdr:row>
      <xdr:rowOff>42334</xdr:rowOff>
    </xdr:to>
    <xdr:cxnSp macro="">
      <xdr:nvCxnSpPr>
        <xdr:cNvPr id="3388" name="Straight Arrow Connector 3387">
          <a:extLst>
            <a:ext uri="{FF2B5EF4-FFF2-40B4-BE49-F238E27FC236}">
              <a16:creationId xmlns:a16="http://schemas.microsoft.com/office/drawing/2014/main" id="{00000000-0008-0000-1300-00003C0D0000}"/>
            </a:ext>
          </a:extLst>
        </xdr:cNvPr>
        <xdr:cNvCxnSpPr/>
      </xdr:nvCxnSpPr>
      <xdr:spPr>
        <a:xfrm>
          <a:off x="11302999" y="119062500"/>
          <a:ext cx="592668"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1522</xdr:row>
      <xdr:rowOff>21166</xdr:rowOff>
    </xdr:from>
    <xdr:to>
      <xdr:col>15</xdr:col>
      <xdr:colOff>560916</xdr:colOff>
      <xdr:row>1525</xdr:row>
      <xdr:rowOff>84667</xdr:rowOff>
    </xdr:to>
    <xdr:cxnSp macro="">
      <xdr:nvCxnSpPr>
        <xdr:cNvPr id="3389" name="Straight Arrow Connector 3388">
          <a:extLst>
            <a:ext uri="{FF2B5EF4-FFF2-40B4-BE49-F238E27FC236}">
              <a16:creationId xmlns:a16="http://schemas.microsoft.com/office/drawing/2014/main" id="{00000000-0008-0000-1300-00003D0D0000}"/>
            </a:ext>
          </a:extLst>
        </xdr:cNvPr>
        <xdr:cNvCxnSpPr/>
      </xdr:nvCxnSpPr>
      <xdr:spPr>
        <a:xfrm>
          <a:off x="11355916" y="1190836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1522</xdr:row>
      <xdr:rowOff>52916</xdr:rowOff>
    </xdr:from>
    <xdr:to>
      <xdr:col>15</xdr:col>
      <xdr:colOff>592666</xdr:colOff>
      <xdr:row>1528</xdr:row>
      <xdr:rowOff>63501</xdr:rowOff>
    </xdr:to>
    <xdr:cxnSp macro="">
      <xdr:nvCxnSpPr>
        <xdr:cNvPr id="3390" name="Straight Arrow Connector 3389">
          <a:extLst>
            <a:ext uri="{FF2B5EF4-FFF2-40B4-BE49-F238E27FC236}">
              <a16:creationId xmlns:a16="http://schemas.microsoft.com/office/drawing/2014/main" id="{00000000-0008-0000-1300-00003E0D0000}"/>
            </a:ext>
          </a:extLst>
        </xdr:cNvPr>
        <xdr:cNvCxnSpPr/>
      </xdr:nvCxnSpPr>
      <xdr:spPr>
        <a:xfrm>
          <a:off x="11313583" y="1191154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1536</xdr:row>
      <xdr:rowOff>116416</xdr:rowOff>
    </xdr:from>
    <xdr:to>
      <xdr:col>15</xdr:col>
      <xdr:colOff>592666</xdr:colOff>
      <xdr:row>1539</xdr:row>
      <xdr:rowOff>158750</xdr:rowOff>
    </xdr:to>
    <xdr:cxnSp macro="">
      <xdr:nvCxnSpPr>
        <xdr:cNvPr id="3391" name="Straight Arrow Connector 3390">
          <a:extLst>
            <a:ext uri="{FF2B5EF4-FFF2-40B4-BE49-F238E27FC236}">
              <a16:creationId xmlns:a16="http://schemas.microsoft.com/office/drawing/2014/main" id="{00000000-0008-0000-1300-00003F0D0000}"/>
            </a:ext>
          </a:extLst>
        </xdr:cNvPr>
        <xdr:cNvCxnSpPr/>
      </xdr:nvCxnSpPr>
      <xdr:spPr>
        <a:xfrm flipV="1">
          <a:off x="11302999" y="121845916"/>
          <a:ext cx="571500" cy="613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1538</xdr:row>
      <xdr:rowOff>95250</xdr:rowOff>
    </xdr:from>
    <xdr:to>
      <xdr:col>15</xdr:col>
      <xdr:colOff>582083</xdr:colOff>
      <xdr:row>1540</xdr:row>
      <xdr:rowOff>52917</xdr:rowOff>
    </xdr:to>
    <xdr:cxnSp macro="">
      <xdr:nvCxnSpPr>
        <xdr:cNvPr id="3392" name="Straight Arrow Connector 3391">
          <a:extLst>
            <a:ext uri="{FF2B5EF4-FFF2-40B4-BE49-F238E27FC236}">
              <a16:creationId xmlns:a16="http://schemas.microsoft.com/office/drawing/2014/main" id="{00000000-0008-0000-1300-0000400D0000}"/>
            </a:ext>
          </a:extLst>
        </xdr:cNvPr>
        <xdr:cNvCxnSpPr/>
      </xdr:nvCxnSpPr>
      <xdr:spPr>
        <a:xfrm flipV="1">
          <a:off x="11345333" y="122205750"/>
          <a:ext cx="518583" cy="338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1540</xdr:row>
      <xdr:rowOff>116417</xdr:rowOff>
    </xdr:from>
    <xdr:to>
      <xdr:col>15</xdr:col>
      <xdr:colOff>592666</xdr:colOff>
      <xdr:row>1544</xdr:row>
      <xdr:rowOff>95250</xdr:rowOff>
    </xdr:to>
    <xdr:cxnSp macro="">
      <xdr:nvCxnSpPr>
        <xdr:cNvPr id="3393" name="Straight Arrow Connector 3392">
          <a:extLst>
            <a:ext uri="{FF2B5EF4-FFF2-40B4-BE49-F238E27FC236}">
              <a16:creationId xmlns:a16="http://schemas.microsoft.com/office/drawing/2014/main" id="{00000000-0008-0000-1300-0000410D0000}"/>
            </a:ext>
          </a:extLst>
        </xdr:cNvPr>
        <xdr:cNvCxnSpPr/>
      </xdr:nvCxnSpPr>
      <xdr:spPr>
        <a:xfrm>
          <a:off x="11334749" y="122607917"/>
          <a:ext cx="53975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1551</xdr:row>
      <xdr:rowOff>116416</xdr:rowOff>
    </xdr:from>
    <xdr:to>
      <xdr:col>16</xdr:col>
      <xdr:colOff>0</xdr:colOff>
      <xdr:row>1558</xdr:row>
      <xdr:rowOff>74084</xdr:rowOff>
    </xdr:to>
    <xdr:cxnSp macro="">
      <xdr:nvCxnSpPr>
        <xdr:cNvPr id="3394" name="Straight Arrow Connector 3393">
          <a:extLst>
            <a:ext uri="{FF2B5EF4-FFF2-40B4-BE49-F238E27FC236}">
              <a16:creationId xmlns:a16="http://schemas.microsoft.com/office/drawing/2014/main" id="{00000000-0008-0000-1300-0000420D0000}"/>
            </a:ext>
          </a:extLst>
        </xdr:cNvPr>
        <xdr:cNvCxnSpPr/>
      </xdr:nvCxnSpPr>
      <xdr:spPr>
        <a:xfrm>
          <a:off x="11313583" y="124703416"/>
          <a:ext cx="582084" cy="12911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1519</xdr:row>
      <xdr:rowOff>52917</xdr:rowOff>
    </xdr:from>
    <xdr:to>
      <xdr:col>15</xdr:col>
      <xdr:colOff>603250</xdr:colOff>
      <xdr:row>1521</xdr:row>
      <xdr:rowOff>148167</xdr:rowOff>
    </xdr:to>
    <xdr:cxnSp macro="">
      <xdr:nvCxnSpPr>
        <xdr:cNvPr id="3395" name="Straight Arrow Connector 3394">
          <a:extLst>
            <a:ext uri="{FF2B5EF4-FFF2-40B4-BE49-F238E27FC236}">
              <a16:creationId xmlns:a16="http://schemas.microsoft.com/office/drawing/2014/main" id="{00000000-0008-0000-1300-0000430D0000}"/>
            </a:ext>
          </a:extLst>
        </xdr:cNvPr>
        <xdr:cNvCxnSpPr/>
      </xdr:nvCxnSpPr>
      <xdr:spPr>
        <a:xfrm flipV="1">
          <a:off x="11324166" y="1185439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1554</xdr:row>
      <xdr:rowOff>42333</xdr:rowOff>
    </xdr:from>
    <xdr:to>
      <xdr:col>11</xdr:col>
      <xdr:colOff>603250</xdr:colOff>
      <xdr:row>1566</xdr:row>
      <xdr:rowOff>10583</xdr:rowOff>
    </xdr:to>
    <xdr:cxnSp macro="">
      <xdr:nvCxnSpPr>
        <xdr:cNvPr id="3396" name="Straight Arrow Connector 3395">
          <a:extLst>
            <a:ext uri="{FF2B5EF4-FFF2-40B4-BE49-F238E27FC236}">
              <a16:creationId xmlns:a16="http://schemas.microsoft.com/office/drawing/2014/main" id="{00000000-0008-0000-1300-0000440D0000}"/>
            </a:ext>
          </a:extLst>
        </xdr:cNvPr>
        <xdr:cNvCxnSpPr/>
      </xdr:nvCxnSpPr>
      <xdr:spPr>
        <a:xfrm>
          <a:off x="7926917" y="1252008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1544</xdr:row>
      <xdr:rowOff>21167</xdr:rowOff>
    </xdr:from>
    <xdr:to>
      <xdr:col>13</xdr:col>
      <xdr:colOff>592667</xdr:colOff>
      <xdr:row>1546</xdr:row>
      <xdr:rowOff>0</xdr:rowOff>
    </xdr:to>
    <xdr:cxnSp macro="">
      <xdr:nvCxnSpPr>
        <xdr:cNvPr id="3397" name="Straight Arrow Connector 3396">
          <a:extLst>
            <a:ext uri="{FF2B5EF4-FFF2-40B4-BE49-F238E27FC236}">
              <a16:creationId xmlns:a16="http://schemas.microsoft.com/office/drawing/2014/main" id="{00000000-0008-0000-1300-0000450D0000}"/>
            </a:ext>
          </a:extLst>
        </xdr:cNvPr>
        <xdr:cNvCxnSpPr/>
      </xdr:nvCxnSpPr>
      <xdr:spPr>
        <a:xfrm flipV="1">
          <a:off x="9133417" y="123274667"/>
          <a:ext cx="984250"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1549</xdr:row>
      <xdr:rowOff>21166</xdr:rowOff>
    </xdr:from>
    <xdr:to>
      <xdr:col>13</xdr:col>
      <xdr:colOff>592667</xdr:colOff>
      <xdr:row>1550</xdr:row>
      <xdr:rowOff>169334</xdr:rowOff>
    </xdr:to>
    <xdr:cxnSp macro="">
      <xdr:nvCxnSpPr>
        <xdr:cNvPr id="3398" name="Straight Arrow Connector 3397">
          <a:extLst>
            <a:ext uri="{FF2B5EF4-FFF2-40B4-BE49-F238E27FC236}">
              <a16:creationId xmlns:a16="http://schemas.microsoft.com/office/drawing/2014/main" id="{00000000-0008-0000-1300-0000460D0000}"/>
            </a:ext>
          </a:extLst>
        </xdr:cNvPr>
        <xdr:cNvCxnSpPr/>
      </xdr:nvCxnSpPr>
      <xdr:spPr>
        <a:xfrm>
          <a:off x="9122833" y="124227166"/>
          <a:ext cx="994834"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1564</xdr:row>
      <xdr:rowOff>21167</xdr:rowOff>
    </xdr:from>
    <xdr:to>
      <xdr:col>13</xdr:col>
      <xdr:colOff>592667</xdr:colOff>
      <xdr:row>1566</xdr:row>
      <xdr:rowOff>63500</xdr:rowOff>
    </xdr:to>
    <xdr:cxnSp macro="">
      <xdr:nvCxnSpPr>
        <xdr:cNvPr id="3399" name="Straight Arrow Connector 3398">
          <a:extLst>
            <a:ext uri="{FF2B5EF4-FFF2-40B4-BE49-F238E27FC236}">
              <a16:creationId xmlns:a16="http://schemas.microsoft.com/office/drawing/2014/main" id="{00000000-0008-0000-1300-0000470D0000}"/>
            </a:ext>
          </a:extLst>
        </xdr:cNvPr>
        <xdr:cNvCxnSpPr/>
      </xdr:nvCxnSpPr>
      <xdr:spPr>
        <a:xfrm flipV="1">
          <a:off x="9525000" y="1272751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1569</xdr:row>
      <xdr:rowOff>0</xdr:rowOff>
    </xdr:from>
    <xdr:to>
      <xdr:col>14</xdr:col>
      <xdr:colOff>10584</xdr:colOff>
      <xdr:row>1577</xdr:row>
      <xdr:rowOff>148167</xdr:rowOff>
    </xdr:to>
    <xdr:cxnSp macro="">
      <xdr:nvCxnSpPr>
        <xdr:cNvPr id="3400" name="Straight Arrow Connector 3399">
          <a:extLst>
            <a:ext uri="{FF2B5EF4-FFF2-40B4-BE49-F238E27FC236}">
              <a16:creationId xmlns:a16="http://schemas.microsoft.com/office/drawing/2014/main" id="{00000000-0008-0000-1300-0000480D0000}"/>
            </a:ext>
          </a:extLst>
        </xdr:cNvPr>
        <xdr:cNvCxnSpPr/>
      </xdr:nvCxnSpPr>
      <xdr:spPr>
        <a:xfrm>
          <a:off x="9535583" y="128206500"/>
          <a:ext cx="613834"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1540</xdr:row>
      <xdr:rowOff>95250</xdr:rowOff>
    </xdr:from>
    <xdr:to>
      <xdr:col>15</xdr:col>
      <xdr:colOff>582083</xdr:colOff>
      <xdr:row>1542</xdr:row>
      <xdr:rowOff>137583</xdr:rowOff>
    </xdr:to>
    <xdr:cxnSp macro="">
      <xdr:nvCxnSpPr>
        <xdr:cNvPr id="3401" name="Straight Arrow Connector 3400">
          <a:extLst>
            <a:ext uri="{FF2B5EF4-FFF2-40B4-BE49-F238E27FC236}">
              <a16:creationId xmlns:a16="http://schemas.microsoft.com/office/drawing/2014/main" id="{00000000-0008-0000-1300-0000490D0000}"/>
            </a:ext>
          </a:extLst>
        </xdr:cNvPr>
        <xdr:cNvCxnSpPr/>
      </xdr:nvCxnSpPr>
      <xdr:spPr>
        <a:xfrm>
          <a:off x="11334749" y="122586750"/>
          <a:ext cx="5291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1549</xdr:row>
      <xdr:rowOff>52916</xdr:rowOff>
    </xdr:from>
    <xdr:to>
      <xdr:col>16</xdr:col>
      <xdr:colOff>0</xdr:colOff>
      <xdr:row>1551</xdr:row>
      <xdr:rowOff>0</xdr:rowOff>
    </xdr:to>
    <xdr:cxnSp macro="">
      <xdr:nvCxnSpPr>
        <xdr:cNvPr id="3402" name="Straight Arrow Connector 3401">
          <a:extLst>
            <a:ext uri="{FF2B5EF4-FFF2-40B4-BE49-F238E27FC236}">
              <a16:creationId xmlns:a16="http://schemas.microsoft.com/office/drawing/2014/main" id="{00000000-0008-0000-1300-00004A0D0000}"/>
            </a:ext>
          </a:extLst>
        </xdr:cNvPr>
        <xdr:cNvCxnSpPr/>
      </xdr:nvCxnSpPr>
      <xdr:spPr>
        <a:xfrm flipV="1">
          <a:off x="11281833" y="124258916"/>
          <a:ext cx="613834"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1551</xdr:row>
      <xdr:rowOff>21167</xdr:rowOff>
    </xdr:from>
    <xdr:to>
      <xdr:col>15</xdr:col>
      <xdr:colOff>592666</xdr:colOff>
      <xdr:row>1552</xdr:row>
      <xdr:rowOff>84667</xdr:rowOff>
    </xdr:to>
    <xdr:cxnSp macro="">
      <xdr:nvCxnSpPr>
        <xdr:cNvPr id="3403" name="Straight Arrow Connector 3402">
          <a:extLst>
            <a:ext uri="{FF2B5EF4-FFF2-40B4-BE49-F238E27FC236}">
              <a16:creationId xmlns:a16="http://schemas.microsoft.com/office/drawing/2014/main" id="{00000000-0008-0000-1300-00004B0D0000}"/>
            </a:ext>
          </a:extLst>
        </xdr:cNvPr>
        <xdr:cNvCxnSpPr/>
      </xdr:nvCxnSpPr>
      <xdr:spPr>
        <a:xfrm>
          <a:off x="11271250" y="124608167"/>
          <a:ext cx="603249" cy="25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1551</xdr:row>
      <xdr:rowOff>0</xdr:rowOff>
    </xdr:from>
    <xdr:to>
      <xdr:col>16</xdr:col>
      <xdr:colOff>0</xdr:colOff>
      <xdr:row>1555</xdr:row>
      <xdr:rowOff>42334</xdr:rowOff>
    </xdr:to>
    <xdr:cxnSp macro="">
      <xdr:nvCxnSpPr>
        <xdr:cNvPr id="3404" name="Straight Arrow Connector 3403">
          <a:extLst>
            <a:ext uri="{FF2B5EF4-FFF2-40B4-BE49-F238E27FC236}">
              <a16:creationId xmlns:a16="http://schemas.microsoft.com/office/drawing/2014/main" id="{00000000-0008-0000-1300-00004C0D0000}"/>
            </a:ext>
          </a:extLst>
        </xdr:cNvPr>
        <xdr:cNvCxnSpPr/>
      </xdr:nvCxnSpPr>
      <xdr:spPr>
        <a:xfrm>
          <a:off x="11271250" y="124587000"/>
          <a:ext cx="624417" cy="804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1562</xdr:row>
      <xdr:rowOff>0</xdr:rowOff>
    </xdr:from>
    <xdr:to>
      <xdr:col>15</xdr:col>
      <xdr:colOff>603250</xdr:colOff>
      <xdr:row>1564</xdr:row>
      <xdr:rowOff>1</xdr:rowOff>
    </xdr:to>
    <xdr:cxnSp macro="">
      <xdr:nvCxnSpPr>
        <xdr:cNvPr id="3405" name="Straight Arrow Connector 3404">
          <a:extLst>
            <a:ext uri="{FF2B5EF4-FFF2-40B4-BE49-F238E27FC236}">
              <a16:creationId xmlns:a16="http://schemas.microsoft.com/office/drawing/2014/main" id="{00000000-0008-0000-1300-00004D0D0000}"/>
            </a:ext>
          </a:extLst>
        </xdr:cNvPr>
        <xdr:cNvCxnSpPr/>
      </xdr:nvCxnSpPr>
      <xdr:spPr>
        <a:xfrm flipV="1">
          <a:off x="11271250" y="1268730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1564</xdr:row>
      <xdr:rowOff>10584</xdr:rowOff>
    </xdr:from>
    <xdr:to>
      <xdr:col>15</xdr:col>
      <xdr:colOff>592666</xdr:colOff>
      <xdr:row>1565</xdr:row>
      <xdr:rowOff>95250</xdr:rowOff>
    </xdr:to>
    <xdr:cxnSp macro="">
      <xdr:nvCxnSpPr>
        <xdr:cNvPr id="3406" name="Straight Arrow Connector 3405">
          <a:extLst>
            <a:ext uri="{FF2B5EF4-FFF2-40B4-BE49-F238E27FC236}">
              <a16:creationId xmlns:a16="http://schemas.microsoft.com/office/drawing/2014/main" id="{00000000-0008-0000-1300-00004E0D0000}"/>
            </a:ext>
          </a:extLst>
        </xdr:cNvPr>
        <xdr:cNvCxnSpPr/>
      </xdr:nvCxnSpPr>
      <xdr:spPr>
        <a:xfrm>
          <a:off x="11313583" y="1272645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1564</xdr:row>
      <xdr:rowOff>10584</xdr:rowOff>
    </xdr:from>
    <xdr:to>
      <xdr:col>15</xdr:col>
      <xdr:colOff>560916</xdr:colOff>
      <xdr:row>1568</xdr:row>
      <xdr:rowOff>52917</xdr:rowOff>
    </xdr:to>
    <xdr:cxnSp macro="">
      <xdr:nvCxnSpPr>
        <xdr:cNvPr id="3407" name="Straight Arrow Connector 3406">
          <a:extLst>
            <a:ext uri="{FF2B5EF4-FFF2-40B4-BE49-F238E27FC236}">
              <a16:creationId xmlns:a16="http://schemas.microsoft.com/office/drawing/2014/main" id="{00000000-0008-0000-1300-00004F0D0000}"/>
            </a:ext>
          </a:extLst>
        </xdr:cNvPr>
        <xdr:cNvCxnSpPr/>
      </xdr:nvCxnSpPr>
      <xdr:spPr>
        <a:xfrm>
          <a:off x="11292416" y="1272645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1564</xdr:row>
      <xdr:rowOff>31750</xdr:rowOff>
    </xdr:from>
    <xdr:to>
      <xdr:col>16</xdr:col>
      <xdr:colOff>21167</xdr:colOff>
      <xdr:row>1571</xdr:row>
      <xdr:rowOff>95250</xdr:rowOff>
    </xdr:to>
    <xdr:cxnSp macro="">
      <xdr:nvCxnSpPr>
        <xdr:cNvPr id="3408" name="Straight Arrow Connector 3407">
          <a:extLst>
            <a:ext uri="{FF2B5EF4-FFF2-40B4-BE49-F238E27FC236}">
              <a16:creationId xmlns:a16="http://schemas.microsoft.com/office/drawing/2014/main" id="{00000000-0008-0000-1300-0000500D0000}"/>
            </a:ext>
          </a:extLst>
        </xdr:cNvPr>
        <xdr:cNvCxnSpPr/>
      </xdr:nvCxnSpPr>
      <xdr:spPr>
        <a:xfrm>
          <a:off x="11324166" y="127285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1578</xdr:row>
      <xdr:rowOff>0</xdr:rowOff>
    </xdr:from>
    <xdr:to>
      <xdr:col>16</xdr:col>
      <xdr:colOff>0</xdr:colOff>
      <xdr:row>1578</xdr:row>
      <xdr:rowOff>42334</xdr:rowOff>
    </xdr:to>
    <xdr:cxnSp macro="">
      <xdr:nvCxnSpPr>
        <xdr:cNvPr id="3409" name="Straight Arrow Connector 3408">
          <a:extLst>
            <a:ext uri="{FF2B5EF4-FFF2-40B4-BE49-F238E27FC236}">
              <a16:creationId xmlns:a16="http://schemas.microsoft.com/office/drawing/2014/main" id="{00000000-0008-0000-1300-0000510D0000}"/>
            </a:ext>
          </a:extLst>
        </xdr:cNvPr>
        <xdr:cNvCxnSpPr/>
      </xdr:nvCxnSpPr>
      <xdr:spPr>
        <a:xfrm>
          <a:off x="11302999" y="129921000"/>
          <a:ext cx="592668"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1578</xdr:row>
      <xdr:rowOff>21166</xdr:rowOff>
    </xdr:from>
    <xdr:to>
      <xdr:col>15</xdr:col>
      <xdr:colOff>560916</xdr:colOff>
      <xdr:row>1581</xdr:row>
      <xdr:rowOff>84667</xdr:rowOff>
    </xdr:to>
    <xdr:cxnSp macro="">
      <xdr:nvCxnSpPr>
        <xdr:cNvPr id="3410" name="Straight Arrow Connector 3409">
          <a:extLst>
            <a:ext uri="{FF2B5EF4-FFF2-40B4-BE49-F238E27FC236}">
              <a16:creationId xmlns:a16="http://schemas.microsoft.com/office/drawing/2014/main" id="{00000000-0008-0000-1300-0000520D0000}"/>
            </a:ext>
          </a:extLst>
        </xdr:cNvPr>
        <xdr:cNvCxnSpPr/>
      </xdr:nvCxnSpPr>
      <xdr:spPr>
        <a:xfrm>
          <a:off x="11355916" y="1299421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1578</xdr:row>
      <xdr:rowOff>52916</xdr:rowOff>
    </xdr:from>
    <xdr:to>
      <xdr:col>15</xdr:col>
      <xdr:colOff>592666</xdr:colOff>
      <xdr:row>1584</xdr:row>
      <xdr:rowOff>63501</xdr:rowOff>
    </xdr:to>
    <xdr:cxnSp macro="">
      <xdr:nvCxnSpPr>
        <xdr:cNvPr id="3411" name="Straight Arrow Connector 3410">
          <a:extLst>
            <a:ext uri="{FF2B5EF4-FFF2-40B4-BE49-F238E27FC236}">
              <a16:creationId xmlns:a16="http://schemas.microsoft.com/office/drawing/2014/main" id="{00000000-0008-0000-1300-0000530D0000}"/>
            </a:ext>
          </a:extLst>
        </xdr:cNvPr>
        <xdr:cNvCxnSpPr/>
      </xdr:nvCxnSpPr>
      <xdr:spPr>
        <a:xfrm>
          <a:off x="11313583" y="1299739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1575</xdr:row>
      <xdr:rowOff>52917</xdr:rowOff>
    </xdr:from>
    <xdr:to>
      <xdr:col>15</xdr:col>
      <xdr:colOff>603250</xdr:colOff>
      <xdr:row>1577</xdr:row>
      <xdr:rowOff>148167</xdr:rowOff>
    </xdr:to>
    <xdr:cxnSp macro="">
      <xdr:nvCxnSpPr>
        <xdr:cNvPr id="3412" name="Straight Arrow Connector 3411">
          <a:extLst>
            <a:ext uri="{FF2B5EF4-FFF2-40B4-BE49-F238E27FC236}">
              <a16:creationId xmlns:a16="http://schemas.microsoft.com/office/drawing/2014/main" id="{00000000-0008-0000-1300-0000540D0000}"/>
            </a:ext>
          </a:extLst>
        </xdr:cNvPr>
        <xdr:cNvCxnSpPr/>
      </xdr:nvCxnSpPr>
      <xdr:spPr>
        <a:xfrm flipV="1">
          <a:off x="11324166" y="1294024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31750</xdr:colOff>
      <xdr:row>1486</xdr:row>
      <xdr:rowOff>127000</xdr:rowOff>
    </xdr:from>
    <xdr:to>
      <xdr:col>8</xdr:col>
      <xdr:colOff>63500</xdr:colOff>
      <xdr:row>1505</xdr:row>
      <xdr:rowOff>0</xdr:rowOff>
    </xdr:to>
    <xdr:cxnSp macro="">
      <xdr:nvCxnSpPr>
        <xdr:cNvPr id="3413" name="Straight Arrow Connector 3412">
          <a:extLst>
            <a:ext uri="{FF2B5EF4-FFF2-40B4-BE49-F238E27FC236}">
              <a16:creationId xmlns:a16="http://schemas.microsoft.com/office/drawing/2014/main" id="{00000000-0008-0000-1300-0000550D0000}"/>
            </a:ext>
          </a:extLst>
        </xdr:cNvPr>
        <xdr:cNvCxnSpPr/>
      </xdr:nvCxnSpPr>
      <xdr:spPr>
        <a:xfrm flipV="1">
          <a:off x="5492750" y="112141000"/>
          <a:ext cx="645583" cy="3587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825500</xdr:colOff>
      <xdr:row>1623</xdr:row>
      <xdr:rowOff>1</xdr:rowOff>
    </xdr:from>
    <xdr:to>
      <xdr:col>6</xdr:col>
      <xdr:colOff>0</xdr:colOff>
      <xdr:row>1657</xdr:row>
      <xdr:rowOff>116417</xdr:rowOff>
    </xdr:to>
    <xdr:cxnSp macro="">
      <xdr:nvCxnSpPr>
        <xdr:cNvPr id="3414" name="Straight Arrow Connector 3413">
          <a:extLst>
            <a:ext uri="{FF2B5EF4-FFF2-40B4-BE49-F238E27FC236}">
              <a16:creationId xmlns:a16="http://schemas.microsoft.com/office/drawing/2014/main" id="{00000000-0008-0000-1300-0000560D0000}"/>
            </a:ext>
          </a:extLst>
        </xdr:cNvPr>
        <xdr:cNvCxnSpPr/>
      </xdr:nvCxnSpPr>
      <xdr:spPr>
        <a:xfrm flipV="1">
          <a:off x="3810000" y="138684001"/>
          <a:ext cx="677333" cy="65934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21167</xdr:colOff>
      <xdr:row>1660</xdr:row>
      <xdr:rowOff>169334</xdr:rowOff>
    </xdr:from>
    <xdr:to>
      <xdr:col>5</xdr:col>
      <xdr:colOff>571500</xdr:colOff>
      <xdr:row>1729</xdr:row>
      <xdr:rowOff>0</xdr:rowOff>
    </xdr:to>
    <xdr:cxnSp macro="">
      <xdr:nvCxnSpPr>
        <xdr:cNvPr id="3415" name="Straight Arrow Connector 3414">
          <a:extLst>
            <a:ext uri="{FF2B5EF4-FFF2-40B4-BE49-F238E27FC236}">
              <a16:creationId xmlns:a16="http://schemas.microsoft.com/office/drawing/2014/main" id="{00000000-0008-0000-1300-0000570D0000}"/>
            </a:ext>
          </a:extLst>
        </xdr:cNvPr>
        <xdr:cNvCxnSpPr/>
      </xdr:nvCxnSpPr>
      <xdr:spPr>
        <a:xfrm>
          <a:off x="3894667" y="145901834"/>
          <a:ext cx="550333" cy="133244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1598</xdr:row>
      <xdr:rowOff>148167</xdr:rowOff>
    </xdr:from>
    <xdr:to>
      <xdr:col>7</xdr:col>
      <xdr:colOff>603250</xdr:colOff>
      <xdr:row>1620</xdr:row>
      <xdr:rowOff>31750</xdr:rowOff>
    </xdr:to>
    <xdr:cxnSp macro="">
      <xdr:nvCxnSpPr>
        <xdr:cNvPr id="3416" name="Straight Arrow Connector 3415">
          <a:extLst>
            <a:ext uri="{FF2B5EF4-FFF2-40B4-BE49-F238E27FC236}">
              <a16:creationId xmlns:a16="http://schemas.microsoft.com/office/drawing/2014/main" id="{00000000-0008-0000-1300-0000580D0000}"/>
            </a:ext>
          </a:extLst>
        </xdr:cNvPr>
        <xdr:cNvCxnSpPr/>
      </xdr:nvCxnSpPr>
      <xdr:spPr>
        <a:xfrm flipV="1">
          <a:off x="5461000" y="133879167"/>
          <a:ext cx="603250" cy="42650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1623</xdr:row>
      <xdr:rowOff>10584</xdr:rowOff>
    </xdr:from>
    <xdr:to>
      <xdr:col>8</xdr:col>
      <xdr:colOff>21167</xdr:colOff>
      <xdr:row>1651</xdr:row>
      <xdr:rowOff>148166</xdr:rowOff>
    </xdr:to>
    <xdr:cxnSp macro="">
      <xdr:nvCxnSpPr>
        <xdr:cNvPr id="3417" name="Straight Arrow Connector 3416">
          <a:extLst>
            <a:ext uri="{FF2B5EF4-FFF2-40B4-BE49-F238E27FC236}">
              <a16:creationId xmlns:a16="http://schemas.microsoft.com/office/drawing/2014/main" id="{00000000-0008-0000-1300-0000590D0000}"/>
            </a:ext>
          </a:extLst>
        </xdr:cNvPr>
        <xdr:cNvCxnSpPr/>
      </xdr:nvCxnSpPr>
      <xdr:spPr>
        <a:xfrm>
          <a:off x="5461000" y="138694584"/>
          <a:ext cx="635000" cy="547158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1590</xdr:row>
      <xdr:rowOff>137583</xdr:rowOff>
    </xdr:from>
    <xdr:to>
      <xdr:col>9</xdr:col>
      <xdr:colOff>603250</xdr:colOff>
      <xdr:row>1596</xdr:row>
      <xdr:rowOff>21166</xdr:rowOff>
    </xdr:to>
    <xdr:cxnSp macro="">
      <xdr:nvCxnSpPr>
        <xdr:cNvPr id="3418" name="Straight Arrow Connector 3417">
          <a:extLst>
            <a:ext uri="{FF2B5EF4-FFF2-40B4-BE49-F238E27FC236}">
              <a16:creationId xmlns:a16="http://schemas.microsoft.com/office/drawing/2014/main" id="{00000000-0008-0000-1300-00005A0D0000}"/>
            </a:ext>
          </a:extLst>
        </xdr:cNvPr>
        <xdr:cNvCxnSpPr/>
      </xdr:nvCxnSpPr>
      <xdr:spPr>
        <a:xfrm flipV="1">
          <a:off x="6688667" y="132344583"/>
          <a:ext cx="603250" cy="1026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1599</xdr:row>
      <xdr:rowOff>0</xdr:rowOff>
    </xdr:from>
    <xdr:to>
      <xdr:col>9</xdr:col>
      <xdr:colOff>582083</xdr:colOff>
      <xdr:row>1607</xdr:row>
      <xdr:rowOff>10583</xdr:rowOff>
    </xdr:to>
    <xdr:cxnSp macro="">
      <xdr:nvCxnSpPr>
        <xdr:cNvPr id="3419" name="Straight Arrow Connector 3418">
          <a:extLst>
            <a:ext uri="{FF2B5EF4-FFF2-40B4-BE49-F238E27FC236}">
              <a16:creationId xmlns:a16="http://schemas.microsoft.com/office/drawing/2014/main" id="{00000000-0008-0000-1300-00005B0D0000}"/>
            </a:ext>
          </a:extLst>
        </xdr:cNvPr>
        <xdr:cNvCxnSpPr/>
      </xdr:nvCxnSpPr>
      <xdr:spPr>
        <a:xfrm>
          <a:off x="6720417" y="133921500"/>
          <a:ext cx="550333" cy="1534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21167</xdr:colOff>
      <xdr:row>1604</xdr:row>
      <xdr:rowOff>169333</xdr:rowOff>
    </xdr:from>
    <xdr:to>
      <xdr:col>11</xdr:col>
      <xdr:colOff>603250</xdr:colOff>
      <xdr:row>1607</xdr:row>
      <xdr:rowOff>21167</xdr:rowOff>
    </xdr:to>
    <xdr:cxnSp macro="">
      <xdr:nvCxnSpPr>
        <xdr:cNvPr id="3420" name="Straight Arrow Connector 3419">
          <a:extLst>
            <a:ext uri="{FF2B5EF4-FFF2-40B4-BE49-F238E27FC236}">
              <a16:creationId xmlns:a16="http://schemas.microsoft.com/office/drawing/2014/main" id="{00000000-0008-0000-1300-00005C0D0000}"/>
            </a:ext>
          </a:extLst>
        </xdr:cNvPr>
        <xdr:cNvCxnSpPr/>
      </xdr:nvCxnSpPr>
      <xdr:spPr>
        <a:xfrm flipV="1">
          <a:off x="7937500" y="135043333"/>
          <a:ext cx="582083" cy="423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1610</xdr:row>
      <xdr:rowOff>42333</xdr:rowOff>
    </xdr:from>
    <xdr:to>
      <xdr:col>11</xdr:col>
      <xdr:colOff>603250</xdr:colOff>
      <xdr:row>1622</xdr:row>
      <xdr:rowOff>10583</xdr:rowOff>
    </xdr:to>
    <xdr:cxnSp macro="">
      <xdr:nvCxnSpPr>
        <xdr:cNvPr id="3421" name="Straight Arrow Connector 3420">
          <a:extLst>
            <a:ext uri="{FF2B5EF4-FFF2-40B4-BE49-F238E27FC236}">
              <a16:creationId xmlns:a16="http://schemas.microsoft.com/office/drawing/2014/main" id="{00000000-0008-0000-1300-00005D0D0000}"/>
            </a:ext>
          </a:extLst>
        </xdr:cNvPr>
        <xdr:cNvCxnSpPr/>
      </xdr:nvCxnSpPr>
      <xdr:spPr>
        <a:xfrm>
          <a:off x="7926917" y="1360593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1600</xdr:row>
      <xdr:rowOff>21167</xdr:rowOff>
    </xdr:from>
    <xdr:to>
      <xdr:col>13</xdr:col>
      <xdr:colOff>592667</xdr:colOff>
      <xdr:row>1602</xdr:row>
      <xdr:rowOff>0</xdr:rowOff>
    </xdr:to>
    <xdr:cxnSp macro="">
      <xdr:nvCxnSpPr>
        <xdr:cNvPr id="3422" name="Straight Arrow Connector 3421">
          <a:extLst>
            <a:ext uri="{FF2B5EF4-FFF2-40B4-BE49-F238E27FC236}">
              <a16:creationId xmlns:a16="http://schemas.microsoft.com/office/drawing/2014/main" id="{00000000-0008-0000-1300-00005E0D0000}"/>
            </a:ext>
          </a:extLst>
        </xdr:cNvPr>
        <xdr:cNvCxnSpPr/>
      </xdr:nvCxnSpPr>
      <xdr:spPr>
        <a:xfrm flipV="1">
          <a:off x="9133417" y="134133167"/>
          <a:ext cx="984250"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1605</xdr:row>
      <xdr:rowOff>21166</xdr:rowOff>
    </xdr:from>
    <xdr:to>
      <xdr:col>13</xdr:col>
      <xdr:colOff>592667</xdr:colOff>
      <xdr:row>1606</xdr:row>
      <xdr:rowOff>169334</xdr:rowOff>
    </xdr:to>
    <xdr:cxnSp macro="">
      <xdr:nvCxnSpPr>
        <xdr:cNvPr id="3423" name="Straight Arrow Connector 3422">
          <a:extLst>
            <a:ext uri="{FF2B5EF4-FFF2-40B4-BE49-F238E27FC236}">
              <a16:creationId xmlns:a16="http://schemas.microsoft.com/office/drawing/2014/main" id="{00000000-0008-0000-1300-00005F0D0000}"/>
            </a:ext>
          </a:extLst>
        </xdr:cNvPr>
        <xdr:cNvCxnSpPr/>
      </xdr:nvCxnSpPr>
      <xdr:spPr>
        <a:xfrm>
          <a:off x="9122833" y="135085666"/>
          <a:ext cx="994834"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1620</xdr:row>
      <xdr:rowOff>21167</xdr:rowOff>
    </xdr:from>
    <xdr:to>
      <xdr:col>13</xdr:col>
      <xdr:colOff>592667</xdr:colOff>
      <xdr:row>1622</xdr:row>
      <xdr:rowOff>63500</xdr:rowOff>
    </xdr:to>
    <xdr:cxnSp macro="">
      <xdr:nvCxnSpPr>
        <xdr:cNvPr id="3424" name="Straight Arrow Connector 3423">
          <a:extLst>
            <a:ext uri="{FF2B5EF4-FFF2-40B4-BE49-F238E27FC236}">
              <a16:creationId xmlns:a16="http://schemas.microsoft.com/office/drawing/2014/main" id="{00000000-0008-0000-1300-0000600D0000}"/>
            </a:ext>
          </a:extLst>
        </xdr:cNvPr>
        <xdr:cNvCxnSpPr/>
      </xdr:nvCxnSpPr>
      <xdr:spPr>
        <a:xfrm flipV="1">
          <a:off x="9525000" y="1381336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1625</xdr:row>
      <xdr:rowOff>0</xdr:rowOff>
    </xdr:from>
    <xdr:to>
      <xdr:col>14</xdr:col>
      <xdr:colOff>10584</xdr:colOff>
      <xdr:row>1633</xdr:row>
      <xdr:rowOff>148167</xdr:rowOff>
    </xdr:to>
    <xdr:cxnSp macro="">
      <xdr:nvCxnSpPr>
        <xdr:cNvPr id="3425" name="Straight Arrow Connector 3424">
          <a:extLst>
            <a:ext uri="{FF2B5EF4-FFF2-40B4-BE49-F238E27FC236}">
              <a16:creationId xmlns:a16="http://schemas.microsoft.com/office/drawing/2014/main" id="{00000000-0008-0000-1300-0000610D0000}"/>
            </a:ext>
          </a:extLst>
        </xdr:cNvPr>
        <xdr:cNvCxnSpPr/>
      </xdr:nvCxnSpPr>
      <xdr:spPr>
        <a:xfrm>
          <a:off x="9535583" y="139065000"/>
          <a:ext cx="613834"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1592</xdr:row>
      <xdr:rowOff>0</xdr:rowOff>
    </xdr:from>
    <xdr:to>
      <xdr:col>15</xdr:col>
      <xdr:colOff>603250</xdr:colOff>
      <xdr:row>1597</xdr:row>
      <xdr:rowOff>31750</xdr:rowOff>
    </xdr:to>
    <xdr:cxnSp macro="">
      <xdr:nvCxnSpPr>
        <xdr:cNvPr id="3426" name="Straight Arrow Connector 3425">
          <a:extLst>
            <a:ext uri="{FF2B5EF4-FFF2-40B4-BE49-F238E27FC236}">
              <a16:creationId xmlns:a16="http://schemas.microsoft.com/office/drawing/2014/main" id="{00000000-0008-0000-1300-0000620D0000}"/>
            </a:ext>
          </a:extLst>
        </xdr:cNvPr>
        <xdr:cNvCxnSpPr/>
      </xdr:nvCxnSpPr>
      <xdr:spPr>
        <a:xfrm flipV="1">
          <a:off x="11281833" y="132588000"/>
          <a:ext cx="603250" cy="984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1595</xdr:row>
      <xdr:rowOff>52917</xdr:rowOff>
    </xdr:from>
    <xdr:to>
      <xdr:col>15</xdr:col>
      <xdr:colOff>603250</xdr:colOff>
      <xdr:row>1597</xdr:row>
      <xdr:rowOff>95250</xdr:rowOff>
    </xdr:to>
    <xdr:cxnSp macro="">
      <xdr:nvCxnSpPr>
        <xdr:cNvPr id="3427" name="Straight Arrow Connector 3426">
          <a:extLst>
            <a:ext uri="{FF2B5EF4-FFF2-40B4-BE49-F238E27FC236}">
              <a16:creationId xmlns:a16="http://schemas.microsoft.com/office/drawing/2014/main" id="{00000000-0008-0000-1300-0000630D0000}"/>
            </a:ext>
          </a:extLst>
        </xdr:cNvPr>
        <xdr:cNvCxnSpPr/>
      </xdr:nvCxnSpPr>
      <xdr:spPr>
        <a:xfrm flipV="1">
          <a:off x="11324166" y="133212417"/>
          <a:ext cx="56091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1597</xdr:row>
      <xdr:rowOff>158750</xdr:rowOff>
    </xdr:from>
    <xdr:to>
      <xdr:col>15</xdr:col>
      <xdr:colOff>582083</xdr:colOff>
      <xdr:row>1598</xdr:row>
      <xdr:rowOff>137583</xdr:rowOff>
    </xdr:to>
    <xdr:cxnSp macro="">
      <xdr:nvCxnSpPr>
        <xdr:cNvPr id="3428" name="Straight Arrow Connector 3427">
          <a:extLst>
            <a:ext uri="{FF2B5EF4-FFF2-40B4-BE49-F238E27FC236}">
              <a16:creationId xmlns:a16="http://schemas.microsoft.com/office/drawing/2014/main" id="{00000000-0008-0000-1300-0000640D0000}"/>
            </a:ext>
          </a:extLst>
        </xdr:cNvPr>
        <xdr:cNvCxnSpPr/>
      </xdr:nvCxnSpPr>
      <xdr:spPr>
        <a:xfrm>
          <a:off x="11345333" y="133699250"/>
          <a:ext cx="518583" cy="169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1121834</xdr:colOff>
      <xdr:row>1597</xdr:row>
      <xdr:rowOff>105834</xdr:rowOff>
    </xdr:from>
    <xdr:to>
      <xdr:col>16</xdr:col>
      <xdr:colOff>0</xdr:colOff>
      <xdr:row>1601</xdr:row>
      <xdr:rowOff>84667</xdr:rowOff>
    </xdr:to>
    <xdr:cxnSp macro="">
      <xdr:nvCxnSpPr>
        <xdr:cNvPr id="3429" name="Straight Arrow Connector 3428">
          <a:extLst>
            <a:ext uri="{FF2B5EF4-FFF2-40B4-BE49-F238E27FC236}">
              <a16:creationId xmlns:a16="http://schemas.microsoft.com/office/drawing/2014/main" id="{00000000-0008-0000-1300-0000650D0000}"/>
            </a:ext>
          </a:extLst>
        </xdr:cNvPr>
        <xdr:cNvCxnSpPr/>
      </xdr:nvCxnSpPr>
      <xdr:spPr>
        <a:xfrm>
          <a:off x="11260667" y="133646334"/>
          <a:ext cx="63500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1605</xdr:row>
      <xdr:rowOff>52916</xdr:rowOff>
    </xdr:from>
    <xdr:to>
      <xdr:col>16</xdr:col>
      <xdr:colOff>0</xdr:colOff>
      <xdr:row>1607</xdr:row>
      <xdr:rowOff>0</xdr:rowOff>
    </xdr:to>
    <xdr:cxnSp macro="">
      <xdr:nvCxnSpPr>
        <xdr:cNvPr id="3430" name="Straight Arrow Connector 3429">
          <a:extLst>
            <a:ext uri="{FF2B5EF4-FFF2-40B4-BE49-F238E27FC236}">
              <a16:creationId xmlns:a16="http://schemas.microsoft.com/office/drawing/2014/main" id="{00000000-0008-0000-1300-0000660D0000}"/>
            </a:ext>
          </a:extLst>
        </xdr:cNvPr>
        <xdr:cNvCxnSpPr/>
      </xdr:nvCxnSpPr>
      <xdr:spPr>
        <a:xfrm flipV="1">
          <a:off x="11281833" y="135117416"/>
          <a:ext cx="613834"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1607</xdr:row>
      <xdr:rowOff>21167</xdr:rowOff>
    </xdr:from>
    <xdr:to>
      <xdr:col>15</xdr:col>
      <xdr:colOff>582083</xdr:colOff>
      <xdr:row>1608</xdr:row>
      <xdr:rowOff>42333</xdr:rowOff>
    </xdr:to>
    <xdr:cxnSp macro="">
      <xdr:nvCxnSpPr>
        <xdr:cNvPr id="3431" name="Straight Arrow Connector 3430">
          <a:extLst>
            <a:ext uri="{FF2B5EF4-FFF2-40B4-BE49-F238E27FC236}">
              <a16:creationId xmlns:a16="http://schemas.microsoft.com/office/drawing/2014/main" id="{00000000-0008-0000-1300-0000670D0000}"/>
            </a:ext>
          </a:extLst>
        </xdr:cNvPr>
        <xdr:cNvCxnSpPr/>
      </xdr:nvCxnSpPr>
      <xdr:spPr>
        <a:xfrm>
          <a:off x="11292416" y="135466667"/>
          <a:ext cx="571500" cy="211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1607</xdr:row>
      <xdr:rowOff>21167</xdr:rowOff>
    </xdr:from>
    <xdr:to>
      <xdr:col>16</xdr:col>
      <xdr:colOff>42333</xdr:colOff>
      <xdr:row>1612</xdr:row>
      <xdr:rowOff>21168</xdr:rowOff>
    </xdr:to>
    <xdr:cxnSp macro="">
      <xdr:nvCxnSpPr>
        <xdr:cNvPr id="3432" name="Straight Arrow Connector 3431">
          <a:extLst>
            <a:ext uri="{FF2B5EF4-FFF2-40B4-BE49-F238E27FC236}">
              <a16:creationId xmlns:a16="http://schemas.microsoft.com/office/drawing/2014/main" id="{00000000-0008-0000-1300-0000680D0000}"/>
            </a:ext>
          </a:extLst>
        </xdr:cNvPr>
        <xdr:cNvCxnSpPr/>
      </xdr:nvCxnSpPr>
      <xdr:spPr>
        <a:xfrm>
          <a:off x="11271250" y="135466667"/>
          <a:ext cx="666750" cy="9525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1607</xdr:row>
      <xdr:rowOff>31750</xdr:rowOff>
    </xdr:from>
    <xdr:to>
      <xdr:col>16</xdr:col>
      <xdr:colOff>42334</xdr:colOff>
      <xdr:row>1614</xdr:row>
      <xdr:rowOff>63501</xdr:rowOff>
    </xdr:to>
    <xdr:cxnSp macro="">
      <xdr:nvCxnSpPr>
        <xdr:cNvPr id="3433" name="Straight Arrow Connector 3432">
          <a:extLst>
            <a:ext uri="{FF2B5EF4-FFF2-40B4-BE49-F238E27FC236}">
              <a16:creationId xmlns:a16="http://schemas.microsoft.com/office/drawing/2014/main" id="{00000000-0008-0000-1300-0000690D0000}"/>
            </a:ext>
          </a:extLst>
        </xdr:cNvPr>
        <xdr:cNvCxnSpPr/>
      </xdr:nvCxnSpPr>
      <xdr:spPr>
        <a:xfrm>
          <a:off x="11281833" y="135477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10583</xdr:colOff>
      <xdr:row>1644</xdr:row>
      <xdr:rowOff>42333</xdr:rowOff>
    </xdr:from>
    <xdr:to>
      <xdr:col>9</xdr:col>
      <xdr:colOff>592666</xdr:colOff>
      <xdr:row>1652</xdr:row>
      <xdr:rowOff>42333</xdr:rowOff>
    </xdr:to>
    <xdr:cxnSp macro="">
      <xdr:nvCxnSpPr>
        <xdr:cNvPr id="3434" name="Straight Arrow Connector 3433">
          <a:extLst>
            <a:ext uri="{FF2B5EF4-FFF2-40B4-BE49-F238E27FC236}">
              <a16:creationId xmlns:a16="http://schemas.microsoft.com/office/drawing/2014/main" id="{00000000-0008-0000-1300-00006A0D0000}"/>
            </a:ext>
          </a:extLst>
        </xdr:cNvPr>
        <xdr:cNvCxnSpPr/>
      </xdr:nvCxnSpPr>
      <xdr:spPr>
        <a:xfrm flipV="1">
          <a:off x="6699250" y="142726833"/>
          <a:ext cx="582083" cy="152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1654</xdr:row>
      <xdr:rowOff>169334</xdr:rowOff>
    </xdr:from>
    <xdr:to>
      <xdr:col>9</xdr:col>
      <xdr:colOff>603250</xdr:colOff>
      <xdr:row>1663</xdr:row>
      <xdr:rowOff>31750</xdr:rowOff>
    </xdr:to>
    <xdr:cxnSp macro="">
      <xdr:nvCxnSpPr>
        <xdr:cNvPr id="3435" name="Straight Arrow Connector 3434">
          <a:extLst>
            <a:ext uri="{FF2B5EF4-FFF2-40B4-BE49-F238E27FC236}">
              <a16:creationId xmlns:a16="http://schemas.microsoft.com/office/drawing/2014/main" id="{00000000-0008-0000-1300-00006B0D0000}"/>
            </a:ext>
          </a:extLst>
        </xdr:cNvPr>
        <xdr:cNvCxnSpPr/>
      </xdr:nvCxnSpPr>
      <xdr:spPr>
        <a:xfrm>
          <a:off x="6720417" y="144758834"/>
          <a:ext cx="571500" cy="1576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571500</xdr:colOff>
      <xdr:row>1660</xdr:row>
      <xdr:rowOff>158750</xdr:rowOff>
    </xdr:from>
    <xdr:to>
      <xdr:col>11</xdr:col>
      <xdr:colOff>571500</xdr:colOff>
      <xdr:row>1663</xdr:row>
      <xdr:rowOff>0</xdr:rowOff>
    </xdr:to>
    <xdr:cxnSp macro="">
      <xdr:nvCxnSpPr>
        <xdr:cNvPr id="3436" name="Straight Arrow Connector 3435">
          <a:extLst>
            <a:ext uri="{FF2B5EF4-FFF2-40B4-BE49-F238E27FC236}">
              <a16:creationId xmlns:a16="http://schemas.microsoft.com/office/drawing/2014/main" id="{00000000-0008-0000-1300-00006C0D0000}"/>
            </a:ext>
          </a:extLst>
        </xdr:cNvPr>
        <xdr:cNvCxnSpPr/>
      </xdr:nvCxnSpPr>
      <xdr:spPr>
        <a:xfrm flipV="1">
          <a:off x="7874000" y="145891250"/>
          <a:ext cx="613833" cy="412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1618</xdr:row>
      <xdr:rowOff>0</xdr:rowOff>
    </xdr:from>
    <xdr:to>
      <xdr:col>15</xdr:col>
      <xdr:colOff>603250</xdr:colOff>
      <xdr:row>1620</xdr:row>
      <xdr:rowOff>1</xdr:rowOff>
    </xdr:to>
    <xdr:cxnSp macro="">
      <xdr:nvCxnSpPr>
        <xdr:cNvPr id="3437" name="Straight Arrow Connector 3436">
          <a:extLst>
            <a:ext uri="{FF2B5EF4-FFF2-40B4-BE49-F238E27FC236}">
              <a16:creationId xmlns:a16="http://schemas.microsoft.com/office/drawing/2014/main" id="{00000000-0008-0000-1300-00006D0D0000}"/>
            </a:ext>
          </a:extLst>
        </xdr:cNvPr>
        <xdr:cNvCxnSpPr/>
      </xdr:nvCxnSpPr>
      <xdr:spPr>
        <a:xfrm flipV="1">
          <a:off x="11271250" y="1377315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1620</xdr:row>
      <xdr:rowOff>10584</xdr:rowOff>
    </xdr:from>
    <xdr:to>
      <xdr:col>15</xdr:col>
      <xdr:colOff>592666</xdr:colOff>
      <xdr:row>1621</xdr:row>
      <xdr:rowOff>95250</xdr:rowOff>
    </xdr:to>
    <xdr:cxnSp macro="">
      <xdr:nvCxnSpPr>
        <xdr:cNvPr id="3438" name="Straight Arrow Connector 3437">
          <a:extLst>
            <a:ext uri="{FF2B5EF4-FFF2-40B4-BE49-F238E27FC236}">
              <a16:creationId xmlns:a16="http://schemas.microsoft.com/office/drawing/2014/main" id="{00000000-0008-0000-1300-00006E0D0000}"/>
            </a:ext>
          </a:extLst>
        </xdr:cNvPr>
        <xdr:cNvCxnSpPr/>
      </xdr:nvCxnSpPr>
      <xdr:spPr>
        <a:xfrm>
          <a:off x="11313583" y="1381230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1620</xdr:row>
      <xdr:rowOff>10584</xdr:rowOff>
    </xdr:from>
    <xdr:to>
      <xdr:col>15</xdr:col>
      <xdr:colOff>560916</xdr:colOff>
      <xdr:row>1624</xdr:row>
      <xdr:rowOff>52917</xdr:rowOff>
    </xdr:to>
    <xdr:cxnSp macro="">
      <xdr:nvCxnSpPr>
        <xdr:cNvPr id="3439" name="Straight Arrow Connector 3438">
          <a:extLst>
            <a:ext uri="{FF2B5EF4-FFF2-40B4-BE49-F238E27FC236}">
              <a16:creationId xmlns:a16="http://schemas.microsoft.com/office/drawing/2014/main" id="{00000000-0008-0000-1300-00006F0D0000}"/>
            </a:ext>
          </a:extLst>
        </xdr:cNvPr>
        <xdr:cNvCxnSpPr/>
      </xdr:nvCxnSpPr>
      <xdr:spPr>
        <a:xfrm>
          <a:off x="11292416" y="1381230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1620</xdr:row>
      <xdr:rowOff>31750</xdr:rowOff>
    </xdr:from>
    <xdr:to>
      <xdr:col>16</xdr:col>
      <xdr:colOff>21167</xdr:colOff>
      <xdr:row>1627</xdr:row>
      <xdr:rowOff>95250</xdr:rowOff>
    </xdr:to>
    <xdr:cxnSp macro="">
      <xdr:nvCxnSpPr>
        <xdr:cNvPr id="3440" name="Straight Arrow Connector 3439">
          <a:extLst>
            <a:ext uri="{FF2B5EF4-FFF2-40B4-BE49-F238E27FC236}">
              <a16:creationId xmlns:a16="http://schemas.microsoft.com/office/drawing/2014/main" id="{00000000-0008-0000-1300-0000700D0000}"/>
            </a:ext>
          </a:extLst>
        </xdr:cNvPr>
        <xdr:cNvCxnSpPr/>
      </xdr:nvCxnSpPr>
      <xdr:spPr>
        <a:xfrm>
          <a:off x="11324166" y="138144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1634</xdr:row>
      <xdr:rowOff>0</xdr:rowOff>
    </xdr:from>
    <xdr:to>
      <xdr:col>16</xdr:col>
      <xdr:colOff>0</xdr:colOff>
      <xdr:row>1634</xdr:row>
      <xdr:rowOff>42334</xdr:rowOff>
    </xdr:to>
    <xdr:cxnSp macro="">
      <xdr:nvCxnSpPr>
        <xdr:cNvPr id="3441" name="Straight Arrow Connector 3440">
          <a:extLst>
            <a:ext uri="{FF2B5EF4-FFF2-40B4-BE49-F238E27FC236}">
              <a16:creationId xmlns:a16="http://schemas.microsoft.com/office/drawing/2014/main" id="{00000000-0008-0000-1300-0000710D0000}"/>
            </a:ext>
          </a:extLst>
        </xdr:cNvPr>
        <xdr:cNvCxnSpPr/>
      </xdr:nvCxnSpPr>
      <xdr:spPr>
        <a:xfrm>
          <a:off x="11302999" y="140779500"/>
          <a:ext cx="592668"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1634</xdr:row>
      <xdr:rowOff>21166</xdr:rowOff>
    </xdr:from>
    <xdr:to>
      <xdr:col>15</xdr:col>
      <xdr:colOff>560916</xdr:colOff>
      <xdr:row>1637</xdr:row>
      <xdr:rowOff>84667</xdr:rowOff>
    </xdr:to>
    <xdr:cxnSp macro="">
      <xdr:nvCxnSpPr>
        <xdr:cNvPr id="3442" name="Straight Arrow Connector 3441">
          <a:extLst>
            <a:ext uri="{FF2B5EF4-FFF2-40B4-BE49-F238E27FC236}">
              <a16:creationId xmlns:a16="http://schemas.microsoft.com/office/drawing/2014/main" id="{00000000-0008-0000-1300-0000720D0000}"/>
            </a:ext>
          </a:extLst>
        </xdr:cNvPr>
        <xdr:cNvCxnSpPr/>
      </xdr:nvCxnSpPr>
      <xdr:spPr>
        <a:xfrm>
          <a:off x="11355916" y="1408006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1634</xdr:row>
      <xdr:rowOff>52916</xdr:rowOff>
    </xdr:from>
    <xdr:to>
      <xdr:col>15</xdr:col>
      <xdr:colOff>592666</xdr:colOff>
      <xdr:row>1640</xdr:row>
      <xdr:rowOff>63501</xdr:rowOff>
    </xdr:to>
    <xdr:cxnSp macro="">
      <xdr:nvCxnSpPr>
        <xdr:cNvPr id="3443" name="Straight Arrow Connector 3442">
          <a:extLst>
            <a:ext uri="{FF2B5EF4-FFF2-40B4-BE49-F238E27FC236}">
              <a16:creationId xmlns:a16="http://schemas.microsoft.com/office/drawing/2014/main" id="{00000000-0008-0000-1300-0000730D0000}"/>
            </a:ext>
          </a:extLst>
        </xdr:cNvPr>
        <xdr:cNvCxnSpPr/>
      </xdr:nvCxnSpPr>
      <xdr:spPr>
        <a:xfrm>
          <a:off x="11313583" y="1408324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1648</xdr:row>
      <xdr:rowOff>116416</xdr:rowOff>
    </xdr:from>
    <xdr:to>
      <xdr:col>15</xdr:col>
      <xdr:colOff>592666</xdr:colOff>
      <xdr:row>1651</xdr:row>
      <xdr:rowOff>158750</xdr:rowOff>
    </xdr:to>
    <xdr:cxnSp macro="">
      <xdr:nvCxnSpPr>
        <xdr:cNvPr id="3444" name="Straight Arrow Connector 3443">
          <a:extLst>
            <a:ext uri="{FF2B5EF4-FFF2-40B4-BE49-F238E27FC236}">
              <a16:creationId xmlns:a16="http://schemas.microsoft.com/office/drawing/2014/main" id="{00000000-0008-0000-1300-0000740D0000}"/>
            </a:ext>
          </a:extLst>
        </xdr:cNvPr>
        <xdr:cNvCxnSpPr/>
      </xdr:nvCxnSpPr>
      <xdr:spPr>
        <a:xfrm flipV="1">
          <a:off x="11302999" y="143562916"/>
          <a:ext cx="571500" cy="613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1650</xdr:row>
      <xdr:rowOff>95250</xdr:rowOff>
    </xdr:from>
    <xdr:to>
      <xdr:col>15</xdr:col>
      <xdr:colOff>582083</xdr:colOff>
      <xdr:row>1652</xdr:row>
      <xdr:rowOff>52917</xdr:rowOff>
    </xdr:to>
    <xdr:cxnSp macro="">
      <xdr:nvCxnSpPr>
        <xdr:cNvPr id="3445" name="Straight Arrow Connector 3444">
          <a:extLst>
            <a:ext uri="{FF2B5EF4-FFF2-40B4-BE49-F238E27FC236}">
              <a16:creationId xmlns:a16="http://schemas.microsoft.com/office/drawing/2014/main" id="{00000000-0008-0000-1300-0000750D0000}"/>
            </a:ext>
          </a:extLst>
        </xdr:cNvPr>
        <xdr:cNvCxnSpPr/>
      </xdr:nvCxnSpPr>
      <xdr:spPr>
        <a:xfrm flipV="1">
          <a:off x="11345333" y="143922750"/>
          <a:ext cx="518583" cy="338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1652</xdr:row>
      <xdr:rowOff>116417</xdr:rowOff>
    </xdr:from>
    <xdr:to>
      <xdr:col>15</xdr:col>
      <xdr:colOff>592666</xdr:colOff>
      <xdr:row>1656</xdr:row>
      <xdr:rowOff>95250</xdr:rowOff>
    </xdr:to>
    <xdr:cxnSp macro="">
      <xdr:nvCxnSpPr>
        <xdr:cNvPr id="3446" name="Straight Arrow Connector 3445">
          <a:extLst>
            <a:ext uri="{FF2B5EF4-FFF2-40B4-BE49-F238E27FC236}">
              <a16:creationId xmlns:a16="http://schemas.microsoft.com/office/drawing/2014/main" id="{00000000-0008-0000-1300-0000760D0000}"/>
            </a:ext>
          </a:extLst>
        </xdr:cNvPr>
        <xdr:cNvCxnSpPr/>
      </xdr:nvCxnSpPr>
      <xdr:spPr>
        <a:xfrm>
          <a:off x="11334749" y="144324917"/>
          <a:ext cx="53975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1663</xdr:row>
      <xdr:rowOff>116416</xdr:rowOff>
    </xdr:from>
    <xdr:to>
      <xdr:col>16</xdr:col>
      <xdr:colOff>0</xdr:colOff>
      <xdr:row>1670</xdr:row>
      <xdr:rowOff>74084</xdr:rowOff>
    </xdr:to>
    <xdr:cxnSp macro="">
      <xdr:nvCxnSpPr>
        <xdr:cNvPr id="3447" name="Straight Arrow Connector 3446">
          <a:extLst>
            <a:ext uri="{FF2B5EF4-FFF2-40B4-BE49-F238E27FC236}">
              <a16:creationId xmlns:a16="http://schemas.microsoft.com/office/drawing/2014/main" id="{00000000-0008-0000-1300-0000770D0000}"/>
            </a:ext>
          </a:extLst>
        </xdr:cNvPr>
        <xdr:cNvCxnSpPr/>
      </xdr:nvCxnSpPr>
      <xdr:spPr>
        <a:xfrm>
          <a:off x="11313583" y="146420416"/>
          <a:ext cx="582084" cy="12911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1631</xdr:row>
      <xdr:rowOff>52917</xdr:rowOff>
    </xdr:from>
    <xdr:to>
      <xdr:col>15</xdr:col>
      <xdr:colOff>603250</xdr:colOff>
      <xdr:row>1633</xdr:row>
      <xdr:rowOff>148167</xdr:rowOff>
    </xdr:to>
    <xdr:cxnSp macro="">
      <xdr:nvCxnSpPr>
        <xdr:cNvPr id="3448" name="Straight Arrow Connector 3447">
          <a:extLst>
            <a:ext uri="{FF2B5EF4-FFF2-40B4-BE49-F238E27FC236}">
              <a16:creationId xmlns:a16="http://schemas.microsoft.com/office/drawing/2014/main" id="{00000000-0008-0000-1300-0000780D0000}"/>
            </a:ext>
          </a:extLst>
        </xdr:cNvPr>
        <xdr:cNvCxnSpPr/>
      </xdr:nvCxnSpPr>
      <xdr:spPr>
        <a:xfrm flipV="1">
          <a:off x="11324166" y="1402609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1666</xdr:row>
      <xdr:rowOff>42333</xdr:rowOff>
    </xdr:from>
    <xdr:to>
      <xdr:col>11</xdr:col>
      <xdr:colOff>603250</xdr:colOff>
      <xdr:row>1678</xdr:row>
      <xdr:rowOff>10583</xdr:rowOff>
    </xdr:to>
    <xdr:cxnSp macro="">
      <xdr:nvCxnSpPr>
        <xdr:cNvPr id="3449" name="Straight Arrow Connector 3448">
          <a:extLst>
            <a:ext uri="{FF2B5EF4-FFF2-40B4-BE49-F238E27FC236}">
              <a16:creationId xmlns:a16="http://schemas.microsoft.com/office/drawing/2014/main" id="{00000000-0008-0000-1300-0000790D0000}"/>
            </a:ext>
          </a:extLst>
        </xdr:cNvPr>
        <xdr:cNvCxnSpPr/>
      </xdr:nvCxnSpPr>
      <xdr:spPr>
        <a:xfrm>
          <a:off x="7926917" y="1469178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1656</xdr:row>
      <xdr:rowOff>21167</xdr:rowOff>
    </xdr:from>
    <xdr:to>
      <xdr:col>13</xdr:col>
      <xdr:colOff>592667</xdr:colOff>
      <xdr:row>1658</xdr:row>
      <xdr:rowOff>0</xdr:rowOff>
    </xdr:to>
    <xdr:cxnSp macro="">
      <xdr:nvCxnSpPr>
        <xdr:cNvPr id="3450" name="Straight Arrow Connector 3449">
          <a:extLst>
            <a:ext uri="{FF2B5EF4-FFF2-40B4-BE49-F238E27FC236}">
              <a16:creationId xmlns:a16="http://schemas.microsoft.com/office/drawing/2014/main" id="{00000000-0008-0000-1300-00007A0D0000}"/>
            </a:ext>
          </a:extLst>
        </xdr:cNvPr>
        <xdr:cNvCxnSpPr/>
      </xdr:nvCxnSpPr>
      <xdr:spPr>
        <a:xfrm flipV="1">
          <a:off x="9133417" y="144991667"/>
          <a:ext cx="984250"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1661</xdr:row>
      <xdr:rowOff>21166</xdr:rowOff>
    </xdr:from>
    <xdr:to>
      <xdr:col>13</xdr:col>
      <xdr:colOff>592667</xdr:colOff>
      <xdr:row>1662</xdr:row>
      <xdr:rowOff>169334</xdr:rowOff>
    </xdr:to>
    <xdr:cxnSp macro="">
      <xdr:nvCxnSpPr>
        <xdr:cNvPr id="3451" name="Straight Arrow Connector 3450">
          <a:extLst>
            <a:ext uri="{FF2B5EF4-FFF2-40B4-BE49-F238E27FC236}">
              <a16:creationId xmlns:a16="http://schemas.microsoft.com/office/drawing/2014/main" id="{00000000-0008-0000-1300-00007B0D0000}"/>
            </a:ext>
          </a:extLst>
        </xdr:cNvPr>
        <xdr:cNvCxnSpPr/>
      </xdr:nvCxnSpPr>
      <xdr:spPr>
        <a:xfrm>
          <a:off x="9122833" y="145944166"/>
          <a:ext cx="994834"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1676</xdr:row>
      <xdr:rowOff>21167</xdr:rowOff>
    </xdr:from>
    <xdr:to>
      <xdr:col>13</xdr:col>
      <xdr:colOff>592667</xdr:colOff>
      <xdr:row>1678</xdr:row>
      <xdr:rowOff>63500</xdr:rowOff>
    </xdr:to>
    <xdr:cxnSp macro="">
      <xdr:nvCxnSpPr>
        <xdr:cNvPr id="3452" name="Straight Arrow Connector 3451">
          <a:extLst>
            <a:ext uri="{FF2B5EF4-FFF2-40B4-BE49-F238E27FC236}">
              <a16:creationId xmlns:a16="http://schemas.microsoft.com/office/drawing/2014/main" id="{00000000-0008-0000-1300-00007C0D0000}"/>
            </a:ext>
          </a:extLst>
        </xdr:cNvPr>
        <xdr:cNvCxnSpPr/>
      </xdr:nvCxnSpPr>
      <xdr:spPr>
        <a:xfrm flipV="1">
          <a:off x="9525000" y="1489921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1681</xdr:row>
      <xdr:rowOff>0</xdr:rowOff>
    </xdr:from>
    <xdr:to>
      <xdr:col>14</xdr:col>
      <xdr:colOff>10584</xdr:colOff>
      <xdr:row>1689</xdr:row>
      <xdr:rowOff>148167</xdr:rowOff>
    </xdr:to>
    <xdr:cxnSp macro="">
      <xdr:nvCxnSpPr>
        <xdr:cNvPr id="3453" name="Straight Arrow Connector 3452">
          <a:extLst>
            <a:ext uri="{FF2B5EF4-FFF2-40B4-BE49-F238E27FC236}">
              <a16:creationId xmlns:a16="http://schemas.microsoft.com/office/drawing/2014/main" id="{00000000-0008-0000-1300-00007D0D0000}"/>
            </a:ext>
          </a:extLst>
        </xdr:cNvPr>
        <xdr:cNvCxnSpPr/>
      </xdr:nvCxnSpPr>
      <xdr:spPr>
        <a:xfrm>
          <a:off x="9535583" y="149923500"/>
          <a:ext cx="613834"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1652</xdr:row>
      <xdr:rowOff>95250</xdr:rowOff>
    </xdr:from>
    <xdr:to>
      <xdr:col>15</xdr:col>
      <xdr:colOff>582083</xdr:colOff>
      <xdr:row>1654</xdr:row>
      <xdr:rowOff>137583</xdr:rowOff>
    </xdr:to>
    <xdr:cxnSp macro="">
      <xdr:nvCxnSpPr>
        <xdr:cNvPr id="3454" name="Straight Arrow Connector 3453">
          <a:extLst>
            <a:ext uri="{FF2B5EF4-FFF2-40B4-BE49-F238E27FC236}">
              <a16:creationId xmlns:a16="http://schemas.microsoft.com/office/drawing/2014/main" id="{00000000-0008-0000-1300-00007E0D0000}"/>
            </a:ext>
          </a:extLst>
        </xdr:cNvPr>
        <xdr:cNvCxnSpPr/>
      </xdr:nvCxnSpPr>
      <xdr:spPr>
        <a:xfrm>
          <a:off x="11334749" y="144303750"/>
          <a:ext cx="5291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1661</xdr:row>
      <xdr:rowOff>52916</xdr:rowOff>
    </xdr:from>
    <xdr:to>
      <xdr:col>16</xdr:col>
      <xdr:colOff>0</xdr:colOff>
      <xdr:row>1663</xdr:row>
      <xdr:rowOff>0</xdr:rowOff>
    </xdr:to>
    <xdr:cxnSp macro="">
      <xdr:nvCxnSpPr>
        <xdr:cNvPr id="3455" name="Straight Arrow Connector 3454">
          <a:extLst>
            <a:ext uri="{FF2B5EF4-FFF2-40B4-BE49-F238E27FC236}">
              <a16:creationId xmlns:a16="http://schemas.microsoft.com/office/drawing/2014/main" id="{00000000-0008-0000-1300-00007F0D0000}"/>
            </a:ext>
          </a:extLst>
        </xdr:cNvPr>
        <xdr:cNvCxnSpPr/>
      </xdr:nvCxnSpPr>
      <xdr:spPr>
        <a:xfrm flipV="1">
          <a:off x="11281833" y="145975916"/>
          <a:ext cx="613834"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1663</xdr:row>
      <xdr:rowOff>21167</xdr:rowOff>
    </xdr:from>
    <xdr:to>
      <xdr:col>15</xdr:col>
      <xdr:colOff>592666</xdr:colOff>
      <xdr:row>1664</xdr:row>
      <xdr:rowOff>84667</xdr:rowOff>
    </xdr:to>
    <xdr:cxnSp macro="">
      <xdr:nvCxnSpPr>
        <xdr:cNvPr id="3456" name="Straight Arrow Connector 3455">
          <a:extLst>
            <a:ext uri="{FF2B5EF4-FFF2-40B4-BE49-F238E27FC236}">
              <a16:creationId xmlns:a16="http://schemas.microsoft.com/office/drawing/2014/main" id="{00000000-0008-0000-1300-0000800D0000}"/>
            </a:ext>
          </a:extLst>
        </xdr:cNvPr>
        <xdr:cNvCxnSpPr/>
      </xdr:nvCxnSpPr>
      <xdr:spPr>
        <a:xfrm>
          <a:off x="11271250" y="146325167"/>
          <a:ext cx="603249" cy="25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1663</xdr:row>
      <xdr:rowOff>0</xdr:rowOff>
    </xdr:from>
    <xdr:to>
      <xdr:col>16</xdr:col>
      <xdr:colOff>0</xdr:colOff>
      <xdr:row>1667</xdr:row>
      <xdr:rowOff>42334</xdr:rowOff>
    </xdr:to>
    <xdr:cxnSp macro="">
      <xdr:nvCxnSpPr>
        <xdr:cNvPr id="3457" name="Straight Arrow Connector 3456">
          <a:extLst>
            <a:ext uri="{FF2B5EF4-FFF2-40B4-BE49-F238E27FC236}">
              <a16:creationId xmlns:a16="http://schemas.microsoft.com/office/drawing/2014/main" id="{00000000-0008-0000-1300-0000810D0000}"/>
            </a:ext>
          </a:extLst>
        </xdr:cNvPr>
        <xdr:cNvCxnSpPr/>
      </xdr:nvCxnSpPr>
      <xdr:spPr>
        <a:xfrm>
          <a:off x="11271250" y="146304000"/>
          <a:ext cx="624417" cy="804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1674</xdr:row>
      <xdr:rowOff>0</xdr:rowOff>
    </xdr:from>
    <xdr:to>
      <xdr:col>15</xdr:col>
      <xdr:colOff>603250</xdr:colOff>
      <xdr:row>1676</xdr:row>
      <xdr:rowOff>1</xdr:rowOff>
    </xdr:to>
    <xdr:cxnSp macro="">
      <xdr:nvCxnSpPr>
        <xdr:cNvPr id="3458" name="Straight Arrow Connector 3457">
          <a:extLst>
            <a:ext uri="{FF2B5EF4-FFF2-40B4-BE49-F238E27FC236}">
              <a16:creationId xmlns:a16="http://schemas.microsoft.com/office/drawing/2014/main" id="{00000000-0008-0000-1300-0000820D0000}"/>
            </a:ext>
          </a:extLst>
        </xdr:cNvPr>
        <xdr:cNvCxnSpPr/>
      </xdr:nvCxnSpPr>
      <xdr:spPr>
        <a:xfrm flipV="1">
          <a:off x="11271250" y="1485900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1676</xdr:row>
      <xdr:rowOff>10584</xdr:rowOff>
    </xdr:from>
    <xdr:to>
      <xdr:col>15</xdr:col>
      <xdr:colOff>592666</xdr:colOff>
      <xdr:row>1677</xdr:row>
      <xdr:rowOff>95250</xdr:rowOff>
    </xdr:to>
    <xdr:cxnSp macro="">
      <xdr:nvCxnSpPr>
        <xdr:cNvPr id="3459" name="Straight Arrow Connector 3458">
          <a:extLst>
            <a:ext uri="{FF2B5EF4-FFF2-40B4-BE49-F238E27FC236}">
              <a16:creationId xmlns:a16="http://schemas.microsoft.com/office/drawing/2014/main" id="{00000000-0008-0000-1300-0000830D0000}"/>
            </a:ext>
          </a:extLst>
        </xdr:cNvPr>
        <xdr:cNvCxnSpPr/>
      </xdr:nvCxnSpPr>
      <xdr:spPr>
        <a:xfrm>
          <a:off x="11313583" y="1489815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1676</xdr:row>
      <xdr:rowOff>10584</xdr:rowOff>
    </xdr:from>
    <xdr:to>
      <xdr:col>15</xdr:col>
      <xdr:colOff>560916</xdr:colOff>
      <xdr:row>1680</xdr:row>
      <xdr:rowOff>52917</xdr:rowOff>
    </xdr:to>
    <xdr:cxnSp macro="">
      <xdr:nvCxnSpPr>
        <xdr:cNvPr id="3460" name="Straight Arrow Connector 3459">
          <a:extLst>
            <a:ext uri="{FF2B5EF4-FFF2-40B4-BE49-F238E27FC236}">
              <a16:creationId xmlns:a16="http://schemas.microsoft.com/office/drawing/2014/main" id="{00000000-0008-0000-1300-0000840D0000}"/>
            </a:ext>
          </a:extLst>
        </xdr:cNvPr>
        <xdr:cNvCxnSpPr/>
      </xdr:nvCxnSpPr>
      <xdr:spPr>
        <a:xfrm>
          <a:off x="11292416" y="1489815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3461" name="Straight Arrow Connector 3460">
          <a:extLst>
            <a:ext uri="{FF2B5EF4-FFF2-40B4-BE49-F238E27FC236}">
              <a16:creationId xmlns:a16="http://schemas.microsoft.com/office/drawing/2014/main" id="{00000000-0008-0000-1300-0000850D0000}"/>
            </a:ext>
          </a:extLst>
        </xdr:cNvPr>
        <xdr:cNvCxnSpPr/>
      </xdr:nvCxnSpPr>
      <xdr:spPr>
        <a:xfrm>
          <a:off x="11324166" y="149002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1690</xdr:row>
      <xdr:rowOff>0</xdr:rowOff>
    </xdr:from>
    <xdr:to>
      <xdr:col>16</xdr:col>
      <xdr:colOff>0</xdr:colOff>
      <xdr:row>1690</xdr:row>
      <xdr:rowOff>42334</xdr:rowOff>
    </xdr:to>
    <xdr:cxnSp macro="">
      <xdr:nvCxnSpPr>
        <xdr:cNvPr id="3462" name="Straight Arrow Connector 3461">
          <a:extLst>
            <a:ext uri="{FF2B5EF4-FFF2-40B4-BE49-F238E27FC236}">
              <a16:creationId xmlns:a16="http://schemas.microsoft.com/office/drawing/2014/main" id="{00000000-0008-0000-1300-0000860D0000}"/>
            </a:ext>
          </a:extLst>
        </xdr:cNvPr>
        <xdr:cNvCxnSpPr/>
      </xdr:nvCxnSpPr>
      <xdr:spPr>
        <a:xfrm>
          <a:off x="11302999" y="151638000"/>
          <a:ext cx="592668"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1690</xdr:row>
      <xdr:rowOff>21166</xdr:rowOff>
    </xdr:from>
    <xdr:to>
      <xdr:col>15</xdr:col>
      <xdr:colOff>560916</xdr:colOff>
      <xdr:row>1693</xdr:row>
      <xdr:rowOff>84667</xdr:rowOff>
    </xdr:to>
    <xdr:cxnSp macro="">
      <xdr:nvCxnSpPr>
        <xdr:cNvPr id="3463" name="Straight Arrow Connector 3462">
          <a:extLst>
            <a:ext uri="{FF2B5EF4-FFF2-40B4-BE49-F238E27FC236}">
              <a16:creationId xmlns:a16="http://schemas.microsoft.com/office/drawing/2014/main" id="{00000000-0008-0000-1300-0000870D0000}"/>
            </a:ext>
          </a:extLst>
        </xdr:cNvPr>
        <xdr:cNvCxnSpPr/>
      </xdr:nvCxnSpPr>
      <xdr:spPr>
        <a:xfrm>
          <a:off x="11355916" y="1516591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1690</xdr:row>
      <xdr:rowOff>52916</xdr:rowOff>
    </xdr:from>
    <xdr:to>
      <xdr:col>15</xdr:col>
      <xdr:colOff>592666</xdr:colOff>
      <xdr:row>1696</xdr:row>
      <xdr:rowOff>63501</xdr:rowOff>
    </xdr:to>
    <xdr:cxnSp macro="">
      <xdr:nvCxnSpPr>
        <xdr:cNvPr id="3464" name="Straight Arrow Connector 3463">
          <a:extLst>
            <a:ext uri="{FF2B5EF4-FFF2-40B4-BE49-F238E27FC236}">
              <a16:creationId xmlns:a16="http://schemas.microsoft.com/office/drawing/2014/main" id="{00000000-0008-0000-1300-0000880D0000}"/>
            </a:ext>
          </a:extLst>
        </xdr:cNvPr>
        <xdr:cNvCxnSpPr/>
      </xdr:nvCxnSpPr>
      <xdr:spPr>
        <a:xfrm>
          <a:off x="11313583" y="1516909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1687</xdr:row>
      <xdr:rowOff>52917</xdr:rowOff>
    </xdr:from>
    <xdr:to>
      <xdr:col>15</xdr:col>
      <xdr:colOff>603250</xdr:colOff>
      <xdr:row>1689</xdr:row>
      <xdr:rowOff>148167</xdr:rowOff>
    </xdr:to>
    <xdr:cxnSp macro="">
      <xdr:nvCxnSpPr>
        <xdr:cNvPr id="3465" name="Straight Arrow Connector 3464">
          <a:extLst>
            <a:ext uri="{FF2B5EF4-FFF2-40B4-BE49-F238E27FC236}">
              <a16:creationId xmlns:a16="http://schemas.microsoft.com/office/drawing/2014/main" id="{00000000-0008-0000-1300-0000890D0000}"/>
            </a:ext>
          </a:extLst>
        </xdr:cNvPr>
        <xdr:cNvCxnSpPr/>
      </xdr:nvCxnSpPr>
      <xdr:spPr>
        <a:xfrm flipV="1">
          <a:off x="11324166" y="1511194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698500</xdr:colOff>
      <xdr:row>1731</xdr:row>
      <xdr:rowOff>95250</xdr:rowOff>
    </xdr:from>
    <xdr:to>
      <xdr:col>8</xdr:col>
      <xdr:colOff>21167</xdr:colOff>
      <xdr:row>1763</xdr:row>
      <xdr:rowOff>148166</xdr:rowOff>
    </xdr:to>
    <xdr:cxnSp macro="">
      <xdr:nvCxnSpPr>
        <xdr:cNvPr id="3466" name="Straight Arrow Connector 3465">
          <a:extLst>
            <a:ext uri="{FF2B5EF4-FFF2-40B4-BE49-F238E27FC236}">
              <a16:creationId xmlns:a16="http://schemas.microsoft.com/office/drawing/2014/main" id="{00000000-0008-0000-1300-00008A0D0000}"/>
            </a:ext>
          </a:extLst>
        </xdr:cNvPr>
        <xdr:cNvCxnSpPr/>
      </xdr:nvCxnSpPr>
      <xdr:spPr>
        <a:xfrm>
          <a:off x="5185833" y="159734250"/>
          <a:ext cx="910167" cy="6148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1702</xdr:row>
      <xdr:rowOff>137583</xdr:rowOff>
    </xdr:from>
    <xdr:to>
      <xdr:col>9</xdr:col>
      <xdr:colOff>603250</xdr:colOff>
      <xdr:row>1708</xdr:row>
      <xdr:rowOff>21166</xdr:rowOff>
    </xdr:to>
    <xdr:cxnSp macro="">
      <xdr:nvCxnSpPr>
        <xdr:cNvPr id="3467" name="Straight Arrow Connector 3466">
          <a:extLst>
            <a:ext uri="{FF2B5EF4-FFF2-40B4-BE49-F238E27FC236}">
              <a16:creationId xmlns:a16="http://schemas.microsoft.com/office/drawing/2014/main" id="{00000000-0008-0000-1300-00008B0D0000}"/>
            </a:ext>
          </a:extLst>
        </xdr:cNvPr>
        <xdr:cNvCxnSpPr/>
      </xdr:nvCxnSpPr>
      <xdr:spPr>
        <a:xfrm flipV="1">
          <a:off x="6688667" y="154061583"/>
          <a:ext cx="603250" cy="1026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1711</xdr:row>
      <xdr:rowOff>0</xdr:rowOff>
    </xdr:from>
    <xdr:to>
      <xdr:col>9</xdr:col>
      <xdr:colOff>582083</xdr:colOff>
      <xdr:row>1719</xdr:row>
      <xdr:rowOff>10583</xdr:rowOff>
    </xdr:to>
    <xdr:cxnSp macro="">
      <xdr:nvCxnSpPr>
        <xdr:cNvPr id="3468" name="Straight Arrow Connector 3467">
          <a:extLst>
            <a:ext uri="{FF2B5EF4-FFF2-40B4-BE49-F238E27FC236}">
              <a16:creationId xmlns:a16="http://schemas.microsoft.com/office/drawing/2014/main" id="{00000000-0008-0000-1300-00008C0D0000}"/>
            </a:ext>
          </a:extLst>
        </xdr:cNvPr>
        <xdr:cNvCxnSpPr/>
      </xdr:nvCxnSpPr>
      <xdr:spPr>
        <a:xfrm>
          <a:off x="6720417" y="155638500"/>
          <a:ext cx="550333" cy="1534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21167</xdr:colOff>
      <xdr:row>1716</xdr:row>
      <xdr:rowOff>169333</xdr:rowOff>
    </xdr:from>
    <xdr:to>
      <xdr:col>11</xdr:col>
      <xdr:colOff>603250</xdr:colOff>
      <xdr:row>1719</xdr:row>
      <xdr:rowOff>21167</xdr:rowOff>
    </xdr:to>
    <xdr:cxnSp macro="">
      <xdr:nvCxnSpPr>
        <xdr:cNvPr id="3469" name="Straight Arrow Connector 3468">
          <a:extLst>
            <a:ext uri="{FF2B5EF4-FFF2-40B4-BE49-F238E27FC236}">
              <a16:creationId xmlns:a16="http://schemas.microsoft.com/office/drawing/2014/main" id="{00000000-0008-0000-1300-00008D0D0000}"/>
            </a:ext>
          </a:extLst>
        </xdr:cNvPr>
        <xdr:cNvCxnSpPr/>
      </xdr:nvCxnSpPr>
      <xdr:spPr>
        <a:xfrm flipV="1">
          <a:off x="7937500" y="156760333"/>
          <a:ext cx="582083" cy="423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1722</xdr:row>
      <xdr:rowOff>42333</xdr:rowOff>
    </xdr:from>
    <xdr:to>
      <xdr:col>11</xdr:col>
      <xdr:colOff>603250</xdr:colOff>
      <xdr:row>1734</xdr:row>
      <xdr:rowOff>10583</xdr:rowOff>
    </xdr:to>
    <xdr:cxnSp macro="">
      <xdr:nvCxnSpPr>
        <xdr:cNvPr id="3470" name="Straight Arrow Connector 3469">
          <a:extLst>
            <a:ext uri="{FF2B5EF4-FFF2-40B4-BE49-F238E27FC236}">
              <a16:creationId xmlns:a16="http://schemas.microsoft.com/office/drawing/2014/main" id="{00000000-0008-0000-1300-00008E0D0000}"/>
            </a:ext>
          </a:extLst>
        </xdr:cNvPr>
        <xdr:cNvCxnSpPr/>
      </xdr:nvCxnSpPr>
      <xdr:spPr>
        <a:xfrm>
          <a:off x="7926917" y="1577763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1712</xdr:row>
      <xdr:rowOff>21167</xdr:rowOff>
    </xdr:from>
    <xdr:to>
      <xdr:col>13</xdr:col>
      <xdr:colOff>592667</xdr:colOff>
      <xdr:row>1714</xdr:row>
      <xdr:rowOff>0</xdr:rowOff>
    </xdr:to>
    <xdr:cxnSp macro="">
      <xdr:nvCxnSpPr>
        <xdr:cNvPr id="3471" name="Straight Arrow Connector 3470">
          <a:extLst>
            <a:ext uri="{FF2B5EF4-FFF2-40B4-BE49-F238E27FC236}">
              <a16:creationId xmlns:a16="http://schemas.microsoft.com/office/drawing/2014/main" id="{00000000-0008-0000-1300-00008F0D0000}"/>
            </a:ext>
          </a:extLst>
        </xdr:cNvPr>
        <xdr:cNvCxnSpPr/>
      </xdr:nvCxnSpPr>
      <xdr:spPr>
        <a:xfrm flipV="1">
          <a:off x="9133417" y="155850167"/>
          <a:ext cx="984250"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1717</xdr:row>
      <xdr:rowOff>21166</xdr:rowOff>
    </xdr:from>
    <xdr:to>
      <xdr:col>13</xdr:col>
      <xdr:colOff>592667</xdr:colOff>
      <xdr:row>1718</xdr:row>
      <xdr:rowOff>169334</xdr:rowOff>
    </xdr:to>
    <xdr:cxnSp macro="">
      <xdr:nvCxnSpPr>
        <xdr:cNvPr id="3472" name="Straight Arrow Connector 3471">
          <a:extLst>
            <a:ext uri="{FF2B5EF4-FFF2-40B4-BE49-F238E27FC236}">
              <a16:creationId xmlns:a16="http://schemas.microsoft.com/office/drawing/2014/main" id="{00000000-0008-0000-1300-0000900D0000}"/>
            </a:ext>
          </a:extLst>
        </xdr:cNvPr>
        <xdr:cNvCxnSpPr/>
      </xdr:nvCxnSpPr>
      <xdr:spPr>
        <a:xfrm>
          <a:off x="9122833" y="156802666"/>
          <a:ext cx="994834"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1732</xdr:row>
      <xdr:rowOff>21167</xdr:rowOff>
    </xdr:from>
    <xdr:to>
      <xdr:col>13</xdr:col>
      <xdr:colOff>592667</xdr:colOff>
      <xdr:row>1734</xdr:row>
      <xdr:rowOff>63500</xdr:rowOff>
    </xdr:to>
    <xdr:cxnSp macro="">
      <xdr:nvCxnSpPr>
        <xdr:cNvPr id="3473" name="Straight Arrow Connector 3472">
          <a:extLst>
            <a:ext uri="{FF2B5EF4-FFF2-40B4-BE49-F238E27FC236}">
              <a16:creationId xmlns:a16="http://schemas.microsoft.com/office/drawing/2014/main" id="{00000000-0008-0000-1300-0000910D0000}"/>
            </a:ext>
          </a:extLst>
        </xdr:cNvPr>
        <xdr:cNvCxnSpPr/>
      </xdr:nvCxnSpPr>
      <xdr:spPr>
        <a:xfrm flipV="1">
          <a:off x="9525000" y="1598506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1737</xdr:row>
      <xdr:rowOff>0</xdr:rowOff>
    </xdr:from>
    <xdr:to>
      <xdr:col>14</xdr:col>
      <xdr:colOff>10584</xdr:colOff>
      <xdr:row>1745</xdr:row>
      <xdr:rowOff>148167</xdr:rowOff>
    </xdr:to>
    <xdr:cxnSp macro="">
      <xdr:nvCxnSpPr>
        <xdr:cNvPr id="3474" name="Straight Arrow Connector 3473">
          <a:extLst>
            <a:ext uri="{FF2B5EF4-FFF2-40B4-BE49-F238E27FC236}">
              <a16:creationId xmlns:a16="http://schemas.microsoft.com/office/drawing/2014/main" id="{00000000-0008-0000-1300-0000920D0000}"/>
            </a:ext>
          </a:extLst>
        </xdr:cNvPr>
        <xdr:cNvCxnSpPr/>
      </xdr:nvCxnSpPr>
      <xdr:spPr>
        <a:xfrm>
          <a:off x="9535583" y="160782000"/>
          <a:ext cx="613834"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1704</xdr:row>
      <xdr:rowOff>0</xdr:rowOff>
    </xdr:from>
    <xdr:to>
      <xdr:col>15</xdr:col>
      <xdr:colOff>603250</xdr:colOff>
      <xdr:row>1709</xdr:row>
      <xdr:rowOff>31750</xdr:rowOff>
    </xdr:to>
    <xdr:cxnSp macro="">
      <xdr:nvCxnSpPr>
        <xdr:cNvPr id="3475" name="Straight Arrow Connector 3474">
          <a:extLst>
            <a:ext uri="{FF2B5EF4-FFF2-40B4-BE49-F238E27FC236}">
              <a16:creationId xmlns:a16="http://schemas.microsoft.com/office/drawing/2014/main" id="{00000000-0008-0000-1300-0000930D0000}"/>
            </a:ext>
          </a:extLst>
        </xdr:cNvPr>
        <xdr:cNvCxnSpPr/>
      </xdr:nvCxnSpPr>
      <xdr:spPr>
        <a:xfrm flipV="1">
          <a:off x="11281833" y="154305000"/>
          <a:ext cx="603250" cy="984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1707</xdr:row>
      <xdr:rowOff>52917</xdr:rowOff>
    </xdr:from>
    <xdr:to>
      <xdr:col>15</xdr:col>
      <xdr:colOff>603250</xdr:colOff>
      <xdr:row>1709</xdr:row>
      <xdr:rowOff>95250</xdr:rowOff>
    </xdr:to>
    <xdr:cxnSp macro="">
      <xdr:nvCxnSpPr>
        <xdr:cNvPr id="3476" name="Straight Arrow Connector 3475">
          <a:extLst>
            <a:ext uri="{FF2B5EF4-FFF2-40B4-BE49-F238E27FC236}">
              <a16:creationId xmlns:a16="http://schemas.microsoft.com/office/drawing/2014/main" id="{00000000-0008-0000-1300-0000940D0000}"/>
            </a:ext>
          </a:extLst>
        </xdr:cNvPr>
        <xdr:cNvCxnSpPr/>
      </xdr:nvCxnSpPr>
      <xdr:spPr>
        <a:xfrm flipV="1">
          <a:off x="11324166" y="154929417"/>
          <a:ext cx="56091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1709</xdr:row>
      <xdr:rowOff>158750</xdr:rowOff>
    </xdr:from>
    <xdr:to>
      <xdr:col>15</xdr:col>
      <xdr:colOff>582083</xdr:colOff>
      <xdr:row>1710</xdr:row>
      <xdr:rowOff>137583</xdr:rowOff>
    </xdr:to>
    <xdr:cxnSp macro="">
      <xdr:nvCxnSpPr>
        <xdr:cNvPr id="3477" name="Straight Arrow Connector 3476">
          <a:extLst>
            <a:ext uri="{FF2B5EF4-FFF2-40B4-BE49-F238E27FC236}">
              <a16:creationId xmlns:a16="http://schemas.microsoft.com/office/drawing/2014/main" id="{00000000-0008-0000-1300-0000950D0000}"/>
            </a:ext>
          </a:extLst>
        </xdr:cNvPr>
        <xdr:cNvCxnSpPr/>
      </xdr:nvCxnSpPr>
      <xdr:spPr>
        <a:xfrm>
          <a:off x="11345333" y="155416250"/>
          <a:ext cx="518583" cy="169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1121834</xdr:colOff>
      <xdr:row>1709</xdr:row>
      <xdr:rowOff>105834</xdr:rowOff>
    </xdr:from>
    <xdr:to>
      <xdr:col>16</xdr:col>
      <xdr:colOff>0</xdr:colOff>
      <xdr:row>1713</xdr:row>
      <xdr:rowOff>84667</xdr:rowOff>
    </xdr:to>
    <xdr:cxnSp macro="">
      <xdr:nvCxnSpPr>
        <xdr:cNvPr id="3478" name="Straight Arrow Connector 3477">
          <a:extLst>
            <a:ext uri="{FF2B5EF4-FFF2-40B4-BE49-F238E27FC236}">
              <a16:creationId xmlns:a16="http://schemas.microsoft.com/office/drawing/2014/main" id="{00000000-0008-0000-1300-0000960D0000}"/>
            </a:ext>
          </a:extLst>
        </xdr:cNvPr>
        <xdr:cNvCxnSpPr/>
      </xdr:nvCxnSpPr>
      <xdr:spPr>
        <a:xfrm>
          <a:off x="11260667" y="155363334"/>
          <a:ext cx="63500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1717</xdr:row>
      <xdr:rowOff>52916</xdr:rowOff>
    </xdr:from>
    <xdr:to>
      <xdr:col>16</xdr:col>
      <xdr:colOff>0</xdr:colOff>
      <xdr:row>1719</xdr:row>
      <xdr:rowOff>0</xdr:rowOff>
    </xdr:to>
    <xdr:cxnSp macro="">
      <xdr:nvCxnSpPr>
        <xdr:cNvPr id="3479" name="Straight Arrow Connector 3478">
          <a:extLst>
            <a:ext uri="{FF2B5EF4-FFF2-40B4-BE49-F238E27FC236}">
              <a16:creationId xmlns:a16="http://schemas.microsoft.com/office/drawing/2014/main" id="{00000000-0008-0000-1300-0000970D0000}"/>
            </a:ext>
          </a:extLst>
        </xdr:cNvPr>
        <xdr:cNvCxnSpPr/>
      </xdr:nvCxnSpPr>
      <xdr:spPr>
        <a:xfrm flipV="1">
          <a:off x="11281833" y="156834416"/>
          <a:ext cx="613834"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1719</xdr:row>
      <xdr:rowOff>21167</xdr:rowOff>
    </xdr:from>
    <xdr:to>
      <xdr:col>15</xdr:col>
      <xdr:colOff>582083</xdr:colOff>
      <xdr:row>1720</xdr:row>
      <xdr:rowOff>42333</xdr:rowOff>
    </xdr:to>
    <xdr:cxnSp macro="">
      <xdr:nvCxnSpPr>
        <xdr:cNvPr id="3480" name="Straight Arrow Connector 3479">
          <a:extLst>
            <a:ext uri="{FF2B5EF4-FFF2-40B4-BE49-F238E27FC236}">
              <a16:creationId xmlns:a16="http://schemas.microsoft.com/office/drawing/2014/main" id="{00000000-0008-0000-1300-0000980D0000}"/>
            </a:ext>
          </a:extLst>
        </xdr:cNvPr>
        <xdr:cNvCxnSpPr/>
      </xdr:nvCxnSpPr>
      <xdr:spPr>
        <a:xfrm>
          <a:off x="11292416" y="157183667"/>
          <a:ext cx="571500" cy="211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1719</xdr:row>
      <xdr:rowOff>21167</xdr:rowOff>
    </xdr:from>
    <xdr:to>
      <xdr:col>16</xdr:col>
      <xdr:colOff>42333</xdr:colOff>
      <xdr:row>1724</xdr:row>
      <xdr:rowOff>21168</xdr:rowOff>
    </xdr:to>
    <xdr:cxnSp macro="">
      <xdr:nvCxnSpPr>
        <xdr:cNvPr id="3481" name="Straight Arrow Connector 3480">
          <a:extLst>
            <a:ext uri="{FF2B5EF4-FFF2-40B4-BE49-F238E27FC236}">
              <a16:creationId xmlns:a16="http://schemas.microsoft.com/office/drawing/2014/main" id="{00000000-0008-0000-1300-0000990D0000}"/>
            </a:ext>
          </a:extLst>
        </xdr:cNvPr>
        <xdr:cNvCxnSpPr/>
      </xdr:nvCxnSpPr>
      <xdr:spPr>
        <a:xfrm>
          <a:off x="11271250" y="157183667"/>
          <a:ext cx="666750" cy="9525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1719</xdr:row>
      <xdr:rowOff>31750</xdr:rowOff>
    </xdr:from>
    <xdr:to>
      <xdr:col>16</xdr:col>
      <xdr:colOff>42334</xdr:colOff>
      <xdr:row>1726</xdr:row>
      <xdr:rowOff>63501</xdr:rowOff>
    </xdr:to>
    <xdr:cxnSp macro="">
      <xdr:nvCxnSpPr>
        <xdr:cNvPr id="3482" name="Straight Arrow Connector 3481">
          <a:extLst>
            <a:ext uri="{FF2B5EF4-FFF2-40B4-BE49-F238E27FC236}">
              <a16:creationId xmlns:a16="http://schemas.microsoft.com/office/drawing/2014/main" id="{00000000-0008-0000-1300-00009A0D0000}"/>
            </a:ext>
          </a:extLst>
        </xdr:cNvPr>
        <xdr:cNvCxnSpPr/>
      </xdr:nvCxnSpPr>
      <xdr:spPr>
        <a:xfrm>
          <a:off x="11281833" y="157194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10583</xdr:colOff>
      <xdr:row>1756</xdr:row>
      <xdr:rowOff>42333</xdr:rowOff>
    </xdr:from>
    <xdr:to>
      <xdr:col>9</xdr:col>
      <xdr:colOff>592666</xdr:colOff>
      <xdr:row>1764</xdr:row>
      <xdr:rowOff>42333</xdr:rowOff>
    </xdr:to>
    <xdr:cxnSp macro="">
      <xdr:nvCxnSpPr>
        <xdr:cNvPr id="3483" name="Straight Arrow Connector 3482">
          <a:extLst>
            <a:ext uri="{FF2B5EF4-FFF2-40B4-BE49-F238E27FC236}">
              <a16:creationId xmlns:a16="http://schemas.microsoft.com/office/drawing/2014/main" id="{00000000-0008-0000-1300-00009B0D0000}"/>
            </a:ext>
          </a:extLst>
        </xdr:cNvPr>
        <xdr:cNvCxnSpPr/>
      </xdr:nvCxnSpPr>
      <xdr:spPr>
        <a:xfrm flipV="1">
          <a:off x="6699250" y="164443833"/>
          <a:ext cx="582083" cy="152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1766</xdr:row>
      <xdr:rowOff>169334</xdr:rowOff>
    </xdr:from>
    <xdr:to>
      <xdr:col>9</xdr:col>
      <xdr:colOff>603250</xdr:colOff>
      <xdr:row>1775</xdr:row>
      <xdr:rowOff>31750</xdr:rowOff>
    </xdr:to>
    <xdr:cxnSp macro="">
      <xdr:nvCxnSpPr>
        <xdr:cNvPr id="3484" name="Straight Arrow Connector 3483">
          <a:extLst>
            <a:ext uri="{FF2B5EF4-FFF2-40B4-BE49-F238E27FC236}">
              <a16:creationId xmlns:a16="http://schemas.microsoft.com/office/drawing/2014/main" id="{00000000-0008-0000-1300-00009C0D0000}"/>
            </a:ext>
          </a:extLst>
        </xdr:cNvPr>
        <xdr:cNvCxnSpPr/>
      </xdr:nvCxnSpPr>
      <xdr:spPr>
        <a:xfrm>
          <a:off x="6720417" y="166475834"/>
          <a:ext cx="571500" cy="1576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571500</xdr:colOff>
      <xdr:row>1772</xdr:row>
      <xdr:rowOff>158750</xdr:rowOff>
    </xdr:from>
    <xdr:to>
      <xdr:col>11</xdr:col>
      <xdr:colOff>571500</xdr:colOff>
      <xdr:row>1775</xdr:row>
      <xdr:rowOff>0</xdr:rowOff>
    </xdr:to>
    <xdr:cxnSp macro="">
      <xdr:nvCxnSpPr>
        <xdr:cNvPr id="3485" name="Straight Arrow Connector 3484">
          <a:extLst>
            <a:ext uri="{FF2B5EF4-FFF2-40B4-BE49-F238E27FC236}">
              <a16:creationId xmlns:a16="http://schemas.microsoft.com/office/drawing/2014/main" id="{00000000-0008-0000-1300-00009D0D0000}"/>
            </a:ext>
          </a:extLst>
        </xdr:cNvPr>
        <xdr:cNvCxnSpPr/>
      </xdr:nvCxnSpPr>
      <xdr:spPr>
        <a:xfrm flipV="1">
          <a:off x="7874000" y="167608250"/>
          <a:ext cx="613833" cy="412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1730</xdr:row>
      <xdr:rowOff>0</xdr:rowOff>
    </xdr:from>
    <xdr:to>
      <xdr:col>15</xdr:col>
      <xdr:colOff>603250</xdr:colOff>
      <xdr:row>1732</xdr:row>
      <xdr:rowOff>1</xdr:rowOff>
    </xdr:to>
    <xdr:cxnSp macro="">
      <xdr:nvCxnSpPr>
        <xdr:cNvPr id="3486" name="Straight Arrow Connector 3485">
          <a:extLst>
            <a:ext uri="{FF2B5EF4-FFF2-40B4-BE49-F238E27FC236}">
              <a16:creationId xmlns:a16="http://schemas.microsoft.com/office/drawing/2014/main" id="{00000000-0008-0000-1300-00009E0D0000}"/>
            </a:ext>
          </a:extLst>
        </xdr:cNvPr>
        <xdr:cNvCxnSpPr/>
      </xdr:nvCxnSpPr>
      <xdr:spPr>
        <a:xfrm flipV="1">
          <a:off x="11271250" y="1594485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1732</xdr:row>
      <xdr:rowOff>10584</xdr:rowOff>
    </xdr:from>
    <xdr:to>
      <xdr:col>15</xdr:col>
      <xdr:colOff>592666</xdr:colOff>
      <xdr:row>1733</xdr:row>
      <xdr:rowOff>95250</xdr:rowOff>
    </xdr:to>
    <xdr:cxnSp macro="">
      <xdr:nvCxnSpPr>
        <xdr:cNvPr id="3487" name="Straight Arrow Connector 3486">
          <a:extLst>
            <a:ext uri="{FF2B5EF4-FFF2-40B4-BE49-F238E27FC236}">
              <a16:creationId xmlns:a16="http://schemas.microsoft.com/office/drawing/2014/main" id="{00000000-0008-0000-1300-00009F0D0000}"/>
            </a:ext>
          </a:extLst>
        </xdr:cNvPr>
        <xdr:cNvCxnSpPr/>
      </xdr:nvCxnSpPr>
      <xdr:spPr>
        <a:xfrm>
          <a:off x="11313583" y="1598400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1732</xdr:row>
      <xdr:rowOff>10584</xdr:rowOff>
    </xdr:from>
    <xdr:to>
      <xdr:col>15</xdr:col>
      <xdr:colOff>560916</xdr:colOff>
      <xdr:row>1736</xdr:row>
      <xdr:rowOff>52917</xdr:rowOff>
    </xdr:to>
    <xdr:cxnSp macro="">
      <xdr:nvCxnSpPr>
        <xdr:cNvPr id="3488" name="Straight Arrow Connector 3487">
          <a:extLst>
            <a:ext uri="{FF2B5EF4-FFF2-40B4-BE49-F238E27FC236}">
              <a16:creationId xmlns:a16="http://schemas.microsoft.com/office/drawing/2014/main" id="{00000000-0008-0000-1300-0000A00D0000}"/>
            </a:ext>
          </a:extLst>
        </xdr:cNvPr>
        <xdr:cNvCxnSpPr/>
      </xdr:nvCxnSpPr>
      <xdr:spPr>
        <a:xfrm>
          <a:off x="11292416" y="1598400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3489" name="Straight Arrow Connector 3488">
          <a:extLst>
            <a:ext uri="{FF2B5EF4-FFF2-40B4-BE49-F238E27FC236}">
              <a16:creationId xmlns:a16="http://schemas.microsoft.com/office/drawing/2014/main" id="{00000000-0008-0000-1300-0000A10D0000}"/>
            </a:ext>
          </a:extLst>
        </xdr:cNvPr>
        <xdr:cNvCxnSpPr/>
      </xdr:nvCxnSpPr>
      <xdr:spPr>
        <a:xfrm>
          <a:off x="11324166" y="15986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1746</xdr:row>
      <xdr:rowOff>0</xdr:rowOff>
    </xdr:from>
    <xdr:to>
      <xdr:col>16</xdr:col>
      <xdr:colOff>0</xdr:colOff>
      <xdr:row>1746</xdr:row>
      <xdr:rowOff>42334</xdr:rowOff>
    </xdr:to>
    <xdr:cxnSp macro="">
      <xdr:nvCxnSpPr>
        <xdr:cNvPr id="3490" name="Straight Arrow Connector 3489">
          <a:extLst>
            <a:ext uri="{FF2B5EF4-FFF2-40B4-BE49-F238E27FC236}">
              <a16:creationId xmlns:a16="http://schemas.microsoft.com/office/drawing/2014/main" id="{00000000-0008-0000-1300-0000A20D0000}"/>
            </a:ext>
          </a:extLst>
        </xdr:cNvPr>
        <xdr:cNvCxnSpPr/>
      </xdr:nvCxnSpPr>
      <xdr:spPr>
        <a:xfrm>
          <a:off x="11302999" y="162496500"/>
          <a:ext cx="592668"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1746</xdr:row>
      <xdr:rowOff>21166</xdr:rowOff>
    </xdr:from>
    <xdr:to>
      <xdr:col>15</xdr:col>
      <xdr:colOff>560916</xdr:colOff>
      <xdr:row>1749</xdr:row>
      <xdr:rowOff>84667</xdr:rowOff>
    </xdr:to>
    <xdr:cxnSp macro="">
      <xdr:nvCxnSpPr>
        <xdr:cNvPr id="3491" name="Straight Arrow Connector 3490">
          <a:extLst>
            <a:ext uri="{FF2B5EF4-FFF2-40B4-BE49-F238E27FC236}">
              <a16:creationId xmlns:a16="http://schemas.microsoft.com/office/drawing/2014/main" id="{00000000-0008-0000-1300-0000A30D0000}"/>
            </a:ext>
          </a:extLst>
        </xdr:cNvPr>
        <xdr:cNvCxnSpPr/>
      </xdr:nvCxnSpPr>
      <xdr:spPr>
        <a:xfrm>
          <a:off x="11355916" y="1625176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1746</xdr:row>
      <xdr:rowOff>52916</xdr:rowOff>
    </xdr:from>
    <xdr:to>
      <xdr:col>15</xdr:col>
      <xdr:colOff>592666</xdr:colOff>
      <xdr:row>1752</xdr:row>
      <xdr:rowOff>63501</xdr:rowOff>
    </xdr:to>
    <xdr:cxnSp macro="">
      <xdr:nvCxnSpPr>
        <xdr:cNvPr id="3492" name="Straight Arrow Connector 3491">
          <a:extLst>
            <a:ext uri="{FF2B5EF4-FFF2-40B4-BE49-F238E27FC236}">
              <a16:creationId xmlns:a16="http://schemas.microsoft.com/office/drawing/2014/main" id="{00000000-0008-0000-1300-0000A40D0000}"/>
            </a:ext>
          </a:extLst>
        </xdr:cNvPr>
        <xdr:cNvCxnSpPr/>
      </xdr:nvCxnSpPr>
      <xdr:spPr>
        <a:xfrm>
          <a:off x="11313583" y="1625494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1760</xdr:row>
      <xdr:rowOff>116416</xdr:rowOff>
    </xdr:from>
    <xdr:to>
      <xdr:col>15</xdr:col>
      <xdr:colOff>592666</xdr:colOff>
      <xdr:row>1763</xdr:row>
      <xdr:rowOff>158750</xdr:rowOff>
    </xdr:to>
    <xdr:cxnSp macro="">
      <xdr:nvCxnSpPr>
        <xdr:cNvPr id="3493" name="Straight Arrow Connector 3492">
          <a:extLst>
            <a:ext uri="{FF2B5EF4-FFF2-40B4-BE49-F238E27FC236}">
              <a16:creationId xmlns:a16="http://schemas.microsoft.com/office/drawing/2014/main" id="{00000000-0008-0000-1300-0000A50D0000}"/>
            </a:ext>
          </a:extLst>
        </xdr:cNvPr>
        <xdr:cNvCxnSpPr/>
      </xdr:nvCxnSpPr>
      <xdr:spPr>
        <a:xfrm flipV="1">
          <a:off x="11302999" y="165279916"/>
          <a:ext cx="571500" cy="613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1762</xdr:row>
      <xdr:rowOff>95250</xdr:rowOff>
    </xdr:from>
    <xdr:to>
      <xdr:col>15</xdr:col>
      <xdr:colOff>582083</xdr:colOff>
      <xdr:row>1764</xdr:row>
      <xdr:rowOff>52917</xdr:rowOff>
    </xdr:to>
    <xdr:cxnSp macro="">
      <xdr:nvCxnSpPr>
        <xdr:cNvPr id="3494" name="Straight Arrow Connector 3493">
          <a:extLst>
            <a:ext uri="{FF2B5EF4-FFF2-40B4-BE49-F238E27FC236}">
              <a16:creationId xmlns:a16="http://schemas.microsoft.com/office/drawing/2014/main" id="{00000000-0008-0000-1300-0000A60D0000}"/>
            </a:ext>
          </a:extLst>
        </xdr:cNvPr>
        <xdr:cNvCxnSpPr/>
      </xdr:nvCxnSpPr>
      <xdr:spPr>
        <a:xfrm flipV="1">
          <a:off x="11345333" y="165639750"/>
          <a:ext cx="518583" cy="338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1764</xdr:row>
      <xdr:rowOff>116417</xdr:rowOff>
    </xdr:from>
    <xdr:to>
      <xdr:col>15</xdr:col>
      <xdr:colOff>592666</xdr:colOff>
      <xdr:row>1768</xdr:row>
      <xdr:rowOff>95250</xdr:rowOff>
    </xdr:to>
    <xdr:cxnSp macro="">
      <xdr:nvCxnSpPr>
        <xdr:cNvPr id="3495" name="Straight Arrow Connector 3494">
          <a:extLst>
            <a:ext uri="{FF2B5EF4-FFF2-40B4-BE49-F238E27FC236}">
              <a16:creationId xmlns:a16="http://schemas.microsoft.com/office/drawing/2014/main" id="{00000000-0008-0000-1300-0000A70D0000}"/>
            </a:ext>
          </a:extLst>
        </xdr:cNvPr>
        <xdr:cNvCxnSpPr/>
      </xdr:nvCxnSpPr>
      <xdr:spPr>
        <a:xfrm>
          <a:off x="11334749" y="166041917"/>
          <a:ext cx="53975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1775</xdr:row>
      <xdr:rowOff>116416</xdr:rowOff>
    </xdr:from>
    <xdr:to>
      <xdr:col>16</xdr:col>
      <xdr:colOff>0</xdr:colOff>
      <xdr:row>1782</xdr:row>
      <xdr:rowOff>74084</xdr:rowOff>
    </xdr:to>
    <xdr:cxnSp macro="">
      <xdr:nvCxnSpPr>
        <xdr:cNvPr id="3496" name="Straight Arrow Connector 3495">
          <a:extLst>
            <a:ext uri="{FF2B5EF4-FFF2-40B4-BE49-F238E27FC236}">
              <a16:creationId xmlns:a16="http://schemas.microsoft.com/office/drawing/2014/main" id="{00000000-0008-0000-1300-0000A80D0000}"/>
            </a:ext>
          </a:extLst>
        </xdr:cNvPr>
        <xdr:cNvCxnSpPr/>
      </xdr:nvCxnSpPr>
      <xdr:spPr>
        <a:xfrm>
          <a:off x="11313583" y="168137416"/>
          <a:ext cx="582084" cy="12911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1743</xdr:row>
      <xdr:rowOff>52917</xdr:rowOff>
    </xdr:from>
    <xdr:to>
      <xdr:col>15</xdr:col>
      <xdr:colOff>603250</xdr:colOff>
      <xdr:row>1745</xdr:row>
      <xdr:rowOff>148167</xdr:rowOff>
    </xdr:to>
    <xdr:cxnSp macro="">
      <xdr:nvCxnSpPr>
        <xdr:cNvPr id="3497" name="Straight Arrow Connector 3496">
          <a:extLst>
            <a:ext uri="{FF2B5EF4-FFF2-40B4-BE49-F238E27FC236}">
              <a16:creationId xmlns:a16="http://schemas.microsoft.com/office/drawing/2014/main" id="{00000000-0008-0000-1300-0000A90D0000}"/>
            </a:ext>
          </a:extLst>
        </xdr:cNvPr>
        <xdr:cNvCxnSpPr/>
      </xdr:nvCxnSpPr>
      <xdr:spPr>
        <a:xfrm flipV="1">
          <a:off x="11324166" y="1619779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1778</xdr:row>
      <xdr:rowOff>42333</xdr:rowOff>
    </xdr:from>
    <xdr:to>
      <xdr:col>11</xdr:col>
      <xdr:colOff>603250</xdr:colOff>
      <xdr:row>1790</xdr:row>
      <xdr:rowOff>10583</xdr:rowOff>
    </xdr:to>
    <xdr:cxnSp macro="">
      <xdr:nvCxnSpPr>
        <xdr:cNvPr id="3498" name="Straight Arrow Connector 3497">
          <a:extLst>
            <a:ext uri="{FF2B5EF4-FFF2-40B4-BE49-F238E27FC236}">
              <a16:creationId xmlns:a16="http://schemas.microsoft.com/office/drawing/2014/main" id="{00000000-0008-0000-1300-0000AA0D0000}"/>
            </a:ext>
          </a:extLst>
        </xdr:cNvPr>
        <xdr:cNvCxnSpPr/>
      </xdr:nvCxnSpPr>
      <xdr:spPr>
        <a:xfrm>
          <a:off x="7926917" y="1686348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1768</xdr:row>
      <xdr:rowOff>21167</xdr:rowOff>
    </xdr:from>
    <xdr:to>
      <xdr:col>13</xdr:col>
      <xdr:colOff>592667</xdr:colOff>
      <xdr:row>1770</xdr:row>
      <xdr:rowOff>0</xdr:rowOff>
    </xdr:to>
    <xdr:cxnSp macro="">
      <xdr:nvCxnSpPr>
        <xdr:cNvPr id="3499" name="Straight Arrow Connector 3498">
          <a:extLst>
            <a:ext uri="{FF2B5EF4-FFF2-40B4-BE49-F238E27FC236}">
              <a16:creationId xmlns:a16="http://schemas.microsoft.com/office/drawing/2014/main" id="{00000000-0008-0000-1300-0000AB0D0000}"/>
            </a:ext>
          </a:extLst>
        </xdr:cNvPr>
        <xdr:cNvCxnSpPr/>
      </xdr:nvCxnSpPr>
      <xdr:spPr>
        <a:xfrm flipV="1">
          <a:off x="9133417" y="166708667"/>
          <a:ext cx="984250"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1773</xdr:row>
      <xdr:rowOff>21166</xdr:rowOff>
    </xdr:from>
    <xdr:to>
      <xdr:col>13</xdr:col>
      <xdr:colOff>592667</xdr:colOff>
      <xdr:row>1774</xdr:row>
      <xdr:rowOff>169334</xdr:rowOff>
    </xdr:to>
    <xdr:cxnSp macro="">
      <xdr:nvCxnSpPr>
        <xdr:cNvPr id="3500" name="Straight Arrow Connector 3499">
          <a:extLst>
            <a:ext uri="{FF2B5EF4-FFF2-40B4-BE49-F238E27FC236}">
              <a16:creationId xmlns:a16="http://schemas.microsoft.com/office/drawing/2014/main" id="{00000000-0008-0000-1300-0000AC0D0000}"/>
            </a:ext>
          </a:extLst>
        </xdr:cNvPr>
        <xdr:cNvCxnSpPr/>
      </xdr:nvCxnSpPr>
      <xdr:spPr>
        <a:xfrm>
          <a:off x="9122833" y="167661166"/>
          <a:ext cx="994834"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1788</xdr:row>
      <xdr:rowOff>21167</xdr:rowOff>
    </xdr:from>
    <xdr:to>
      <xdr:col>13</xdr:col>
      <xdr:colOff>592667</xdr:colOff>
      <xdr:row>1790</xdr:row>
      <xdr:rowOff>63500</xdr:rowOff>
    </xdr:to>
    <xdr:cxnSp macro="">
      <xdr:nvCxnSpPr>
        <xdr:cNvPr id="3501" name="Straight Arrow Connector 3500">
          <a:extLst>
            <a:ext uri="{FF2B5EF4-FFF2-40B4-BE49-F238E27FC236}">
              <a16:creationId xmlns:a16="http://schemas.microsoft.com/office/drawing/2014/main" id="{00000000-0008-0000-1300-0000AD0D0000}"/>
            </a:ext>
          </a:extLst>
        </xdr:cNvPr>
        <xdr:cNvCxnSpPr/>
      </xdr:nvCxnSpPr>
      <xdr:spPr>
        <a:xfrm flipV="1">
          <a:off x="9525000" y="1707091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1793</xdr:row>
      <xdr:rowOff>0</xdr:rowOff>
    </xdr:from>
    <xdr:to>
      <xdr:col>14</xdr:col>
      <xdr:colOff>10584</xdr:colOff>
      <xdr:row>1801</xdr:row>
      <xdr:rowOff>148167</xdr:rowOff>
    </xdr:to>
    <xdr:cxnSp macro="">
      <xdr:nvCxnSpPr>
        <xdr:cNvPr id="3502" name="Straight Arrow Connector 3501">
          <a:extLst>
            <a:ext uri="{FF2B5EF4-FFF2-40B4-BE49-F238E27FC236}">
              <a16:creationId xmlns:a16="http://schemas.microsoft.com/office/drawing/2014/main" id="{00000000-0008-0000-1300-0000AE0D0000}"/>
            </a:ext>
          </a:extLst>
        </xdr:cNvPr>
        <xdr:cNvCxnSpPr/>
      </xdr:nvCxnSpPr>
      <xdr:spPr>
        <a:xfrm>
          <a:off x="9535583" y="171640500"/>
          <a:ext cx="613834"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1764</xdr:row>
      <xdr:rowOff>95250</xdr:rowOff>
    </xdr:from>
    <xdr:to>
      <xdr:col>15</xdr:col>
      <xdr:colOff>582083</xdr:colOff>
      <xdr:row>1766</xdr:row>
      <xdr:rowOff>137583</xdr:rowOff>
    </xdr:to>
    <xdr:cxnSp macro="">
      <xdr:nvCxnSpPr>
        <xdr:cNvPr id="3503" name="Straight Arrow Connector 3502">
          <a:extLst>
            <a:ext uri="{FF2B5EF4-FFF2-40B4-BE49-F238E27FC236}">
              <a16:creationId xmlns:a16="http://schemas.microsoft.com/office/drawing/2014/main" id="{00000000-0008-0000-1300-0000AF0D0000}"/>
            </a:ext>
          </a:extLst>
        </xdr:cNvPr>
        <xdr:cNvCxnSpPr/>
      </xdr:nvCxnSpPr>
      <xdr:spPr>
        <a:xfrm>
          <a:off x="11334749" y="166020750"/>
          <a:ext cx="5291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1773</xdr:row>
      <xdr:rowOff>52916</xdr:rowOff>
    </xdr:from>
    <xdr:to>
      <xdr:col>16</xdr:col>
      <xdr:colOff>0</xdr:colOff>
      <xdr:row>1775</xdr:row>
      <xdr:rowOff>0</xdr:rowOff>
    </xdr:to>
    <xdr:cxnSp macro="">
      <xdr:nvCxnSpPr>
        <xdr:cNvPr id="3504" name="Straight Arrow Connector 3503">
          <a:extLst>
            <a:ext uri="{FF2B5EF4-FFF2-40B4-BE49-F238E27FC236}">
              <a16:creationId xmlns:a16="http://schemas.microsoft.com/office/drawing/2014/main" id="{00000000-0008-0000-1300-0000B00D0000}"/>
            </a:ext>
          </a:extLst>
        </xdr:cNvPr>
        <xdr:cNvCxnSpPr/>
      </xdr:nvCxnSpPr>
      <xdr:spPr>
        <a:xfrm flipV="1">
          <a:off x="11281833" y="167692916"/>
          <a:ext cx="613834"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1775</xdr:row>
      <xdr:rowOff>21167</xdr:rowOff>
    </xdr:from>
    <xdr:to>
      <xdr:col>15</xdr:col>
      <xdr:colOff>592666</xdr:colOff>
      <xdr:row>1776</xdr:row>
      <xdr:rowOff>84667</xdr:rowOff>
    </xdr:to>
    <xdr:cxnSp macro="">
      <xdr:nvCxnSpPr>
        <xdr:cNvPr id="3505" name="Straight Arrow Connector 3504">
          <a:extLst>
            <a:ext uri="{FF2B5EF4-FFF2-40B4-BE49-F238E27FC236}">
              <a16:creationId xmlns:a16="http://schemas.microsoft.com/office/drawing/2014/main" id="{00000000-0008-0000-1300-0000B10D0000}"/>
            </a:ext>
          </a:extLst>
        </xdr:cNvPr>
        <xdr:cNvCxnSpPr/>
      </xdr:nvCxnSpPr>
      <xdr:spPr>
        <a:xfrm>
          <a:off x="11271250" y="168042167"/>
          <a:ext cx="603249" cy="25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1775</xdr:row>
      <xdr:rowOff>0</xdr:rowOff>
    </xdr:from>
    <xdr:to>
      <xdr:col>16</xdr:col>
      <xdr:colOff>0</xdr:colOff>
      <xdr:row>1779</xdr:row>
      <xdr:rowOff>42334</xdr:rowOff>
    </xdr:to>
    <xdr:cxnSp macro="">
      <xdr:nvCxnSpPr>
        <xdr:cNvPr id="3506" name="Straight Arrow Connector 3505">
          <a:extLst>
            <a:ext uri="{FF2B5EF4-FFF2-40B4-BE49-F238E27FC236}">
              <a16:creationId xmlns:a16="http://schemas.microsoft.com/office/drawing/2014/main" id="{00000000-0008-0000-1300-0000B20D0000}"/>
            </a:ext>
          </a:extLst>
        </xdr:cNvPr>
        <xdr:cNvCxnSpPr/>
      </xdr:nvCxnSpPr>
      <xdr:spPr>
        <a:xfrm>
          <a:off x="11271250" y="168021000"/>
          <a:ext cx="624417" cy="804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1786</xdr:row>
      <xdr:rowOff>0</xdr:rowOff>
    </xdr:from>
    <xdr:to>
      <xdr:col>15</xdr:col>
      <xdr:colOff>603250</xdr:colOff>
      <xdr:row>1788</xdr:row>
      <xdr:rowOff>1</xdr:rowOff>
    </xdr:to>
    <xdr:cxnSp macro="">
      <xdr:nvCxnSpPr>
        <xdr:cNvPr id="3507" name="Straight Arrow Connector 3506">
          <a:extLst>
            <a:ext uri="{FF2B5EF4-FFF2-40B4-BE49-F238E27FC236}">
              <a16:creationId xmlns:a16="http://schemas.microsoft.com/office/drawing/2014/main" id="{00000000-0008-0000-1300-0000B30D0000}"/>
            </a:ext>
          </a:extLst>
        </xdr:cNvPr>
        <xdr:cNvCxnSpPr/>
      </xdr:nvCxnSpPr>
      <xdr:spPr>
        <a:xfrm flipV="1">
          <a:off x="11271250" y="1703070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1788</xdr:row>
      <xdr:rowOff>10584</xdr:rowOff>
    </xdr:from>
    <xdr:to>
      <xdr:col>15</xdr:col>
      <xdr:colOff>592666</xdr:colOff>
      <xdr:row>1789</xdr:row>
      <xdr:rowOff>95250</xdr:rowOff>
    </xdr:to>
    <xdr:cxnSp macro="">
      <xdr:nvCxnSpPr>
        <xdr:cNvPr id="3508" name="Straight Arrow Connector 3507">
          <a:extLst>
            <a:ext uri="{FF2B5EF4-FFF2-40B4-BE49-F238E27FC236}">
              <a16:creationId xmlns:a16="http://schemas.microsoft.com/office/drawing/2014/main" id="{00000000-0008-0000-1300-0000B40D0000}"/>
            </a:ext>
          </a:extLst>
        </xdr:cNvPr>
        <xdr:cNvCxnSpPr/>
      </xdr:nvCxnSpPr>
      <xdr:spPr>
        <a:xfrm>
          <a:off x="11313583" y="1706985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1788</xdr:row>
      <xdr:rowOff>10584</xdr:rowOff>
    </xdr:from>
    <xdr:to>
      <xdr:col>15</xdr:col>
      <xdr:colOff>560916</xdr:colOff>
      <xdr:row>1792</xdr:row>
      <xdr:rowOff>52917</xdr:rowOff>
    </xdr:to>
    <xdr:cxnSp macro="">
      <xdr:nvCxnSpPr>
        <xdr:cNvPr id="3509" name="Straight Arrow Connector 3508">
          <a:extLst>
            <a:ext uri="{FF2B5EF4-FFF2-40B4-BE49-F238E27FC236}">
              <a16:creationId xmlns:a16="http://schemas.microsoft.com/office/drawing/2014/main" id="{00000000-0008-0000-1300-0000B50D0000}"/>
            </a:ext>
          </a:extLst>
        </xdr:cNvPr>
        <xdr:cNvCxnSpPr/>
      </xdr:nvCxnSpPr>
      <xdr:spPr>
        <a:xfrm>
          <a:off x="11292416" y="1706985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3510" name="Straight Arrow Connector 3509">
          <a:extLst>
            <a:ext uri="{FF2B5EF4-FFF2-40B4-BE49-F238E27FC236}">
              <a16:creationId xmlns:a16="http://schemas.microsoft.com/office/drawing/2014/main" id="{00000000-0008-0000-1300-0000B60D0000}"/>
            </a:ext>
          </a:extLst>
        </xdr:cNvPr>
        <xdr:cNvCxnSpPr/>
      </xdr:nvCxnSpPr>
      <xdr:spPr>
        <a:xfrm>
          <a:off x="11324166" y="170719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1802</xdr:row>
      <xdr:rowOff>0</xdr:rowOff>
    </xdr:from>
    <xdr:to>
      <xdr:col>16</xdr:col>
      <xdr:colOff>0</xdr:colOff>
      <xdr:row>1802</xdr:row>
      <xdr:rowOff>42334</xdr:rowOff>
    </xdr:to>
    <xdr:cxnSp macro="">
      <xdr:nvCxnSpPr>
        <xdr:cNvPr id="3511" name="Straight Arrow Connector 3510">
          <a:extLst>
            <a:ext uri="{FF2B5EF4-FFF2-40B4-BE49-F238E27FC236}">
              <a16:creationId xmlns:a16="http://schemas.microsoft.com/office/drawing/2014/main" id="{00000000-0008-0000-1300-0000B70D0000}"/>
            </a:ext>
          </a:extLst>
        </xdr:cNvPr>
        <xdr:cNvCxnSpPr/>
      </xdr:nvCxnSpPr>
      <xdr:spPr>
        <a:xfrm>
          <a:off x="11302999" y="173355000"/>
          <a:ext cx="592668"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1802</xdr:row>
      <xdr:rowOff>21166</xdr:rowOff>
    </xdr:from>
    <xdr:to>
      <xdr:col>15</xdr:col>
      <xdr:colOff>560916</xdr:colOff>
      <xdr:row>1805</xdr:row>
      <xdr:rowOff>84667</xdr:rowOff>
    </xdr:to>
    <xdr:cxnSp macro="">
      <xdr:nvCxnSpPr>
        <xdr:cNvPr id="3512" name="Straight Arrow Connector 3511">
          <a:extLst>
            <a:ext uri="{FF2B5EF4-FFF2-40B4-BE49-F238E27FC236}">
              <a16:creationId xmlns:a16="http://schemas.microsoft.com/office/drawing/2014/main" id="{00000000-0008-0000-1300-0000B80D0000}"/>
            </a:ext>
          </a:extLst>
        </xdr:cNvPr>
        <xdr:cNvCxnSpPr/>
      </xdr:nvCxnSpPr>
      <xdr:spPr>
        <a:xfrm>
          <a:off x="11355916" y="1733761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1802</xdr:row>
      <xdr:rowOff>52916</xdr:rowOff>
    </xdr:from>
    <xdr:to>
      <xdr:col>15</xdr:col>
      <xdr:colOff>592666</xdr:colOff>
      <xdr:row>1808</xdr:row>
      <xdr:rowOff>63501</xdr:rowOff>
    </xdr:to>
    <xdr:cxnSp macro="">
      <xdr:nvCxnSpPr>
        <xdr:cNvPr id="3513" name="Straight Arrow Connector 3512">
          <a:extLst>
            <a:ext uri="{FF2B5EF4-FFF2-40B4-BE49-F238E27FC236}">
              <a16:creationId xmlns:a16="http://schemas.microsoft.com/office/drawing/2014/main" id="{00000000-0008-0000-1300-0000B90D0000}"/>
            </a:ext>
          </a:extLst>
        </xdr:cNvPr>
        <xdr:cNvCxnSpPr/>
      </xdr:nvCxnSpPr>
      <xdr:spPr>
        <a:xfrm>
          <a:off x="11313583" y="1734079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1799</xdr:row>
      <xdr:rowOff>52917</xdr:rowOff>
    </xdr:from>
    <xdr:to>
      <xdr:col>15</xdr:col>
      <xdr:colOff>603250</xdr:colOff>
      <xdr:row>1801</xdr:row>
      <xdr:rowOff>148167</xdr:rowOff>
    </xdr:to>
    <xdr:cxnSp macro="">
      <xdr:nvCxnSpPr>
        <xdr:cNvPr id="3514" name="Straight Arrow Connector 3513">
          <a:extLst>
            <a:ext uri="{FF2B5EF4-FFF2-40B4-BE49-F238E27FC236}">
              <a16:creationId xmlns:a16="http://schemas.microsoft.com/office/drawing/2014/main" id="{00000000-0008-0000-1300-0000BA0D0000}"/>
            </a:ext>
          </a:extLst>
        </xdr:cNvPr>
        <xdr:cNvCxnSpPr/>
      </xdr:nvCxnSpPr>
      <xdr:spPr>
        <a:xfrm flipV="1">
          <a:off x="11324166" y="1728364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31750</xdr:colOff>
      <xdr:row>1710</xdr:row>
      <xdr:rowOff>127000</xdr:rowOff>
    </xdr:from>
    <xdr:to>
      <xdr:col>8</xdr:col>
      <xdr:colOff>63500</xdr:colOff>
      <xdr:row>1729</xdr:row>
      <xdr:rowOff>0</xdr:rowOff>
    </xdr:to>
    <xdr:cxnSp macro="">
      <xdr:nvCxnSpPr>
        <xdr:cNvPr id="3515" name="Straight Arrow Connector 3514">
          <a:extLst>
            <a:ext uri="{FF2B5EF4-FFF2-40B4-BE49-F238E27FC236}">
              <a16:creationId xmlns:a16="http://schemas.microsoft.com/office/drawing/2014/main" id="{00000000-0008-0000-1300-0000BB0D0000}"/>
            </a:ext>
          </a:extLst>
        </xdr:cNvPr>
        <xdr:cNvCxnSpPr/>
      </xdr:nvCxnSpPr>
      <xdr:spPr>
        <a:xfrm flipV="1">
          <a:off x="5492750" y="155575000"/>
          <a:ext cx="645583" cy="3587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1000</xdr:row>
      <xdr:rowOff>31750</xdr:rowOff>
    </xdr:from>
    <xdr:to>
      <xdr:col>16</xdr:col>
      <xdr:colOff>21167</xdr:colOff>
      <xdr:row>1007</xdr:row>
      <xdr:rowOff>95250</xdr:rowOff>
    </xdr:to>
    <xdr:cxnSp macro="">
      <xdr:nvCxnSpPr>
        <xdr:cNvPr id="3517" name="Straight Arrow Connector 3516">
          <a:extLst>
            <a:ext uri="{FF2B5EF4-FFF2-40B4-BE49-F238E27FC236}">
              <a16:creationId xmlns:a16="http://schemas.microsoft.com/office/drawing/2014/main" id="{00000000-0008-0000-1300-0000BD0D0000}"/>
            </a:ext>
          </a:extLst>
        </xdr:cNvPr>
        <xdr:cNvCxnSpPr/>
      </xdr:nvCxnSpPr>
      <xdr:spPr>
        <a:xfrm>
          <a:off x="11324166" y="18129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21167</xdr:colOff>
      <xdr:row>1040</xdr:row>
      <xdr:rowOff>169333</xdr:rowOff>
    </xdr:from>
    <xdr:to>
      <xdr:col>11</xdr:col>
      <xdr:colOff>603250</xdr:colOff>
      <xdr:row>1043</xdr:row>
      <xdr:rowOff>21167</xdr:rowOff>
    </xdr:to>
    <xdr:cxnSp macro="">
      <xdr:nvCxnSpPr>
        <xdr:cNvPr id="3518" name="Straight Arrow Connector 3517">
          <a:extLst>
            <a:ext uri="{FF2B5EF4-FFF2-40B4-BE49-F238E27FC236}">
              <a16:creationId xmlns:a16="http://schemas.microsoft.com/office/drawing/2014/main" id="{00000000-0008-0000-1300-0000BE0D0000}"/>
            </a:ext>
          </a:extLst>
        </xdr:cNvPr>
        <xdr:cNvCxnSpPr/>
      </xdr:nvCxnSpPr>
      <xdr:spPr>
        <a:xfrm flipV="1">
          <a:off x="7937500" y="25886833"/>
          <a:ext cx="582083" cy="423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1046</xdr:row>
      <xdr:rowOff>42333</xdr:rowOff>
    </xdr:from>
    <xdr:to>
      <xdr:col>11</xdr:col>
      <xdr:colOff>603250</xdr:colOff>
      <xdr:row>1058</xdr:row>
      <xdr:rowOff>10583</xdr:rowOff>
    </xdr:to>
    <xdr:cxnSp macro="">
      <xdr:nvCxnSpPr>
        <xdr:cNvPr id="3519" name="Straight Arrow Connector 3518">
          <a:extLst>
            <a:ext uri="{FF2B5EF4-FFF2-40B4-BE49-F238E27FC236}">
              <a16:creationId xmlns:a16="http://schemas.microsoft.com/office/drawing/2014/main" id="{00000000-0008-0000-1300-0000BF0D0000}"/>
            </a:ext>
          </a:extLst>
        </xdr:cNvPr>
        <xdr:cNvCxnSpPr/>
      </xdr:nvCxnSpPr>
      <xdr:spPr>
        <a:xfrm>
          <a:off x="7926917" y="269028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1036</xdr:row>
      <xdr:rowOff>21167</xdr:rowOff>
    </xdr:from>
    <xdr:to>
      <xdr:col>13</xdr:col>
      <xdr:colOff>592667</xdr:colOff>
      <xdr:row>1038</xdr:row>
      <xdr:rowOff>0</xdr:rowOff>
    </xdr:to>
    <xdr:cxnSp macro="">
      <xdr:nvCxnSpPr>
        <xdr:cNvPr id="3520" name="Straight Arrow Connector 3519">
          <a:extLst>
            <a:ext uri="{FF2B5EF4-FFF2-40B4-BE49-F238E27FC236}">
              <a16:creationId xmlns:a16="http://schemas.microsoft.com/office/drawing/2014/main" id="{00000000-0008-0000-1300-0000C00D0000}"/>
            </a:ext>
          </a:extLst>
        </xdr:cNvPr>
        <xdr:cNvCxnSpPr/>
      </xdr:nvCxnSpPr>
      <xdr:spPr>
        <a:xfrm flipV="1">
          <a:off x="9133417" y="24976667"/>
          <a:ext cx="984250"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1041</xdr:row>
      <xdr:rowOff>21166</xdr:rowOff>
    </xdr:from>
    <xdr:to>
      <xdr:col>13</xdr:col>
      <xdr:colOff>592667</xdr:colOff>
      <xdr:row>1042</xdr:row>
      <xdr:rowOff>169334</xdr:rowOff>
    </xdr:to>
    <xdr:cxnSp macro="">
      <xdr:nvCxnSpPr>
        <xdr:cNvPr id="3521" name="Straight Arrow Connector 3520">
          <a:extLst>
            <a:ext uri="{FF2B5EF4-FFF2-40B4-BE49-F238E27FC236}">
              <a16:creationId xmlns:a16="http://schemas.microsoft.com/office/drawing/2014/main" id="{00000000-0008-0000-1300-0000C10D0000}"/>
            </a:ext>
          </a:extLst>
        </xdr:cNvPr>
        <xdr:cNvCxnSpPr/>
      </xdr:nvCxnSpPr>
      <xdr:spPr>
        <a:xfrm>
          <a:off x="9122833" y="25929166"/>
          <a:ext cx="994834"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1056</xdr:row>
      <xdr:rowOff>21167</xdr:rowOff>
    </xdr:from>
    <xdr:to>
      <xdr:col>13</xdr:col>
      <xdr:colOff>592667</xdr:colOff>
      <xdr:row>1058</xdr:row>
      <xdr:rowOff>63500</xdr:rowOff>
    </xdr:to>
    <xdr:cxnSp macro="">
      <xdr:nvCxnSpPr>
        <xdr:cNvPr id="3522" name="Straight Arrow Connector 3521">
          <a:extLst>
            <a:ext uri="{FF2B5EF4-FFF2-40B4-BE49-F238E27FC236}">
              <a16:creationId xmlns:a16="http://schemas.microsoft.com/office/drawing/2014/main" id="{00000000-0008-0000-1300-0000C20D0000}"/>
            </a:ext>
          </a:extLst>
        </xdr:cNvPr>
        <xdr:cNvCxnSpPr/>
      </xdr:nvCxnSpPr>
      <xdr:spPr>
        <a:xfrm flipV="1">
          <a:off x="9525000" y="289771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1061</xdr:row>
      <xdr:rowOff>0</xdr:rowOff>
    </xdr:from>
    <xdr:to>
      <xdr:col>14</xdr:col>
      <xdr:colOff>10584</xdr:colOff>
      <xdr:row>1069</xdr:row>
      <xdr:rowOff>148167</xdr:rowOff>
    </xdr:to>
    <xdr:cxnSp macro="">
      <xdr:nvCxnSpPr>
        <xdr:cNvPr id="3523" name="Straight Arrow Connector 3522">
          <a:extLst>
            <a:ext uri="{FF2B5EF4-FFF2-40B4-BE49-F238E27FC236}">
              <a16:creationId xmlns:a16="http://schemas.microsoft.com/office/drawing/2014/main" id="{00000000-0008-0000-1300-0000C30D0000}"/>
            </a:ext>
          </a:extLst>
        </xdr:cNvPr>
        <xdr:cNvCxnSpPr/>
      </xdr:nvCxnSpPr>
      <xdr:spPr>
        <a:xfrm>
          <a:off x="9535583" y="29908500"/>
          <a:ext cx="613834"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1028</xdr:row>
      <xdr:rowOff>0</xdr:rowOff>
    </xdr:from>
    <xdr:to>
      <xdr:col>15</xdr:col>
      <xdr:colOff>603250</xdr:colOff>
      <xdr:row>1033</xdr:row>
      <xdr:rowOff>31750</xdr:rowOff>
    </xdr:to>
    <xdr:cxnSp macro="">
      <xdr:nvCxnSpPr>
        <xdr:cNvPr id="3524" name="Straight Arrow Connector 3523">
          <a:extLst>
            <a:ext uri="{FF2B5EF4-FFF2-40B4-BE49-F238E27FC236}">
              <a16:creationId xmlns:a16="http://schemas.microsoft.com/office/drawing/2014/main" id="{00000000-0008-0000-1300-0000C40D0000}"/>
            </a:ext>
          </a:extLst>
        </xdr:cNvPr>
        <xdr:cNvCxnSpPr/>
      </xdr:nvCxnSpPr>
      <xdr:spPr>
        <a:xfrm flipV="1">
          <a:off x="11281833" y="23431500"/>
          <a:ext cx="603250" cy="984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1031</xdr:row>
      <xdr:rowOff>52917</xdr:rowOff>
    </xdr:from>
    <xdr:to>
      <xdr:col>15</xdr:col>
      <xdr:colOff>603250</xdr:colOff>
      <xdr:row>1033</xdr:row>
      <xdr:rowOff>95250</xdr:rowOff>
    </xdr:to>
    <xdr:cxnSp macro="">
      <xdr:nvCxnSpPr>
        <xdr:cNvPr id="3525" name="Straight Arrow Connector 3524">
          <a:extLst>
            <a:ext uri="{FF2B5EF4-FFF2-40B4-BE49-F238E27FC236}">
              <a16:creationId xmlns:a16="http://schemas.microsoft.com/office/drawing/2014/main" id="{00000000-0008-0000-1300-0000C50D0000}"/>
            </a:ext>
          </a:extLst>
        </xdr:cNvPr>
        <xdr:cNvCxnSpPr/>
      </xdr:nvCxnSpPr>
      <xdr:spPr>
        <a:xfrm flipV="1">
          <a:off x="11324166" y="24055917"/>
          <a:ext cx="56091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1033</xdr:row>
      <xdr:rowOff>158750</xdr:rowOff>
    </xdr:from>
    <xdr:to>
      <xdr:col>15</xdr:col>
      <xdr:colOff>582083</xdr:colOff>
      <xdr:row>1034</xdr:row>
      <xdr:rowOff>137583</xdr:rowOff>
    </xdr:to>
    <xdr:cxnSp macro="">
      <xdr:nvCxnSpPr>
        <xdr:cNvPr id="3526" name="Straight Arrow Connector 3525">
          <a:extLst>
            <a:ext uri="{FF2B5EF4-FFF2-40B4-BE49-F238E27FC236}">
              <a16:creationId xmlns:a16="http://schemas.microsoft.com/office/drawing/2014/main" id="{00000000-0008-0000-1300-0000C60D0000}"/>
            </a:ext>
          </a:extLst>
        </xdr:cNvPr>
        <xdr:cNvCxnSpPr/>
      </xdr:nvCxnSpPr>
      <xdr:spPr>
        <a:xfrm>
          <a:off x="11345333" y="24542750"/>
          <a:ext cx="518583" cy="169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1121834</xdr:colOff>
      <xdr:row>1033</xdr:row>
      <xdr:rowOff>105834</xdr:rowOff>
    </xdr:from>
    <xdr:to>
      <xdr:col>16</xdr:col>
      <xdr:colOff>0</xdr:colOff>
      <xdr:row>1037</xdr:row>
      <xdr:rowOff>84667</xdr:rowOff>
    </xdr:to>
    <xdr:cxnSp macro="">
      <xdr:nvCxnSpPr>
        <xdr:cNvPr id="3527" name="Straight Arrow Connector 3526">
          <a:extLst>
            <a:ext uri="{FF2B5EF4-FFF2-40B4-BE49-F238E27FC236}">
              <a16:creationId xmlns:a16="http://schemas.microsoft.com/office/drawing/2014/main" id="{00000000-0008-0000-1300-0000C70D0000}"/>
            </a:ext>
          </a:extLst>
        </xdr:cNvPr>
        <xdr:cNvCxnSpPr/>
      </xdr:nvCxnSpPr>
      <xdr:spPr>
        <a:xfrm>
          <a:off x="11260667" y="24489834"/>
          <a:ext cx="63500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1041</xdr:row>
      <xdr:rowOff>52916</xdr:rowOff>
    </xdr:from>
    <xdr:to>
      <xdr:col>16</xdr:col>
      <xdr:colOff>0</xdr:colOff>
      <xdr:row>1043</xdr:row>
      <xdr:rowOff>0</xdr:rowOff>
    </xdr:to>
    <xdr:cxnSp macro="">
      <xdr:nvCxnSpPr>
        <xdr:cNvPr id="3528" name="Straight Arrow Connector 3527">
          <a:extLst>
            <a:ext uri="{FF2B5EF4-FFF2-40B4-BE49-F238E27FC236}">
              <a16:creationId xmlns:a16="http://schemas.microsoft.com/office/drawing/2014/main" id="{00000000-0008-0000-1300-0000C80D0000}"/>
            </a:ext>
          </a:extLst>
        </xdr:cNvPr>
        <xdr:cNvCxnSpPr/>
      </xdr:nvCxnSpPr>
      <xdr:spPr>
        <a:xfrm flipV="1">
          <a:off x="11281833" y="25960916"/>
          <a:ext cx="613834"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1043</xdr:row>
      <xdr:rowOff>21167</xdr:rowOff>
    </xdr:from>
    <xdr:to>
      <xdr:col>15</xdr:col>
      <xdr:colOff>582083</xdr:colOff>
      <xdr:row>1044</xdr:row>
      <xdr:rowOff>42333</xdr:rowOff>
    </xdr:to>
    <xdr:cxnSp macro="">
      <xdr:nvCxnSpPr>
        <xdr:cNvPr id="3529" name="Straight Arrow Connector 3528">
          <a:extLst>
            <a:ext uri="{FF2B5EF4-FFF2-40B4-BE49-F238E27FC236}">
              <a16:creationId xmlns:a16="http://schemas.microsoft.com/office/drawing/2014/main" id="{00000000-0008-0000-1300-0000C90D0000}"/>
            </a:ext>
          </a:extLst>
        </xdr:cNvPr>
        <xdr:cNvCxnSpPr/>
      </xdr:nvCxnSpPr>
      <xdr:spPr>
        <a:xfrm>
          <a:off x="11292416" y="26310167"/>
          <a:ext cx="571500" cy="211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1043</xdr:row>
      <xdr:rowOff>21167</xdr:rowOff>
    </xdr:from>
    <xdr:to>
      <xdr:col>16</xdr:col>
      <xdr:colOff>42333</xdr:colOff>
      <xdr:row>1048</xdr:row>
      <xdr:rowOff>21168</xdr:rowOff>
    </xdr:to>
    <xdr:cxnSp macro="">
      <xdr:nvCxnSpPr>
        <xdr:cNvPr id="3530" name="Straight Arrow Connector 3529">
          <a:extLst>
            <a:ext uri="{FF2B5EF4-FFF2-40B4-BE49-F238E27FC236}">
              <a16:creationId xmlns:a16="http://schemas.microsoft.com/office/drawing/2014/main" id="{00000000-0008-0000-1300-0000CA0D0000}"/>
            </a:ext>
          </a:extLst>
        </xdr:cNvPr>
        <xdr:cNvCxnSpPr/>
      </xdr:nvCxnSpPr>
      <xdr:spPr>
        <a:xfrm>
          <a:off x="11271250" y="26310167"/>
          <a:ext cx="666750" cy="9525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1043</xdr:row>
      <xdr:rowOff>31750</xdr:rowOff>
    </xdr:from>
    <xdr:to>
      <xdr:col>16</xdr:col>
      <xdr:colOff>42334</xdr:colOff>
      <xdr:row>1050</xdr:row>
      <xdr:rowOff>63501</xdr:rowOff>
    </xdr:to>
    <xdr:cxnSp macro="">
      <xdr:nvCxnSpPr>
        <xdr:cNvPr id="3531" name="Straight Arrow Connector 3530">
          <a:extLst>
            <a:ext uri="{FF2B5EF4-FFF2-40B4-BE49-F238E27FC236}">
              <a16:creationId xmlns:a16="http://schemas.microsoft.com/office/drawing/2014/main" id="{00000000-0008-0000-1300-0000CB0D0000}"/>
            </a:ext>
          </a:extLst>
        </xdr:cNvPr>
        <xdr:cNvCxnSpPr/>
      </xdr:nvCxnSpPr>
      <xdr:spPr>
        <a:xfrm>
          <a:off x="11281833" y="26320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571500</xdr:colOff>
      <xdr:row>1096</xdr:row>
      <xdr:rowOff>158750</xdr:rowOff>
    </xdr:from>
    <xdr:to>
      <xdr:col>11</xdr:col>
      <xdr:colOff>571500</xdr:colOff>
      <xdr:row>1099</xdr:row>
      <xdr:rowOff>0</xdr:rowOff>
    </xdr:to>
    <xdr:cxnSp macro="">
      <xdr:nvCxnSpPr>
        <xdr:cNvPr id="3532" name="Straight Arrow Connector 3531">
          <a:extLst>
            <a:ext uri="{FF2B5EF4-FFF2-40B4-BE49-F238E27FC236}">
              <a16:creationId xmlns:a16="http://schemas.microsoft.com/office/drawing/2014/main" id="{00000000-0008-0000-1300-0000CC0D0000}"/>
            </a:ext>
          </a:extLst>
        </xdr:cNvPr>
        <xdr:cNvCxnSpPr/>
      </xdr:nvCxnSpPr>
      <xdr:spPr>
        <a:xfrm flipV="1">
          <a:off x="7874000" y="36734750"/>
          <a:ext cx="613833" cy="412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1054</xdr:row>
      <xdr:rowOff>0</xdr:rowOff>
    </xdr:from>
    <xdr:to>
      <xdr:col>15</xdr:col>
      <xdr:colOff>603250</xdr:colOff>
      <xdr:row>1056</xdr:row>
      <xdr:rowOff>1</xdr:rowOff>
    </xdr:to>
    <xdr:cxnSp macro="">
      <xdr:nvCxnSpPr>
        <xdr:cNvPr id="3533" name="Straight Arrow Connector 3532">
          <a:extLst>
            <a:ext uri="{FF2B5EF4-FFF2-40B4-BE49-F238E27FC236}">
              <a16:creationId xmlns:a16="http://schemas.microsoft.com/office/drawing/2014/main" id="{00000000-0008-0000-1300-0000CD0D0000}"/>
            </a:ext>
          </a:extLst>
        </xdr:cNvPr>
        <xdr:cNvCxnSpPr/>
      </xdr:nvCxnSpPr>
      <xdr:spPr>
        <a:xfrm flipV="1">
          <a:off x="11271250" y="285750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1056</xdr:row>
      <xdr:rowOff>10584</xdr:rowOff>
    </xdr:from>
    <xdr:to>
      <xdr:col>15</xdr:col>
      <xdr:colOff>592666</xdr:colOff>
      <xdr:row>1057</xdr:row>
      <xdr:rowOff>95250</xdr:rowOff>
    </xdr:to>
    <xdr:cxnSp macro="">
      <xdr:nvCxnSpPr>
        <xdr:cNvPr id="3534" name="Straight Arrow Connector 3533">
          <a:extLst>
            <a:ext uri="{FF2B5EF4-FFF2-40B4-BE49-F238E27FC236}">
              <a16:creationId xmlns:a16="http://schemas.microsoft.com/office/drawing/2014/main" id="{00000000-0008-0000-1300-0000CE0D0000}"/>
            </a:ext>
          </a:extLst>
        </xdr:cNvPr>
        <xdr:cNvCxnSpPr/>
      </xdr:nvCxnSpPr>
      <xdr:spPr>
        <a:xfrm>
          <a:off x="11313583" y="289665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1056</xdr:row>
      <xdr:rowOff>10584</xdr:rowOff>
    </xdr:from>
    <xdr:to>
      <xdr:col>15</xdr:col>
      <xdr:colOff>560916</xdr:colOff>
      <xdr:row>1060</xdr:row>
      <xdr:rowOff>52917</xdr:rowOff>
    </xdr:to>
    <xdr:cxnSp macro="">
      <xdr:nvCxnSpPr>
        <xdr:cNvPr id="3535" name="Straight Arrow Connector 3534">
          <a:extLst>
            <a:ext uri="{FF2B5EF4-FFF2-40B4-BE49-F238E27FC236}">
              <a16:creationId xmlns:a16="http://schemas.microsoft.com/office/drawing/2014/main" id="{00000000-0008-0000-1300-0000CF0D0000}"/>
            </a:ext>
          </a:extLst>
        </xdr:cNvPr>
        <xdr:cNvCxnSpPr/>
      </xdr:nvCxnSpPr>
      <xdr:spPr>
        <a:xfrm>
          <a:off x="11292416" y="289665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1056</xdr:row>
      <xdr:rowOff>31750</xdr:rowOff>
    </xdr:from>
    <xdr:to>
      <xdr:col>16</xdr:col>
      <xdr:colOff>21167</xdr:colOff>
      <xdr:row>1063</xdr:row>
      <xdr:rowOff>95250</xdr:rowOff>
    </xdr:to>
    <xdr:cxnSp macro="">
      <xdr:nvCxnSpPr>
        <xdr:cNvPr id="3536" name="Straight Arrow Connector 3535">
          <a:extLst>
            <a:ext uri="{FF2B5EF4-FFF2-40B4-BE49-F238E27FC236}">
              <a16:creationId xmlns:a16="http://schemas.microsoft.com/office/drawing/2014/main" id="{00000000-0008-0000-1300-0000D00D0000}"/>
            </a:ext>
          </a:extLst>
        </xdr:cNvPr>
        <xdr:cNvCxnSpPr/>
      </xdr:nvCxnSpPr>
      <xdr:spPr>
        <a:xfrm>
          <a:off x="11324166" y="28987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1070</xdr:row>
      <xdr:rowOff>0</xdr:rowOff>
    </xdr:from>
    <xdr:to>
      <xdr:col>16</xdr:col>
      <xdr:colOff>0</xdr:colOff>
      <xdr:row>1070</xdr:row>
      <xdr:rowOff>42334</xdr:rowOff>
    </xdr:to>
    <xdr:cxnSp macro="">
      <xdr:nvCxnSpPr>
        <xdr:cNvPr id="3537" name="Straight Arrow Connector 3536">
          <a:extLst>
            <a:ext uri="{FF2B5EF4-FFF2-40B4-BE49-F238E27FC236}">
              <a16:creationId xmlns:a16="http://schemas.microsoft.com/office/drawing/2014/main" id="{00000000-0008-0000-1300-0000D10D0000}"/>
            </a:ext>
          </a:extLst>
        </xdr:cNvPr>
        <xdr:cNvCxnSpPr/>
      </xdr:nvCxnSpPr>
      <xdr:spPr>
        <a:xfrm>
          <a:off x="11302999" y="31623000"/>
          <a:ext cx="592668"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1070</xdr:row>
      <xdr:rowOff>21166</xdr:rowOff>
    </xdr:from>
    <xdr:to>
      <xdr:col>15</xdr:col>
      <xdr:colOff>560916</xdr:colOff>
      <xdr:row>1073</xdr:row>
      <xdr:rowOff>84667</xdr:rowOff>
    </xdr:to>
    <xdr:cxnSp macro="">
      <xdr:nvCxnSpPr>
        <xdr:cNvPr id="3538" name="Straight Arrow Connector 3537">
          <a:extLst>
            <a:ext uri="{FF2B5EF4-FFF2-40B4-BE49-F238E27FC236}">
              <a16:creationId xmlns:a16="http://schemas.microsoft.com/office/drawing/2014/main" id="{00000000-0008-0000-1300-0000D20D0000}"/>
            </a:ext>
          </a:extLst>
        </xdr:cNvPr>
        <xdr:cNvCxnSpPr/>
      </xdr:nvCxnSpPr>
      <xdr:spPr>
        <a:xfrm>
          <a:off x="11355916" y="316441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1070</xdr:row>
      <xdr:rowOff>52916</xdr:rowOff>
    </xdr:from>
    <xdr:to>
      <xdr:col>15</xdr:col>
      <xdr:colOff>592666</xdr:colOff>
      <xdr:row>1076</xdr:row>
      <xdr:rowOff>63501</xdr:rowOff>
    </xdr:to>
    <xdr:cxnSp macro="">
      <xdr:nvCxnSpPr>
        <xdr:cNvPr id="3539" name="Straight Arrow Connector 3538">
          <a:extLst>
            <a:ext uri="{FF2B5EF4-FFF2-40B4-BE49-F238E27FC236}">
              <a16:creationId xmlns:a16="http://schemas.microsoft.com/office/drawing/2014/main" id="{00000000-0008-0000-1300-0000D30D0000}"/>
            </a:ext>
          </a:extLst>
        </xdr:cNvPr>
        <xdr:cNvCxnSpPr/>
      </xdr:nvCxnSpPr>
      <xdr:spPr>
        <a:xfrm>
          <a:off x="11313583" y="316759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1084</xdr:row>
      <xdr:rowOff>116416</xdr:rowOff>
    </xdr:from>
    <xdr:to>
      <xdr:col>15</xdr:col>
      <xdr:colOff>592666</xdr:colOff>
      <xdr:row>1087</xdr:row>
      <xdr:rowOff>158750</xdr:rowOff>
    </xdr:to>
    <xdr:cxnSp macro="">
      <xdr:nvCxnSpPr>
        <xdr:cNvPr id="3540" name="Straight Arrow Connector 3539">
          <a:extLst>
            <a:ext uri="{FF2B5EF4-FFF2-40B4-BE49-F238E27FC236}">
              <a16:creationId xmlns:a16="http://schemas.microsoft.com/office/drawing/2014/main" id="{00000000-0008-0000-1300-0000D40D0000}"/>
            </a:ext>
          </a:extLst>
        </xdr:cNvPr>
        <xdr:cNvCxnSpPr/>
      </xdr:nvCxnSpPr>
      <xdr:spPr>
        <a:xfrm flipV="1">
          <a:off x="11302999" y="34406416"/>
          <a:ext cx="571500" cy="613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1086</xdr:row>
      <xdr:rowOff>95250</xdr:rowOff>
    </xdr:from>
    <xdr:to>
      <xdr:col>15</xdr:col>
      <xdr:colOff>582083</xdr:colOff>
      <xdr:row>1088</xdr:row>
      <xdr:rowOff>52917</xdr:rowOff>
    </xdr:to>
    <xdr:cxnSp macro="">
      <xdr:nvCxnSpPr>
        <xdr:cNvPr id="3541" name="Straight Arrow Connector 3540">
          <a:extLst>
            <a:ext uri="{FF2B5EF4-FFF2-40B4-BE49-F238E27FC236}">
              <a16:creationId xmlns:a16="http://schemas.microsoft.com/office/drawing/2014/main" id="{00000000-0008-0000-1300-0000D50D0000}"/>
            </a:ext>
          </a:extLst>
        </xdr:cNvPr>
        <xdr:cNvCxnSpPr/>
      </xdr:nvCxnSpPr>
      <xdr:spPr>
        <a:xfrm flipV="1">
          <a:off x="11345333" y="34766250"/>
          <a:ext cx="518583" cy="338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1088</xdr:row>
      <xdr:rowOff>116417</xdr:rowOff>
    </xdr:from>
    <xdr:to>
      <xdr:col>15</xdr:col>
      <xdr:colOff>592666</xdr:colOff>
      <xdr:row>1092</xdr:row>
      <xdr:rowOff>95250</xdr:rowOff>
    </xdr:to>
    <xdr:cxnSp macro="">
      <xdr:nvCxnSpPr>
        <xdr:cNvPr id="3542" name="Straight Arrow Connector 3541">
          <a:extLst>
            <a:ext uri="{FF2B5EF4-FFF2-40B4-BE49-F238E27FC236}">
              <a16:creationId xmlns:a16="http://schemas.microsoft.com/office/drawing/2014/main" id="{00000000-0008-0000-1300-0000D60D0000}"/>
            </a:ext>
          </a:extLst>
        </xdr:cNvPr>
        <xdr:cNvCxnSpPr/>
      </xdr:nvCxnSpPr>
      <xdr:spPr>
        <a:xfrm>
          <a:off x="11334749" y="35168417"/>
          <a:ext cx="53975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1099</xdr:row>
      <xdr:rowOff>116416</xdr:rowOff>
    </xdr:from>
    <xdr:to>
      <xdr:col>16</xdr:col>
      <xdr:colOff>0</xdr:colOff>
      <xdr:row>1106</xdr:row>
      <xdr:rowOff>74084</xdr:rowOff>
    </xdr:to>
    <xdr:cxnSp macro="">
      <xdr:nvCxnSpPr>
        <xdr:cNvPr id="3543" name="Straight Arrow Connector 3542">
          <a:extLst>
            <a:ext uri="{FF2B5EF4-FFF2-40B4-BE49-F238E27FC236}">
              <a16:creationId xmlns:a16="http://schemas.microsoft.com/office/drawing/2014/main" id="{00000000-0008-0000-1300-0000D70D0000}"/>
            </a:ext>
          </a:extLst>
        </xdr:cNvPr>
        <xdr:cNvCxnSpPr/>
      </xdr:nvCxnSpPr>
      <xdr:spPr>
        <a:xfrm>
          <a:off x="11313583" y="37263916"/>
          <a:ext cx="582084" cy="12911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1067</xdr:row>
      <xdr:rowOff>52917</xdr:rowOff>
    </xdr:from>
    <xdr:to>
      <xdr:col>15</xdr:col>
      <xdr:colOff>603250</xdr:colOff>
      <xdr:row>1069</xdr:row>
      <xdr:rowOff>148167</xdr:rowOff>
    </xdr:to>
    <xdr:cxnSp macro="">
      <xdr:nvCxnSpPr>
        <xdr:cNvPr id="3544" name="Straight Arrow Connector 3543">
          <a:extLst>
            <a:ext uri="{FF2B5EF4-FFF2-40B4-BE49-F238E27FC236}">
              <a16:creationId xmlns:a16="http://schemas.microsoft.com/office/drawing/2014/main" id="{00000000-0008-0000-1300-0000D80D0000}"/>
            </a:ext>
          </a:extLst>
        </xdr:cNvPr>
        <xdr:cNvCxnSpPr/>
      </xdr:nvCxnSpPr>
      <xdr:spPr>
        <a:xfrm flipV="1">
          <a:off x="11324166" y="311044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1102</xdr:row>
      <xdr:rowOff>42333</xdr:rowOff>
    </xdr:from>
    <xdr:to>
      <xdr:col>11</xdr:col>
      <xdr:colOff>603250</xdr:colOff>
      <xdr:row>1114</xdr:row>
      <xdr:rowOff>10583</xdr:rowOff>
    </xdr:to>
    <xdr:cxnSp macro="">
      <xdr:nvCxnSpPr>
        <xdr:cNvPr id="3545" name="Straight Arrow Connector 3544">
          <a:extLst>
            <a:ext uri="{FF2B5EF4-FFF2-40B4-BE49-F238E27FC236}">
              <a16:creationId xmlns:a16="http://schemas.microsoft.com/office/drawing/2014/main" id="{00000000-0008-0000-1300-0000D90D0000}"/>
            </a:ext>
          </a:extLst>
        </xdr:cNvPr>
        <xdr:cNvCxnSpPr/>
      </xdr:nvCxnSpPr>
      <xdr:spPr>
        <a:xfrm>
          <a:off x="7926917" y="377613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1092</xdr:row>
      <xdr:rowOff>21167</xdr:rowOff>
    </xdr:from>
    <xdr:to>
      <xdr:col>13</xdr:col>
      <xdr:colOff>592667</xdr:colOff>
      <xdr:row>1094</xdr:row>
      <xdr:rowOff>0</xdr:rowOff>
    </xdr:to>
    <xdr:cxnSp macro="">
      <xdr:nvCxnSpPr>
        <xdr:cNvPr id="3546" name="Straight Arrow Connector 3545">
          <a:extLst>
            <a:ext uri="{FF2B5EF4-FFF2-40B4-BE49-F238E27FC236}">
              <a16:creationId xmlns:a16="http://schemas.microsoft.com/office/drawing/2014/main" id="{00000000-0008-0000-1300-0000DA0D0000}"/>
            </a:ext>
          </a:extLst>
        </xdr:cNvPr>
        <xdr:cNvCxnSpPr/>
      </xdr:nvCxnSpPr>
      <xdr:spPr>
        <a:xfrm flipV="1">
          <a:off x="9133417" y="35835167"/>
          <a:ext cx="984250"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1097</xdr:row>
      <xdr:rowOff>21166</xdr:rowOff>
    </xdr:from>
    <xdr:to>
      <xdr:col>13</xdr:col>
      <xdr:colOff>592667</xdr:colOff>
      <xdr:row>1098</xdr:row>
      <xdr:rowOff>169334</xdr:rowOff>
    </xdr:to>
    <xdr:cxnSp macro="">
      <xdr:nvCxnSpPr>
        <xdr:cNvPr id="3547" name="Straight Arrow Connector 3546">
          <a:extLst>
            <a:ext uri="{FF2B5EF4-FFF2-40B4-BE49-F238E27FC236}">
              <a16:creationId xmlns:a16="http://schemas.microsoft.com/office/drawing/2014/main" id="{00000000-0008-0000-1300-0000DB0D0000}"/>
            </a:ext>
          </a:extLst>
        </xdr:cNvPr>
        <xdr:cNvCxnSpPr/>
      </xdr:nvCxnSpPr>
      <xdr:spPr>
        <a:xfrm>
          <a:off x="9122833" y="36787666"/>
          <a:ext cx="994834"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1112</xdr:row>
      <xdr:rowOff>21167</xdr:rowOff>
    </xdr:from>
    <xdr:to>
      <xdr:col>13</xdr:col>
      <xdr:colOff>592667</xdr:colOff>
      <xdr:row>1114</xdr:row>
      <xdr:rowOff>63500</xdr:rowOff>
    </xdr:to>
    <xdr:cxnSp macro="">
      <xdr:nvCxnSpPr>
        <xdr:cNvPr id="3548" name="Straight Arrow Connector 3547">
          <a:extLst>
            <a:ext uri="{FF2B5EF4-FFF2-40B4-BE49-F238E27FC236}">
              <a16:creationId xmlns:a16="http://schemas.microsoft.com/office/drawing/2014/main" id="{00000000-0008-0000-1300-0000DC0D0000}"/>
            </a:ext>
          </a:extLst>
        </xdr:cNvPr>
        <xdr:cNvCxnSpPr/>
      </xdr:nvCxnSpPr>
      <xdr:spPr>
        <a:xfrm flipV="1">
          <a:off x="9525000" y="398356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1117</xdr:row>
      <xdr:rowOff>0</xdr:rowOff>
    </xdr:from>
    <xdr:to>
      <xdr:col>14</xdr:col>
      <xdr:colOff>10584</xdr:colOff>
      <xdr:row>1125</xdr:row>
      <xdr:rowOff>148167</xdr:rowOff>
    </xdr:to>
    <xdr:cxnSp macro="">
      <xdr:nvCxnSpPr>
        <xdr:cNvPr id="3549" name="Straight Arrow Connector 3548">
          <a:extLst>
            <a:ext uri="{FF2B5EF4-FFF2-40B4-BE49-F238E27FC236}">
              <a16:creationId xmlns:a16="http://schemas.microsoft.com/office/drawing/2014/main" id="{00000000-0008-0000-1300-0000DD0D0000}"/>
            </a:ext>
          </a:extLst>
        </xdr:cNvPr>
        <xdr:cNvCxnSpPr/>
      </xdr:nvCxnSpPr>
      <xdr:spPr>
        <a:xfrm>
          <a:off x="9535583" y="40767000"/>
          <a:ext cx="613834"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1088</xdr:row>
      <xdr:rowOff>95250</xdr:rowOff>
    </xdr:from>
    <xdr:to>
      <xdr:col>15</xdr:col>
      <xdr:colOff>582083</xdr:colOff>
      <xdr:row>1090</xdr:row>
      <xdr:rowOff>137583</xdr:rowOff>
    </xdr:to>
    <xdr:cxnSp macro="">
      <xdr:nvCxnSpPr>
        <xdr:cNvPr id="3550" name="Straight Arrow Connector 3549">
          <a:extLst>
            <a:ext uri="{FF2B5EF4-FFF2-40B4-BE49-F238E27FC236}">
              <a16:creationId xmlns:a16="http://schemas.microsoft.com/office/drawing/2014/main" id="{00000000-0008-0000-1300-0000DE0D0000}"/>
            </a:ext>
          </a:extLst>
        </xdr:cNvPr>
        <xdr:cNvCxnSpPr/>
      </xdr:nvCxnSpPr>
      <xdr:spPr>
        <a:xfrm>
          <a:off x="11334749" y="35147250"/>
          <a:ext cx="5291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1097</xdr:row>
      <xdr:rowOff>52916</xdr:rowOff>
    </xdr:from>
    <xdr:to>
      <xdr:col>16</xdr:col>
      <xdr:colOff>0</xdr:colOff>
      <xdr:row>1099</xdr:row>
      <xdr:rowOff>0</xdr:rowOff>
    </xdr:to>
    <xdr:cxnSp macro="">
      <xdr:nvCxnSpPr>
        <xdr:cNvPr id="3551" name="Straight Arrow Connector 3550">
          <a:extLst>
            <a:ext uri="{FF2B5EF4-FFF2-40B4-BE49-F238E27FC236}">
              <a16:creationId xmlns:a16="http://schemas.microsoft.com/office/drawing/2014/main" id="{00000000-0008-0000-1300-0000DF0D0000}"/>
            </a:ext>
          </a:extLst>
        </xdr:cNvPr>
        <xdr:cNvCxnSpPr/>
      </xdr:nvCxnSpPr>
      <xdr:spPr>
        <a:xfrm flipV="1">
          <a:off x="11281833" y="36819416"/>
          <a:ext cx="613834"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1099</xdr:row>
      <xdr:rowOff>21167</xdr:rowOff>
    </xdr:from>
    <xdr:to>
      <xdr:col>15</xdr:col>
      <xdr:colOff>592666</xdr:colOff>
      <xdr:row>1100</xdr:row>
      <xdr:rowOff>84667</xdr:rowOff>
    </xdr:to>
    <xdr:cxnSp macro="">
      <xdr:nvCxnSpPr>
        <xdr:cNvPr id="3552" name="Straight Arrow Connector 3551">
          <a:extLst>
            <a:ext uri="{FF2B5EF4-FFF2-40B4-BE49-F238E27FC236}">
              <a16:creationId xmlns:a16="http://schemas.microsoft.com/office/drawing/2014/main" id="{00000000-0008-0000-1300-0000E00D0000}"/>
            </a:ext>
          </a:extLst>
        </xdr:cNvPr>
        <xdr:cNvCxnSpPr/>
      </xdr:nvCxnSpPr>
      <xdr:spPr>
        <a:xfrm>
          <a:off x="11271250" y="37168667"/>
          <a:ext cx="603249" cy="25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1099</xdr:row>
      <xdr:rowOff>0</xdr:rowOff>
    </xdr:from>
    <xdr:to>
      <xdr:col>16</xdr:col>
      <xdr:colOff>0</xdr:colOff>
      <xdr:row>1103</xdr:row>
      <xdr:rowOff>42334</xdr:rowOff>
    </xdr:to>
    <xdr:cxnSp macro="">
      <xdr:nvCxnSpPr>
        <xdr:cNvPr id="3553" name="Straight Arrow Connector 3552">
          <a:extLst>
            <a:ext uri="{FF2B5EF4-FFF2-40B4-BE49-F238E27FC236}">
              <a16:creationId xmlns:a16="http://schemas.microsoft.com/office/drawing/2014/main" id="{00000000-0008-0000-1300-0000E10D0000}"/>
            </a:ext>
          </a:extLst>
        </xdr:cNvPr>
        <xdr:cNvCxnSpPr/>
      </xdr:nvCxnSpPr>
      <xdr:spPr>
        <a:xfrm>
          <a:off x="11271250" y="37147500"/>
          <a:ext cx="624417" cy="804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1110</xdr:row>
      <xdr:rowOff>0</xdr:rowOff>
    </xdr:from>
    <xdr:to>
      <xdr:col>15</xdr:col>
      <xdr:colOff>603250</xdr:colOff>
      <xdr:row>1112</xdr:row>
      <xdr:rowOff>1</xdr:rowOff>
    </xdr:to>
    <xdr:cxnSp macro="">
      <xdr:nvCxnSpPr>
        <xdr:cNvPr id="3554" name="Straight Arrow Connector 3553">
          <a:extLst>
            <a:ext uri="{FF2B5EF4-FFF2-40B4-BE49-F238E27FC236}">
              <a16:creationId xmlns:a16="http://schemas.microsoft.com/office/drawing/2014/main" id="{00000000-0008-0000-1300-0000E20D0000}"/>
            </a:ext>
          </a:extLst>
        </xdr:cNvPr>
        <xdr:cNvCxnSpPr/>
      </xdr:nvCxnSpPr>
      <xdr:spPr>
        <a:xfrm flipV="1">
          <a:off x="11271250" y="394335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1112</xdr:row>
      <xdr:rowOff>10584</xdr:rowOff>
    </xdr:from>
    <xdr:to>
      <xdr:col>15</xdr:col>
      <xdr:colOff>592666</xdr:colOff>
      <xdr:row>1113</xdr:row>
      <xdr:rowOff>95250</xdr:rowOff>
    </xdr:to>
    <xdr:cxnSp macro="">
      <xdr:nvCxnSpPr>
        <xdr:cNvPr id="3555" name="Straight Arrow Connector 3554">
          <a:extLst>
            <a:ext uri="{FF2B5EF4-FFF2-40B4-BE49-F238E27FC236}">
              <a16:creationId xmlns:a16="http://schemas.microsoft.com/office/drawing/2014/main" id="{00000000-0008-0000-1300-0000E30D0000}"/>
            </a:ext>
          </a:extLst>
        </xdr:cNvPr>
        <xdr:cNvCxnSpPr/>
      </xdr:nvCxnSpPr>
      <xdr:spPr>
        <a:xfrm>
          <a:off x="11313583" y="398250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1112</xdr:row>
      <xdr:rowOff>10584</xdr:rowOff>
    </xdr:from>
    <xdr:to>
      <xdr:col>15</xdr:col>
      <xdr:colOff>560916</xdr:colOff>
      <xdr:row>1116</xdr:row>
      <xdr:rowOff>52917</xdr:rowOff>
    </xdr:to>
    <xdr:cxnSp macro="">
      <xdr:nvCxnSpPr>
        <xdr:cNvPr id="3556" name="Straight Arrow Connector 3555">
          <a:extLst>
            <a:ext uri="{FF2B5EF4-FFF2-40B4-BE49-F238E27FC236}">
              <a16:creationId xmlns:a16="http://schemas.microsoft.com/office/drawing/2014/main" id="{00000000-0008-0000-1300-0000E40D0000}"/>
            </a:ext>
          </a:extLst>
        </xdr:cNvPr>
        <xdr:cNvCxnSpPr/>
      </xdr:nvCxnSpPr>
      <xdr:spPr>
        <a:xfrm>
          <a:off x="11292416" y="398250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1112</xdr:row>
      <xdr:rowOff>31750</xdr:rowOff>
    </xdr:from>
    <xdr:to>
      <xdr:col>16</xdr:col>
      <xdr:colOff>21167</xdr:colOff>
      <xdr:row>1119</xdr:row>
      <xdr:rowOff>95250</xdr:rowOff>
    </xdr:to>
    <xdr:cxnSp macro="">
      <xdr:nvCxnSpPr>
        <xdr:cNvPr id="3557" name="Straight Arrow Connector 3556">
          <a:extLst>
            <a:ext uri="{FF2B5EF4-FFF2-40B4-BE49-F238E27FC236}">
              <a16:creationId xmlns:a16="http://schemas.microsoft.com/office/drawing/2014/main" id="{00000000-0008-0000-1300-0000E50D0000}"/>
            </a:ext>
          </a:extLst>
        </xdr:cNvPr>
        <xdr:cNvCxnSpPr/>
      </xdr:nvCxnSpPr>
      <xdr:spPr>
        <a:xfrm>
          <a:off x="11324166" y="39846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1126</xdr:row>
      <xdr:rowOff>0</xdr:rowOff>
    </xdr:from>
    <xdr:to>
      <xdr:col>16</xdr:col>
      <xdr:colOff>0</xdr:colOff>
      <xdr:row>1126</xdr:row>
      <xdr:rowOff>42334</xdr:rowOff>
    </xdr:to>
    <xdr:cxnSp macro="">
      <xdr:nvCxnSpPr>
        <xdr:cNvPr id="3558" name="Straight Arrow Connector 3557">
          <a:extLst>
            <a:ext uri="{FF2B5EF4-FFF2-40B4-BE49-F238E27FC236}">
              <a16:creationId xmlns:a16="http://schemas.microsoft.com/office/drawing/2014/main" id="{00000000-0008-0000-1300-0000E60D0000}"/>
            </a:ext>
          </a:extLst>
        </xdr:cNvPr>
        <xdr:cNvCxnSpPr/>
      </xdr:nvCxnSpPr>
      <xdr:spPr>
        <a:xfrm>
          <a:off x="11302999" y="42481500"/>
          <a:ext cx="592668"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1126</xdr:row>
      <xdr:rowOff>21166</xdr:rowOff>
    </xdr:from>
    <xdr:to>
      <xdr:col>15</xdr:col>
      <xdr:colOff>560916</xdr:colOff>
      <xdr:row>1129</xdr:row>
      <xdr:rowOff>84667</xdr:rowOff>
    </xdr:to>
    <xdr:cxnSp macro="">
      <xdr:nvCxnSpPr>
        <xdr:cNvPr id="3559" name="Straight Arrow Connector 3558">
          <a:extLst>
            <a:ext uri="{FF2B5EF4-FFF2-40B4-BE49-F238E27FC236}">
              <a16:creationId xmlns:a16="http://schemas.microsoft.com/office/drawing/2014/main" id="{00000000-0008-0000-1300-0000E70D0000}"/>
            </a:ext>
          </a:extLst>
        </xdr:cNvPr>
        <xdr:cNvCxnSpPr/>
      </xdr:nvCxnSpPr>
      <xdr:spPr>
        <a:xfrm>
          <a:off x="11355916" y="425026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1126</xdr:row>
      <xdr:rowOff>52916</xdr:rowOff>
    </xdr:from>
    <xdr:to>
      <xdr:col>15</xdr:col>
      <xdr:colOff>592666</xdr:colOff>
      <xdr:row>1132</xdr:row>
      <xdr:rowOff>63501</xdr:rowOff>
    </xdr:to>
    <xdr:cxnSp macro="">
      <xdr:nvCxnSpPr>
        <xdr:cNvPr id="3560" name="Straight Arrow Connector 3559">
          <a:extLst>
            <a:ext uri="{FF2B5EF4-FFF2-40B4-BE49-F238E27FC236}">
              <a16:creationId xmlns:a16="http://schemas.microsoft.com/office/drawing/2014/main" id="{00000000-0008-0000-1300-0000E80D0000}"/>
            </a:ext>
          </a:extLst>
        </xdr:cNvPr>
        <xdr:cNvCxnSpPr/>
      </xdr:nvCxnSpPr>
      <xdr:spPr>
        <a:xfrm>
          <a:off x="11313583" y="425344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1123</xdr:row>
      <xdr:rowOff>52917</xdr:rowOff>
    </xdr:from>
    <xdr:to>
      <xdr:col>15</xdr:col>
      <xdr:colOff>603250</xdr:colOff>
      <xdr:row>1125</xdr:row>
      <xdr:rowOff>148167</xdr:rowOff>
    </xdr:to>
    <xdr:cxnSp macro="">
      <xdr:nvCxnSpPr>
        <xdr:cNvPr id="3561" name="Straight Arrow Connector 3560">
          <a:extLst>
            <a:ext uri="{FF2B5EF4-FFF2-40B4-BE49-F238E27FC236}">
              <a16:creationId xmlns:a16="http://schemas.microsoft.com/office/drawing/2014/main" id="{00000000-0008-0000-1300-0000E90D0000}"/>
            </a:ext>
          </a:extLst>
        </xdr:cNvPr>
        <xdr:cNvCxnSpPr/>
      </xdr:nvCxnSpPr>
      <xdr:spPr>
        <a:xfrm flipV="1">
          <a:off x="11324166" y="419629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1099</xdr:row>
      <xdr:rowOff>31750</xdr:rowOff>
    </xdr:from>
    <xdr:to>
      <xdr:col>16</xdr:col>
      <xdr:colOff>42334</xdr:colOff>
      <xdr:row>1106</xdr:row>
      <xdr:rowOff>63501</xdr:rowOff>
    </xdr:to>
    <xdr:cxnSp macro="">
      <xdr:nvCxnSpPr>
        <xdr:cNvPr id="3562" name="Straight Arrow Connector 3561">
          <a:extLst>
            <a:ext uri="{FF2B5EF4-FFF2-40B4-BE49-F238E27FC236}">
              <a16:creationId xmlns:a16="http://schemas.microsoft.com/office/drawing/2014/main" id="{00000000-0008-0000-1300-0000EA0D0000}"/>
            </a:ext>
          </a:extLst>
        </xdr:cNvPr>
        <xdr:cNvCxnSpPr/>
      </xdr:nvCxnSpPr>
      <xdr:spPr>
        <a:xfrm>
          <a:off x="11281833" y="37179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1112</xdr:row>
      <xdr:rowOff>31750</xdr:rowOff>
    </xdr:from>
    <xdr:to>
      <xdr:col>16</xdr:col>
      <xdr:colOff>21167</xdr:colOff>
      <xdr:row>1119</xdr:row>
      <xdr:rowOff>95250</xdr:rowOff>
    </xdr:to>
    <xdr:cxnSp macro="">
      <xdr:nvCxnSpPr>
        <xdr:cNvPr id="3563" name="Straight Arrow Connector 3562">
          <a:extLst>
            <a:ext uri="{FF2B5EF4-FFF2-40B4-BE49-F238E27FC236}">
              <a16:creationId xmlns:a16="http://schemas.microsoft.com/office/drawing/2014/main" id="{00000000-0008-0000-1300-0000EB0D0000}"/>
            </a:ext>
          </a:extLst>
        </xdr:cNvPr>
        <xdr:cNvCxnSpPr/>
      </xdr:nvCxnSpPr>
      <xdr:spPr>
        <a:xfrm>
          <a:off x="11324166" y="39846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1168</xdr:row>
      <xdr:rowOff>31750</xdr:rowOff>
    </xdr:from>
    <xdr:to>
      <xdr:col>16</xdr:col>
      <xdr:colOff>21167</xdr:colOff>
      <xdr:row>1175</xdr:row>
      <xdr:rowOff>95250</xdr:rowOff>
    </xdr:to>
    <xdr:cxnSp macro="">
      <xdr:nvCxnSpPr>
        <xdr:cNvPr id="3564" name="Straight Arrow Connector 3563">
          <a:extLst>
            <a:ext uri="{FF2B5EF4-FFF2-40B4-BE49-F238E27FC236}">
              <a16:creationId xmlns:a16="http://schemas.microsoft.com/office/drawing/2014/main" id="{00000000-0008-0000-1300-0000EC0D0000}"/>
            </a:ext>
          </a:extLst>
        </xdr:cNvPr>
        <xdr:cNvCxnSpPr/>
      </xdr:nvCxnSpPr>
      <xdr:spPr>
        <a:xfrm>
          <a:off x="11324166" y="50704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1168</xdr:row>
      <xdr:rowOff>31750</xdr:rowOff>
    </xdr:from>
    <xdr:to>
      <xdr:col>16</xdr:col>
      <xdr:colOff>21167</xdr:colOff>
      <xdr:row>1175</xdr:row>
      <xdr:rowOff>95250</xdr:rowOff>
    </xdr:to>
    <xdr:cxnSp macro="">
      <xdr:nvCxnSpPr>
        <xdr:cNvPr id="3565" name="Straight Arrow Connector 3564">
          <a:extLst>
            <a:ext uri="{FF2B5EF4-FFF2-40B4-BE49-F238E27FC236}">
              <a16:creationId xmlns:a16="http://schemas.microsoft.com/office/drawing/2014/main" id="{00000000-0008-0000-1300-0000ED0D0000}"/>
            </a:ext>
          </a:extLst>
        </xdr:cNvPr>
        <xdr:cNvCxnSpPr/>
      </xdr:nvCxnSpPr>
      <xdr:spPr>
        <a:xfrm>
          <a:off x="11324166" y="50704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1155</xdr:row>
      <xdr:rowOff>31750</xdr:rowOff>
    </xdr:from>
    <xdr:to>
      <xdr:col>16</xdr:col>
      <xdr:colOff>42334</xdr:colOff>
      <xdr:row>1162</xdr:row>
      <xdr:rowOff>63501</xdr:rowOff>
    </xdr:to>
    <xdr:cxnSp macro="">
      <xdr:nvCxnSpPr>
        <xdr:cNvPr id="3566" name="Straight Arrow Connector 3565">
          <a:extLst>
            <a:ext uri="{FF2B5EF4-FFF2-40B4-BE49-F238E27FC236}">
              <a16:creationId xmlns:a16="http://schemas.microsoft.com/office/drawing/2014/main" id="{00000000-0008-0000-1300-0000EE0D0000}"/>
            </a:ext>
          </a:extLst>
        </xdr:cNvPr>
        <xdr:cNvCxnSpPr/>
      </xdr:nvCxnSpPr>
      <xdr:spPr>
        <a:xfrm>
          <a:off x="11281833" y="48037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1168</xdr:row>
      <xdr:rowOff>31750</xdr:rowOff>
    </xdr:from>
    <xdr:to>
      <xdr:col>16</xdr:col>
      <xdr:colOff>21167</xdr:colOff>
      <xdr:row>1175</xdr:row>
      <xdr:rowOff>95250</xdr:rowOff>
    </xdr:to>
    <xdr:cxnSp macro="">
      <xdr:nvCxnSpPr>
        <xdr:cNvPr id="3567" name="Straight Arrow Connector 3566">
          <a:extLst>
            <a:ext uri="{FF2B5EF4-FFF2-40B4-BE49-F238E27FC236}">
              <a16:creationId xmlns:a16="http://schemas.microsoft.com/office/drawing/2014/main" id="{00000000-0008-0000-1300-0000EF0D0000}"/>
            </a:ext>
          </a:extLst>
        </xdr:cNvPr>
        <xdr:cNvCxnSpPr/>
      </xdr:nvCxnSpPr>
      <xdr:spPr>
        <a:xfrm>
          <a:off x="11324166" y="50704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1238</xdr:row>
      <xdr:rowOff>21167</xdr:rowOff>
    </xdr:from>
    <xdr:to>
      <xdr:col>15</xdr:col>
      <xdr:colOff>592666</xdr:colOff>
      <xdr:row>1239</xdr:row>
      <xdr:rowOff>84667</xdr:rowOff>
    </xdr:to>
    <xdr:cxnSp macro="">
      <xdr:nvCxnSpPr>
        <xdr:cNvPr id="3568" name="Straight Arrow Connector 3567">
          <a:extLst>
            <a:ext uri="{FF2B5EF4-FFF2-40B4-BE49-F238E27FC236}">
              <a16:creationId xmlns:a16="http://schemas.microsoft.com/office/drawing/2014/main" id="{00000000-0008-0000-1300-0000F00D0000}"/>
            </a:ext>
          </a:extLst>
        </xdr:cNvPr>
        <xdr:cNvCxnSpPr/>
      </xdr:nvCxnSpPr>
      <xdr:spPr>
        <a:xfrm>
          <a:off x="11271250" y="64219667"/>
          <a:ext cx="603249" cy="25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1211</xdr:row>
      <xdr:rowOff>31750</xdr:rowOff>
    </xdr:from>
    <xdr:to>
      <xdr:col>16</xdr:col>
      <xdr:colOff>42334</xdr:colOff>
      <xdr:row>1218</xdr:row>
      <xdr:rowOff>63501</xdr:rowOff>
    </xdr:to>
    <xdr:cxnSp macro="">
      <xdr:nvCxnSpPr>
        <xdr:cNvPr id="3569" name="Straight Arrow Connector 3568">
          <a:extLst>
            <a:ext uri="{FF2B5EF4-FFF2-40B4-BE49-F238E27FC236}">
              <a16:creationId xmlns:a16="http://schemas.microsoft.com/office/drawing/2014/main" id="{00000000-0008-0000-1300-0000F10D0000}"/>
            </a:ext>
          </a:extLst>
        </xdr:cNvPr>
        <xdr:cNvCxnSpPr/>
      </xdr:nvCxnSpPr>
      <xdr:spPr>
        <a:xfrm>
          <a:off x="11281833" y="58896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1224</xdr:row>
      <xdr:rowOff>31750</xdr:rowOff>
    </xdr:from>
    <xdr:to>
      <xdr:col>16</xdr:col>
      <xdr:colOff>21167</xdr:colOff>
      <xdr:row>1231</xdr:row>
      <xdr:rowOff>95250</xdr:rowOff>
    </xdr:to>
    <xdr:cxnSp macro="">
      <xdr:nvCxnSpPr>
        <xdr:cNvPr id="3570" name="Straight Arrow Connector 3569">
          <a:extLst>
            <a:ext uri="{FF2B5EF4-FFF2-40B4-BE49-F238E27FC236}">
              <a16:creationId xmlns:a16="http://schemas.microsoft.com/office/drawing/2014/main" id="{00000000-0008-0000-1300-0000F20D0000}"/>
            </a:ext>
          </a:extLst>
        </xdr:cNvPr>
        <xdr:cNvCxnSpPr/>
      </xdr:nvCxnSpPr>
      <xdr:spPr>
        <a:xfrm>
          <a:off x="11324166" y="61563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1224</xdr:row>
      <xdr:rowOff>31750</xdr:rowOff>
    </xdr:from>
    <xdr:to>
      <xdr:col>16</xdr:col>
      <xdr:colOff>21167</xdr:colOff>
      <xdr:row>1231</xdr:row>
      <xdr:rowOff>95250</xdr:rowOff>
    </xdr:to>
    <xdr:cxnSp macro="">
      <xdr:nvCxnSpPr>
        <xdr:cNvPr id="3571" name="Straight Arrow Connector 3570">
          <a:extLst>
            <a:ext uri="{FF2B5EF4-FFF2-40B4-BE49-F238E27FC236}">
              <a16:creationId xmlns:a16="http://schemas.microsoft.com/office/drawing/2014/main" id="{00000000-0008-0000-1300-0000F30D0000}"/>
            </a:ext>
          </a:extLst>
        </xdr:cNvPr>
        <xdr:cNvCxnSpPr/>
      </xdr:nvCxnSpPr>
      <xdr:spPr>
        <a:xfrm>
          <a:off x="11324166" y="61563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1224</xdr:row>
      <xdr:rowOff>31750</xdr:rowOff>
    </xdr:from>
    <xdr:to>
      <xdr:col>16</xdr:col>
      <xdr:colOff>21167</xdr:colOff>
      <xdr:row>1231</xdr:row>
      <xdr:rowOff>95250</xdr:rowOff>
    </xdr:to>
    <xdr:cxnSp macro="">
      <xdr:nvCxnSpPr>
        <xdr:cNvPr id="3572" name="Straight Arrow Connector 3571">
          <a:extLst>
            <a:ext uri="{FF2B5EF4-FFF2-40B4-BE49-F238E27FC236}">
              <a16:creationId xmlns:a16="http://schemas.microsoft.com/office/drawing/2014/main" id="{00000000-0008-0000-1300-0000F40D0000}"/>
            </a:ext>
          </a:extLst>
        </xdr:cNvPr>
        <xdr:cNvCxnSpPr/>
      </xdr:nvCxnSpPr>
      <xdr:spPr>
        <a:xfrm>
          <a:off x="11324166" y="61563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1211</xdr:row>
      <xdr:rowOff>31750</xdr:rowOff>
    </xdr:from>
    <xdr:to>
      <xdr:col>16</xdr:col>
      <xdr:colOff>42334</xdr:colOff>
      <xdr:row>1218</xdr:row>
      <xdr:rowOff>63501</xdr:rowOff>
    </xdr:to>
    <xdr:cxnSp macro="">
      <xdr:nvCxnSpPr>
        <xdr:cNvPr id="3573" name="Straight Arrow Connector 3572">
          <a:extLst>
            <a:ext uri="{FF2B5EF4-FFF2-40B4-BE49-F238E27FC236}">
              <a16:creationId xmlns:a16="http://schemas.microsoft.com/office/drawing/2014/main" id="{00000000-0008-0000-1300-0000F50D0000}"/>
            </a:ext>
          </a:extLst>
        </xdr:cNvPr>
        <xdr:cNvCxnSpPr/>
      </xdr:nvCxnSpPr>
      <xdr:spPr>
        <a:xfrm>
          <a:off x="11281833" y="58896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1224</xdr:row>
      <xdr:rowOff>31750</xdr:rowOff>
    </xdr:from>
    <xdr:to>
      <xdr:col>16</xdr:col>
      <xdr:colOff>21167</xdr:colOff>
      <xdr:row>1231</xdr:row>
      <xdr:rowOff>95250</xdr:rowOff>
    </xdr:to>
    <xdr:cxnSp macro="">
      <xdr:nvCxnSpPr>
        <xdr:cNvPr id="3574" name="Straight Arrow Connector 3573">
          <a:extLst>
            <a:ext uri="{FF2B5EF4-FFF2-40B4-BE49-F238E27FC236}">
              <a16:creationId xmlns:a16="http://schemas.microsoft.com/office/drawing/2014/main" id="{00000000-0008-0000-1300-0000F60D0000}"/>
            </a:ext>
          </a:extLst>
        </xdr:cNvPr>
        <xdr:cNvCxnSpPr/>
      </xdr:nvCxnSpPr>
      <xdr:spPr>
        <a:xfrm>
          <a:off x="11324166" y="61563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21167</xdr:colOff>
      <xdr:row>1264</xdr:row>
      <xdr:rowOff>169333</xdr:rowOff>
    </xdr:from>
    <xdr:to>
      <xdr:col>11</xdr:col>
      <xdr:colOff>603250</xdr:colOff>
      <xdr:row>1267</xdr:row>
      <xdr:rowOff>21167</xdr:rowOff>
    </xdr:to>
    <xdr:cxnSp macro="">
      <xdr:nvCxnSpPr>
        <xdr:cNvPr id="3575" name="Straight Arrow Connector 3574">
          <a:extLst>
            <a:ext uri="{FF2B5EF4-FFF2-40B4-BE49-F238E27FC236}">
              <a16:creationId xmlns:a16="http://schemas.microsoft.com/office/drawing/2014/main" id="{00000000-0008-0000-1300-0000F70D0000}"/>
            </a:ext>
          </a:extLst>
        </xdr:cNvPr>
        <xdr:cNvCxnSpPr/>
      </xdr:nvCxnSpPr>
      <xdr:spPr>
        <a:xfrm flipV="1">
          <a:off x="7937500" y="69320833"/>
          <a:ext cx="582083" cy="423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1270</xdr:row>
      <xdr:rowOff>42333</xdr:rowOff>
    </xdr:from>
    <xdr:to>
      <xdr:col>11</xdr:col>
      <xdr:colOff>603250</xdr:colOff>
      <xdr:row>1282</xdr:row>
      <xdr:rowOff>10583</xdr:rowOff>
    </xdr:to>
    <xdr:cxnSp macro="">
      <xdr:nvCxnSpPr>
        <xdr:cNvPr id="3576" name="Straight Arrow Connector 3575">
          <a:extLst>
            <a:ext uri="{FF2B5EF4-FFF2-40B4-BE49-F238E27FC236}">
              <a16:creationId xmlns:a16="http://schemas.microsoft.com/office/drawing/2014/main" id="{00000000-0008-0000-1300-0000F80D0000}"/>
            </a:ext>
          </a:extLst>
        </xdr:cNvPr>
        <xdr:cNvCxnSpPr/>
      </xdr:nvCxnSpPr>
      <xdr:spPr>
        <a:xfrm>
          <a:off x="7926917" y="703368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1260</xdr:row>
      <xdr:rowOff>21167</xdr:rowOff>
    </xdr:from>
    <xdr:to>
      <xdr:col>13</xdr:col>
      <xdr:colOff>592667</xdr:colOff>
      <xdr:row>1262</xdr:row>
      <xdr:rowOff>0</xdr:rowOff>
    </xdr:to>
    <xdr:cxnSp macro="">
      <xdr:nvCxnSpPr>
        <xdr:cNvPr id="3577" name="Straight Arrow Connector 3576">
          <a:extLst>
            <a:ext uri="{FF2B5EF4-FFF2-40B4-BE49-F238E27FC236}">
              <a16:creationId xmlns:a16="http://schemas.microsoft.com/office/drawing/2014/main" id="{00000000-0008-0000-1300-0000F90D0000}"/>
            </a:ext>
          </a:extLst>
        </xdr:cNvPr>
        <xdr:cNvCxnSpPr/>
      </xdr:nvCxnSpPr>
      <xdr:spPr>
        <a:xfrm flipV="1">
          <a:off x="9133417" y="68410667"/>
          <a:ext cx="984250"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1265</xdr:row>
      <xdr:rowOff>21166</xdr:rowOff>
    </xdr:from>
    <xdr:to>
      <xdr:col>13</xdr:col>
      <xdr:colOff>592667</xdr:colOff>
      <xdr:row>1266</xdr:row>
      <xdr:rowOff>169334</xdr:rowOff>
    </xdr:to>
    <xdr:cxnSp macro="">
      <xdr:nvCxnSpPr>
        <xdr:cNvPr id="3578" name="Straight Arrow Connector 3577">
          <a:extLst>
            <a:ext uri="{FF2B5EF4-FFF2-40B4-BE49-F238E27FC236}">
              <a16:creationId xmlns:a16="http://schemas.microsoft.com/office/drawing/2014/main" id="{00000000-0008-0000-1300-0000FA0D0000}"/>
            </a:ext>
          </a:extLst>
        </xdr:cNvPr>
        <xdr:cNvCxnSpPr/>
      </xdr:nvCxnSpPr>
      <xdr:spPr>
        <a:xfrm>
          <a:off x="9122833" y="69363166"/>
          <a:ext cx="994834"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1280</xdr:row>
      <xdr:rowOff>21167</xdr:rowOff>
    </xdr:from>
    <xdr:to>
      <xdr:col>13</xdr:col>
      <xdr:colOff>592667</xdr:colOff>
      <xdr:row>1282</xdr:row>
      <xdr:rowOff>63500</xdr:rowOff>
    </xdr:to>
    <xdr:cxnSp macro="">
      <xdr:nvCxnSpPr>
        <xdr:cNvPr id="3579" name="Straight Arrow Connector 3578">
          <a:extLst>
            <a:ext uri="{FF2B5EF4-FFF2-40B4-BE49-F238E27FC236}">
              <a16:creationId xmlns:a16="http://schemas.microsoft.com/office/drawing/2014/main" id="{00000000-0008-0000-1300-0000FB0D0000}"/>
            </a:ext>
          </a:extLst>
        </xdr:cNvPr>
        <xdr:cNvCxnSpPr/>
      </xdr:nvCxnSpPr>
      <xdr:spPr>
        <a:xfrm flipV="1">
          <a:off x="9525000" y="724111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1285</xdr:row>
      <xdr:rowOff>0</xdr:rowOff>
    </xdr:from>
    <xdr:to>
      <xdr:col>14</xdr:col>
      <xdr:colOff>10584</xdr:colOff>
      <xdr:row>1293</xdr:row>
      <xdr:rowOff>148167</xdr:rowOff>
    </xdr:to>
    <xdr:cxnSp macro="">
      <xdr:nvCxnSpPr>
        <xdr:cNvPr id="3580" name="Straight Arrow Connector 3579">
          <a:extLst>
            <a:ext uri="{FF2B5EF4-FFF2-40B4-BE49-F238E27FC236}">
              <a16:creationId xmlns:a16="http://schemas.microsoft.com/office/drawing/2014/main" id="{00000000-0008-0000-1300-0000FC0D0000}"/>
            </a:ext>
          </a:extLst>
        </xdr:cNvPr>
        <xdr:cNvCxnSpPr/>
      </xdr:nvCxnSpPr>
      <xdr:spPr>
        <a:xfrm>
          <a:off x="9535583" y="73342500"/>
          <a:ext cx="613834"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1252</xdr:row>
      <xdr:rowOff>0</xdr:rowOff>
    </xdr:from>
    <xdr:to>
      <xdr:col>15</xdr:col>
      <xdr:colOff>603250</xdr:colOff>
      <xdr:row>1257</xdr:row>
      <xdr:rowOff>31750</xdr:rowOff>
    </xdr:to>
    <xdr:cxnSp macro="">
      <xdr:nvCxnSpPr>
        <xdr:cNvPr id="3581" name="Straight Arrow Connector 3580">
          <a:extLst>
            <a:ext uri="{FF2B5EF4-FFF2-40B4-BE49-F238E27FC236}">
              <a16:creationId xmlns:a16="http://schemas.microsoft.com/office/drawing/2014/main" id="{00000000-0008-0000-1300-0000FD0D0000}"/>
            </a:ext>
          </a:extLst>
        </xdr:cNvPr>
        <xdr:cNvCxnSpPr/>
      </xdr:nvCxnSpPr>
      <xdr:spPr>
        <a:xfrm flipV="1">
          <a:off x="11281833" y="66865500"/>
          <a:ext cx="603250" cy="984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1255</xdr:row>
      <xdr:rowOff>52917</xdr:rowOff>
    </xdr:from>
    <xdr:to>
      <xdr:col>15</xdr:col>
      <xdr:colOff>603250</xdr:colOff>
      <xdr:row>1257</xdr:row>
      <xdr:rowOff>95250</xdr:rowOff>
    </xdr:to>
    <xdr:cxnSp macro="">
      <xdr:nvCxnSpPr>
        <xdr:cNvPr id="3582" name="Straight Arrow Connector 3581">
          <a:extLst>
            <a:ext uri="{FF2B5EF4-FFF2-40B4-BE49-F238E27FC236}">
              <a16:creationId xmlns:a16="http://schemas.microsoft.com/office/drawing/2014/main" id="{00000000-0008-0000-1300-0000FE0D0000}"/>
            </a:ext>
          </a:extLst>
        </xdr:cNvPr>
        <xdr:cNvCxnSpPr/>
      </xdr:nvCxnSpPr>
      <xdr:spPr>
        <a:xfrm flipV="1">
          <a:off x="11324166" y="67489917"/>
          <a:ext cx="56091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1257</xdr:row>
      <xdr:rowOff>158750</xdr:rowOff>
    </xdr:from>
    <xdr:to>
      <xdr:col>15</xdr:col>
      <xdr:colOff>582083</xdr:colOff>
      <xdr:row>1258</xdr:row>
      <xdr:rowOff>137583</xdr:rowOff>
    </xdr:to>
    <xdr:cxnSp macro="">
      <xdr:nvCxnSpPr>
        <xdr:cNvPr id="3583" name="Straight Arrow Connector 3582">
          <a:extLst>
            <a:ext uri="{FF2B5EF4-FFF2-40B4-BE49-F238E27FC236}">
              <a16:creationId xmlns:a16="http://schemas.microsoft.com/office/drawing/2014/main" id="{00000000-0008-0000-1300-0000FF0D0000}"/>
            </a:ext>
          </a:extLst>
        </xdr:cNvPr>
        <xdr:cNvCxnSpPr/>
      </xdr:nvCxnSpPr>
      <xdr:spPr>
        <a:xfrm>
          <a:off x="11345333" y="67976750"/>
          <a:ext cx="518583" cy="169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1121834</xdr:colOff>
      <xdr:row>1257</xdr:row>
      <xdr:rowOff>105834</xdr:rowOff>
    </xdr:from>
    <xdr:to>
      <xdr:col>16</xdr:col>
      <xdr:colOff>0</xdr:colOff>
      <xdr:row>1261</xdr:row>
      <xdr:rowOff>84667</xdr:rowOff>
    </xdr:to>
    <xdr:cxnSp macro="">
      <xdr:nvCxnSpPr>
        <xdr:cNvPr id="3584" name="Straight Arrow Connector 3583">
          <a:extLst>
            <a:ext uri="{FF2B5EF4-FFF2-40B4-BE49-F238E27FC236}">
              <a16:creationId xmlns:a16="http://schemas.microsoft.com/office/drawing/2014/main" id="{00000000-0008-0000-1300-0000000E0000}"/>
            </a:ext>
          </a:extLst>
        </xdr:cNvPr>
        <xdr:cNvCxnSpPr/>
      </xdr:nvCxnSpPr>
      <xdr:spPr>
        <a:xfrm>
          <a:off x="11260667" y="67923834"/>
          <a:ext cx="63500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1265</xdr:row>
      <xdr:rowOff>52916</xdr:rowOff>
    </xdr:from>
    <xdr:to>
      <xdr:col>16</xdr:col>
      <xdr:colOff>0</xdr:colOff>
      <xdr:row>1267</xdr:row>
      <xdr:rowOff>0</xdr:rowOff>
    </xdr:to>
    <xdr:cxnSp macro="">
      <xdr:nvCxnSpPr>
        <xdr:cNvPr id="3585" name="Straight Arrow Connector 3584">
          <a:extLst>
            <a:ext uri="{FF2B5EF4-FFF2-40B4-BE49-F238E27FC236}">
              <a16:creationId xmlns:a16="http://schemas.microsoft.com/office/drawing/2014/main" id="{00000000-0008-0000-1300-0000010E0000}"/>
            </a:ext>
          </a:extLst>
        </xdr:cNvPr>
        <xdr:cNvCxnSpPr/>
      </xdr:nvCxnSpPr>
      <xdr:spPr>
        <a:xfrm flipV="1">
          <a:off x="11281833" y="69394916"/>
          <a:ext cx="613834"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1267</xdr:row>
      <xdr:rowOff>21167</xdr:rowOff>
    </xdr:from>
    <xdr:to>
      <xdr:col>15</xdr:col>
      <xdr:colOff>582083</xdr:colOff>
      <xdr:row>1268</xdr:row>
      <xdr:rowOff>42333</xdr:rowOff>
    </xdr:to>
    <xdr:cxnSp macro="">
      <xdr:nvCxnSpPr>
        <xdr:cNvPr id="3586" name="Straight Arrow Connector 3585">
          <a:extLst>
            <a:ext uri="{FF2B5EF4-FFF2-40B4-BE49-F238E27FC236}">
              <a16:creationId xmlns:a16="http://schemas.microsoft.com/office/drawing/2014/main" id="{00000000-0008-0000-1300-0000020E0000}"/>
            </a:ext>
          </a:extLst>
        </xdr:cNvPr>
        <xdr:cNvCxnSpPr/>
      </xdr:nvCxnSpPr>
      <xdr:spPr>
        <a:xfrm>
          <a:off x="11292416" y="69744167"/>
          <a:ext cx="571500" cy="211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1267</xdr:row>
      <xdr:rowOff>21167</xdr:rowOff>
    </xdr:from>
    <xdr:to>
      <xdr:col>16</xdr:col>
      <xdr:colOff>42333</xdr:colOff>
      <xdr:row>1272</xdr:row>
      <xdr:rowOff>21168</xdr:rowOff>
    </xdr:to>
    <xdr:cxnSp macro="">
      <xdr:nvCxnSpPr>
        <xdr:cNvPr id="3587" name="Straight Arrow Connector 3586">
          <a:extLst>
            <a:ext uri="{FF2B5EF4-FFF2-40B4-BE49-F238E27FC236}">
              <a16:creationId xmlns:a16="http://schemas.microsoft.com/office/drawing/2014/main" id="{00000000-0008-0000-1300-0000030E0000}"/>
            </a:ext>
          </a:extLst>
        </xdr:cNvPr>
        <xdr:cNvCxnSpPr/>
      </xdr:nvCxnSpPr>
      <xdr:spPr>
        <a:xfrm>
          <a:off x="11271250" y="69744167"/>
          <a:ext cx="666750" cy="9525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1267</xdr:row>
      <xdr:rowOff>31750</xdr:rowOff>
    </xdr:from>
    <xdr:to>
      <xdr:col>16</xdr:col>
      <xdr:colOff>42334</xdr:colOff>
      <xdr:row>1274</xdr:row>
      <xdr:rowOff>63501</xdr:rowOff>
    </xdr:to>
    <xdr:cxnSp macro="">
      <xdr:nvCxnSpPr>
        <xdr:cNvPr id="3588" name="Straight Arrow Connector 3587">
          <a:extLst>
            <a:ext uri="{FF2B5EF4-FFF2-40B4-BE49-F238E27FC236}">
              <a16:creationId xmlns:a16="http://schemas.microsoft.com/office/drawing/2014/main" id="{00000000-0008-0000-1300-0000040E0000}"/>
            </a:ext>
          </a:extLst>
        </xdr:cNvPr>
        <xdr:cNvCxnSpPr/>
      </xdr:nvCxnSpPr>
      <xdr:spPr>
        <a:xfrm>
          <a:off x="11281833" y="69754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571500</xdr:colOff>
      <xdr:row>1320</xdr:row>
      <xdr:rowOff>158750</xdr:rowOff>
    </xdr:from>
    <xdr:to>
      <xdr:col>11</xdr:col>
      <xdr:colOff>571500</xdr:colOff>
      <xdr:row>1323</xdr:row>
      <xdr:rowOff>0</xdr:rowOff>
    </xdr:to>
    <xdr:cxnSp macro="">
      <xdr:nvCxnSpPr>
        <xdr:cNvPr id="3589" name="Straight Arrow Connector 3588">
          <a:extLst>
            <a:ext uri="{FF2B5EF4-FFF2-40B4-BE49-F238E27FC236}">
              <a16:creationId xmlns:a16="http://schemas.microsoft.com/office/drawing/2014/main" id="{00000000-0008-0000-1300-0000050E0000}"/>
            </a:ext>
          </a:extLst>
        </xdr:cNvPr>
        <xdr:cNvCxnSpPr/>
      </xdr:nvCxnSpPr>
      <xdr:spPr>
        <a:xfrm flipV="1">
          <a:off x="7874000" y="80168750"/>
          <a:ext cx="613833" cy="412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1278</xdr:row>
      <xdr:rowOff>0</xdr:rowOff>
    </xdr:from>
    <xdr:to>
      <xdr:col>15</xdr:col>
      <xdr:colOff>603250</xdr:colOff>
      <xdr:row>1280</xdr:row>
      <xdr:rowOff>1</xdr:rowOff>
    </xdr:to>
    <xdr:cxnSp macro="">
      <xdr:nvCxnSpPr>
        <xdr:cNvPr id="3590" name="Straight Arrow Connector 3589">
          <a:extLst>
            <a:ext uri="{FF2B5EF4-FFF2-40B4-BE49-F238E27FC236}">
              <a16:creationId xmlns:a16="http://schemas.microsoft.com/office/drawing/2014/main" id="{00000000-0008-0000-1300-0000060E0000}"/>
            </a:ext>
          </a:extLst>
        </xdr:cNvPr>
        <xdr:cNvCxnSpPr/>
      </xdr:nvCxnSpPr>
      <xdr:spPr>
        <a:xfrm flipV="1">
          <a:off x="11271250" y="720090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1280</xdr:row>
      <xdr:rowOff>10584</xdr:rowOff>
    </xdr:from>
    <xdr:to>
      <xdr:col>15</xdr:col>
      <xdr:colOff>592666</xdr:colOff>
      <xdr:row>1281</xdr:row>
      <xdr:rowOff>95250</xdr:rowOff>
    </xdr:to>
    <xdr:cxnSp macro="">
      <xdr:nvCxnSpPr>
        <xdr:cNvPr id="3591" name="Straight Arrow Connector 3590">
          <a:extLst>
            <a:ext uri="{FF2B5EF4-FFF2-40B4-BE49-F238E27FC236}">
              <a16:creationId xmlns:a16="http://schemas.microsoft.com/office/drawing/2014/main" id="{00000000-0008-0000-1300-0000070E0000}"/>
            </a:ext>
          </a:extLst>
        </xdr:cNvPr>
        <xdr:cNvCxnSpPr/>
      </xdr:nvCxnSpPr>
      <xdr:spPr>
        <a:xfrm>
          <a:off x="11313583" y="724005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1280</xdr:row>
      <xdr:rowOff>10584</xdr:rowOff>
    </xdr:from>
    <xdr:to>
      <xdr:col>15</xdr:col>
      <xdr:colOff>560916</xdr:colOff>
      <xdr:row>1284</xdr:row>
      <xdr:rowOff>52917</xdr:rowOff>
    </xdr:to>
    <xdr:cxnSp macro="">
      <xdr:nvCxnSpPr>
        <xdr:cNvPr id="3592" name="Straight Arrow Connector 3591">
          <a:extLst>
            <a:ext uri="{FF2B5EF4-FFF2-40B4-BE49-F238E27FC236}">
              <a16:creationId xmlns:a16="http://schemas.microsoft.com/office/drawing/2014/main" id="{00000000-0008-0000-1300-0000080E0000}"/>
            </a:ext>
          </a:extLst>
        </xdr:cNvPr>
        <xdr:cNvCxnSpPr/>
      </xdr:nvCxnSpPr>
      <xdr:spPr>
        <a:xfrm>
          <a:off x="11292416" y="724005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1280</xdr:row>
      <xdr:rowOff>31750</xdr:rowOff>
    </xdr:from>
    <xdr:to>
      <xdr:col>16</xdr:col>
      <xdr:colOff>21167</xdr:colOff>
      <xdr:row>1287</xdr:row>
      <xdr:rowOff>95250</xdr:rowOff>
    </xdr:to>
    <xdr:cxnSp macro="">
      <xdr:nvCxnSpPr>
        <xdr:cNvPr id="3593" name="Straight Arrow Connector 3592">
          <a:extLst>
            <a:ext uri="{FF2B5EF4-FFF2-40B4-BE49-F238E27FC236}">
              <a16:creationId xmlns:a16="http://schemas.microsoft.com/office/drawing/2014/main" id="{00000000-0008-0000-1300-0000090E0000}"/>
            </a:ext>
          </a:extLst>
        </xdr:cNvPr>
        <xdr:cNvCxnSpPr/>
      </xdr:nvCxnSpPr>
      <xdr:spPr>
        <a:xfrm>
          <a:off x="11324166" y="72421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1294</xdr:row>
      <xdr:rowOff>0</xdr:rowOff>
    </xdr:from>
    <xdr:to>
      <xdr:col>16</xdr:col>
      <xdr:colOff>0</xdr:colOff>
      <xdr:row>1294</xdr:row>
      <xdr:rowOff>42334</xdr:rowOff>
    </xdr:to>
    <xdr:cxnSp macro="">
      <xdr:nvCxnSpPr>
        <xdr:cNvPr id="3594" name="Straight Arrow Connector 3593">
          <a:extLst>
            <a:ext uri="{FF2B5EF4-FFF2-40B4-BE49-F238E27FC236}">
              <a16:creationId xmlns:a16="http://schemas.microsoft.com/office/drawing/2014/main" id="{00000000-0008-0000-1300-00000A0E0000}"/>
            </a:ext>
          </a:extLst>
        </xdr:cNvPr>
        <xdr:cNvCxnSpPr/>
      </xdr:nvCxnSpPr>
      <xdr:spPr>
        <a:xfrm>
          <a:off x="11302999" y="75057000"/>
          <a:ext cx="592668"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1294</xdr:row>
      <xdr:rowOff>21166</xdr:rowOff>
    </xdr:from>
    <xdr:to>
      <xdr:col>15</xdr:col>
      <xdr:colOff>560916</xdr:colOff>
      <xdr:row>1297</xdr:row>
      <xdr:rowOff>84667</xdr:rowOff>
    </xdr:to>
    <xdr:cxnSp macro="">
      <xdr:nvCxnSpPr>
        <xdr:cNvPr id="3595" name="Straight Arrow Connector 3594">
          <a:extLst>
            <a:ext uri="{FF2B5EF4-FFF2-40B4-BE49-F238E27FC236}">
              <a16:creationId xmlns:a16="http://schemas.microsoft.com/office/drawing/2014/main" id="{00000000-0008-0000-1300-00000B0E0000}"/>
            </a:ext>
          </a:extLst>
        </xdr:cNvPr>
        <xdr:cNvCxnSpPr/>
      </xdr:nvCxnSpPr>
      <xdr:spPr>
        <a:xfrm>
          <a:off x="11355916" y="750781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1294</xdr:row>
      <xdr:rowOff>52916</xdr:rowOff>
    </xdr:from>
    <xdr:to>
      <xdr:col>15</xdr:col>
      <xdr:colOff>592666</xdr:colOff>
      <xdr:row>1300</xdr:row>
      <xdr:rowOff>63501</xdr:rowOff>
    </xdr:to>
    <xdr:cxnSp macro="">
      <xdr:nvCxnSpPr>
        <xdr:cNvPr id="3596" name="Straight Arrow Connector 3595">
          <a:extLst>
            <a:ext uri="{FF2B5EF4-FFF2-40B4-BE49-F238E27FC236}">
              <a16:creationId xmlns:a16="http://schemas.microsoft.com/office/drawing/2014/main" id="{00000000-0008-0000-1300-00000C0E0000}"/>
            </a:ext>
          </a:extLst>
        </xdr:cNvPr>
        <xdr:cNvCxnSpPr/>
      </xdr:nvCxnSpPr>
      <xdr:spPr>
        <a:xfrm>
          <a:off x="11313583" y="751099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1308</xdr:row>
      <xdr:rowOff>116416</xdr:rowOff>
    </xdr:from>
    <xdr:to>
      <xdr:col>15</xdr:col>
      <xdr:colOff>592666</xdr:colOff>
      <xdr:row>1311</xdr:row>
      <xdr:rowOff>158750</xdr:rowOff>
    </xdr:to>
    <xdr:cxnSp macro="">
      <xdr:nvCxnSpPr>
        <xdr:cNvPr id="3597" name="Straight Arrow Connector 3596">
          <a:extLst>
            <a:ext uri="{FF2B5EF4-FFF2-40B4-BE49-F238E27FC236}">
              <a16:creationId xmlns:a16="http://schemas.microsoft.com/office/drawing/2014/main" id="{00000000-0008-0000-1300-00000D0E0000}"/>
            </a:ext>
          </a:extLst>
        </xdr:cNvPr>
        <xdr:cNvCxnSpPr/>
      </xdr:nvCxnSpPr>
      <xdr:spPr>
        <a:xfrm flipV="1">
          <a:off x="11302999" y="77840416"/>
          <a:ext cx="571500" cy="613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1310</xdr:row>
      <xdr:rowOff>95250</xdr:rowOff>
    </xdr:from>
    <xdr:to>
      <xdr:col>15</xdr:col>
      <xdr:colOff>582083</xdr:colOff>
      <xdr:row>1312</xdr:row>
      <xdr:rowOff>52917</xdr:rowOff>
    </xdr:to>
    <xdr:cxnSp macro="">
      <xdr:nvCxnSpPr>
        <xdr:cNvPr id="3598" name="Straight Arrow Connector 3597">
          <a:extLst>
            <a:ext uri="{FF2B5EF4-FFF2-40B4-BE49-F238E27FC236}">
              <a16:creationId xmlns:a16="http://schemas.microsoft.com/office/drawing/2014/main" id="{00000000-0008-0000-1300-00000E0E0000}"/>
            </a:ext>
          </a:extLst>
        </xdr:cNvPr>
        <xdr:cNvCxnSpPr/>
      </xdr:nvCxnSpPr>
      <xdr:spPr>
        <a:xfrm flipV="1">
          <a:off x="11345333" y="78200250"/>
          <a:ext cx="518583" cy="338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1312</xdr:row>
      <xdr:rowOff>116417</xdr:rowOff>
    </xdr:from>
    <xdr:to>
      <xdr:col>15</xdr:col>
      <xdr:colOff>592666</xdr:colOff>
      <xdr:row>1316</xdr:row>
      <xdr:rowOff>95250</xdr:rowOff>
    </xdr:to>
    <xdr:cxnSp macro="">
      <xdr:nvCxnSpPr>
        <xdr:cNvPr id="3599" name="Straight Arrow Connector 3598">
          <a:extLst>
            <a:ext uri="{FF2B5EF4-FFF2-40B4-BE49-F238E27FC236}">
              <a16:creationId xmlns:a16="http://schemas.microsoft.com/office/drawing/2014/main" id="{00000000-0008-0000-1300-00000F0E0000}"/>
            </a:ext>
          </a:extLst>
        </xdr:cNvPr>
        <xdr:cNvCxnSpPr/>
      </xdr:nvCxnSpPr>
      <xdr:spPr>
        <a:xfrm>
          <a:off x="11334749" y="78602417"/>
          <a:ext cx="53975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1323</xdr:row>
      <xdr:rowOff>116416</xdr:rowOff>
    </xdr:from>
    <xdr:to>
      <xdr:col>16</xdr:col>
      <xdr:colOff>0</xdr:colOff>
      <xdr:row>1330</xdr:row>
      <xdr:rowOff>74084</xdr:rowOff>
    </xdr:to>
    <xdr:cxnSp macro="">
      <xdr:nvCxnSpPr>
        <xdr:cNvPr id="3600" name="Straight Arrow Connector 3599">
          <a:extLst>
            <a:ext uri="{FF2B5EF4-FFF2-40B4-BE49-F238E27FC236}">
              <a16:creationId xmlns:a16="http://schemas.microsoft.com/office/drawing/2014/main" id="{00000000-0008-0000-1300-0000100E0000}"/>
            </a:ext>
          </a:extLst>
        </xdr:cNvPr>
        <xdr:cNvCxnSpPr/>
      </xdr:nvCxnSpPr>
      <xdr:spPr>
        <a:xfrm>
          <a:off x="11313583" y="80697916"/>
          <a:ext cx="582084" cy="12911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1291</xdr:row>
      <xdr:rowOff>52917</xdr:rowOff>
    </xdr:from>
    <xdr:to>
      <xdr:col>15</xdr:col>
      <xdr:colOff>603250</xdr:colOff>
      <xdr:row>1293</xdr:row>
      <xdr:rowOff>148167</xdr:rowOff>
    </xdr:to>
    <xdr:cxnSp macro="">
      <xdr:nvCxnSpPr>
        <xdr:cNvPr id="3601" name="Straight Arrow Connector 3600">
          <a:extLst>
            <a:ext uri="{FF2B5EF4-FFF2-40B4-BE49-F238E27FC236}">
              <a16:creationId xmlns:a16="http://schemas.microsoft.com/office/drawing/2014/main" id="{00000000-0008-0000-1300-0000110E0000}"/>
            </a:ext>
          </a:extLst>
        </xdr:cNvPr>
        <xdr:cNvCxnSpPr/>
      </xdr:nvCxnSpPr>
      <xdr:spPr>
        <a:xfrm flipV="1">
          <a:off x="11324166" y="745384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1326</xdr:row>
      <xdr:rowOff>42333</xdr:rowOff>
    </xdr:from>
    <xdr:to>
      <xdr:col>11</xdr:col>
      <xdr:colOff>603250</xdr:colOff>
      <xdr:row>1338</xdr:row>
      <xdr:rowOff>10583</xdr:rowOff>
    </xdr:to>
    <xdr:cxnSp macro="">
      <xdr:nvCxnSpPr>
        <xdr:cNvPr id="3602" name="Straight Arrow Connector 3601">
          <a:extLst>
            <a:ext uri="{FF2B5EF4-FFF2-40B4-BE49-F238E27FC236}">
              <a16:creationId xmlns:a16="http://schemas.microsoft.com/office/drawing/2014/main" id="{00000000-0008-0000-1300-0000120E0000}"/>
            </a:ext>
          </a:extLst>
        </xdr:cNvPr>
        <xdr:cNvCxnSpPr/>
      </xdr:nvCxnSpPr>
      <xdr:spPr>
        <a:xfrm>
          <a:off x="7926917" y="811953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1316</xdr:row>
      <xdr:rowOff>21167</xdr:rowOff>
    </xdr:from>
    <xdr:to>
      <xdr:col>13</xdr:col>
      <xdr:colOff>592667</xdr:colOff>
      <xdr:row>1318</xdr:row>
      <xdr:rowOff>0</xdr:rowOff>
    </xdr:to>
    <xdr:cxnSp macro="">
      <xdr:nvCxnSpPr>
        <xdr:cNvPr id="3603" name="Straight Arrow Connector 3602">
          <a:extLst>
            <a:ext uri="{FF2B5EF4-FFF2-40B4-BE49-F238E27FC236}">
              <a16:creationId xmlns:a16="http://schemas.microsoft.com/office/drawing/2014/main" id="{00000000-0008-0000-1300-0000130E0000}"/>
            </a:ext>
          </a:extLst>
        </xdr:cNvPr>
        <xdr:cNvCxnSpPr/>
      </xdr:nvCxnSpPr>
      <xdr:spPr>
        <a:xfrm flipV="1">
          <a:off x="9133417" y="79269167"/>
          <a:ext cx="984250"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1321</xdr:row>
      <xdr:rowOff>21166</xdr:rowOff>
    </xdr:from>
    <xdr:to>
      <xdr:col>13</xdr:col>
      <xdr:colOff>592667</xdr:colOff>
      <xdr:row>1322</xdr:row>
      <xdr:rowOff>169334</xdr:rowOff>
    </xdr:to>
    <xdr:cxnSp macro="">
      <xdr:nvCxnSpPr>
        <xdr:cNvPr id="3604" name="Straight Arrow Connector 3603">
          <a:extLst>
            <a:ext uri="{FF2B5EF4-FFF2-40B4-BE49-F238E27FC236}">
              <a16:creationId xmlns:a16="http://schemas.microsoft.com/office/drawing/2014/main" id="{00000000-0008-0000-1300-0000140E0000}"/>
            </a:ext>
          </a:extLst>
        </xdr:cNvPr>
        <xdr:cNvCxnSpPr/>
      </xdr:nvCxnSpPr>
      <xdr:spPr>
        <a:xfrm>
          <a:off x="9122833" y="80221666"/>
          <a:ext cx="994834"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1336</xdr:row>
      <xdr:rowOff>21167</xdr:rowOff>
    </xdr:from>
    <xdr:to>
      <xdr:col>13</xdr:col>
      <xdr:colOff>592667</xdr:colOff>
      <xdr:row>1338</xdr:row>
      <xdr:rowOff>63500</xdr:rowOff>
    </xdr:to>
    <xdr:cxnSp macro="">
      <xdr:nvCxnSpPr>
        <xdr:cNvPr id="3605" name="Straight Arrow Connector 3604">
          <a:extLst>
            <a:ext uri="{FF2B5EF4-FFF2-40B4-BE49-F238E27FC236}">
              <a16:creationId xmlns:a16="http://schemas.microsoft.com/office/drawing/2014/main" id="{00000000-0008-0000-1300-0000150E0000}"/>
            </a:ext>
          </a:extLst>
        </xdr:cNvPr>
        <xdr:cNvCxnSpPr/>
      </xdr:nvCxnSpPr>
      <xdr:spPr>
        <a:xfrm flipV="1">
          <a:off x="9525000" y="832696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1341</xdr:row>
      <xdr:rowOff>0</xdr:rowOff>
    </xdr:from>
    <xdr:to>
      <xdr:col>14</xdr:col>
      <xdr:colOff>10584</xdr:colOff>
      <xdr:row>1349</xdr:row>
      <xdr:rowOff>148167</xdr:rowOff>
    </xdr:to>
    <xdr:cxnSp macro="">
      <xdr:nvCxnSpPr>
        <xdr:cNvPr id="3606" name="Straight Arrow Connector 3605">
          <a:extLst>
            <a:ext uri="{FF2B5EF4-FFF2-40B4-BE49-F238E27FC236}">
              <a16:creationId xmlns:a16="http://schemas.microsoft.com/office/drawing/2014/main" id="{00000000-0008-0000-1300-0000160E0000}"/>
            </a:ext>
          </a:extLst>
        </xdr:cNvPr>
        <xdr:cNvCxnSpPr/>
      </xdr:nvCxnSpPr>
      <xdr:spPr>
        <a:xfrm>
          <a:off x="9535583" y="84201000"/>
          <a:ext cx="613834"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1312</xdr:row>
      <xdr:rowOff>95250</xdr:rowOff>
    </xdr:from>
    <xdr:to>
      <xdr:col>15</xdr:col>
      <xdr:colOff>582083</xdr:colOff>
      <xdr:row>1314</xdr:row>
      <xdr:rowOff>137583</xdr:rowOff>
    </xdr:to>
    <xdr:cxnSp macro="">
      <xdr:nvCxnSpPr>
        <xdr:cNvPr id="3607" name="Straight Arrow Connector 3606">
          <a:extLst>
            <a:ext uri="{FF2B5EF4-FFF2-40B4-BE49-F238E27FC236}">
              <a16:creationId xmlns:a16="http://schemas.microsoft.com/office/drawing/2014/main" id="{00000000-0008-0000-1300-0000170E0000}"/>
            </a:ext>
          </a:extLst>
        </xdr:cNvPr>
        <xdr:cNvCxnSpPr/>
      </xdr:nvCxnSpPr>
      <xdr:spPr>
        <a:xfrm>
          <a:off x="11334749" y="78581250"/>
          <a:ext cx="5291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1321</xdr:row>
      <xdr:rowOff>52916</xdr:rowOff>
    </xdr:from>
    <xdr:to>
      <xdr:col>16</xdr:col>
      <xdr:colOff>0</xdr:colOff>
      <xdr:row>1323</xdr:row>
      <xdr:rowOff>0</xdr:rowOff>
    </xdr:to>
    <xdr:cxnSp macro="">
      <xdr:nvCxnSpPr>
        <xdr:cNvPr id="3608" name="Straight Arrow Connector 3607">
          <a:extLst>
            <a:ext uri="{FF2B5EF4-FFF2-40B4-BE49-F238E27FC236}">
              <a16:creationId xmlns:a16="http://schemas.microsoft.com/office/drawing/2014/main" id="{00000000-0008-0000-1300-0000180E0000}"/>
            </a:ext>
          </a:extLst>
        </xdr:cNvPr>
        <xdr:cNvCxnSpPr/>
      </xdr:nvCxnSpPr>
      <xdr:spPr>
        <a:xfrm flipV="1">
          <a:off x="11281833" y="80253416"/>
          <a:ext cx="613834"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1323</xdr:row>
      <xdr:rowOff>21167</xdr:rowOff>
    </xdr:from>
    <xdr:to>
      <xdr:col>15</xdr:col>
      <xdr:colOff>592666</xdr:colOff>
      <xdr:row>1324</xdr:row>
      <xdr:rowOff>84667</xdr:rowOff>
    </xdr:to>
    <xdr:cxnSp macro="">
      <xdr:nvCxnSpPr>
        <xdr:cNvPr id="3609" name="Straight Arrow Connector 3608">
          <a:extLst>
            <a:ext uri="{FF2B5EF4-FFF2-40B4-BE49-F238E27FC236}">
              <a16:creationId xmlns:a16="http://schemas.microsoft.com/office/drawing/2014/main" id="{00000000-0008-0000-1300-0000190E0000}"/>
            </a:ext>
          </a:extLst>
        </xdr:cNvPr>
        <xdr:cNvCxnSpPr/>
      </xdr:nvCxnSpPr>
      <xdr:spPr>
        <a:xfrm>
          <a:off x="11271250" y="80602667"/>
          <a:ext cx="603249" cy="25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1323</xdr:row>
      <xdr:rowOff>0</xdr:rowOff>
    </xdr:from>
    <xdr:to>
      <xdr:col>16</xdr:col>
      <xdr:colOff>0</xdr:colOff>
      <xdr:row>1327</xdr:row>
      <xdr:rowOff>42334</xdr:rowOff>
    </xdr:to>
    <xdr:cxnSp macro="">
      <xdr:nvCxnSpPr>
        <xdr:cNvPr id="3610" name="Straight Arrow Connector 3609">
          <a:extLst>
            <a:ext uri="{FF2B5EF4-FFF2-40B4-BE49-F238E27FC236}">
              <a16:creationId xmlns:a16="http://schemas.microsoft.com/office/drawing/2014/main" id="{00000000-0008-0000-1300-00001A0E0000}"/>
            </a:ext>
          </a:extLst>
        </xdr:cNvPr>
        <xdr:cNvCxnSpPr/>
      </xdr:nvCxnSpPr>
      <xdr:spPr>
        <a:xfrm>
          <a:off x="11271250" y="80581500"/>
          <a:ext cx="624417" cy="804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1334</xdr:row>
      <xdr:rowOff>0</xdr:rowOff>
    </xdr:from>
    <xdr:to>
      <xdr:col>15</xdr:col>
      <xdr:colOff>603250</xdr:colOff>
      <xdr:row>1336</xdr:row>
      <xdr:rowOff>1</xdr:rowOff>
    </xdr:to>
    <xdr:cxnSp macro="">
      <xdr:nvCxnSpPr>
        <xdr:cNvPr id="3611" name="Straight Arrow Connector 3610">
          <a:extLst>
            <a:ext uri="{FF2B5EF4-FFF2-40B4-BE49-F238E27FC236}">
              <a16:creationId xmlns:a16="http://schemas.microsoft.com/office/drawing/2014/main" id="{00000000-0008-0000-1300-00001B0E0000}"/>
            </a:ext>
          </a:extLst>
        </xdr:cNvPr>
        <xdr:cNvCxnSpPr/>
      </xdr:nvCxnSpPr>
      <xdr:spPr>
        <a:xfrm flipV="1">
          <a:off x="11271250" y="828675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1336</xdr:row>
      <xdr:rowOff>10584</xdr:rowOff>
    </xdr:from>
    <xdr:to>
      <xdr:col>15</xdr:col>
      <xdr:colOff>592666</xdr:colOff>
      <xdr:row>1337</xdr:row>
      <xdr:rowOff>95250</xdr:rowOff>
    </xdr:to>
    <xdr:cxnSp macro="">
      <xdr:nvCxnSpPr>
        <xdr:cNvPr id="3612" name="Straight Arrow Connector 3611">
          <a:extLst>
            <a:ext uri="{FF2B5EF4-FFF2-40B4-BE49-F238E27FC236}">
              <a16:creationId xmlns:a16="http://schemas.microsoft.com/office/drawing/2014/main" id="{00000000-0008-0000-1300-00001C0E0000}"/>
            </a:ext>
          </a:extLst>
        </xdr:cNvPr>
        <xdr:cNvCxnSpPr/>
      </xdr:nvCxnSpPr>
      <xdr:spPr>
        <a:xfrm>
          <a:off x="11313583" y="832590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1336</xdr:row>
      <xdr:rowOff>10584</xdr:rowOff>
    </xdr:from>
    <xdr:to>
      <xdr:col>15</xdr:col>
      <xdr:colOff>560916</xdr:colOff>
      <xdr:row>1340</xdr:row>
      <xdr:rowOff>52917</xdr:rowOff>
    </xdr:to>
    <xdr:cxnSp macro="">
      <xdr:nvCxnSpPr>
        <xdr:cNvPr id="3613" name="Straight Arrow Connector 3612">
          <a:extLst>
            <a:ext uri="{FF2B5EF4-FFF2-40B4-BE49-F238E27FC236}">
              <a16:creationId xmlns:a16="http://schemas.microsoft.com/office/drawing/2014/main" id="{00000000-0008-0000-1300-00001D0E0000}"/>
            </a:ext>
          </a:extLst>
        </xdr:cNvPr>
        <xdr:cNvCxnSpPr/>
      </xdr:nvCxnSpPr>
      <xdr:spPr>
        <a:xfrm>
          <a:off x="11292416" y="832590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1336</xdr:row>
      <xdr:rowOff>31750</xdr:rowOff>
    </xdr:from>
    <xdr:to>
      <xdr:col>16</xdr:col>
      <xdr:colOff>21167</xdr:colOff>
      <xdr:row>1343</xdr:row>
      <xdr:rowOff>95250</xdr:rowOff>
    </xdr:to>
    <xdr:cxnSp macro="">
      <xdr:nvCxnSpPr>
        <xdr:cNvPr id="3614" name="Straight Arrow Connector 3613">
          <a:extLst>
            <a:ext uri="{FF2B5EF4-FFF2-40B4-BE49-F238E27FC236}">
              <a16:creationId xmlns:a16="http://schemas.microsoft.com/office/drawing/2014/main" id="{00000000-0008-0000-1300-00001E0E0000}"/>
            </a:ext>
          </a:extLst>
        </xdr:cNvPr>
        <xdr:cNvCxnSpPr/>
      </xdr:nvCxnSpPr>
      <xdr:spPr>
        <a:xfrm>
          <a:off x="11324166" y="83280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1350</xdr:row>
      <xdr:rowOff>0</xdr:rowOff>
    </xdr:from>
    <xdr:to>
      <xdr:col>16</xdr:col>
      <xdr:colOff>0</xdr:colOff>
      <xdr:row>1350</xdr:row>
      <xdr:rowOff>42334</xdr:rowOff>
    </xdr:to>
    <xdr:cxnSp macro="">
      <xdr:nvCxnSpPr>
        <xdr:cNvPr id="3615" name="Straight Arrow Connector 3614">
          <a:extLst>
            <a:ext uri="{FF2B5EF4-FFF2-40B4-BE49-F238E27FC236}">
              <a16:creationId xmlns:a16="http://schemas.microsoft.com/office/drawing/2014/main" id="{00000000-0008-0000-1300-00001F0E0000}"/>
            </a:ext>
          </a:extLst>
        </xdr:cNvPr>
        <xdr:cNvCxnSpPr/>
      </xdr:nvCxnSpPr>
      <xdr:spPr>
        <a:xfrm>
          <a:off x="11302999" y="85915500"/>
          <a:ext cx="592668"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1350</xdr:row>
      <xdr:rowOff>21166</xdr:rowOff>
    </xdr:from>
    <xdr:to>
      <xdr:col>15</xdr:col>
      <xdr:colOff>560916</xdr:colOff>
      <xdr:row>1353</xdr:row>
      <xdr:rowOff>84667</xdr:rowOff>
    </xdr:to>
    <xdr:cxnSp macro="">
      <xdr:nvCxnSpPr>
        <xdr:cNvPr id="3616" name="Straight Arrow Connector 3615">
          <a:extLst>
            <a:ext uri="{FF2B5EF4-FFF2-40B4-BE49-F238E27FC236}">
              <a16:creationId xmlns:a16="http://schemas.microsoft.com/office/drawing/2014/main" id="{00000000-0008-0000-1300-0000200E0000}"/>
            </a:ext>
          </a:extLst>
        </xdr:cNvPr>
        <xdr:cNvCxnSpPr/>
      </xdr:nvCxnSpPr>
      <xdr:spPr>
        <a:xfrm>
          <a:off x="11355916" y="859366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1350</xdr:row>
      <xdr:rowOff>52916</xdr:rowOff>
    </xdr:from>
    <xdr:to>
      <xdr:col>15</xdr:col>
      <xdr:colOff>592666</xdr:colOff>
      <xdr:row>1356</xdr:row>
      <xdr:rowOff>63501</xdr:rowOff>
    </xdr:to>
    <xdr:cxnSp macro="">
      <xdr:nvCxnSpPr>
        <xdr:cNvPr id="3617" name="Straight Arrow Connector 3616">
          <a:extLst>
            <a:ext uri="{FF2B5EF4-FFF2-40B4-BE49-F238E27FC236}">
              <a16:creationId xmlns:a16="http://schemas.microsoft.com/office/drawing/2014/main" id="{00000000-0008-0000-1300-0000210E0000}"/>
            </a:ext>
          </a:extLst>
        </xdr:cNvPr>
        <xdr:cNvCxnSpPr/>
      </xdr:nvCxnSpPr>
      <xdr:spPr>
        <a:xfrm>
          <a:off x="11313583" y="859684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1347</xdr:row>
      <xdr:rowOff>52917</xdr:rowOff>
    </xdr:from>
    <xdr:to>
      <xdr:col>15</xdr:col>
      <xdr:colOff>603250</xdr:colOff>
      <xdr:row>1349</xdr:row>
      <xdr:rowOff>148167</xdr:rowOff>
    </xdr:to>
    <xdr:cxnSp macro="">
      <xdr:nvCxnSpPr>
        <xdr:cNvPr id="3618" name="Straight Arrow Connector 3617">
          <a:extLst>
            <a:ext uri="{FF2B5EF4-FFF2-40B4-BE49-F238E27FC236}">
              <a16:creationId xmlns:a16="http://schemas.microsoft.com/office/drawing/2014/main" id="{00000000-0008-0000-1300-0000220E0000}"/>
            </a:ext>
          </a:extLst>
        </xdr:cNvPr>
        <xdr:cNvCxnSpPr/>
      </xdr:nvCxnSpPr>
      <xdr:spPr>
        <a:xfrm flipV="1">
          <a:off x="11324166" y="853969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1280</xdr:row>
      <xdr:rowOff>31750</xdr:rowOff>
    </xdr:from>
    <xdr:to>
      <xdr:col>16</xdr:col>
      <xdr:colOff>21167</xdr:colOff>
      <xdr:row>1287</xdr:row>
      <xdr:rowOff>95250</xdr:rowOff>
    </xdr:to>
    <xdr:cxnSp macro="">
      <xdr:nvCxnSpPr>
        <xdr:cNvPr id="3619" name="Straight Arrow Connector 3618">
          <a:extLst>
            <a:ext uri="{FF2B5EF4-FFF2-40B4-BE49-F238E27FC236}">
              <a16:creationId xmlns:a16="http://schemas.microsoft.com/office/drawing/2014/main" id="{00000000-0008-0000-1300-0000230E0000}"/>
            </a:ext>
          </a:extLst>
        </xdr:cNvPr>
        <xdr:cNvCxnSpPr/>
      </xdr:nvCxnSpPr>
      <xdr:spPr>
        <a:xfrm>
          <a:off x="11324166" y="72421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1280</xdr:row>
      <xdr:rowOff>31750</xdr:rowOff>
    </xdr:from>
    <xdr:to>
      <xdr:col>16</xdr:col>
      <xdr:colOff>21167</xdr:colOff>
      <xdr:row>1287</xdr:row>
      <xdr:rowOff>95250</xdr:rowOff>
    </xdr:to>
    <xdr:cxnSp macro="">
      <xdr:nvCxnSpPr>
        <xdr:cNvPr id="3620" name="Straight Arrow Connector 3619">
          <a:extLst>
            <a:ext uri="{FF2B5EF4-FFF2-40B4-BE49-F238E27FC236}">
              <a16:creationId xmlns:a16="http://schemas.microsoft.com/office/drawing/2014/main" id="{00000000-0008-0000-1300-0000240E0000}"/>
            </a:ext>
          </a:extLst>
        </xdr:cNvPr>
        <xdr:cNvCxnSpPr/>
      </xdr:nvCxnSpPr>
      <xdr:spPr>
        <a:xfrm>
          <a:off x="11324166" y="72421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1267</xdr:row>
      <xdr:rowOff>31750</xdr:rowOff>
    </xdr:from>
    <xdr:to>
      <xdr:col>16</xdr:col>
      <xdr:colOff>42334</xdr:colOff>
      <xdr:row>1274</xdr:row>
      <xdr:rowOff>63501</xdr:rowOff>
    </xdr:to>
    <xdr:cxnSp macro="">
      <xdr:nvCxnSpPr>
        <xdr:cNvPr id="3621" name="Straight Arrow Connector 3620">
          <a:extLst>
            <a:ext uri="{FF2B5EF4-FFF2-40B4-BE49-F238E27FC236}">
              <a16:creationId xmlns:a16="http://schemas.microsoft.com/office/drawing/2014/main" id="{00000000-0008-0000-1300-0000250E0000}"/>
            </a:ext>
          </a:extLst>
        </xdr:cNvPr>
        <xdr:cNvCxnSpPr/>
      </xdr:nvCxnSpPr>
      <xdr:spPr>
        <a:xfrm>
          <a:off x="11281833" y="69754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1280</xdr:row>
      <xdr:rowOff>31750</xdr:rowOff>
    </xdr:from>
    <xdr:to>
      <xdr:col>16</xdr:col>
      <xdr:colOff>21167</xdr:colOff>
      <xdr:row>1287</xdr:row>
      <xdr:rowOff>95250</xdr:rowOff>
    </xdr:to>
    <xdr:cxnSp macro="">
      <xdr:nvCxnSpPr>
        <xdr:cNvPr id="3622" name="Straight Arrow Connector 3621">
          <a:extLst>
            <a:ext uri="{FF2B5EF4-FFF2-40B4-BE49-F238E27FC236}">
              <a16:creationId xmlns:a16="http://schemas.microsoft.com/office/drawing/2014/main" id="{00000000-0008-0000-1300-0000260E0000}"/>
            </a:ext>
          </a:extLst>
        </xdr:cNvPr>
        <xdr:cNvCxnSpPr/>
      </xdr:nvCxnSpPr>
      <xdr:spPr>
        <a:xfrm>
          <a:off x="11324166" y="72421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1350</xdr:row>
      <xdr:rowOff>21167</xdr:rowOff>
    </xdr:from>
    <xdr:to>
      <xdr:col>15</xdr:col>
      <xdr:colOff>592666</xdr:colOff>
      <xdr:row>1351</xdr:row>
      <xdr:rowOff>84667</xdr:rowOff>
    </xdr:to>
    <xdr:cxnSp macro="">
      <xdr:nvCxnSpPr>
        <xdr:cNvPr id="3623" name="Straight Arrow Connector 3622">
          <a:extLst>
            <a:ext uri="{FF2B5EF4-FFF2-40B4-BE49-F238E27FC236}">
              <a16:creationId xmlns:a16="http://schemas.microsoft.com/office/drawing/2014/main" id="{00000000-0008-0000-1300-0000270E0000}"/>
            </a:ext>
          </a:extLst>
        </xdr:cNvPr>
        <xdr:cNvCxnSpPr/>
      </xdr:nvCxnSpPr>
      <xdr:spPr>
        <a:xfrm>
          <a:off x="11271250" y="85936667"/>
          <a:ext cx="603249" cy="25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1323</xdr:row>
      <xdr:rowOff>31750</xdr:rowOff>
    </xdr:from>
    <xdr:to>
      <xdr:col>16</xdr:col>
      <xdr:colOff>42334</xdr:colOff>
      <xdr:row>1330</xdr:row>
      <xdr:rowOff>63501</xdr:rowOff>
    </xdr:to>
    <xdr:cxnSp macro="">
      <xdr:nvCxnSpPr>
        <xdr:cNvPr id="3624" name="Straight Arrow Connector 3623">
          <a:extLst>
            <a:ext uri="{FF2B5EF4-FFF2-40B4-BE49-F238E27FC236}">
              <a16:creationId xmlns:a16="http://schemas.microsoft.com/office/drawing/2014/main" id="{00000000-0008-0000-1300-0000280E0000}"/>
            </a:ext>
          </a:extLst>
        </xdr:cNvPr>
        <xdr:cNvCxnSpPr/>
      </xdr:nvCxnSpPr>
      <xdr:spPr>
        <a:xfrm>
          <a:off x="11281833" y="80613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1336</xdr:row>
      <xdr:rowOff>31750</xdr:rowOff>
    </xdr:from>
    <xdr:to>
      <xdr:col>16</xdr:col>
      <xdr:colOff>21167</xdr:colOff>
      <xdr:row>1343</xdr:row>
      <xdr:rowOff>95250</xdr:rowOff>
    </xdr:to>
    <xdr:cxnSp macro="">
      <xdr:nvCxnSpPr>
        <xdr:cNvPr id="3625" name="Straight Arrow Connector 3624">
          <a:extLst>
            <a:ext uri="{FF2B5EF4-FFF2-40B4-BE49-F238E27FC236}">
              <a16:creationId xmlns:a16="http://schemas.microsoft.com/office/drawing/2014/main" id="{00000000-0008-0000-1300-0000290E0000}"/>
            </a:ext>
          </a:extLst>
        </xdr:cNvPr>
        <xdr:cNvCxnSpPr/>
      </xdr:nvCxnSpPr>
      <xdr:spPr>
        <a:xfrm>
          <a:off x="11324166" y="83280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1336</xdr:row>
      <xdr:rowOff>31750</xdr:rowOff>
    </xdr:from>
    <xdr:to>
      <xdr:col>16</xdr:col>
      <xdr:colOff>21167</xdr:colOff>
      <xdr:row>1343</xdr:row>
      <xdr:rowOff>95250</xdr:rowOff>
    </xdr:to>
    <xdr:cxnSp macro="">
      <xdr:nvCxnSpPr>
        <xdr:cNvPr id="3626" name="Straight Arrow Connector 3625">
          <a:extLst>
            <a:ext uri="{FF2B5EF4-FFF2-40B4-BE49-F238E27FC236}">
              <a16:creationId xmlns:a16="http://schemas.microsoft.com/office/drawing/2014/main" id="{00000000-0008-0000-1300-00002A0E0000}"/>
            </a:ext>
          </a:extLst>
        </xdr:cNvPr>
        <xdr:cNvCxnSpPr/>
      </xdr:nvCxnSpPr>
      <xdr:spPr>
        <a:xfrm>
          <a:off x="11324166" y="83280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1336</xdr:row>
      <xdr:rowOff>31750</xdr:rowOff>
    </xdr:from>
    <xdr:to>
      <xdr:col>16</xdr:col>
      <xdr:colOff>21167</xdr:colOff>
      <xdr:row>1343</xdr:row>
      <xdr:rowOff>95250</xdr:rowOff>
    </xdr:to>
    <xdr:cxnSp macro="">
      <xdr:nvCxnSpPr>
        <xdr:cNvPr id="3627" name="Straight Arrow Connector 3626">
          <a:extLst>
            <a:ext uri="{FF2B5EF4-FFF2-40B4-BE49-F238E27FC236}">
              <a16:creationId xmlns:a16="http://schemas.microsoft.com/office/drawing/2014/main" id="{00000000-0008-0000-1300-00002B0E0000}"/>
            </a:ext>
          </a:extLst>
        </xdr:cNvPr>
        <xdr:cNvCxnSpPr/>
      </xdr:nvCxnSpPr>
      <xdr:spPr>
        <a:xfrm>
          <a:off x="11324166" y="83280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1323</xdr:row>
      <xdr:rowOff>31750</xdr:rowOff>
    </xdr:from>
    <xdr:to>
      <xdr:col>16</xdr:col>
      <xdr:colOff>42334</xdr:colOff>
      <xdr:row>1330</xdr:row>
      <xdr:rowOff>63501</xdr:rowOff>
    </xdr:to>
    <xdr:cxnSp macro="">
      <xdr:nvCxnSpPr>
        <xdr:cNvPr id="3628" name="Straight Arrow Connector 3627">
          <a:extLst>
            <a:ext uri="{FF2B5EF4-FFF2-40B4-BE49-F238E27FC236}">
              <a16:creationId xmlns:a16="http://schemas.microsoft.com/office/drawing/2014/main" id="{00000000-0008-0000-1300-00002C0E0000}"/>
            </a:ext>
          </a:extLst>
        </xdr:cNvPr>
        <xdr:cNvCxnSpPr/>
      </xdr:nvCxnSpPr>
      <xdr:spPr>
        <a:xfrm>
          <a:off x="11281833" y="80613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1336</xdr:row>
      <xdr:rowOff>31750</xdr:rowOff>
    </xdr:from>
    <xdr:to>
      <xdr:col>16</xdr:col>
      <xdr:colOff>21167</xdr:colOff>
      <xdr:row>1343</xdr:row>
      <xdr:rowOff>95250</xdr:rowOff>
    </xdr:to>
    <xdr:cxnSp macro="">
      <xdr:nvCxnSpPr>
        <xdr:cNvPr id="3629" name="Straight Arrow Connector 3628">
          <a:extLst>
            <a:ext uri="{FF2B5EF4-FFF2-40B4-BE49-F238E27FC236}">
              <a16:creationId xmlns:a16="http://schemas.microsoft.com/office/drawing/2014/main" id="{00000000-0008-0000-1300-00002D0E0000}"/>
            </a:ext>
          </a:extLst>
        </xdr:cNvPr>
        <xdr:cNvCxnSpPr/>
      </xdr:nvCxnSpPr>
      <xdr:spPr>
        <a:xfrm>
          <a:off x="11324166" y="83280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603250</xdr:colOff>
      <xdr:row>1364</xdr:row>
      <xdr:rowOff>10584</xdr:rowOff>
    </xdr:from>
    <xdr:to>
      <xdr:col>1</xdr:col>
      <xdr:colOff>603250</xdr:colOff>
      <xdr:row>1457</xdr:row>
      <xdr:rowOff>158750</xdr:rowOff>
    </xdr:to>
    <xdr:cxnSp macro="">
      <xdr:nvCxnSpPr>
        <xdr:cNvPr id="3630" name="Straight Arrow Connector 3629">
          <a:extLst>
            <a:ext uri="{FF2B5EF4-FFF2-40B4-BE49-F238E27FC236}">
              <a16:creationId xmlns:a16="http://schemas.microsoft.com/office/drawing/2014/main" id="{00000000-0008-0000-1300-00002E0E0000}"/>
            </a:ext>
          </a:extLst>
        </xdr:cNvPr>
        <xdr:cNvCxnSpPr/>
      </xdr:nvCxnSpPr>
      <xdr:spPr>
        <a:xfrm flipV="1">
          <a:off x="603250" y="88402584"/>
          <a:ext cx="613833" cy="18245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603250</xdr:colOff>
      <xdr:row>1460</xdr:row>
      <xdr:rowOff>169333</xdr:rowOff>
    </xdr:from>
    <xdr:to>
      <xdr:col>1</xdr:col>
      <xdr:colOff>603250</xdr:colOff>
      <xdr:row>1502</xdr:row>
      <xdr:rowOff>148167</xdr:rowOff>
    </xdr:to>
    <xdr:cxnSp macro="">
      <xdr:nvCxnSpPr>
        <xdr:cNvPr id="3631" name="Straight Arrow Connector 3630">
          <a:extLst>
            <a:ext uri="{FF2B5EF4-FFF2-40B4-BE49-F238E27FC236}">
              <a16:creationId xmlns:a16="http://schemas.microsoft.com/office/drawing/2014/main" id="{00000000-0008-0000-1300-00002F0E0000}"/>
            </a:ext>
          </a:extLst>
        </xdr:cNvPr>
        <xdr:cNvCxnSpPr/>
      </xdr:nvCxnSpPr>
      <xdr:spPr>
        <a:xfrm>
          <a:off x="603250" y="107230333"/>
          <a:ext cx="613833" cy="7979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10584</xdr:colOff>
      <xdr:row>1436</xdr:row>
      <xdr:rowOff>158750</xdr:rowOff>
    </xdr:from>
    <xdr:to>
      <xdr:col>3</xdr:col>
      <xdr:colOff>603250</xdr:colOff>
      <xdr:row>1503</xdr:row>
      <xdr:rowOff>10583</xdr:rowOff>
    </xdr:to>
    <xdr:cxnSp macro="">
      <xdr:nvCxnSpPr>
        <xdr:cNvPr id="3632" name="Straight Arrow Connector 3631">
          <a:extLst>
            <a:ext uri="{FF2B5EF4-FFF2-40B4-BE49-F238E27FC236}">
              <a16:creationId xmlns:a16="http://schemas.microsoft.com/office/drawing/2014/main" id="{00000000-0008-0000-1300-0000300E0000}"/>
            </a:ext>
          </a:extLst>
        </xdr:cNvPr>
        <xdr:cNvCxnSpPr/>
      </xdr:nvCxnSpPr>
      <xdr:spPr>
        <a:xfrm flipV="1">
          <a:off x="2381251" y="102457250"/>
          <a:ext cx="592666" cy="12805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21167</xdr:colOff>
      <xdr:row>1505</xdr:row>
      <xdr:rowOff>10583</xdr:rowOff>
    </xdr:from>
    <xdr:to>
      <xdr:col>4</xdr:col>
      <xdr:colOff>63500</xdr:colOff>
      <xdr:row>1656</xdr:row>
      <xdr:rowOff>158750</xdr:rowOff>
    </xdr:to>
    <xdr:cxnSp macro="">
      <xdr:nvCxnSpPr>
        <xdr:cNvPr id="3633" name="Straight Arrow Connector 3632">
          <a:extLst>
            <a:ext uri="{FF2B5EF4-FFF2-40B4-BE49-F238E27FC236}">
              <a16:creationId xmlns:a16="http://schemas.microsoft.com/office/drawing/2014/main" id="{00000000-0008-0000-1300-0000310E0000}"/>
            </a:ext>
          </a:extLst>
        </xdr:cNvPr>
        <xdr:cNvCxnSpPr/>
      </xdr:nvCxnSpPr>
      <xdr:spPr>
        <a:xfrm>
          <a:off x="2391834" y="115834583"/>
          <a:ext cx="656166" cy="29294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825500</xdr:colOff>
      <xdr:row>1399</xdr:row>
      <xdr:rowOff>1</xdr:rowOff>
    </xdr:from>
    <xdr:to>
      <xdr:col>6</xdr:col>
      <xdr:colOff>0</xdr:colOff>
      <xdr:row>1433</xdr:row>
      <xdr:rowOff>116417</xdr:rowOff>
    </xdr:to>
    <xdr:cxnSp macro="">
      <xdr:nvCxnSpPr>
        <xdr:cNvPr id="3634" name="Straight Arrow Connector 3633">
          <a:extLst>
            <a:ext uri="{FF2B5EF4-FFF2-40B4-BE49-F238E27FC236}">
              <a16:creationId xmlns:a16="http://schemas.microsoft.com/office/drawing/2014/main" id="{00000000-0008-0000-1300-0000320E0000}"/>
            </a:ext>
          </a:extLst>
        </xdr:cNvPr>
        <xdr:cNvCxnSpPr/>
      </xdr:nvCxnSpPr>
      <xdr:spPr>
        <a:xfrm flipV="1">
          <a:off x="3810000" y="95250001"/>
          <a:ext cx="677333" cy="65934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21167</xdr:colOff>
      <xdr:row>1436</xdr:row>
      <xdr:rowOff>169334</xdr:rowOff>
    </xdr:from>
    <xdr:to>
      <xdr:col>5</xdr:col>
      <xdr:colOff>571500</xdr:colOff>
      <xdr:row>1505</xdr:row>
      <xdr:rowOff>0</xdr:rowOff>
    </xdr:to>
    <xdr:cxnSp macro="">
      <xdr:nvCxnSpPr>
        <xdr:cNvPr id="3635" name="Straight Arrow Connector 3634">
          <a:extLst>
            <a:ext uri="{FF2B5EF4-FFF2-40B4-BE49-F238E27FC236}">
              <a16:creationId xmlns:a16="http://schemas.microsoft.com/office/drawing/2014/main" id="{00000000-0008-0000-1300-0000330E0000}"/>
            </a:ext>
          </a:extLst>
        </xdr:cNvPr>
        <xdr:cNvCxnSpPr/>
      </xdr:nvCxnSpPr>
      <xdr:spPr>
        <a:xfrm>
          <a:off x="3894667" y="102467834"/>
          <a:ext cx="550333" cy="133244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1374</xdr:row>
      <xdr:rowOff>148167</xdr:rowOff>
    </xdr:from>
    <xdr:to>
      <xdr:col>7</xdr:col>
      <xdr:colOff>603250</xdr:colOff>
      <xdr:row>1396</xdr:row>
      <xdr:rowOff>31750</xdr:rowOff>
    </xdr:to>
    <xdr:cxnSp macro="">
      <xdr:nvCxnSpPr>
        <xdr:cNvPr id="3636" name="Straight Arrow Connector 3635">
          <a:extLst>
            <a:ext uri="{FF2B5EF4-FFF2-40B4-BE49-F238E27FC236}">
              <a16:creationId xmlns:a16="http://schemas.microsoft.com/office/drawing/2014/main" id="{00000000-0008-0000-1300-0000340E0000}"/>
            </a:ext>
          </a:extLst>
        </xdr:cNvPr>
        <xdr:cNvCxnSpPr/>
      </xdr:nvCxnSpPr>
      <xdr:spPr>
        <a:xfrm flipV="1">
          <a:off x="5461000" y="90445167"/>
          <a:ext cx="603250" cy="42650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1399</xdr:row>
      <xdr:rowOff>10584</xdr:rowOff>
    </xdr:from>
    <xdr:to>
      <xdr:col>8</xdr:col>
      <xdr:colOff>21167</xdr:colOff>
      <xdr:row>1427</xdr:row>
      <xdr:rowOff>148166</xdr:rowOff>
    </xdr:to>
    <xdr:cxnSp macro="">
      <xdr:nvCxnSpPr>
        <xdr:cNvPr id="3637" name="Straight Arrow Connector 3636">
          <a:extLst>
            <a:ext uri="{FF2B5EF4-FFF2-40B4-BE49-F238E27FC236}">
              <a16:creationId xmlns:a16="http://schemas.microsoft.com/office/drawing/2014/main" id="{00000000-0008-0000-1300-0000350E0000}"/>
            </a:ext>
          </a:extLst>
        </xdr:cNvPr>
        <xdr:cNvCxnSpPr/>
      </xdr:nvCxnSpPr>
      <xdr:spPr>
        <a:xfrm>
          <a:off x="5461000" y="95260584"/>
          <a:ext cx="635000" cy="547158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1366</xdr:row>
      <xdr:rowOff>137583</xdr:rowOff>
    </xdr:from>
    <xdr:to>
      <xdr:col>9</xdr:col>
      <xdr:colOff>603250</xdr:colOff>
      <xdr:row>1372</xdr:row>
      <xdr:rowOff>21166</xdr:rowOff>
    </xdr:to>
    <xdr:cxnSp macro="">
      <xdr:nvCxnSpPr>
        <xdr:cNvPr id="3638" name="Straight Arrow Connector 3637">
          <a:extLst>
            <a:ext uri="{FF2B5EF4-FFF2-40B4-BE49-F238E27FC236}">
              <a16:creationId xmlns:a16="http://schemas.microsoft.com/office/drawing/2014/main" id="{00000000-0008-0000-1300-0000360E0000}"/>
            </a:ext>
          </a:extLst>
        </xdr:cNvPr>
        <xdr:cNvCxnSpPr/>
      </xdr:nvCxnSpPr>
      <xdr:spPr>
        <a:xfrm flipV="1">
          <a:off x="6688667" y="88910583"/>
          <a:ext cx="603250" cy="1026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1375</xdr:row>
      <xdr:rowOff>0</xdr:rowOff>
    </xdr:from>
    <xdr:to>
      <xdr:col>9</xdr:col>
      <xdr:colOff>582083</xdr:colOff>
      <xdr:row>1383</xdr:row>
      <xdr:rowOff>10583</xdr:rowOff>
    </xdr:to>
    <xdr:cxnSp macro="">
      <xdr:nvCxnSpPr>
        <xdr:cNvPr id="3639" name="Straight Arrow Connector 3638">
          <a:extLst>
            <a:ext uri="{FF2B5EF4-FFF2-40B4-BE49-F238E27FC236}">
              <a16:creationId xmlns:a16="http://schemas.microsoft.com/office/drawing/2014/main" id="{00000000-0008-0000-1300-0000370E0000}"/>
            </a:ext>
          </a:extLst>
        </xdr:cNvPr>
        <xdr:cNvCxnSpPr/>
      </xdr:nvCxnSpPr>
      <xdr:spPr>
        <a:xfrm>
          <a:off x="6720417" y="90487500"/>
          <a:ext cx="550333" cy="1534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21167</xdr:colOff>
      <xdr:row>1380</xdr:row>
      <xdr:rowOff>169333</xdr:rowOff>
    </xdr:from>
    <xdr:to>
      <xdr:col>11</xdr:col>
      <xdr:colOff>603250</xdr:colOff>
      <xdr:row>1383</xdr:row>
      <xdr:rowOff>21167</xdr:rowOff>
    </xdr:to>
    <xdr:cxnSp macro="">
      <xdr:nvCxnSpPr>
        <xdr:cNvPr id="3640" name="Straight Arrow Connector 3639">
          <a:extLst>
            <a:ext uri="{FF2B5EF4-FFF2-40B4-BE49-F238E27FC236}">
              <a16:creationId xmlns:a16="http://schemas.microsoft.com/office/drawing/2014/main" id="{00000000-0008-0000-1300-0000380E0000}"/>
            </a:ext>
          </a:extLst>
        </xdr:cNvPr>
        <xdr:cNvCxnSpPr/>
      </xdr:nvCxnSpPr>
      <xdr:spPr>
        <a:xfrm flipV="1">
          <a:off x="7937500" y="91609333"/>
          <a:ext cx="582083" cy="423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1386</xdr:row>
      <xdr:rowOff>42333</xdr:rowOff>
    </xdr:from>
    <xdr:to>
      <xdr:col>11</xdr:col>
      <xdr:colOff>603250</xdr:colOff>
      <xdr:row>1398</xdr:row>
      <xdr:rowOff>10583</xdr:rowOff>
    </xdr:to>
    <xdr:cxnSp macro="">
      <xdr:nvCxnSpPr>
        <xdr:cNvPr id="3641" name="Straight Arrow Connector 3640">
          <a:extLst>
            <a:ext uri="{FF2B5EF4-FFF2-40B4-BE49-F238E27FC236}">
              <a16:creationId xmlns:a16="http://schemas.microsoft.com/office/drawing/2014/main" id="{00000000-0008-0000-1300-0000390E0000}"/>
            </a:ext>
          </a:extLst>
        </xdr:cNvPr>
        <xdr:cNvCxnSpPr/>
      </xdr:nvCxnSpPr>
      <xdr:spPr>
        <a:xfrm>
          <a:off x="7926917" y="926253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1376</xdr:row>
      <xdr:rowOff>21167</xdr:rowOff>
    </xdr:from>
    <xdr:to>
      <xdr:col>13</xdr:col>
      <xdr:colOff>592667</xdr:colOff>
      <xdr:row>1378</xdr:row>
      <xdr:rowOff>0</xdr:rowOff>
    </xdr:to>
    <xdr:cxnSp macro="">
      <xdr:nvCxnSpPr>
        <xdr:cNvPr id="3642" name="Straight Arrow Connector 3641">
          <a:extLst>
            <a:ext uri="{FF2B5EF4-FFF2-40B4-BE49-F238E27FC236}">
              <a16:creationId xmlns:a16="http://schemas.microsoft.com/office/drawing/2014/main" id="{00000000-0008-0000-1300-00003A0E0000}"/>
            </a:ext>
          </a:extLst>
        </xdr:cNvPr>
        <xdr:cNvCxnSpPr/>
      </xdr:nvCxnSpPr>
      <xdr:spPr>
        <a:xfrm flipV="1">
          <a:off x="9133417" y="90699167"/>
          <a:ext cx="984250"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1381</xdr:row>
      <xdr:rowOff>21166</xdr:rowOff>
    </xdr:from>
    <xdr:to>
      <xdr:col>13</xdr:col>
      <xdr:colOff>592667</xdr:colOff>
      <xdr:row>1382</xdr:row>
      <xdr:rowOff>169334</xdr:rowOff>
    </xdr:to>
    <xdr:cxnSp macro="">
      <xdr:nvCxnSpPr>
        <xdr:cNvPr id="3643" name="Straight Arrow Connector 3642">
          <a:extLst>
            <a:ext uri="{FF2B5EF4-FFF2-40B4-BE49-F238E27FC236}">
              <a16:creationId xmlns:a16="http://schemas.microsoft.com/office/drawing/2014/main" id="{00000000-0008-0000-1300-00003B0E0000}"/>
            </a:ext>
          </a:extLst>
        </xdr:cNvPr>
        <xdr:cNvCxnSpPr/>
      </xdr:nvCxnSpPr>
      <xdr:spPr>
        <a:xfrm>
          <a:off x="9122833" y="91651666"/>
          <a:ext cx="994834"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1396</xdr:row>
      <xdr:rowOff>21167</xdr:rowOff>
    </xdr:from>
    <xdr:to>
      <xdr:col>13</xdr:col>
      <xdr:colOff>592667</xdr:colOff>
      <xdr:row>1398</xdr:row>
      <xdr:rowOff>63500</xdr:rowOff>
    </xdr:to>
    <xdr:cxnSp macro="">
      <xdr:nvCxnSpPr>
        <xdr:cNvPr id="3644" name="Straight Arrow Connector 3643">
          <a:extLst>
            <a:ext uri="{FF2B5EF4-FFF2-40B4-BE49-F238E27FC236}">
              <a16:creationId xmlns:a16="http://schemas.microsoft.com/office/drawing/2014/main" id="{00000000-0008-0000-1300-00003C0E0000}"/>
            </a:ext>
          </a:extLst>
        </xdr:cNvPr>
        <xdr:cNvCxnSpPr/>
      </xdr:nvCxnSpPr>
      <xdr:spPr>
        <a:xfrm flipV="1">
          <a:off x="9525000" y="946996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1401</xdr:row>
      <xdr:rowOff>0</xdr:rowOff>
    </xdr:from>
    <xdr:to>
      <xdr:col>14</xdr:col>
      <xdr:colOff>10584</xdr:colOff>
      <xdr:row>1409</xdr:row>
      <xdr:rowOff>148167</xdr:rowOff>
    </xdr:to>
    <xdr:cxnSp macro="">
      <xdr:nvCxnSpPr>
        <xdr:cNvPr id="3645" name="Straight Arrow Connector 3644">
          <a:extLst>
            <a:ext uri="{FF2B5EF4-FFF2-40B4-BE49-F238E27FC236}">
              <a16:creationId xmlns:a16="http://schemas.microsoft.com/office/drawing/2014/main" id="{00000000-0008-0000-1300-00003D0E0000}"/>
            </a:ext>
          </a:extLst>
        </xdr:cNvPr>
        <xdr:cNvCxnSpPr/>
      </xdr:nvCxnSpPr>
      <xdr:spPr>
        <a:xfrm>
          <a:off x="9535583" y="95631000"/>
          <a:ext cx="613834"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1368</xdr:row>
      <xdr:rowOff>0</xdr:rowOff>
    </xdr:from>
    <xdr:to>
      <xdr:col>15</xdr:col>
      <xdr:colOff>603250</xdr:colOff>
      <xdr:row>1373</xdr:row>
      <xdr:rowOff>31750</xdr:rowOff>
    </xdr:to>
    <xdr:cxnSp macro="">
      <xdr:nvCxnSpPr>
        <xdr:cNvPr id="3646" name="Straight Arrow Connector 3645">
          <a:extLst>
            <a:ext uri="{FF2B5EF4-FFF2-40B4-BE49-F238E27FC236}">
              <a16:creationId xmlns:a16="http://schemas.microsoft.com/office/drawing/2014/main" id="{00000000-0008-0000-1300-00003E0E0000}"/>
            </a:ext>
          </a:extLst>
        </xdr:cNvPr>
        <xdr:cNvCxnSpPr/>
      </xdr:nvCxnSpPr>
      <xdr:spPr>
        <a:xfrm flipV="1">
          <a:off x="11281833" y="89154000"/>
          <a:ext cx="603250" cy="984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1371</xdr:row>
      <xdr:rowOff>52917</xdr:rowOff>
    </xdr:from>
    <xdr:to>
      <xdr:col>15</xdr:col>
      <xdr:colOff>603250</xdr:colOff>
      <xdr:row>1373</xdr:row>
      <xdr:rowOff>95250</xdr:rowOff>
    </xdr:to>
    <xdr:cxnSp macro="">
      <xdr:nvCxnSpPr>
        <xdr:cNvPr id="3647" name="Straight Arrow Connector 3646">
          <a:extLst>
            <a:ext uri="{FF2B5EF4-FFF2-40B4-BE49-F238E27FC236}">
              <a16:creationId xmlns:a16="http://schemas.microsoft.com/office/drawing/2014/main" id="{00000000-0008-0000-1300-00003F0E0000}"/>
            </a:ext>
          </a:extLst>
        </xdr:cNvPr>
        <xdr:cNvCxnSpPr/>
      </xdr:nvCxnSpPr>
      <xdr:spPr>
        <a:xfrm flipV="1">
          <a:off x="11324166" y="89778417"/>
          <a:ext cx="56091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1373</xdr:row>
      <xdr:rowOff>158750</xdr:rowOff>
    </xdr:from>
    <xdr:to>
      <xdr:col>15</xdr:col>
      <xdr:colOff>582083</xdr:colOff>
      <xdr:row>1374</xdr:row>
      <xdr:rowOff>137583</xdr:rowOff>
    </xdr:to>
    <xdr:cxnSp macro="">
      <xdr:nvCxnSpPr>
        <xdr:cNvPr id="3648" name="Straight Arrow Connector 3647">
          <a:extLst>
            <a:ext uri="{FF2B5EF4-FFF2-40B4-BE49-F238E27FC236}">
              <a16:creationId xmlns:a16="http://schemas.microsoft.com/office/drawing/2014/main" id="{00000000-0008-0000-1300-0000400E0000}"/>
            </a:ext>
          </a:extLst>
        </xdr:cNvPr>
        <xdr:cNvCxnSpPr/>
      </xdr:nvCxnSpPr>
      <xdr:spPr>
        <a:xfrm>
          <a:off x="11345333" y="90265250"/>
          <a:ext cx="518583" cy="169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1121834</xdr:colOff>
      <xdr:row>1373</xdr:row>
      <xdr:rowOff>105834</xdr:rowOff>
    </xdr:from>
    <xdr:to>
      <xdr:col>16</xdr:col>
      <xdr:colOff>0</xdr:colOff>
      <xdr:row>1377</xdr:row>
      <xdr:rowOff>84667</xdr:rowOff>
    </xdr:to>
    <xdr:cxnSp macro="">
      <xdr:nvCxnSpPr>
        <xdr:cNvPr id="3649" name="Straight Arrow Connector 3648">
          <a:extLst>
            <a:ext uri="{FF2B5EF4-FFF2-40B4-BE49-F238E27FC236}">
              <a16:creationId xmlns:a16="http://schemas.microsoft.com/office/drawing/2014/main" id="{00000000-0008-0000-1300-0000410E0000}"/>
            </a:ext>
          </a:extLst>
        </xdr:cNvPr>
        <xdr:cNvCxnSpPr/>
      </xdr:nvCxnSpPr>
      <xdr:spPr>
        <a:xfrm>
          <a:off x="11260667" y="90212334"/>
          <a:ext cx="63500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1381</xdr:row>
      <xdr:rowOff>52916</xdr:rowOff>
    </xdr:from>
    <xdr:to>
      <xdr:col>16</xdr:col>
      <xdr:colOff>0</xdr:colOff>
      <xdr:row>1383</xdr:row>
      <xdr:rowOff>0</xdr:rowOff>
    </xdr:to>
    <xdr:cxnSp macro="">
      <xdr:nvCxnSpPr>
        <xdr:cNvPr id="3650" name="Straight Arrow Connector 3649">
          <a:extLst>
            <a:ext uri="{FF2B5EF4-FFF2-40B4-BE49-F238E27FC236}">
              <a16:creationId xmlns:a16="http://schemas.microsoft.com/office/drawing/2014/main" id="{00000000-0008-0000-1300-0000420E0000}"/>
            </a:ext>
          </a:extLst>
        </xdr:cNvPr>
        <xdr:cNvCxnSpPr/>
      </xdr:nvCxnSpPr>
      <xdr:spPr>
        <a:xfrm flipV="1">
          <a:off x="11281833" y="91683416"/>
          <a:ext cx="613834"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1383</xdr:row>
      <xdr:rowOff>21167</xdr:rowOff>
    </xdr:from>
    <xdr:to>
      <xdr:col>15</xdr:col>
      <xdr:colOff>582083</xdr:colOff>
      <xdr:row>1384</xdr:row>
      <xdr:rowOff>42333</xdr:rowOff>
    </xdr:to>
    <xdr:cxnSp macro="">
      <xdr:nvCxnSpPr>
        <xdr:cNvPr id="3651" name="Straight Arrow Connector 3650">
          <a:extLst>
            <a:ext uri="{FF2B5EF4-FFF2-40B4-BE49-F238E27FC236}">
              <a16:creationId xmlns:a16="http://schemas.microsoft.com/office/drawing/2014/main" id="{00000000-0008-0000-1300-0000430E0000}"/>
            </a:ext>
          </a:extLst>
        </xdr:cNvPr>
        <xdr:cNvCxnSpPr/>
      </xdr:nvCxnSpPr>
      <xdr:spPr>
        <a:xfrm>
          <a:off x="11292416" y="92032667"/>
          <a:ext cx="571500" cy="211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1383</xdr:row>
      <xdr:rowOff>21167</xdr:rowOff>
    </xdr:from>
    <xdr:to>
      <xdr:col>16</xdr:col>
      <xdr:colOff>42333</xdr:colOff>
      <xdr:row>1388</xdr:row>
      <xdr:rowOff>21168</xdr:rowOff>
    </xdr:to>
    <xdr:cxnSp macro="">
      <xdr:nvCxnSpPr>
        <xdr:cNvPr id="3652" name="Straight Arrow Connector 3651">
          <a:extLst>
            <a:ext uri="{FF2B5EF4-FFF2-40B4-BE49-F238E27FC236}">
              <a16:creationId xmlns:a16="http://schemas.microsoft.com/office/drawing/2014/main" id="{00000000-0008-0000-1300-0000440E0000}"/>
            </a:ext>
          </a:extLst>
        </xdr:cNvPr>
        <xdr:cNvCxnSpPr/>
      </xdr:nvCxnSpPr>
      <xdr:spPr>
        <a:xfrm>
          <a:off x="11271250" y="92032667"/>
          <a:ext cx="666750" cy="9525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1383</xdr:row>
      <xdr:rowOff>31750</xdr:rowOff>
    </xdr:from>
    <xdr:to>
      <xdr:col>16</xdr:col>
      <xdr:colOff>42334</xdr:colOff>
      <xdr:row>1390</xdr:row>
      <xdr:rowOff>63501</xdr:rowOff>
    </xdr:to>
    <xdr:cxnSp macro="">
      <xdr:nvCxnSpPr>
        <xdr:cNvPr id="3653" name="Straight Arrow Connector 3652">
          <a:extLst>
            <a:ext uri="{FF2B5EF4-FFF2-40B4-BE49-F238E27FC236}">
              <a16:creationId xmlns:a16="http://schemas.microsoft.com/office/drawing/2014/main" id="{00000000-0008-0000-1300-0000450E0000}"/>
            </a:ext>
          </a:extLst>
        </xdr:cNvPr>
        <xdr:cNvCxnSpPr/>
      </xdr:nvCxnSpPr>
      <xdr:spPr>
        <a:xfrm>
          <a:off x="11281833" y="92043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10583</xdr:colOff>
      <xdr:row>1420</xdr:row>
      <xdr:rowOff>42333</xdr:rowOff>
    </xdr:from>
    <xdr:to>
      <xdr:col>9</xdr:col>
      <xdr:colOff>592666</xdr:colOff>
      <xdr:row>1428</xdr:row>
      <xdr:rowOff>42333</xdr:rowOff>
    </xdr:to>
    <xdr:cxnSp macro="">
      <xdr:nvCxnSpPr>
        <xdr:cNvPr id="3654" name="Straight Arrow Connector 3653">
          <a:extLst>
            <a:ext uri="{FF2B5EF4-FFF2-40B4-BE49-F238E27FC236}">
              <a16:creationId xmlns:a16="http://schemas.microsoft.com/office/drawing/2014/main" id="{00000000-0008-0000-1300-0000460E0000}"/>
            </a:ext>
          </a:extLst>
        </xdr:cNvPr>
        <xdr:cNvCxnSpPr/>
      </xdr:nvCxnSpPr>
      <xdr:spPr>
        <a:xfrm flipV="1">
          <a:off x="6699250" y="99292833"/>
          <a:ext cx="582083" cy="152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1430</xdr:row>
      <xdr:rowOff>169334</xdr:rowOff>
    </xdr:from>
    <xdr:to>
      <xdr:col>9</xdr:col>
      <xdr:colOff>603250</xdr:colOff>
      <xdr:row>1439</xdr:row>
      <xdr:rowOff>31750</xdr:rowOff>
    </xdr:to>
    <xdr:cxnSp macro="">
      <xdr:nvCxnSpPr>
        <xdr:cNvPr id="3655" name="Straight Arrow Connector 3654">
          <a:extLst>
            <a:ext uri="{FF2B5EF4-FFF2-40B4-BE49-F238E27FC236}">
              <a16:creationId xmlns:a16="http://schemas.microsoft.com/office/drawing/2014/main" id="{00000000-0008-0000-1300-0000470E0000}"/>
            </a:ext>
          </a:extLst>
        </xdr:cNvPr>
        <xdr:cNvCxnSpPr/>
      </xdr:nvCxnSpPr>
      <xdr:spPr>
        <a:xfrm>
          <a:off x="6720417" y="101324834"/>
          <a:ext cx="571500" cy="1576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571500</xdr:colOff>
      <xdr:row>1436</xdr:row>
      <xdr:rowOff>158750</xdr:rowOff>
    </xdr:from>
    <xdr:to>
      <xdr:col>11</xdr:col>
      <xdr:colOff>571500</xdr:colOff>
      <xdr:row>1439</xdr:row>
      <xdr:rowOff>0</xdr:rowOff>
    </xdr:to>
    <xdr:cxnSp macro="">
      <xdr:nvCxnSpPr>
        <xdr:cNvPr id="3656" name="Straight Arrow Connector 3655">
          <a:extLst>
            <a:ext uri="{FF2B5EF4-FFF2-40B4-BE49-F238E27FC236}">
              <a16:creationId xmlns:a16="http://schemas.microsoft.com/office/drawing/2014/main" id="{00000000-0008-0000-1300-0000480E0000}"/>
            </a:ext>
          </a:extLst>
        </xdr:cNvPr>
        <xdr:cNvCxnSpPr/>
      </xdr:nvCxnSpPr>
      <xdr:spPr>
        <a:xfrm flipV="1">
          <a:off x="7874000" y="102457250"/>
          <a:ext cx="613833" cy="412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1394</xdr:row>
      <xdr:rowOff>0</xdr:rowOff>
    </xdr:from>
    <xdr:to>
      <xdr:col>15</xdr:col>
      <xdr:colOff>603250</xdr:colOff>
      <xdr:row>1396</xdr:row>
      <xdr:rowOff>1</xdr:rowOff>
    </xdr:to>
    <xdr:cxnSp macro="">
      <xdr:nvCxnSpPr>
        <xdr:cNvPr id="3657" name="Straight Arrow Connector 3656">
          <a:extLst>
            <a:ext uri="{FF2B5EF4-FFF2-40B4-BE49-F238E27FC236}">
              <a16:creationId xmlns:a16="http://schemas.microsoft.com/office/drawing/2014/main" id="{00000000-0008-0000-1300-0000490E0000}"/>
            </a:ext>
          </a:extLst>
        </xdr:cNvPr>
        <xdr:cNvCxnSpPr/>
      </xdr:nvCxnSpPr>
      <xdr:spPr>
        <a:xfrm flipV="1">
          <a:off x="11271250" y="942975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1396</xdr:row>
      <xdr:rowOff>10584</xdr:rowOff>
    </xdr:from>
    <xdr:to>
      <xdr:col>15</xdr:col>
      <xdr:colOff>592666</xdr:colOff>
      <xdr:row>1397</xdr:row>
      <xdr:rowOff>95250</xdr:rowOff>
    </xdr:to>
    <xdr:cxnSp macro="">
      <xdr:nvCxnSpPr>
        <xdr:cNvPr id="3658" name="Straight Arrow Connector 3657">
          <a:extLst>
            <a:ext uri="{FF2B5EF4-FFF2-40B4-BE49-F238E27FC236}">
              <a16:creationId xmlns:a16="http://schemas.microsoft.com/office/drawing/2014/main" id="{00000000-0008-0000-1300-00004A0E0000}"/>
            </a:ext>
          </a:extLst>
        </xdr:cNvPr>
        <xdr:cNvCxnSpPr/>
      </xdr:nvCxnSpPr>
      <xdr:spPr>
        <a:xfrm>
          <a:off x="11313583" y="946890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1396</xdr:row>
      <xdr:rowOff>10584</xdr:rowOff>
    </xdr:from>
    <xdr:to>
      <xdr:col>15</xdr:col>
      <xdr:colOff>560916</xdr:colOff>
      <xdr:row>1400</xdr:row>
      <xdr:rowOff>52917</xdr:rowOff>
    </xdr:to>
    <xdr:cxnSp macro="">
      <xdr:nvCxnSpPr>
        <xdr:cNvPr id="3659" name="Straight Arrow Connector 3658">
          <a:extLst>
            <a:ext uri="{FF2B5EF4-FFF2-40B4-BE49-F238E27FC236}">
              <a16:creationId xmlns:a16="http://schemas.microsoft.com/office/drawing/2014/main" id="{00000000-0008-0000-1300-00004B0E0000}"/>
            </a:ext>
          </a:extLst>
        </xdr:cNvPr>
        <xdr:cNvCxnSpPr/>
      </xdr:nvCxnSpPr>
      <xdr:spPr>
        <a:xfrm>
          <a:off x="11292416" y="946890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1396</xdr:row>
      <xdr:rowOff>31750</xdr:rowOff>
    </xdr:from>
    <xdr:to>
      <xdr:col>16</xdr:col>
      <xdr:colOff>21167</xdr:colOff>
      <xdr:row>1403</xdr:row>
      <xdr:rowOff>95250</xdr:rowOff>
    </xdr:to>
    <xdr:cxnSp macro="">
      <xdr:nvCxnSpPr>
        <xdr:cNvPr id="3660" name="Straight Arrow Connector 3659">
          <a:extLst>
            <a:ext uri="{FF2B5EF4-FFF2-40B4-BE49-F238E27FC236}">
              <a16:creationId xmlns:a16="http://schemas.microsoft.com/office/drawing/2014/main" id="{00000000-0008-0000-1300-00004C0E0000}"/>
            </a:ext>
          </a:extLst>
        </xdr:cNvPr>
        <xdr:cNvCxnSpPr/>
      </xdr:nvCxnSpPr>
      <xdr:spPr>
        <a:xfrm>
          <a:off x="11324166" y="94710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1410</xdr:row>
      <xdr:rowOff>0</xdr:rowOff>
    </xdr:from>
    <xdr:to>
      <xdr:col>16</xdr:col>
      <xdr:colOff>0</xdr:colOff>
      <xdr:row>1410</xdr:row>
      <xdr:rowOff>42334</xdr:rowOff>
    </xdr:to>
    <xdr:cxnSp macro="">
      <xdr:nvCxnSpPr>
        <xdr:cNvPr id="3661" name="Straight Arrow Connector 3660">
          <a:extLst>
            <a:ext uri="{FF2B5EF4-FFF2-40B4-BE49-F238E27FC236}">
              <a16:creationId xmlns:a16="http://schemas.microsoft.com/office/drawing/2014/main" id="{00000000-0008-0000-1300-00004D0E0000}"/>
            </a:ext>
          </a:extLst>
        </xdr:cNvPr>
        <xdr:cNvCxnSpPr/>
      </xdr:nvCxnSpPr>
      <xdr:spPr>
        <a:xfrm>
          <a:off x="11302999" y="97345500"/>
          <a:ext cx="592668"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1410</xdr:row>
      <xdr:rowOff>21166</xdr:rowOff>
    </xdr:from>
    <xdr:to>
      <xdr:col>15</xdr:col>
      <xdr:colOff>560916</xdr:colOff>
      <xdr:row>1413</xdr:row>
      <xdr:rowOff>84667</xdr:rowOff>
    </xdr:to>
    <xdr:cxnSp macro="">
      <xdr:nvCxnSpPr>
        <xdr:cNvPr id="3662" name="Straight Arrow Connector 3661">
          <a:extLst>
            <a:ext uri="{FF2B5EF4-FFF2-40B4-BE49-F238E27FC236}">
              <a16:creationId xmlns:a16="http://schemas.microsoft.com/office/drawing/2014/main" id="{00000000-0008-0000-1300-00004E0E0000}"/>
            </a:ext>
          </a:extLst>
        </xdr:cNvPr>
        <xdr:cNvCxnSpPr/>
      </xdr:nvCxnSpPr>
      <xdr:spPr>
        <a:xfrm>
          <a:off x="11355916" y="973666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1410</xdr:row>
      <xdr:rowOff>52916</xdr:rowOff>
    </xdr:from>
    <xdr:to>
      <xdr:col>15</xdr:col>
      <xdr:colOff>592666</xdr:colOff>
      <xdr:row>1416</xdr:row>
      <xdr:rowOff>63501</xdr:rowOff>
    </xdr:to>
    <xdr:cxnSp macro="">
      <xdr:nvCxnSpPr>
        <xdr:cNvPr id="3663" name="Straight Arrow Connector 3662">
          <a:extLst>
            <a:ext uri="{FF2B5EF4-FFF2-40B4-BE49-F238E27FC236}">
              <a16:creationId xmlns:a16="http://schemas.microsoft.com/office/drawing/2014/main" id="{00000000-0008-0000-1300-00004F0E0000}"/>
            </a:ext>
          </a:extLst>
        </xdr:cNvPr>
        <xdr:cNvCxnSpPr/>
      </xdr:nvCxnSpPr>
      <xdr:spPr>
        <a:xfrm>
          <a:off x="11313583" y="973984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1424</xdr:row>
      <xdr:rowOff>116416</xdr:rowOff>
    </xdr:from>
    <xdr:to>
      <xdr:col>15</xdr:col>
      <xdr:colOff>592666</xdr:colOff>
      <xdr:row>1427</xdr:row>
      <xdr:rowOff>158750</xdr:rowOff>
    </xdr:to>
    <xdr:cxnSp macro="">
      <xdr:nvCxnSpPr>
        <xdr:cNvPr id="3664" name="Straight Arrow Connector 3663">
          <a:extLst>
            <a:ext uri="{FF2B5EF4-FFF2-40B4-BE49-F238E27FC236}">
              <a16:creationId xmlns:a16="http://schemas.microsoft.com/office/drawing/2014/main" id="{00000000-0008-0000-1300-0000500E0000}"/>
            </a:ext>
          </a:extLst>
        </xdr:cNvPr>
        <xdr:cNvCxnSpPr/>
      </xdr:nvCxnSpPr>
      <xdr:spPr>
        <a:xfrm flipV="1">
          <a:off x="11302999" y="100128916"/>
          <a:ext cx="571500" cy="613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1426</xdr:row>
      <xdr:rowOff>95250</xdr:rowOff>
    </xdr:from>
    <xdr:to>
      <xdr:col>15</xdr:col>
      <xdr:colOff>582083</xdr:colOff>
      <xdr:row>1428</xdr:row>
      <xdr:rowOff>52917</xdr:rowOff>
    </xdr:to>
    <xdr:cxnSp macro="">
      <xdr:nvCxnSpPr>
        <xdr:cNvPr id="3665" name="Straight Arrow Connector 3664">
          <a:extLst>
            <a:ext uri="{FF2B5EF4-FFF2-40B4-BE49-F238E27FC236}">
              <a16:creationId xmlns:a16="http://schemas.microsoft.com/office/drawing/2014/main" id="{00000000-0008-0000-1300-0000510E0000}"/>
            </a:ext>
          </a:extLst>
        </xdr:cNvPr>
        <xdr:cNvCxnSpPr/>
      </xdr:nvCxnSpPr>
      <xdr:spPr>
        <a:xfrm flipV="1">
          <a:off x="11345333" y="100488750"/>
          <a:ext cx="518583" cy="338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1428</xdr:row>
      <xdr:rowOff>116417</xdr:rowOff>
    </xdr:from>
    <xdr:to>
      <xdr:col>15</xdr:col>
      <xdr:colOff>592666</xdr:colOff>
      <xdr:row>1432</xdr:row>
      <xdr:rowOff>95250</xdr:rowOff>
    </xdr:to>
    <xdr:cxnSp macro="">
      <xdr:nvCxnSpPr>
        <xdr:cNvPr id="3666" name="Straight Arrow Connector 3665">
          <a:extLst>
            <a:ext uri="{FF2B5EF4-FFF2-40B4-BE49-F238E27FC236}">
              <a16:creationId xmlns:a16="http://schemas.microsoft.com/office/drawing/2014/main" id="{00000000-0008-0000-1300-0000520E0000}"/>
            </a:ext>
          </a:extLst>
        </xdr:cNvPr>
        <xdr:cNvCxnSpPr/>
      </xdr:nvCxnSpPr>
      <xdr:spPr>
        <a:xfrm>
          <a:off x="11334749" y="100890917"/>
          <a:ext cx="53975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1439</xdr:row>
      <xdr:rowOff>116416</xdr:rowOff>
    </xdr:from>
    <xdr:to>
      <xdr:col>16</xdr:col>
      <xdr:colOff>0</xdr:colOff>
      <xdr:row>1446</xdr:row>
      <xdr:rowOff>74084</xdr:rowOff>
    </xdr:to>
    <xdr:cxnSp macro="">
      <xdr:nvCxnSpPr>
        <xdr:cNvPr id="3667" name="Straight Arrow Connector 3666">
          <a:extLst>
            <a:ext uri="{FF2B5EF4-FFF2-40B4-BE49-F238E27FC236}">
              <a16:creationId xmlns:a16="http://schemas.microsoft.com/office/drawing/2014/main" id="{00000000-0008-0000-1300-0000530E0000}"/>
            </a:ext>
          </a:extLst>
        </xdr:cNvPr>
        <xdr:cNvCxnSpPr/>
      </xdr:nvCxnSpPr>
      <xdr:spPr>
        <a:xfrm>
          <a:off x="11313583" y="102986416"/>
          <a:ext cx="582084" cy="12911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1407</xdr:row>
      <xdr:rowOff>52917</xdr:rowOff>
    </xdr:from>
    <xdr:to>
      <xdr:col>15</xdr:col>
      <xdr:colOff>603250</xdr:colOff>
      <xdr:row>1409</xdr:row>
      <xdr:rowOff>148167</xdr:rowOff>
    </xdr:to>
    <xdr:cxnSp macro="">
      <xdr:nvCxnSpPr>
        <xdr:cNvPr id="3668" name="Straight Arrow Connector 3667">
          <a:extLst>
            <a:ext uri="{FF2B5EF4-FFF2-40B4-BE49-F238E27FC236}">
              <a16:creationId xmlns:a16="http://schemas.microsoft.com/office/drawing/2014/main" id="{00000000-0008-0000-1300-0000540E0000}"/>
            </a:ext>
          </a:extLst>
        </xdr:cNvPr>
        <xdr:cNvCxnSpPr/>
      </xdr:nvCxnSpPr>
      <xdr:spPr>
        <a:xfrm flipV="1">
          <a:off x="11324166" y="968269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1442</xdr:row>
      <xdr:rowOff>42333</xdr:rowOff>
    </xdr:from>
    <xdr:to>
      <xdr:col>11</xdr:col>
      <xdr:colOff>603250</xdr:colOff>
      <xdr:row>1454</xdr:row>
      <xdr:rowOff>10583</xdr:rowOff>
    </xdr:to>
    <xdr:cxnSp macro="">
      <xdr:nvCxnSpPr>
        <xdr:cNvPr id="3669" name="Straight Arrow Connector 3668">
          <a:extLst>
            <a:ext uri="{FF2B5EF4-FFF2-40B4-BE49-F238E27FC236}">
              <a16:creationId xmlns:a16="http://schemas.microsoft.com/office/drawing/2014/main" id="{00000000-0008-0000-1300-0000550E0000}"/>
            </a:ext>
          </a:extLst>
        </xdr:cNvPr>
        <xdr:cNvCxnSpPr/>
      </xdr:nvCxnSpPr>
      <xdr:spPr>
        <a:xfrm>
          <a:off x="7926917" y="1034838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1432</xdr:row>
      <xdr:rowOff>21167</xdr:rowOff>
    </xdr:from>
    <xdr:to>
      <xdr:col>13</xdr:col>
      <xdr:colOff>592667</xdr:colOff>
      <xdr:row>1434</xdr:row>
      <xdr:rowOff>0</xdr:rowOff>
    </xdr:to>
    <xdr:cxnSp macro="">
      <xdr:nvCxnSpPr>
        <xdr:cNvPr id="3670" name="Straight Arrow Connector 3669">
          <a:extLst>
            <a:ext uri="{FF2B5EF4-FFF2-40B4-BE49-F238E27FC236}">
              <a16:creationId xmlns:a16="http://schemas.microsoft.com/office/drawing/2014/main" id="{00000000-0008-0000-1300-0000560E0000}"/>
            </a:ext>
          </a:extLst>
        </xdr:cNvPr>
        <xdr:cNvCxnSpPr/>
      </xdr:nvCxnSpPr>
      <xdr:spPr>
        <a:xfrm flipV="1">
          <a:off x="9133417" y="101557667"/>
          <a:ext cx="984250"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1437</xdr:row>
      <xdr:rowOff>21166</xdr:rowOff>
    </xdr:from>
    <xdr:to>
      <xdr:col>13</xdr:col>
      <xdr:colOff>592667</xdr:colOff>
      <xdr:row>1438</xdr:row>
      <xdr:rowOff>169334</xdr:rowOff>
    </xdr:to>
    <xdr:cxnSp macro="">
      <xdr:nvCxnSpPr>
        <xdr:cNvPr id="3671" name="Straight Arrow Connector 3670">
          <a:extLst>
            <a:ext uri="{FF2B5EF4-FFF2-40B4-BE49-F238E27FC236}">
              <a16:creationId xmlns:a16="http://schemas.microsoft.com/office/drawing/2014/main" id="{00000000-0008-0000-1300-0000570E0000}"/>
            </a:ext>
          </a:extLst>
        </xdr:cNvPr>
        <xdr:cNvCxnSpPr/>
      </xdr:nvCxnSpPr>
      <xdr:spPr>
        <a:xfrm>
          <a:off x="9122833" y="102510166"/>
          <a:ext cx="994834"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1452</xdr:row>
      <xdr:rowOff>21167</xdr:rowOff>
    </xdr:from>
    <xdr:to>
      <xdr:col>13</xdr:col>
      <xdr:colOff>592667</xdr:colOff>
      <xdr:row>1454</xdr:row>
      <xdr:rowOff>63500</xdr:rowOff>
    </xdr:to>
    <xdr:cxnSp macro="">
      <xdr:nvCxnSpPr>
        <xdr:cNvPr id="3672" name="Straight Arrow Connector 3671">
          <a:extLst>
            <a:ext uri="{FF2B5EF4-FFF2-40B4-BE49-F238E27FC236}">
              <a16:creationId xmlns:a16="http://schemas.microsoft.com/office/drawing/2014/main" id="{00000000-0008-0000-1300-0000580E0000}"/>
            </a:ext>
          </a:extLst>
        </xdr:cNvPr>
        <xdr:cNvCxnSpPr/>
      </xdr:nvCxnSpPr>
      <xdr:spPr>
        <a:xfrm flipV="1">
          <a:off x="9525000" y="1055581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1457</xdr:row>
      <xdr:rowOff>0</xdr:rowOff>
    </xdr:from>
    <xdr:to>
      <xdr:col>14</xdr:col>
      <xdr:colOff>10584</xdr:colOff>
      <xdr:row>1465</xdr:row>
      <xdr:rowOff>148167</xdr:rowOff>
    </xdr:to>
    <xdr:cxnSp macro="">
      <xdr:nvCxnSpPr>
        <xdr:cNvPr id="3673" name="Straight Arrow Connector 3672">
          <a:extLst>
            <a:ext uri="{FF2B5EF4-FFF2-40B4-BE49-F238E27FC236}">
              <a16:creationId xmlns:a16="http://schemas.microsoft.com/office/drawing/2014/main" id="{00000000-0008-0000-1300-0000590E0000}"/>
            </a:ext>
          </a:extLst>
        </xdr:cNvPr>
        <xdr:cNvCxnSpPr/>
      </xdr:nvCxnSpPr>
      <xdr:spPr>
        <a:xfrm>
          <a:off x="9535583" y="106489500"/>
          <a:ext cx="613834"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1428</xdr:row>
      <xdr:rowOff>95250</xdr:rowOff>
    </xdr:from>
    <xdr:to>
      <xdr:col>15</xdr:col>
      <xdr:colOff>582083</xdr:colOff>
      <xdr:row>1430</xdr:row>
      <xdr:rowOff>137583</xdr:rowOff>
    </xdr:to>
    <xdr:cxnSp macro="">
      <xdr:nvCxnSpPr>
        <xdr:cNvPr id="3674" name="Straight Arrow Connector 3673">
          <a:extLst>
            <a:ext uri="{FF2B5EF4-FFF2-40B4-BE49-F238E27FC236}">
              <a16:creationId xmlns:a16="http://schemas.microsoft.com/office/drawing/2014/main" id="{00000000-0008-0000-1300-00005A0E0000}"/>
            </a:ext>
          </a:extLst>
        </xdr:cNvPr>
        <xdr:cNvCxnSpPr/>
      </xdr:nvCxnSpPr>
      <xdr:spPr>
        <a:xfrm>
          <a:off x="11334749" y="100869750"/>
          <a:ext cx="5291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1437</xdr:row>
      <xdr:rowOff>52916</xdr:rowOff>
    </xdr:from>
    <xdr:to>
      <xdr:col>16</xdr:col>
      <xdr:colOff>0</xdr:colOff>
      <xdr:row>1439</xdr:row>
      <xdr:rowOff>0</xdr:rowOff>
    </xdr:to>
    <xdr:cxnSp macro="">
      <xdr:nvCxnSpPr>
        <xdr:cNvPr id="3675" name="Straight Arrow Connector 3674">
          <a:extLst>
            <a:ext uri="{FF2B5EF4-FFF2-40B4-BE49-F238E27FC236}">
              <a16:creationId xmlns:a16="http://schemas.microsoft.com/office/drawing/2014/main" id="{00000000-0008-0000-1300-00005B0E0000}"/>
            </a:ext>
          </a:extLst>
        </xdr:cNvPr>
        <xdr:cNvCxnSpPr/>
      </xdr:nvCxnSpPr>
      <xdr:spPr>
        <a:xfrm flipV="1">
          <a:off x="11281833" y="102541916"/>
          <a:ext cx="613834"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1439</xdr:row>
      <xdr:rowOff>21167</xdr:rowOff>
    </xdr:from>
    <xdr:to>
      <xdr:col>15</xdr:col>
      <xdr:colOff>592666</xdr:colOff>
      <xdr:row>1440</xdr:row>
      <xdr:rowOff>84667</xdr:rowOff>
    </xdr:to>
    <xdr:cxnSp macro="">
      <xdr:nvCxnSpPr>
        <xdr:cNvPr id="3676" name="Straight Arrow Connector 3675">
          <a:extLst>
            <a:ext uri="{FF2B5EF4-FFF2-40B4-BE49-F238E27FC236}">
              <a16:creationId xmlns:a16="http://schemas.microsoft.com/office/drawing/2014/main" id="{00000000-0008-0000-1300-00005C0E0000}"/>
            </a:ext>
          </a:extLst>
        </xdr:cNvPr>
        <xdr:cNvCxnSpPr/>
      </xdr:nvCxnSpPr>
      <xdr:spPr>
        <a:xfrm>
          <a:off x="11271250" y="102891167"/>
          <a:ext cx="603249" cy="25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1439</xdr:row>
      <xdr:rowOff>0</xdr:rowOff>
    </xdr:from>
    <xdr:to>
      <xdr:col>16</xdr:col>
      <xdr:colOff>0</xdr:colOff>
      <xdr:row>1443</xdr:row>
      <xdr:rowOff>42334</xdr:rowOff>
    </xdr:to>
    <xdr:cxnSp macro="">
      <xdr:nvCxnSpPr>
        <xdr:cNvPr id="3677" name="Straight Arrow Connector 3676">
          <a:extLst>
            <a:ext uri="{FF2B5EF4-FFF2-40B4-BE49-F238E27FC236}">
              <a16:creationId xmlns:a16="http://schemas.microsoft.com/office/drawing/2014/main" id="{00000000-0008-0000-1300-00005D0E0000}"/>
            </a:ext>
          </a:extLst>
        </xdr:cNvPr>
        <xdr:cNvCxnSpPr/>
      </xdr:nvCxnSpPr>
      <xdr:spPr>
        <a:xfrm>
          <a:off x="11271250" y="102870000"/>
          <a:ext cx="624417" cy="804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1450</xdr:row>
      <xdr:rowOff>0</xdr:rowOff>
    </xdr:from>
    <xdr:to>
      <xdr:col>15</xdr:col>
      <xdr:colOff>603250</xdr:colOff>
      <xdr:row>1452</xdr:row>
      <xdr:rowOff>1</xdr:rowOff>
    </xdr:to>
    <xdr:cxnSp macro="">
      <xdr:nvCxnSpPr>
        <xdr:cNvPr id="3678" name="Straight Arrow Connector 3677">
          <a:extLst>
            <a:ext uri="{FF2B5EF4-FFF2-40B4-BE49-F238E27FC236}">
              <a16:creationId xmlns:a16="http://schemas.microsoft.com/office/drawing/2014/main" id="{00000000-0008-0000-1300-00005E0E0000}"/>
            </a:ext>
          </a:extLst>
        </xdr:cNvPr>
        <xdr:cNvCxnSpPr/>
      </xdr:nvCxnSpPr>
      <xdr:spPr>
        <a:xfrm flipV="1">
          <a:off x="11271250" y="1051560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1452</xdr:row>
      <xdr:rowOff>10584</xdr:rowOff>
    </xdr:from>
    <xdr:to>
      <xdr:col>15</xdr:col>
      <xdr:colOff>592666</xdr:colOff>
      <xdr:row>1453</xdr:row>
      <xdr:rowOff>95250</xdr:rowOff>
    </xdr:to>
    <xdr:cxnSp macro="">
      <xdr:nvCxnSpPr>
        <xdr:cNvPr id="3679" name="Straight Arrow Connector 3678">
          <a:extLst>
            <a:ext uri="{FF2B5EF4-FFF2-40B4-BE49-F238E27FC236}">
              <a16:creationId xmlns:a16="http://schemas.microsoft.com/office/drawing/2014/main" id="{00000000-0008-0000-1300-00005F0E0000}"/>
            </a:ext>
          </a:extLst>
        </xdr:cNvPr>
        <xdr:cNvCxnSpPr/>
      </xdr:nvCxnSpPr>
      <xdr:spPr>
        <a:xfrm>
          <a:off x="11313583" y="1055475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1452</xdr:row>
      <xdr:rowOff>10584</xdr:rowOff>
    </xdr:from>
    <xdr:to>
      <xdr:col>15</xdr:col>
      <xdr:colOff>560916</xdr:colOff>
      <xdr:row>1456</xdr:row>
      <xdr:rowOff>52917</xdr:rowOff>
    </xdr:to>
    <xdr:cxnSp macro="">
      <xdr:nvCxnSpPr>
        <xdr:cNvPr id="3680" name="Straight Arrow Connector 3679">
          <a:extLst>
            <a:ext uri="{FF2B5EF4-FFF2-40B4-BE49-F238E27FC236}">
              <a16:creationId xmlns:a16="http://schemas.microsoft.com/office/drawing/2014/main" id="{00000000-0008-0000-1300-0000600E0000}"/>
            </a:ext>
          </a:extLst>
        </xdr:cNvPr>
        <xdr:cNvCxnSpPr/>
      </xdr:nvCxnSpPr>
      <xdr:spPr>
        <a:xfrm>
          <a:off x="11292416" y="1055475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1452</xdr:row>
      <xdr:rowOff>31750</xdr:rowOff>
    </xdr:from>
    <xdr:to>
      <xdr:col>16</xdr:col>
      <xdr:colOff>21167</xdr:colOff>
      <xdr:row>1459</xdr:row>
      <xdr:rowOff>95250</xdr:rowOff>
    </xdr:to>
    <xdr:cxnSp macro="">
      <xdr:nvCxnSpPr>
        <xdr:cNvPr id="3681" name="Straight Arrow Connector 3680">
          <a:extLst>
            <a:ext uri="{FF2B5EF4-FFF2-40B4-BE49-F238E27FC236}">
              <a16:creationId xmlns:a16="http://schemas.microsoft.com/office/drawing/2014/main" id="{00000000-0008-0000-1300-0000610E0000}"/>
            </a:ext>
          </a:extLst>
        </xdr:cNvPr>
        <xdr:cNvCxnSpPr/>
      </xdr:nvCxnSpPr>
      <xdr:spPr>
        <a:xfrm>
          <a:off x="11324166" y="105568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698500</xdr:colOff>
      <xdr:row>1507</xdr:row>
      <xdr:rowOff>95250</xdr:rowOff>
    </xdr:from>
    <xdr:to>
      <xdr:col>8</xdr:col>
      <xdr:colOff>21167</xdr:colOff>
      <xdr:row>1539</xdr:row>
      <xdr:rowOff>148166</xdr:rowOff>
    </xdr:to>
    <xdr:cxnSp macro="">
      <xdr:nvCxnSpPr>
        <xdr:cNvPr id="3686" name="Straight Arrow Connector 3685">
          <a:extLst>
            <a:ext uri="{FF2B5EF4-FFF2-40B4-BE49-F238E27FC236}">
              <a16:creationId xmlns:a16="http://schemas.microsoft.com/office/drawing/2014/main" id="{00000000-0008-0000-1300-0000660E0000}"/>
            </a:ext>
          </a:extLst>
        </xdr:cNvPr>
        <xdr:cNvCxnSpPr/>
      </xdr:nvCxnSpPr>
      <xdr:spPr>
        <a:xfrm>
          <a:off x="5185833" y="116300250"/>
          <a:ext cx="910167" cy="6148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1478</xdr:row>
      <xdr:rowOff>137583</xdr:rowOff>
    </xdr:from>
    <xdr:to>
      <xdr:col>9</xdr:col>
      <xdr:colOff>603250</xdr:colOff>
      <xdr:row>1484</xdr:row>
      <xdr:rowOff>21166</xdr:rowOff>
    </xdr:to>
    <xdr:cxnSp macro="">
      <xdr:nvCxnSpPr>
        <xdr:cNvPr id="3687" name="Straight Arrow Connector 3686">
          <a:extLst>
            <a:ext uri="{FF2B5EF4-FFF2-40B4-BE49-F238E27FC236}">
              <a16:creationId xmlns:a16="http://schemas.microsoft.com/office/drawing/2014/main" id="{00000000-0008-0000-1300-0000670E0000}"/>
            </a:ext>
          </a:extLst>
        </xdr:cNvPr>
        <xdr:cNvCxnSpPr/>
      </xdr:nvCxnSpPr>
      <xdr:spPr>
        <a:xfrm flipV="1">
          <a:off x="6688667" y="110627583"/>
          <a:ext cx="603250" cy="1026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1487</xdr:row>
      <xdr:rowOff>0</xdr:rowOff>
    </xdr:from>
    <xdr:to>
      <xdr:col>9</xdr:col>
      <xdr:colOff>582083</xdr:colOff>
      <xdr:row>1495</xdr:row>
      <xdr:rowOff>10583</xdr:rowOff>
    </xdr:to>
    <xdr:cxnSp macro="">
      <xdr:nvCxnSpPr>
        <xdr:cNvPr id="3688" name="Straight Arrow Connector 3687">
          <a:extLst>
            <a:ext uri="{FF2B5EF4-FFF2-40B4-BE49-F238E27FC236}">
              <a16:creationId xmlns:a16="http://schemas.microsoft.com/office/drawing/2014/main" id="{00000000-0008-0000-1300-0000680E0000}"/>
            </a:ext>
          </a:extLst>
        </xdr:cNvPr>
        <xdr:cNvCxnSpPr/>
      </xdr:nvCxnSpPr>
      <xdr:spPr>
        <a:xfrm>
          <a:off x="6720417" y="112204500"/>
          <a:ext cx="550333" cy="1534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21167</xdr:colOff>
      <xdr:row>1492</xdr:row>
      <xdr:rowOff>169333</xdr:rowOff>
    </xdr:from>
    <xdr:to>
      <xdr:col>11</xdr:col>
      <xdr:colOff>603250</xdr:colOff>
      <xdr:row>1495</xdr:row>
      <xdr:rowOff>21167</xdr:rowOff>
    </xdr:to>
    <xdr:cxnSp macro="">
      <xdr:nvCxnSpPr>
        <xdr:cNvPr id="3689" name="Straight Arrow Connector 3688">
          <a:extLst>
            <a:ext uri="{FF2B5EF4-FFF2-40B4-BE49-F238E27FC236}">
              <a16:creationId xmlns:a16="http://schemas.microsoft.com/office/drawing/2014/main" id="{00000000-0008-0000-1300-0000690E0000}"/>
            </a:ext>
          </a:extLst>
        </xdr:cNvPr>
        <xdr:cNvCxnSpPr/>
      </xdr:nvCxnSpPr>
      <xdr:spPr>
        <a:xfrm flipV="1">
          <a:off x="7937500" y="113326333"/>
          <a:ext cx="582083" cy="423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1498</xdr:row>
      <xdr:rowOff>42333</xdr:rowOff>
    </xdr:from>
    <xdr:to>
      <xdr:col>11</xdr:col>
      <xdr:colOff>603250</xdr:colOff>
      <xdr:row>1510</xdr:row>
      <xdr:rowOff>10583</xdr:rowOff>
    </xdr:to>
    <xdr:cxnSp macro="">
      <xdr:nvCxnSpPr>
        <xdr:cNvPr id="3690" name="Straight Arrow Connector 3689">
          <a:extLst>
            <a:ext uri="{FF2B5EF4-FFF2-40B4-BE49-F238E27FC236}">
              <a16:creationId xmlns:a16="http://schemas.microsoft.com/office/drawing/2014/main" id="{00000000-0008-0000-1300-00006A0E0000}"/>
            </a:ext>
          </a:extLst>
        </xdr:cNvPr>
        <xdr:cNvCxnSpPr/>
      </xdr:nvCxnSpPr>
      <xdr:spPr>
        <a:xfrm>
          <a:off x="7926917" y="1143423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1488</xdr:row>
      <xdr:rowOff>21167</xdr:rowOff>
    </xdr:from>
    <xdr:to>
      <xdr:col>13</xdr:col>
      <xdr:colOff>592667</xdr:colOff>
      <xdr:row>1490</xdr:row>
      <xdr:rowOff>0</xdr:rowOff>
    </xdr:to>
    <xdr:cxnSp macro="">
      <xdr:nvCxnSpPr>
        <xdr:cNvPr id="3691" name="Straight Arrow Connector 3690">
          <a:extLst>
            <a:ext uri="{FF2B5EF4-FFF2-40B4-BE49-F238E27FC236}">
              <a16:creationId xmlns:a16="http://schemas.microsoft.com/office/drawing/2014/main" id="{00000000-0008-0000-1300-00006B0E0000}"/>
            </a:ext>
          </a:extLst>
        </xdr:cNvPr>
        <xdr:cNvCxnSpPr/>
      </xdr:nvCxnSpPr>
      <xdr:spPr>
        <a:xfrm flipV="1">
          <a:off x="9133417" y="112416167"/>
          <a:ext cx="984250"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1493</xdr:row>
      <xdr:rowOff>21166</xdr:rowOff>
    </xdr:from>
    <xdr:to>
      <xdr:col>13</xdr:col>
      <xdr:colOff>592667</xdr:colOff>
      <xdr:row>1494</xdr:row>
      <xdr:rowOff>169334</xdr:rowOff>
    </xdr:to>
    <xdr:cxnSp macro="">
      <xdr:nvCxnSpPr>
        <xdr:cNvPr id="3692" name="Straight Arrow Connector 3691">
          <a:extLst>
            <a:ext uri="{FF2B5EF4-FFF2-40B4-BE49-F238E27FC236}">
              <a16:creationId xmlns:a16="http://schemas.microsoft.com/office/drawing/2014/main" id="{00000000-0008-0000-1300-00006C0E0000}"/>
            </a:ext>
          </a:extLst>
        </xdr:cNvPr>
        <xdr:cNvCxnSpPr/>
      </xdr:nvCxnSpPr>
      <xdr:spPr>
        <a:xfrm>
          <a:off x="9122833" y="113368666"/>
          <a:ext cx="994834"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1508</xdr:row>
      <xdr:rowOff>21167</xdr:rowOff>
    </xdr:from>
    <xdr:to>
      <xdr:col>13</xdr:col>
      <xdr:colOff>592667</xdr:colOff>
      <xdr:row>1510</xdr:row>
      <xdr:rowOff>63500</xdr:rowOff>
    </xdr:to>
    <xdr:cxnSp macro="">
      <xdr:nvCxnSpPr>
        <xdr:cNvPr id="3693" name="Straight Arrow Connector 3692">
          <a:extLst>
            <a:ext uri="{FF2B5EF4-FFF2-40B4-BE49-F238E27FC236}">
              <a16:creationId xmlns:a16="http://schemas.microsoft.com/office/drawing/2014/main" id="{00000000-0008-0000-1300-00006D0E0000}"/>
            </a:ext>
          </a:extLst>
        </xdr:cNvPr>
        <xdr:cNvCxnSpPr/>
      </xdr:nvCxnSpPr>
      <xdr:spPr>
        <a:xfrm flipV="1">
          <a:off x="9525000" y="1164166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1513</xdr:row>
      <xdr:rowOff>0</xdr:rowOff>
    </xdr:from>
    <xdr:to>
      <xdr:col>14</xdr:col>
      <xdr:colOff>10584</xdr:colOff>
      <xdr:row>1521</xdr:row>
      <xdr:rowOff>148167</xdr:rowOff>
    </xdr:to>
    <xdr:cxnSp macro="">
      <xdr:nvCxnSpPr>
        <xdr:cNvPr id="3694" name="Straight Arrow Connector 3693">
          <a:extLst>
            <a:ext uri="{FF2B5EF4-FFF2-40B4-BE49-F238E27FC236}">
              <a16:creationId xmlns:a16="http://schemas.microsoft.com/office/drawing/2014/main" id="{00000000-0008-0000-1300-00006E0E0000}"/>
            </a:ext>
          </a:extLst>
        </xdr:cNvPr>
        <xdr:cNvCxnSpPr/>
      </xdr:nvCxnSpPr>
      <xdr:spPr>
        <a:xfrm>
          <a:off x="9535583" y="117348000"/>
          <a:ext cx="613834"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1480</xdr:row>
      <xdr:rowOff>0</xdr:rowOff>
    </xdr:from>
    <xdr:to>
      <xdr:col>15</xdr:col>
      <xdr:colOff>603250</xdr:colOff>
      <xdr:row>1485</xdr:row>
      <xdr:rowOff>31750</xdr:rowOff>
    </xdr:to>
    <xdr:cxnSp macro="">
      <xdr:nvCxnSpPr>
        <xdr:cNvPr id="3695" name="Straight Arrow Connector 3694">
          <a:extLst>
            <a:ext uri="{FF2B5EF4-FFF2-40B4-BE49-F238E27FC236}">
              <a16:creationId xmlns:a16="http://schemas.microsoft.com/office/drawing/2014/main" id="{00000000-0008-0000-1300-00006F0E0000}"/>
            </a:ext>
          </a:extLst>
        </xdr:cNvPr>
        <xdr:cNvCxnSpPr/>
      </xdr:nvCxnSpPr>
      <xdr:spPr>
        <a:xfrm flipV="1">
          <a:off x="11281833" y="110871000"/>
          <a:ext cx="603250" cy="984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1483</xdr:row>
      <xdr:rowOff>52917</xdr:rowOff>
    </xdr:from>
    <xdr:to>
      <xdr:col>15</xdr:col>
      <xdr:colOff>603250</xdr:colOff>
      <xdr:row>1485</xdr:row>
      <xdr:rowOff>95250</xdr:rowOff>
    </xdr:to>
    <xdr:cxnSp macro="">
      <xdr:nvCxnSpPr>
        <xdr:cNvPr id="3696" name="Straight Arrow Connector 3695">
          <a:extLst>
            <a:ext uri="{FF2B5EF4-FFF2-40B4-BE49-F238E27FC236}">
              <a16:creationId xmlns:a16="http://schemas.microsoft.com/office/drawing/2014/main" id="{00000000-0008-0000-1300-0000700E0000}"/>
            </a:ext>
          </a:extLst>
        </xdr:cNvPr>
        <xdr:cNvCxnSpPr/>
      </xdr:nvCxnSpPr>
      <xdr:spPr>
        <a:xfrm flipV="1">
          <a:off x="11324166" y="111495417"/>
          <a:ext cx="56091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1485</xdr:row>
      <xdr:rowOff>158750</xdr:rowOff>
    </xdr:from>
    <xdr:to>
      <xdr:col>15</xdr:col>
      <xdr:colOff>582083</xdr:colOff>
      <xdr:row>1486</xdr:row>
      <xdr:rowOff>137583</xdr:rowOff>
    </xdr:to>
    <xdr:cxnSp macro="">
      <xdr:nvCxnSpPr>
        <xdr:cNvPr id="3697" name="Straight Arrow Connector 3696">
          <a:extLst>
            <a:ext uri="{FF2B5EF4-FFF2-40B4-BE49-F238E27FC236}">
              <a16:creationId xmlns:a16="http://schemas.microsoft.com/office/drawing/2014/main" id="{00000000-0008-0000-1300-0000710E0000}"/>
            </a:ext>
          </a:extLst>
        </xdr:cNvPr>
        <xdr:cNvCxnSpPr/>
      </xdr:nvCxnSpPr>
      <xdr:spPr>
        <a:xfrm>
          <a:off x="11345333" y="111982250"/>
          <a:ext cx="518583" cy="169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1121834</xdr:colOff>
      <xdr:row>1485</xdr:row>
      <xdr:rowOff>105834</xdr:rowOff>
    </xdr:from>
    <xdr:to>
      <xdr:col>16</xdr:col>
      <xdr:colOff>0</xdr:colOff>
      <xdr:row>1489</xdr:row>
      <xdr:rowOff>84667</xdr:rowOff>
    </xdr:to>
    <xdr:cxnSp macro="">
      <xdr:nvCxnSpPr>
        <xdr:cNvPr id="3698" name="Straight Arrow Connector 3697">
          <a:extLst>
            <a:ext uri="{FF2B5EF4-FFF2-40B4-BE49-F238E27FC236}">
              <a16:creationId xmlns:a16="http://schemas.microsoft.com/office/drawing/2014/main" id="{00000000-0008-0000-1300-0000720E0000}"/>
            </a:ext>
          </a:extLst>
        </xdr:cNvPr>
        <xdr:cNvCxnSpPr/>
      </xdr:nvCxnSpPr>
      <xdr:spPr>
        <a:xfrm>
          <a:off x="11260667" y="111929334"/>
          <a:ext cx="63500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1493</xdr:row>
      <xdr:rowOff>52916</xdr:rowOff>
    </xdr:from>
    <xdr:to>
      <xdr:col>16</xdr:col>
      <xdr:colOff>0</xdr:colOff>
      <xdr:row>1495</xdr:row>
      <xdr:rowOff>0</xdr:rowOff>
    </xdr:to>
    <xdr:cxnSp macro="">
      <xdr:nvCxnSpPr>
        <xdr:cNvPr id="3699" name="Straight Arrow Connector 3698">
          <a:extLst>
            <a:ext uri="{FF2B5EF4-FFF2-40B4-BE49-F238E27FC236}">
              <a16:creationId xmlns:a16="http://schemas.microsoft.com/office/drawing/2014/main" id="{00000000-0008-0000-1300-0000730E0000}"/>
            </a:ext>
          </a:extLst>
        </xdr:cNvPr>
        <xdr:cNvCxnSpPr/>
      </xdr:nvCxnSpPr>
      <xdr:spPr>
        <a:xfrm flipV="1">
          <a:off x="11281833" y="113400416"/>
          <a:ext cx="613834"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1495</xdr:row>
      <xdr:rowOff>21167</xdr:rowOff>
    </xdr:from>
    <xdr:to>
      <xdr:col>15</xdr:col>
      <xdr:colOff>582083</xdr:colOff>
      <xdr:row>1496</xdr:row>
      <xdr:rowOff>42333</xdr:rowOff>
    </xdr:to>
    <xdr:cxnSp macro="">
      <xdr:nvCxnSpPr>
        <xdr:cNvPr id="3700" name="Straight Arrow Connector 3699">
          <a:extLst>
            <a:ext uri="{FF2B5EF4-FFF2-40B4-BE49-F238E27FC236}">
              <a16:creationId xmlns:a16="http://schemas.microsoft.com/office/drawing/2014/main" id="{00000000-0008-0000-1300-0000740E0000}"/>
            </a:ext>
          </a:extLst>
        </xdr:cNvPr>
        <xdr:cNvCxnSpPr/>
      </xdr:nvCxnSpPr>
      <xdr:spPr>
        <a:xfrm>
          <a:off x="11292416" y="113749667"/>
          <a:ext cx="571500" cy="211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1495</xdr:row>
      <xdr:rowOff>21167</xdr:rowOff>
    </xdr:from>
    <xdr:to>
      <xdr:col>16</xdr:col>
      <xdr:colOff>42333</xdr:colOff>
      <xdr:row>1500</xdr:row>
      <xdr:rowOff>21168</xdr:rowOff>
    </xdr:to>
    <xdr:cxnSp macro="">
      <xdr:nvCxnSpPr>
        <xdr:cNvPr id="3701" name="Straight Arrow Connector 3700">
          <a:extLst>
            <a:ext uri="{FF2B5EF4-FFF2-40B4-BE49-F238E27FC236}">
              <a16:creationId xmlns:a16="http://schemas.microsoft.com/office/drawing/2014/main" id="{00000000-0008-0000-1300-0000750E0000}"/>
            </a:ext>
          </a:extLst>
        </xdr:cNvPr>
        <xdr:cNvCxnSpPr/>
      </xdr:nvCxnSpPr>
      <xdr:spPr>
        <a:xfrm>
          <a:off x="11271250" y="113749667"/>
          <a:ext cx="666750" cy="9525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1495</xdr:row>
      <xdr:rowOff>31750</xdr:rowOff>
    </xdr:from>
    <xdr:to>
      <xdr:col>16</xdr:col>
      <xdr:colOff>42334</xdr:colOff>
      <xdr:row>1502</xdr:row>
      <xdr:rowOff>63501</xdr:rowOff>
    </xdr:to>
    <xdr:cxnSp macro="">
      <xdr:nvCxnSpPr>
        <xdr:cNvPr id="3702" name="Straight Arrow Connector 3701">
          <a:extLst>
            <a:ext uri="{FF2B5EF4-FFF2-40B4-BE49-F238E27FC236}">
              <a16:creationId xmlns:a16="http://schemas.microsoft.com/office/drawing/2014/main" id="{00000000-0008-0000-1300-0000760E0000}"/>
            </a:ext>
          </a:extLst>
        </xdr:cNvPr>
        <xdr:cNvCxnSpPr/>
      </xdr:nvCxnSpPr>
      <xdr:spPr>
        <a:xfrm>
          <a:off x="11281833" y="113760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10583</xdr:colOff>
      <xdr:row>1532</xdr:row>
      <xdr:rowOff>42333</xdr:rowOff>
    </xdr:from>
    <xdr:to>
      <xdr:col>9</xdr:col>
      <xdr:colOff>592666</xdr:colOff>
      <xdr:row>1540</xdr:row>
      <xdr:rowOff>42333</xdr:rowOff>
    </xdr:to>
    <xdr:cxnSp macro="">
      <xdr:nvCxnSpPr>
        <xdr:cNvPr id="3703" name="Straight Arrow Connector 3702">
          <a:extLst>
            <a:ext uri="{FF2B5EF4-FFF2-40B4-BE49-F238E27FC236}">
              <a16:creationId xmlns:a16="http://schemas.microsoft.com/office/drawing/2014/main" id="{00000000-0008-0000-1300-0000770E0000}"/>
            </a:ext>
          </a:extLst>
        </xdr:cNvPr>
        <xdr:cNvCxnSpPr/>
      </xdr:nvCxnSpPr>
      <xdr:spPr>
        <a:xfrm flipV="1">
          <a:off x="6699250" y="121009833"/>
          <a:ext cx="582083" cy="152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1542</xdr:row>
      <xdr:rowOff>169334</xdr:rowOff>
    </xdr:from>
    <xdr:to>
      <xdr:col>9</xdr:col>
      <xdr:colOff>603250</xdr:colOff>
      <xdr:row>1551</xdr:row>
      <xdr:rowOff>31750</xdr:rowOff>
    </xdr:to>
    <xdr:cxnSp macro="">
      <xdr:nvCxnSpPr>
        <xdr:cNvPr id="3704" name="Straight Arrow Connector 3703">
          <a:extLst>
            <a:ext uri="{FF2B5EF4-FFF2-40B4-BE49-F238E27FC236}">
              <a16:creationId xmlns:a16="http://schemas.microsoft.com/office/drawing/2014/main" id="{00000000-0008-0000-1300-0000780E0000}"/>
            </a:ext>
          </a:extLst>
        </xdr:cNvPr>
        <xdr:cNvCxnSpPr/>
      </xdr:nvCxnSpPr>
      <xdr:spPr>
        <a:xfrm>
          <a:off x="6720417" y="123041834"/>
          <a:ext cx="571500" cy="1576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571500</xdr:colOff>
      <xdr:row>1548</xdr:row>
      <xdr:rowOff>158750</xdr:rowOff>
    </xdr:from>
    <xdr:to>
      <xdr:col>11</xdr:col>
      <xdr:colOff>571500</xdr:colOff>
      <xdr:row>1551</xdr:row>
      <xdr:rowOff>0</xdr:rowOff>
    </xdr:to>
    <xdr:cxnSp macro="">
      <xdr:nvCxnSpPr>
        <xdr:cNvPr id="3705" name="Straight Arrow Connector 3704">
          <a:extLst>
            <a:ext uri="{FF2B5EF4-FFF2-40B4-BE49-F238E27FC236}">
              <a16:creationId xmlns:a16="http://schemas.microsoft.com/office/drawing/2014/main" id="{00000000-0008-0000-1300-0000790E0000}"/>
            </a:ext>
          </a:extLst>
        </xdr:cNvPr>
        <xdr:cNvCxnSpPr/>
      </xdr:nvCxnSpPr>
      <xdr:spPr>
        <a:xfrm flipV="1">
          <a:off x="7874000" y="124174250"/>
          <a:ext cx="613833" cy="412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1506</xdr:row>
      <xdr:rowOff>0</xdr:rowOff>
    </xdr:from>
    <xdr:to>
      <xdr:col>15</xdr:col>
      <xdr:colOff>603250</xdr:colOff>
      <xdr:row>1508</xdr:row>
      <xdr:rowOff>1</xdr:rowOff>
    </xdr:to>
    <xdr:cxnSp macro="">
      <xdr:nvCxnSpPr>
        <xdr:cNvPr id="3706" name="Straight Arrow Connector 3705">
          <a:extLst>
            <a:ext uri="{FF2B5EF4-FFF2-40B4-BE49-F238E27FC236}">
              <a16:creationId xmlns:a16="http://schemas.microsoft.com/office/drawing/2014/main" id="{00000000-0008-0000-1300-00007A0E0000}"/>
            </a:ext>
          </a:extLst>
        </xdr:cNvPr>
        <xdr:cNvCxnSpPr/>
      </xdr:nvCxnSpPr>
      <xdr:spPr>
        <a:xfrm flipV="1">
          <a:off x="11271250" y="1160145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1508</xdr:row>
      <xdr:rowOff>10584</xdr:rowOff>
    </xdr:from>
    <xdr:to>
      <xdr:col>15</xdr:col>
      <xdr:colOff>592666</xdr:colOff>
      <xdr:row>1509</xdr:row>
      <xdr:rowOff>95250</xdr:rowOff>
    </xdr:to>
    <xdr:cxnSp macro="">
      <xdr:nvCxnSpPr>
        <xdr:cNvPr id="3707" name="Straight Arrow Connector 3706">
          <a:extLst>
            <a:ext uri="{FF2B5EF4-FFF2-40B4-BE49-F238E27FC236}">
              <a16:creationId xmlns:a16="http://schemas.microsoft.com/office/drawing/2014/main" id="{00000000-0008-0000-1300-00007B0E0000}"/>
            </a:ext>
          </a:extLst>
        </xdr:cNvPr>
        <xdr:cNvCxnSpPr/>
      </xdr:nvCxnSpPr>
      <xdr:spPr>
        <a:xfrm>
          <a:off x="11313583" y="1164060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1508</xdr:row>
      <xdr:rowOff>10584</xdr:rowOff>
    </xdr:from>
    <xdr:to>
      <xdr:col>15</xdr:col>
      <xdr:colOff>560916</xdr:colOff>
      <xdr:row>1512</xdr:row>
      <xdr:rowOff>52917</xdr:rowOff>
    </xdr:to>
    <xdr:cxnSp macro="">
      <xdr:nvCxnSpPr>
        <xdr:cNvPr id="3708" name="Straight Arrow Connector 3707">
          <a:extLst>
            <a:ext uri="{FF2B5EF4-FFF2-40B4-BE49-F238E27FC236}">
              <a16:creationId xmlns:a16="http://schemas.microsoft.com/office/drawing/2014/main" id="{00000000-0008-0000-1300-00007C0E0000}"/>
            </a:ext>
          </a:extLst>
        </xdr:cNvPr>
        <xdr:cNvCxnSpPr/>
      </xdr:nvCxnSpPr>
      <xdr:spPr>
        <a:xfrm>
          <a:off x="11292416" y="1164060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1508</xdr:row>
      <xdr:rowOff>31750</xdr:rowOff>
    </xdr:from>
    <xdr:to>
      <xdr:col>16</xdr:col>
      <xdr:colOff>21167</xdr:colOff>
      <xdr:row>1515</xdr:row>
      <xdr:rowOff>95250</xdr:rowOff>
    </xdr:to>
    <xdr:cxnSp macro="">
      <xdr:nvCxnSpPr>
        <xdr:cNvPr id="3709" name="Straight Arrow Connector 3708">
          <a:extLst>
            <a:ext uri="{FF2B5EF4-FFF2-40B4-BE49-F238E27FC236}">
              <a16:creationId xmlns:a16="http://schemas.microsoft.com/office/drawing/2014/main" id="{00000000-0008-0000-1300-00007D0E0000}"/>
            </a:ext>
          </a:extLst>
        </xdr:cNvPr>
        <xdr:cNvCxnSpPr/>
      </xdr:nvCxnSpPr>
      <xdr:spPr>
        <a:xfrm>
          <a:off x="11324166" y="116427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1522</xdr:row>
      <xdr:rowOff>0</xdr:rowOff>
    </xdr:from>
    <xdr:to>
      <xdr:col>16</xdr:col>
      <xdr:colOff>0</xdr:colOff>
      <xdr:row>1522</xdr:row>
      <xdr:rowOff>42334</xdr:rowOff>
    </xdr:to>
    <xdr:cxnSp macro="">
      <xdr:nvCxnSpPr>
        <xdr:cNvPr id="3710" name="Straight Arrow Connector 3709">
          <a:extLst>
            <a:ext uri="{FF2B5EF4-FFF2-40B4-BE49-F238E27FC236}">
              <a16:creationId xmlns:a16="http://schemas.microsoft.com/office/drawing/2014/main" id="{00000000-0008-0000-1300-00007E0E0000}"/>
            </a:ext>
          </a:extLst>
        </xdr:cNvPr>
        <xdr:cNvCxnSpPr/>
      </xdr:nvCxnSpPr>
      <xdr:spPr>
        <a:xfrm>
          <a:off x="11302999" y="119062500"/>
          <a:ext cx="592668"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1522</xdr:row>
      <xdr:rowOff>21166</xdr:rowOff>
    </xdr:from>
    <xdr:to>
      <xdr:col>15</xdr:col>
      <xdr:colOff>560916</xdr:colOff>
      <xdr:row>1525</xdr:row>
      <xdr:rowOff>84667</xdr:rowOff>
    </xdr:to>
    <xdr:cxnSp macro="">
      <xdr:nvCxnSpPr>
        <xdr:cNvPr id="3711" name="Straight Arrow Connector 3710">
          <a:extLst>
            <a:ext uri="{FF2B5EF4-FFF2-40B4-BE49-F238E27FC236}">
              <a16:creationId xmlns:a16="http://schemas.microsoft.com/office/drawing/2014/main" id="{00000000-0008-0000-1300-00007F0E0000}"/>
            </a:ext>
          </a:extLst>
        </xdr:cNvPr>
        <xdr:cNvCxnSpPr/>
      </xdr:nvCxnSpPr>
      <xdr:spPr>
        <a:xfrm>
          <a:off x="11355916" y="1190836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1522</xdr:row>
      <xdr:rowOff>52916</xdr:rowOff>
    </xdr:from>
    <xdr:to>
      <xdr:col>15</xdr:col>
      <xdr:colOff>592666</xdr:colOff>
      <xdr:row>1528</xdr:row>
      <xdr:rowOff>63501</xdr:rowOff>
    </xdr:to>
    <xdr:cxnSp macro="">
      <xdr:nvCxnSpPr>
        <xdr:cNvPr id="3712" name="Straight Arrow Connector 3711">
          <a:extLst>
            <a:ext uri="{FF2B5EF4-FFF2-40B4-BE49-F238E27FC236}">
              <a16:creationId xmlns:a16="http://schemas.microsoft.com/office/drawing/2014/main" id="{00000000-0008-0000-1300-0000800E0000}"/>
            </a:ext>
          </a:extLst>
        </xdr:cNvPr>
        <xdr:cNvCxnSpPr/>
      </xdr:nvCxnSpPr>
      <xdr:spPr>
        <a:xfrm>
          <a:off x="11313583" y="1191154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1536</xdr:row>
      <xdr:rowOff>116416</xdr:rowOff>
    </xdr:from>
    <xdr:to>
      <xdr:col>15</xdr:col>
      <xdr:colOff>592666</xdr:colOff>
      <xdr:row>1539</xdr:row>
      <xdr:rowOff>158750</xdr:rowOff>
    </xdr:to>
    <xdr:cxnSp macro="">
      <xdr:nvCxnSpPr>
        <xdr:cNvPr id="3713" name="Straight Arrow Connector 3712">
          <a:extLst>
            <a:ext uri="{FF2B5EF4-FFF2-40B4-BE49-F238E27FC236}">
              <a16:creationId xmlns:a16="http://schemas.microsoft.com/office/drawing/2014/main" id="{00000000-0008-0000-1300-0000810E0000}"/>
            </a:ext>
          </a:extLst>
        </xdr:cNvPr>
        <xdr:cNvCxnSpPr/>
      </xdr:nvCxnSpPr>
      <xdr:spPr>
        <a:xfrm flipV="1">
          <a:off x="11302999" y="121845916"/>
          <a:ext cx="571500" cy="613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1538</xdr:row>
      <xdr:rowOff>95250</xdr:rowOff>
    </xdr:from>
    <xdr:to>
      <xdr:col>15</xdr:col>
      <xdr:colOff>582083</xdr:colOff>
      <xdr:row>1540</xdr:row>
      <xdr:rowOff>52917</xdr:rowOff>
    </xdr:to>
    <xdr:cxnSp macro="">
      <xdr:nvCxnSpPr>
        <xdr:cNvPr id="3714" name="Straight Arrow Connector 3713">
          <a:extLst>
            <a:ext uri="{FF2B5EF4-FFF2-40B4-BE49-F238E27FC236}">
              <a16:creationId xmlns:a16="http://schemas.microsoft.com/office/drawing/2014/main" id="{00000000-0008-0000-1300-0000820E0000}"/>
            </a:ext>
          </a:extLst>
        </xdr:cNvPr>
        <xdr:cNvCxnSpPr/>
      </xdr:nvCxnSpPr>
      <xdr:spPr>
        <a:xfrm flipV="1">
          <a:off x="11345333" y="122205750"/>
          <a:ext cx="518583" cy="338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1540</xdr:row>
      <xdr:rowOff>116417</xdr:rowOff>
    </xdr:from>
    <xdr:to>
      <xdr:col>15</xdr:col>
      <xdr:colOff>592666</xdr:colOff>
      <xdr:row>1544</xdr:row>
      <xdr:rowOff>95250</xdr:rowOff>
    </xdr:to>
    <xdr:cxnSp macro="">
      <xdr:nvCxnSpPr>
        <xdr:cNvPr id="3715" name="Straight Arrow Connector 3714">
          <a:extLst>
            <a:ext uri="{FF2B5EF4-FFF2-40B4-BE49-F238E27FC236}">
              <a16:creationId xmlns:a16="http://schemas.microsoft.com/office/drawing/2014/main" id="{00000000-0008-0000-1300-0000830E0000}"/>
            </a:ext>
          </a:extLst>
        </xdr:cNvPr>
        <xdr:cNvCxnSpPr/>
      </xdr:nvCxnSpPr>
      <xdr:spPr>
        <a:xfrm>
          <a:off x="11334749" y="122607917"/>
          <a:ext cx="53975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1551</xdr:row>
      <xdr:rowOff>116416</xdr:rowOff>
    </xdr:from>
    <xdr:to>
      <xdr:col>16</xdr:col>
      <xdr:colOff>0</xdr:colOff>
      <xdr:row>1558</xdr:row>
      <xdr:rowOff>74084</xdr:rowOff>
    </xdr:to>
    <xdr:cxnSp macro="">
      <xdr:nvCxnSpPr>
        <xdr:cNvPr id="3716" name="Straight Arrow Connector 3715">
          <a:extLst>
            <a:ext uri="{FF2B5EF4-FFF2-40B4-BE49-F238E27FC236}">
              <a16:creationId xmlns:a16="http://schemas.microsoft.com/office/drawing/2014/main" id="{00000000-0008-0000-1300-0000840E0000}"/>
            </a:ext>
          </a:extLst>
        </xdr:cNvPr>
        <xdr:cNvCxnSpPr/>
      </xdr:nvCxnSpPr>
      <xdr:spPr>
        <a:xfrm>
          <a:off x="11313583" y="124703416"/>
          <a:ext cx="582084" cy="12911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1519</xdr:row>
      <xdr:rowOff>52917</xdr:rowOff>
    </xdr:from>
    <xdr:to>
      <xdr:col>15</xdr:col>
      <xdr:colOff>603250</xdr:colOff>
      <xdr:row>1521</xdr:row>
      <xdr:rowOff>148167</xdr:rowOff>
    </xdr:to>
    <xdr:cxnSp macro="">
      <xdr:nvCxnSpPr>
        <xdr:cNvPr id="3717" name="Straight Arrow Connector 3716">
          <a:extLst>
            <a:ext uri="{FF2B5EF4-FFF2-40B4-BE49-F238E27FC236}">
              <a16:creationId xmlns:a16="http://schemas.microsoft.com/office/drawing/2014/main" id="{00000000-0008-0000-1300-0000850E0000}"/>
            </a:ext>
          </a:extLst>
        </xdr:cNvPr>
        <xdr:cNvCxnSpPr/>
      </xdr:nvCxnSpPr>
      <xdr:spPr>
        <a:xfrm flipV="1">
          <a:off x="11324166" y="1185439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1554</xdr:row>
      <xdr:rowOff>42333</xdr:rowOff>
    </xdr:from>
    <xdr:to>
      <xdr:col>11</xdr:col>
      <xdr:colOff>603250</xdr:colOff>
      <xdr:row>1566</xdr:row>
      <xdr:rowOff>10583</xdr:rowOff>
    </xdr:to>
    <xdr:cxnSp macro="">
      <xdr:nvCxnSpPr>
        <xdr:cNvPr id="3718" name="Straight Arrow Connector 3717">
          <a:extLst>
            <a:ext uri="{FF2B5EF4-FFF2-40B4-BE49-F238E27FC236}">
              <a16:creationId xmlns:a16="http://schemas.microsoft.com/office/drawing/2014/main" id="{00000000-0008-0000-1300-0000860E0000}"/>
            </a:ext>
          </a:extLst>
        </xdr:cNvPr>
        <xdr:cNvCxnSpPr/>
      </xdr:nvCxnSpPr>
      <xdr:spPr>
        <a:xfrm>
          <a:off x="7926917" y="1252008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1544</xdr:row>
      <xdr:rowOff>21167</xdr:rowOff>
    </xdr:from>
    <xdr:to>
      <xdr:col>13</xdr:col>
      <xdr:colOff>592667</xdr:colOff>
      <xdr:row>1546</xdr:row>
      <xdr:rowOff>0</xdr:rowOff>
    </xdr:to>
    <xdr:cxnSp macro="">
      <xdr:nvCxnSpPr>
        <xdr:cNvPr id="3719" name="Straight Arrow Connector 3718">
          <a:extLst>
            <a:ext uri="{FF2B5EF4-FFF2-40B4-BE49-F238E27FC236}">
              <a16:creationId xmlns:a16="http://schemas.microsoft.com/office/drawing/2014/main" id="{00000000-0008-0000-1300-0000870E0000}"/>
            </a:ext>
          </a:extLst>
        </xdr:cNvPr>
        <xdr:cNvCxnSpPr/>
      </xdr:nvCxnSpPr>
      <xdr:spPr>
        <a:xfrm flipV="1">
          <a:off x="9133417" y="123274667"/>
          <a:ext cx="984250"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1549</xdr:row>
      <xdr:rowOff>21166</xdr:rowOff>
    </xdr:from>
    <xdr:to>
      <xdr:col>13</xdr:col>
      <xdr:colOff>592667</xdr:colOff>
      <xdr:row>1550</xdr:row>
      <xdr:rowOff>169334</xdr:rowOff>
    </xdr:to>
    <xdr:cxnSp macro="">
      <xdr:nvCxnSpPr>
        <xdr:cNvPr id="3720" name="Straight Arrow Connector 3719">
          <a:extLst>
            <a:ext uri="{FF2B5EF4-FFF2-40B4-BE49-F238E27FC236}">
              <a16:creationId xmlns:a16="http://schemas.microsoft.com/office/drawing/2014/main" id="{00000000-0008-0000-1300-0000880E0000}"/>
            </a:ext>
          </a:extLst>
        </xdr:cNvPr>
        <xdr:cNvCxnSpPr/>
      </xdr:nvCxnSpPr>
      <xdr:spPr>
        <a:xfrm>
          <a:off x="9122833" y="124227166"/>
          <a:ext cx="994834"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1564</xdr:row>
      <xdr:rowOff>21167</xdr:rowOff>
    </xdr:from>
    <xdr:to>
      <xdr:col>13</xdr:col>
      <xdr:colOff>592667</xdr:colOff>
      <xdr:row>1566</xdr:row>
      <xdr:rowOff>63500</xdr:rowOff>
    </xdr:to>
    <xdr:cxnSp macro="">
      <xdr:nvCxnSpPr>
        <xdr:cNvPr id="3721" name="Straight Arrow Connector 3720">
          <a:extLst>
            <a:ext uri="{FF2B5EF4-FFF2-40B4-BE49-F238E27FC236}">
              <a16:creationId xmlns:a16="http://schemas.microsoft.com/office/drawing/2014/main" id="{00000000-0008-0000-1300-0000890E0000}"/>
            </a:ext>
          </a:extLst>
        </xdr:cNvPr>
        <xdr:cNvCxnSpPr/>
      </xdr:nvCxnSpPr>
      <xdr:spPr>
        <a:xfrm flipV="1">
          <a:off x="9525000" y="1272751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1569</xdr:row>
      <xdr:rowOff>0</xdr:rowOff>
    </xdr:from>
    <xdr:to>
      <xdr:col>14</xdr:col>
      <xdr:colOff>10584</xdr:colOff>
      <xdr:row>1577</xdr:row>
      <xdr:rowOff>148167</xdr:rowOff>
    </xdr:to>
    <xdr:cxnSp macro="">
      <xdr:nvCxnSpPr>
        <xdr:cNvPr id="3722" name="Straight Arrow Connector 3721">
          <a:extLst>
            <a:ext uri="{FF2B5EF4-FFF2-40B4-BE49-F238E27FC236}">
              <a16:creationId xmlns:a16="http://schemas.microsoft.com/office/drawing/2014/main" id="{00000000-0008-0000-1300-00008A0E0000}"/>
            </a:ext>
          </a:extLst>
        </xdr:cNvPr>
        <xdr:cNvCxnSpPr/>
      </xdr:nvCxnSpPr>
      <xdr:spPr>
        <a:xfrm>
          <a:off x="9535583" y="128206500"/>
          <a:ext cx="613834"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1540</xdr:row>
      <xdr:rowOff>95250</xdr:rowOff>
    </xdr:from>
    <xdr:to>
      <xdr:col>15</xdr:col>
      <xdr:colOff>582083</xdr:colOff>
      <xdr:row>1542</xdr:row>
      <xdr:rowOff>137583</xdr:rowOff>
    </xdr:to>
    <xdr:cxnSp macro="">
      <xdr:nvCxnSpPr>
        <xdr:cNvPr id="3723" name="Straight Arrow Connector 3722">
          <a:extLst>
            <a:ext uri="{FF2B5EF4-FFF2-40B4-BE49-F238E27FC236}">
              <a16:creationId xmlns:a16="http://schemas.microsoft.com/office/drawing/2014/main" id="{00000000-0008-0000-1300-00008B0E0000}"/>
            </a:ext>
          </a:extLst>
        </xdr:cNvPr>
        <xdr:cNvCxnSpPr/>
      </xdr:nvCxnSpPr>
      <xdr:spPr>
        <a:xfrm>
          <a:off x="11334749" y="122586750"/>
          <a:ext cx="5291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1549</xdr:row>
      <xdr:rowOff>52916</xdr:rowOff>
    </xdr:from>
    <xdr:to>
      <xdr:col>16</xdr:col>
      <xdr:colOff>0</xdr:colOff>
      <xdr:row>1551</xdr:row>
      <xdr:rowOff>0</xdr:rowOff>
    </xdr:to>
    <xdr:cxnSp macro="">
      <xdr:nvCxnSpPr>
        <xdr:cNvPr id="3724" name="Straight Arrow Connector 3723">
          <a:extLst>
            <a:ext uri="{FF2B5EF4-FFF2-40B4-BE49-F238E27FC236}">
              <a16:creationId xmlns:a16="http://schemas.microsoft.com/office/drawing/2014/main" id="{00000000-0008-0000-1300-00008C0E0000}"/>
            </a:ext>
          </a:extLst>
        </xdr:cNvPr>
        <xdr:cNvCxnSpPr/>
      </xdr:nvCxnSpPr>
      <xdr:spPr>
        <a:xfrm flipV="1">
          <a:off x="11281833" y="124258916"/>
          <a:ext cx="613834"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1551</xdr:row>
      <xdr:rowOff>21167</xdr:rowOff>
    </xdr:from>
    <xdr:to>
      <xdr:col>15</xdr:col>
      <xdr:colOff>592666</xdr:colOff>
      <xdr:row>1552</xdr:row>
      <xdr:rowOff>84667</xdr:rowOff>
    </xdr:to>
    <xdr:cxnSp macro="">
      <xdr:nvCxnSpPr>
        <xdr:cNvPr id="3725" name="Straight Arrow Connector 3724">
          <a:extLst>
            <a:ext uri="{FF2B5EF4-FFF2-40B4-BE49-F238E27FC236}">
              <a16:creationId xmlns:a16="http://schemas.microsoft.com/office/drawing/2014/main" id="{00000000-0008-0000-1300-00008D0E0000}"/>
            </a:ext>
          </a:extLst>
        </xdr:cNvPr>
        <xdr:cNvCxnSpPr/>
      </xdr:nvCxnSpPr>
      <xdr:spPr>
        <a:xfrm>
          <a:off x="11271250" y="124608167"/>
          <a:ext cx="603249" cy="25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1551</xdr:row>
      <xdr:rowOff>0</xdr:rowOff>
    </xdr:from>
    <xdr:to>
      <xdr:col>16</xdr:col>
      <xdr:colOff>0</xdr:colOff>
      <xdr:row>1555</xdr:row>
      <xdr:rowOff>42334</xdr:rowOff>
    </xdr:to>
    <xdr:cxnSp macro="">
      <xdr:nvCxnSpPr>
        <xdr:cNvPr id="3726" name="Straight Arrow Connector 3725">
          <a:extLst>
            <a:ext uri="{FF2B5EF4-FFF2-40B4-BE49-F238E27FC236}">
              <a16:creationId xmlns:a16="http://schemas.microsoft.com/office/drawing/2014/main" id="{00000000-0008-0000-1300-00008E0E0000}"/>
            </a:ext>
          </a:extLst>
        </xdr:cNvPr>
        <xdr:cNvCxnSpPr/>
      </xdr:nvCxnSpPr>
      <xdr:spPr>
        <a:xfrm>
          <a:off x="11271250" y="124587000"/>
          <a:ext cx="624417" cy="804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1562</xdr:row>
      <xdr:rowOff>0</xdr:rowOff>
    </xdr:from>
    <xdr:to>
      <xdr:col>15</xdr:col>
      <xdr:colOff>603250</xdr:colOff>
      <xdr:row>1564</xdr:row>
      <xdr:rowOff>1</xdr:rowOff>
    </xdr:to>
    <xdr:cxnSp macro="">
      <xdr:nvCxnSpPr>
        <xdr:cNvPr id="3727" name="Straight Arrow Connector 3726">
          <a:extLst>
            <a:ext uri="{FF2B5EF4-FFF2-40B4-BE49-F238E27FC236}">
              <a16:creationId xmlns:a16="http://schemas.microsoft.com/office/drawing/2014/main" id="{00000000-0008-0000-1300-00008F0E0000}"/>
            </a:ext>
          </a:extLst>
        </xdr:cNvPr>
        <xdr:cNvCxnSpPr/>
      </xdr:nvCxnSpPr>
      <xdr:spPr>
        <a:xfrm flipV="1">
          <a:off x="11271250" y="1268730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1564</xdr:row>
      <xdr:rowOff>10584</xdr:rowOff>
    </xdr:from>
    <xdr:to>
      <xdr:col>15</xdr:col>
      <xdr:colOff>592666</xdr:colOff>
      <xdr:row>1565</xdr:row>
      <xdr:rowOff>95250</xdr:rowOff>
    </xdr:to>
    <xdr:cxnSp macro="">
      <xdr:nvCxnSpPr>
        <xdr:cNvPr id="3728" name="Straight Arrow Connector 3727">
          <a:extLst>
            <a:ext uri="{FF2B5EF4-FFF2-40B4-BE49-F238E27FC236}">
              <a16:creationId xmlns:a16="http://schemas.microsoft.com/office/drawing/2014/main" id="{00000000-0008-0000-1300-0000900E0000}"/>
            </a:ext>
          </a:extLst>
        </xdr:cNvPr>
        <xdr:cNvCxnSpPr/>
      </xdr:nvCxnSpPr>
      <xdr:spPr>
        <a:xfrm>
          <a:off x="11313583" y="1272645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1564</xdr:row>
      <xdr:rowOff>10584</xdr:rowOff>
    </xdr:from>
    <xdr:to>
      <xdr:col>15</xdr:col>
      <xdr:colOff>560916</xdr:colOff>
      <xdr:row>1568</xdr:row>
      <xdr:rowOff>52917</xdr:rowOff>
    </xdr:to>
    <xdr:cxnSp macro="">
      <xdr:nvCxnSpPr>
        <xdr:cNvPr id="3729" name="Straight Arrow Connector 3728">
          <a:extLst>
            <a:ext uri="{FF2B5EF4-FFF2-40B4-BE49-F238E27FC236}">
              <a16:creationId xmlns:a16="http://schemas.microsoft.com/office/drawing/2014/main" id="{00000000-0008-0000-1300-0000910E0000}"/>
            </a:ext>
          </a:extLst>
        </xdr:cNvPr>
        <xdr:cNvCxnSpPr/>
      </xdr:nvCxnSpPr>
      <xdr:spPr>
        <a:xfrm>
          <a:off x="11292416" y="1272645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1564</xdr:row>
      <xdr:rowOff>31750</xdr:rowOff>
    </xdr:from>
    <xdr:to>
      <xdr:col>16</xdr:col>
      <xdr:colOff>21167</xdr:colOff>
      <xdr:row>1571</xdr:row>
      <xdr:rowOff>95250</xdr:rowOff>
    </xdr:to>
    <xdr:cxnSp macro="">
      <xdr:nvCxnSpPr>
        <xdr:cNvPr id="3730" name="Straight Arrow Connector 3729">
          <a:extLst>
            <a:ext uri="{FF2B5EF4-FFF2-40B4-BE49-F238E27FC236}">
              <a16:creationId xmlns:a16="http://schemas.microsoft.com/office/drawing/2014/main" id="{00000000-0008-0000-1300-0000920E0000}"/>
            </a:ext>
          </a:extLst>
        </xdr:cNvPr>
        <xdr:cNvCxnSpPr/>
      </xdr:nvCxnSpPr>
      <xdr:spPr>
        <a:xfrm>
          <a:off x="11324166" y="127285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1578</xdr:row>
      <xdr:rowOff>0</xdr:rowOff>
    </xdr:from>
    <xdr:to>
      <xdr:col>16</xdr:col>
      <xdr:colOff>0</xdr:colOff>
      <xdr:row>1578</xdr:row>
      <xdr:rowOff>42334</xdr:rowOff>
    </xdr:to>
    <xdr:cxnSp macro="">
      <xdr:nvCxnSpPr>
        <xdr:cNvPr id="3731" name="Straight Arrow Connector 3730">
          <a:extLst>
            <a:ext uri="{FF2B5EF4-FFF2-40B4-BE49-F238E27FC236}">
              <a16:creationId xmlns:a16="http://schemas.microsoft.com/office/drawing/2014/main" id="{00000000-0008-0000-1300-0000930E0000}"/>
            </a:ext>
          </a:extLst>
        </xdr:cNvPr>
        <xdr:cNvCxnSpPr/>
      </xdr:nvCxnSpPr>
      <xdr:spPr>
        <a:xfrm>
          <a:off x="11302999" y="129921000"/>
          <a:ext cx="592668"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1578</xdr:row>
      <xdr:rowOff>21166</xdr:rowOff>
    </xdr:from>
    <xdr:to>
      <xdr:col>15</xdr:col>
      <xdr:colOff>560916</xdr:colOff>
      <xdr:row>1581</xdr:row>
      <xdr:rowOff>84667</xdr:rowOff>
    </xdr:to>
    <xdr:cxnSp macro="">
      <xdr:nvCxnSpPr>
        <xdr:cNvPr id="3732" name="Straight Arrow Connector 3731">
          <a:extLst>
            <a:ext uri="{FF2B5EF4-FFF2-40B4-BE49-F238E27FC236}">
              <a16:creationId xmlns:a16="http://schemas.microsoft.com/office/drawing/2014/main" id="{00000000-0008-0000-1300-0000940E0000}"/>
            </a:ext>
          </a:extLst>
        </xdr:cNvPr>
        <xdr:cNvCxnSpPr/>
      </xdr:nvCxnSpPr>
      <xdr:spPr>
        <a:xfrm>
          <a:off x="11355916" y="1299421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1578</xdr:row>
      <xdr:rowOff>52916</xdr:rowOff>
    </xdr:from>
    <xdr:to>
      <xdr:col>15</xdr:col>
      <xdr:colOff>592666</xdr:colOff>
      <xdr:row>1584</xdr:row>
      <xdr:rowOff>63501</xdr:rowOff>
    </xdr:to>
    <xdr:cxnSp macro="">
      <xdr:nvCxnSpPr>
        <xdr:cNvPr id="3733" name="Straight Arrow Connector 3732">
          <a:extLst>
            <a:ext uri="{FF2B5EF4-FFF2-40B4-BE49-F238E27FC236}">
              <a16:creationId xmlns:a16="http://schemas.microsoft.com/office/drawing/2014/main" id="{00000000-0008-0000-1300-0000950E0000}"/>
            </a:ext>
          </a:extLst>
        </xdr:cNvPr>
        <xdr:cNvCxnSpPr/>
      </xdr:nvCxnSpPr>
      <xdr:spPr>
        <a:xfrm>
          <a:off x="11313583" y="1299739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1575</xdr:row>
      <xdr:rowOff>52917</xdr:rowOff>
    </xdr:from>
    <xdr:to>
      <xdr:col>15</xdr:col>
      <xdr:colOff>603250</xdr:colOff>
      <xdr:row>1577</xdr:row>
      <xdr:rowOff>148167</xdr:rowOff>
    </xdr:to>
    <xdr:cxnSp macro="">
      <xdr:nvCxnSpPr>
        <xdr:cNvPr id="3734" name="Straight Arrow Connector 3733">
          <a:extLst>
            <a:ext uri="{FF2B5EF4-FFF2-40B4-BE49-F238E27FC236}">
              <a16:creationId xmlns:a16="http://schemas.microsoft.com/office/drawing/2014/main" id="{00000000-0008-0000-1300-0000960E0000}"/>
            </a:ext>
          </a:extLst>
        </xdr:cNvPr>
        <xdr:cNvCxnSpPr/>
      </xdr:nvCxnSpPr>
      <xdr:spPr>
        <a:xfrm flipV="1">
          <a:off x="11324166" y="1294024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31750</xdr:colOff>
      <xdr:row>1486</xdr:row>
      <xdr:rowOff>127000</xdr:rowOff>
    </xdr:from>
    <xdr:to>
      <xdr:col>8</xdr:col>
      <xdr:colOff>63500</xdr:colOff>
      <xdr:row>1505</xdr:row>
      <xdr:rowOff>0</xdr:rowOff>
    </xdr:to>
    <xdr:cxnSp macro="">
      <xdr:nvCxnSpPr>
        <xdr:cNvPr id="3735" name="Straight Arrow Connector 3734">
          <a:extLst>
            <a:ext uri="{FF2B5EF4-FFF2-40B4-BE49-F238E27FC236}">
              <a16:creationId xmlns:a16="http://schemas.microsoft.com/office/drawing/2014/main" id="{00000000-0008-0000-1300-0000970E0000}"/>
            </a:ext>
          </a:extLst>
        </xdr:cNvPr>
        <xdr:cNvCxnSpPr/>
      </xdr:nvCxnSpPr>
      <xdr:spPr>
        <a:xfrm flipV="1">
          <a:off x="5492750" y="112141000"/>
          <a:ext cx="645583" cy="3587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825500</xdr:colOff>
      <xdr:row>1623</xdr:row>
      <xdr:rowOff>1</xdr:rowOff>
    </xdr:from>
    <xdr:to>
      <xdr:col>6</xdr:col>
      <xdr:colOff>0</xdr:colOff>
      <xdr:row>1657</xdr:row>
      <xdr:rowOff>116417</xdr:rowOff>
    </xdr:to>
    <xdr:cxnSp macro="">
      <xdr:nvCxnSpPr>
        <xdr:cNvPr id="3736" name="Straight Arrow Connector 3735">
          <a:extLst>
            <a:ext uri="{FF2B5EF4-FFF2-40B4-BE49-F238E27FC236}">
              <a16:creationId xmlns:a16="http://schemas.microsoft.com/office/drawing/2014/main" id="{00000000-0008-0000-1300-0000980E0000}"/>
            </a:ext>
          </a:extLst>
        </xdr:cNvPr>
        <xdr:cNvCxnSpPr/>
      </xdr:nvCxnSpPr>
      <xdr:spPr>
        <a:xfrm flipV="1">
          <a:off x="3810000" y="138684001"/>
          <a:ext cx="677333" cy="65934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21167</xdr:colOff>
      <xdr:row>1660</xdr:row>
      <xdr:rowOff>169334</xdr:rowOff>
    </xdr:from>
    <xdr:to>
      <xdr:col>5</xdr:col>
      <xdr:colOff>571500</xdr:colOff>
      <xdr:row>1729</xdr:row>
      <xdr:rowOff>0</xdr:rowOff>
    </xdr:to>
    <xdr:cxnSp macro="">
      <xdr:nvCxnSpPr>
        <xdr:cNvPr id="3737" name="Straight Arrow Connector 3736">
          <a:extLst>
            <a:ext uri="{FF2B5EF4-FFF2-40B4-BE49-F238E27FC236}">
              <a16:creationId xmlns:a16="http://schemas.microsoft.com/office/drawing/2014/main" id="{00000000-0008-0000-1300-0000990E0000}"/>
            </a:ext>
          </a:extLst>
        </xdr:cNvPr>
        <xdr:cNvCxnSpPr/>
      </xdr:nvCxnSpPr>
      <xdr:spPr>
        <a:xfrm>
          <a:off x="3894667" y="145901834"/>
          <a:ext cx="550333" cy="133244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1598</xdr:row>
      <xdr:rowOff>148167</xdr:rowOff>
    </xdr:from>
    <xdr:to>
      <xdr:col>7</xdr:col>
      <xdr:colOff>603250</xdr:colOff>
      <xdr:row>1620</xdr:row>
      <xdr:rowOff>31750</xdr:rowOff>
    </xdr:to>
    <xdr:cxnSp macro="">
      <xdr:nvCxnSpPr>
        <xdr:cNvPr id="3738" name="Straight Arrow Connector 3737">
          <a:extLst>
            <a:ext uri="{FF2B5EF4-FFF2-40B4-BE49-F238E27FC236}">
              <a16:creationId xmlns:a16="http://schemas.microsoft.com/office/drawing/2014/main" id="{00000000-0008-0000-1300-00009A0E0000}"/>
            </a:ext>
          </a:extLst>
        </xdr:cNvPr>
        <xdr:cNvCxnSpPr/>
      </xdr:nvCxnSpPr>
      <xdr:spPr>
        <a:xfrm flipV="1">
          <a:off x="5461000" y="133879167"/>
          <a:ext cx="603250" cy="42650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1623</xdr:row>
      <xdr:rowOff>10584</xdr:rowOff>
    </xdr:from>
    <xdr:to>
      <xdr:col>8</xdr:col>
      <xdr:colOff>21167</xdr:colOff>
      <xdr:row>1651</xdr:row>
      <xdr:rowOff>148166</xdr:rowOff>
    </xdr:to>
    <xdr:cxnSp macro="">
      <xdr:nvCxnSpPr>
        <xdr:cNvPr id="3739" name="Straight Arrow Connector 3738">
          <a:extLst>
            <a:ext uri="{FF2B5EF4-FFF2-40B4-BE49-F238E27FC236}">
              <a16:creationId xmlns:a16="http://schemas.microsoft.com/office/drawing/2014/main" id="{00000000-0008-0000-1300-00009B0E0000}"/>
            </a:ext>
          </a:extLst>
        </xdr:cNvPr>
        <xdr:cNvCxnSpPr/>
      </xdr:nvCxnSpPr>
      <xdr:spPr>
        <a:xfrm>
          <a:off x="5461000" y="138694584"/>
          <a:ext cx="635000" cy="547158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1590</xdr:row>
      <xdr:rowOff>137583</xdr:rowOff>
    </xdr:from>
    <xdr:to>
      <xdr:col>9</xdr:col>
      <xdr:colOff>603250</xdr:colOff>
      <xdr:row>1596</xdr:row>
      <xdr:rowOff>21166</xdr:rowOff>
    </xdr:to>
    <xdr:cxnSp macro="">
      <xdr:nvCxnSpPr>
        <xdr:cNvPr id="3740" name="Straight Arrow Connector 3739">
          <a:extLst>
            <a:ext uri="{FF2B5EF4-FFF2-40B4-BE49-F238E27FC236}">
              <a16:creationId xmlns:a16="http://schemas.microsoft.com/office/drawing/2014/main" id="{00000000-0008-0000-1300-00009C0E0000}"/>
            </a:ext>
          </a:extLst>
        </xdr:cNvPr>
        <xdr:cNvCxnSpPr/>
      </xdr:nvCxnSpPr>
      <xdr:spPr>
        <a:xfrm flipV="1">
          <a:off x="6688667" y="132344583"/>
          <a:ext cx="603250" cy="1026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1599</xdr:row>
      <xdr:rowOff>0</xdr:rowOff>
    </xdr:from>
    <xdr:to>
      <xdr:col>9</xdr:col>
      <xdr:colOff>582083</xdr:colOff>
      <xdr:row>1607</xdr:row>
      <xdr:rowOff>10583</xdr:rowOff>
    </xdr:to>
    <xdr:cxnSp macro="">
      <xdr:nvCxnSpPr>
        <xdr:cNvPr id="3741" name="Straight Arrow Connector 3740">
          <a:extLst>
            <a:ext uri="{FF2B5EF4-FFF2-40B4-BE49-F238E27FC236}">
              <a16:creationId xmlns:a16="http://schemas.microsoft.com/office/drawing/2014/main" id="{00000000-0008-0000-1300-00009D0E0000}"/>
            </a:ext>
          </a:extLst>
        </xdr:cNvPr>
        <xdr:cNvCxnSpPr/>
      </xdr:nvCxnSpPr>
      <xdr:spPr>
        <a:xfrm>
          <a:off x="6720417" y="133921500"/>
          <a:ext cx="550333" cy="1534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21167</xdr:colOff>
      <xdr:row>1604</xdr:row>
      <xdr:rowOff>169333</xdr:rowOff>
    </xdr:from>
    <xdr:to>
      <xdr:col>11</xdr:col>
      <xdr:colOff>603250</xdr:colOff>
      <xdr:row>1607</xdr:row>
      <xdr:rowOff>21167</xdr:rowOff>
    </xdr:to>
    <xdr:cxnSp macro="">
      <xdr:nvCxnSpPr>
        <xdr:cNvPr id="3742" name="Straight Arrow Connector 3741">
          <a:extLst>
            <a:ext uri="{FF2B5EF4-FFF2-40B4-BE49-F238E27FC236}">
              <a16:creationId xmlns:a16="http://schemas.microsoft.com/office/drawing/2014/main" id="{00000000-0008-0000-1300-00009E0E0000}"/>
            </a:ext>
          </a:extLst>
        </xdr:cNvPr>
        <xdr:cNvCxnSpPr/>
      </xdr:nvCxnSpPr>
      <xdr:spPr>
        <a:xfrm flipV="1">
          <a:off x="7937500" y="135043333"/>
          <a:ext cx="582083" cy="423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1610</xdr:row>
      <xdr:rowOff>42333</xdr:rowOff>
    </xdr:from>
    <xdr:to>
      <xdr:col>11</xdr:col>
      <xdr:colOff>603250</xdr:colOff>
      <xdr:row>1622</xdr:row>
      <xdr:rowOff>10583</xdr:rowOff>
    </xdr:to>
    <xdr:cxnSp macro="">
      <xdr:nvCxnSpPr>
        <xdr:cNvPr id="3743" name="Straight Arrow Connector 3742">
          <a:extLst>
            <a:ext uri="{FF2B5EF4-FFF2-40B4-BE49-F238E27FC236}">
              <a16:creationId xmlns:a16="http://schemas.microsoft.com/office/drawing/2014/main" id="{00000000-0008-0000-1300-00009F0E0000}"/>
            </a:ext>
          </a:extLst>
        </xdr:cNvPr>
        <xdr:cNvCxnSpPr/>
      </xdr:nvCxnSpPr>
      <xdr:spPr>
        <a:xfrm>
          <a:off x="7926917" y="1360593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1600</xdr:row>
      <xdr:rowOff>21167</xdr:rowOff>
    </xdr:from>
    <xdr:to>
      <xdr:col>13</xdr:col>
      <xdr:colOff>592667</xdr:colOff>
      <xdr:row>1602</xdr:row>
      <xdr:rowOff>0</xdr:rowOff>
    </xdr:to>
    <xdr:cxnSp macro="">
      <xdr:nvCxnSpPr>
        <xdr:cNvPr id="3744" name="Straight Arrow Connector 3743">
          <a:extLst>
            <a:ext uri="{FF2B5EF4-FFF2-40B4-BE49-F238E27FC236}">
              <a16:creationId xmlns:a16="http://schemas.microsoft.com/office/drawing/2014/main" id="{00000000-0008-0000-1300-0000A00E0000}"/>
            </a:ext>
          </a:extLst>
        </xdr:cNvPr>
        <xdr:cNvCxnSpPr/>
      </xdr:nvCxnSpPr>
      <xdr:spPr>
        <a:xfrm flipV="1">
          <a:off x="9133417" y="134133167"/>
          <a:ext cx="984250"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1605</xdr:row>
      <xdr:rowOff>21166</xdr:rowOff>
    </xdr:from>
    <xdr:to>
      <xdr:col>13</xdr:col>
      <xdr:colOff>592667</xdr:colOff>
      <xdr:row>1606</xdr:row>
      <xdr:rowOff>169334</xdr:rowOff>
    </xdr:to>
    <xdr:cxnSp macro="">
      <xdr:nvCxnSpPr>
        <xdr:cNvPr id="3745" name="Straight Arrow Connector 3744">
          <a:extLst>
            <a:ext uri="{FF2B5EF4-FFF2-40B4-BE49-F238E27FC236}">
              <a16:creationId xmlns:a16="http://schemas.microsoft.com/office/drawing/2014/main" id="{00000000-0008-0000-1300-0000A10E0000}"/>
            </a:ext>
          </a:extLst>
        </xdr:cNvPr>
        <xdr:cNvCxnSpPr/>
      </xdr:nvCxnSpPr>
      <xdr:spPr>
        <a:xfrm>
          <a:off x="9122833" y="135085666"/>
          <a:ext cx="994834"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1620</xdr:row>
      <xdr:rowOff>21167</xdr:rowOff>
    </xdr:from>
    <xdr:to>
      <xdr:col>13</xdr:col>
      <xdr:colOff>592667</xdr:colOff>
      <xdr:row>1622</xdr:row>
      <xdr:rowOff>63500</xdr:rowOff>
    </xdr:to>
    <xdr:cxnSp macro="">
      <xdr:nvCxnSpPr>
        <xdr:cNvPr id="3746" name="Straight Arrow Connector 3745">
          <a:extLst>
            <a:ext uri="{FF2B5EF4-FFF2-40B4-BE49-F238E27FC236}">
              <a16:creationId xmlns:a16="http://schemas.microsoft.com/office/drawing/2014/main" id="{00000000-0008-0000-1300-0000A20E0000}"/>
            </a:ext>
          </a:extLst>
        </xdr:cNvPr>
        <xdr:cNvCxnSpPr/>
      </xdr:nvCxnSpPr>
      <xdr:spPr>
        <a:xfrm flipV="1">
          <a:off x="9525000" y="1381336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1625</xdr:row>
      <xdr:rowOff>0</xdr:rowOff>
    </xdr:from>
    <xdr:to>
      <xdr:col>14</xdr:col>
      <xdr:colOff>10584</xdr:colOff>
      <xdr:row>1633</xdr:row>
      <xdr:rowOff>148167</xdr:rowOff>
    </xdr:to>
    <xdr:cxnSp macro="">
      <xdr:nvCxnSpPr>
        <xdr:cNvPr id="3747" name="Straight Arrow Connector 3746">
          <a:extLst>
            <a:ext uri="{FF2B5EF4-FFF2-40B4-BE49-F238E27FC236}">
              <a16:creationId xmlns:a16="http://schemas.microsoft.com/office/drawing/2014/main" id="{00000000-0008-0000-1300-0000A30E0000}"/>
            </a:ext>
          </a:extLst>
        </xdr:cNvPr>
        <xdr:cNvCxnSpPr/>
      </xdr:nvCxnSpPr>
      <xdr:spPr>
        <a:xfrm>
          <a:off x="9535583" y="139065000"/>
          <a:ext cx="613834"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1592</xdr:row>
      <xdr:rowOff>0</xdr:rowOff>
    </xdr:from>
    <xdr:to>
      <xdr:col>15</xdr:col>
      <xdr:colOff>603250</xdr:colOff>
      <xdr:row>1597</xdr:row>
      <xdr:rowOff>31750</xdr:rowOff>
    </xdr:to>
    <xdr:cxnSp macro="">
      <xdr:nvCxnSpPr>
        <xdr:cNvPr id="3748" name="Straight Arrow Connector 3747">
          <a:extLst>
            <a:ext uri="{FF2B5EF4-FFF2-40B4-BE49-F238E27FC236}">
              <a16:creationId xmlns:a16="http://schemas.microsoft.com/office/drawing/2014/main" id="{00000000-0008-0000-1300-0000A40E0000}"/>
            </a:ext>
          </a:extLst>
        </xdr:cNvPr>
        <xdr:cNvCxnSpPr/>
      </xdr:nvCxnSpPr>
      <xdr:spPr>
        <a:xfrm flipV="1">
          <a:off x="11281833" y="132588000"/>
          <a:ext cx="603250" cy="984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1595</xdr:row>
      <xdr:rowOff>52917</xdr:rowOff>
    </xdr:from>
    <xdr:to>
      <xdr:col>15</xdr:col>
      <xdr:colOff>603250</xdr:colOff>
      <xdr:row>1597</xdr:row>
      <xdr:rowOff>95250</xdr:rowOff>
    </xdr:to>
    <xdr:cxnSp macro="">
      <xdr:nvCxnSpPr>
        <xdr:cNvPr id="3749" name="Straight Arrow Connector 3748">
          <a:extLst>
            <a:ext uri="{FF2B5EF4-FFF2-40B4-BE49-F238E27FC236}">
              <a16:creationId xmlns:a16="http://schemas.microsoft.com/office/drawing/2014/main" id="{00000000-0008-0000-1300-0000A50E0000}"/>
            </a:ext>
          </a:extLst>
        </xdr:cNvPr>
        <xdr:cNvCxnSpPr/>
      </xdr:nvCxnSpPr>
      <xdr:spPr>
        <a:xfrm flipV="1">
          <a:off x="11324166" y="133212417"/>
          <a:ext cx="56091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1597</xdr:row>
      <xdr:rowOff>158750</xdr:rowOff>
    </xdr:from>
    <xdr:to>
      <xdr:col>15</xdr:col>
      <xdr:colOff>582083</xdr:colOff>
      <xdr:row>1598</xdr:row>
      <xdr:rowOff>137583</xdr:rowOff>
    </xdr:to>
    <xdr:cxnSp macro="">
      <xdr:nvCxnSpPr>
        <xdr:cNvPr id="3750" name="Straight Arrow Connector 3749">
          <a:extLst>
            <a:ext uri="{FF2B5EF4-FFF2-40B4-BE49-F238E27FC236}">
              <a16:creationId xmlns:a16="http://schemas.microsoft.com/office/drawing/2014/main" id="{00000000-0008-0000-1300-0000A60E0000}"/>
            </a:ext>
          </a:extLst>
        </xdr:cNvPr>
        <xdr:cNvCxnSpPr/>
      </xdr:nvCxnSpPr>
      <xdr:spPr>
        <a:xfrm>
          <a:off x="11345333" y="133699250"/>
          <a:ext cx="518583" cy="169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1121834</xdr:colOff>
      <xdr:row>1597</xdr:row>
      <xdr:rowOff>105834</xdr:rowOff>
    </xdr:from>
    <xdr:to>
      <xdr:col>16</xdr:col>
      <xdr:colOff>0</xdr:colOff>
      <xdr:row>1601</xdr:row>
      <xdr:rowOff>84667</xdr:rowOff>
    </xdr:to>
    <xdr:cxnSp macro="">
      <xdr:nvCxnSpPr>
        <xdr:cNvPr id="3751" name="Straight Arrow Connector 3750">
          <a:extLst>
            <a:ext uri="{FF2B5EF4-FFF2-40B4-BE49-F238E27FC236}">
              <a16:creationId xmlns:a16="http://schemas.microsoft.com/office/drawing/2014/main" id="{00000000-0008-0000-1300-0000A70E0000}"/>
            </a:ext>
          </a:extLst>
        </xdr:cNvPr>
        <xdr:cNvCxnSpPr/>
      </xdr:nvCxnSpPr>
      <xdr:spPr>
        <a:xfrm>
          <a:off x="11260667" y="133646334"/>
          <a:ext cx="63500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1605</xdr:row>
      <xdr:rowOff>52916</xdr:rowOff>
    </xdr:from>
    <xdr:to>
      <xdr:col>16</xdr:col>
      <xdr:colOff>0</xdr:colOff>
      <xdr:row>1607</xdr:row>
      <xdr:rowOff>0</xdr:rowOff>
    </xdr:to>
    <xdr:cxnSp macro="">
      <xdr:nvCxnSpPr>
        <xdr:cNvPr id="3752" name="Straight Arrow Connector 3751">
          <a:extLst>
            <a:ext uri="{FF2B5EF4-FFF2-40B4-BE49-F238E27FC236}">
              <a16:creationId xmlns:a16="http://schemas.microsoft.com/office/drawing/2014/main" id="{00000000-0008-0000-1300-0000A80E0000}"/>
            </a:ext>
          </a:extLst>
        </xdr:cNvPr>
        <xdr:cNvCxnSpPr/>
      </xdr:nvCxnSpPr>
      <xdr:spPr>
        <a:xfrm flipV="1">
          <a:off x="11281833" y="135117416"/>
          <a:ext cx="613834"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1607</xdr:row>
      <xdr:rowOff>21167</xdr:rowOff>
    </xdr:from>
    <xdr:to>
      <xdr:col>15</xdr:col>
      <xdr:colOff>582083</xdr:colOff>
      <xdr:row>1608</xdr:row>
      <xdr:rowOff>42333</xdr:rowOff>
    </xdr:to>
    <xdr:cxnSp macro="">
      <xdr:nvCxnSpPr>
        <xdr:cNvPr id="3753" name="Straight Arrow Connector 3752">
          <a:extLst>
            <a:ext uri="{FF2B5EF4-FFF2-40B4-BE49-F238E27FC236}">
              <a16:creationId xmlns:a16="http://schemas.microsoft.com/office/drawing/2014/main" id="{00000000-0008-0000-1300-0000A90E0000}"/>
            </a:ext>
          </a:extLst>
        </xdr:cNvPr>
        <xdr:cNvCxnSpPr/>
      </xdr:nvCxnSpPr>
      <xdr:spPr>
        <a:xfrm>
          <a:off x="11292416" y="135466667"/>
          <a:ext cx="571500" cy="211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1607</xdr:row>
      <xdr:rowOff>21167</xdr:rowOff>
    </xdr:from>
    <xdr:to>
      <xdr:col>16</xdr:col>
      <xdr:colOff>42333</xdr:colOff>
      <xdr:row>1612</xdr:row>
      <xdr:rowOff>21168</xdr:rowOff>
    </xdr:to>
    <xdr:cxnSp macro="">
      <xdr:nvCxnSpPr>
        <xdr:cNvPr id="3754" name="Straight Arrow Connector 3753">
          <a:extLst>
            <a:ext uri="{FF2B5EF4-FFF2-40B4-BE49-F238E27FC236}">
              <a16:creationId xmlns:a16="http://schemas.microsoft.com/office/drawing/2014/main" id="{00000000-0008-0000-1300-0000AA0E0000}"/>
            </a:ext>
          </a:extLst>
        </xdr:cNvPr>
        <xdr:cNvCxnSpPr/>
      </xdr:nvCxnSpPr>
      <xdr:spPr>
        <a:xfrm>
          <a:off x="11271250" y="135466667"/>
          <a:ext cx="666750" cy="9525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1607</xdr:row>
      <xdr:rowOff>31750</xdr:rowOff>
    </xdr:from>
    <xdr:to>
      <xdr:col>16</xdr:col>
      <xdr:colOff>42334</xdr:colOff>
      <xdr:row>1614</xdr:row>
      <xdr:rowOff>63501</xdr:rowOff>
    </xdr:to>
    <xdr:cxnSp macro="">
      <xdr:nvCxnSpPr>
        <xdr:cNvPr id="3755" name="Straight Arrow Connector 3754">
          <a:extLst>
            <a:ext uri="{FF2B5EF4-FFF2-40B4-BE49-F238E27FC236}">
              <a16:creationId xmlns:a16="http://schemas.microsoft.com/office/drawing/2014/main" id="{00000000-0008-0000-1300-0000AB0E0000}"/>
            </a:ext>
          </a:extLst>
        </xdr:cNvPr>
        <xdr:cNvCxnSpPr/>
      </xdr:nvCxnSpPr>
      <xdr:spPr>
        <a:xfrm>
          <a:off x="11281833" y="135477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10583</xdr:colOff>
      <xdr:row>1644</xdr:row>
      <xdr:rowOff>42333</xdr:rowOff>
    </xdr:from>
    <xdr:to>
      <xdr:col>9</xdr:col>
      <xdr:colOff>592666</xdr:colOff>
      <xdr:row>1652</xdr:row>
      <xdr:rowOff>42333</xdr:rowOff>
    </xdr:to>
    <xdr:cxnSp macro="">
      <xdr:nvCxnSpPr>
        <xdr:cNvPr id="3756" name="Straight Arrow Connector 3755">
          <a:extLst>
            <a:ext uri="{FF2B5EF4-FFF2-40B4-BE49-F238E27FC236}">
              <a16:creationId xmlns:a16="http://schemas.microsoft.com/office/drawing/2014/main" id="{00000000-0008-0000-1300-0000AC0E0000}"/>
            </a:ext>
          </a:extLst>
        </xdr:cNvPr>
        <xdr:cNvCxnSpPr/>
      </xdr:nvCxnSpPr>
      <xdr:spPr>
        <a:xfrm flipV="1">
          <a:off x="6699250" y="142726833"/>
          <a:ext cx="582083" cy="152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1654</xdr:row>
      <xdr:rowOff>169334</xdr:rowOff>
    </xdr:from>
    <xdr:to>
      <xdr:col>9</xdr:col>
      <xdr:colOff>603250</xdr:colOff>
      <xdr:row>1663</xdr:row>
      <xdr:rowOff>31750</xdr:rowOff>
    </xdr:to>
    <xdr:cxnSp macro="">
      <xdr:nvCxnSpPr>
        <xdr:cNvPr id="3757" name="Straight Arrow Connector 3756">
          <a:extLst>
            <a:ext uri="{FF2B5EF4-FFF2-40B4-BE49-F238E27FC236}">
              <a16:creationId xmlns:a16="http://schemas.microsoft.com/office/drawing/2014/main" id="{00000000-0008-0000-1300-0000AD0E0000}"/>
            </a:ext>
          </a:extLst>
        </xdr:cNvPr>
        <xdr:cNvCxnSpPr/>
      </xdr:nvCxnSpPr>
      <xdr:spPr>
        <a:xfrm>
          <a:off x="6720417" y="144758834"/>
          <a:ext cx="571500" cy="1576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571500</xdr:colOff>
      <xdr:row>1660</xdr:row>
      <xdr:rowOff>158750</xdr:rowOff>
    </xdr:from>
    <xdr:to>
      <xdr:col>11</xdr:col>
      <xdr:colOff>571500</xdr:colOff>
      <xdr:row>1663</xdr:row>
      <xdr:rowOff>0</xdr:rowOff>
    </xdr:to>
    <xdr:cxnSp macro="">
      <xdr:nvCxnSpPr>
        <xdr:cNvPr id="3758" name="Straight Arrow Connector 3757">
          <a:extLst>
            <a:ext uri="{FF2B5EF4-FFF2-40B4-BE49-F238E27FC236}">
              <a16:creationId xmlns:a16="http://schemas.microsoft.com/office/drawing/2014/main" id="{00000000-0008-0000-1300-0000AE0E0000}"/>
            </a:ext>
          </a:extLst>
        </xdr:cNvPr>
        <xdr:cNvCxnSpPr/>
      </xdr:nvCxnSpPr>
      <xdr:spPr>
        <a:xfrm flipV="1">
          <a:off x="7874000" y="145891250"/>
          <a:ext cx="613833" cy="412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1618</xdr:row>
      <xdr:rowOff>0</xdr:rowOff>
    </xdr:from>
    <xdr:to>
      <xdr:col>15</xdr:col>
      <xdr:colOff>603250</xdr:colOff>
      <xdr:row>1620</xdr:row>
      <xdr:rowOff>1</xdr:rowOff>
    </xdr:to>
    <xdr:cxnSp macro="">
      <xdr:nvCxnSpPr>
        <xdr:cNvPr id="3759" name="Straight Arrow Connector 3758">
          <a:extLst>
            <a:ext uri="{FF2B5EF4-FFF2-40B4-BE49-F238E27FC236}">
              <a16:creationId xmlns:a16="http://schemas.microsoft.com/office/drawing/2014/main" id="{00000000-0008-0000-1300-0000AF0E0000}"/>
            </a:ext>
          </a:extLst>
        </xdr:cNvPr>
        <xdr:cNvCxnSpPr/>
      </xdr:nvCxnSpPr>
      <xdr:spPr>
        <a:xfrm flipV="1">
          <a:off x="11271250" y="1377315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1620</xdr:row>
      <xdr:rowOff>10584</xdr:rowOff>
    </xdr:from>
    <xdr:to>
      <xdr:col>15</xdr:col>
      <xdr:colOff>592666</xdr:colOff>
      <xdr:row>1621</xdr:row>
      <xdr:rowOff>95250</xdr:rowOff>
    </xdr:to>
    <xdr:cxnSp macro="">
      <xdr:nvCxnSpPr>
        <xdr:cNvPr id="3760" name="Straight Arrow Connector 3759">
          <a:extLst>
            <a:ext uri="{FF2B5EF4-FFF2-40B4-BE49-F238E27FC236}">
              <a16:creationId xmlns:a16="http://schemas.microsoft.com/office/drawing/2014/main" id="{00000000-0008-0000-1300-0000B00E0000}"/>
            </a:ext>
          </a:extLst>
        </xdr:cNvPr>
        <xdr:cNvCxnSpPr/>
      </xdr:nvCxnSpPr>
      <xdr:spPr>
        <a:xfrm>
          <a:off x="11313583" y="1381230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1620</xdr:row>
      <xdr:rowOff>10584</xdr:rowOff>
    </xdr:from>
    <xdr:to>
      <xdr:col>15</xdr:col>
      <xdr:colOff>560916</xdr:colOff>
      <xdr:row>1624</xdr:row>
      <xdr:rowOff>52917</xdr:rowOff>
    </xdr:to>
    <xdr:cxnSp macro="">
      <xdr:nvCxnSpPr>
        <xdr:cNvPr id="3761" name="Straight Arrow Connector 3760">
          <a:extLst>
            <a:ext uri="{FF2B5EF4-FFF2-40B4-BE49-F238E27FC236}">
              <a16:creationId xmlns:a16="http://schemas.microsoft.com/office/drawing/2014/main" id="{00000000-0008-0000-1300-0000B10E0000}"/>
            </a:ext>
          </a:extLst>
        </xdr:cNvPr>
        <xdr:cNvCxnSpPr/>
      </xdr:nvCxnSpPr>
      <xdr:spPr>
        <a:xfrm>
          <a:off x="11292416" y="1381230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1620</xdr:row>
      <xdr:rowOff>31750</xdr:rowOff>
    </xdr:from>
    <xdr:to>
      <xdr:col>16</xdr:col>
      <xdr:colOff>21167</xdr:colOff>
      <xdr:row>1627</xdr:row>
      <xdr:rowOff>95250</xdr:rowOff>
    </xdr:to>
    <xdr:cxnSp macro="">
      <xdr:nvCxnSpPr>
        <xdr:cNvPr id="3762" name="Straight Arrow Connector 3761">
          <a:extLst>
            <a:ext uri="{FF2B5EF4-FFF2-40B4-BE49-F238E27FC236}">
              <a16:creationId xmlns:a16="http://schemas.microsoft.com/office/drawing/2014/main" id="{00000000-0008-0000-1300-0000B20E0000}"/>
            </a:ext>
          </a:extLst>
        </xdr:cNvPr>
        <xdr:cNvCxnSpPr/>
      </xdr:nvCxnSpPr>
      <xdr:spPr>
        <a:xfrm>
          <a:off x="11324166" y="138144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1634</xdr:row>
      <xdr:rowOff>0</xdr:rowOff>
    </xdr:from>
    <xdr:to>
      <xdr:col>16</xdr:col>
      <xdr:colOff>0</xdr:colOff>
      <xdr:row>1634</xdr:row>
      <xdr:rowOff>42334</xdr:rowOff>
    </xdr:to>
    <xdr:cxnSp macro="">
      <xdr:nvCxnSpPr>
        <xdr:cNvPr id="3763" name="Straight Arrow Connector 3762">
          <a:extLst>
            <a:ext uri="{FF2B5EF4-FFF2-40B4-BE49-F238E27FC236}">
              <a16:creationId xmlns:a16="http://schemas.microsoft.com/office/drawing/2014/main" id="{00000000-0008-0000-1300-0000B30E0000}"/>
            </a:ext>
          </a:extLst>
        </xdr:cNvPr>
        <xdr:cNvCxnSpPr/>
      </xdr:nvCxnSpPr>
      <xdr:spPr>
        <a:xfrm>
          <a:off x="11302999" y="140779500"/>
          <a:ext cx="592668"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1634</xdr:row>
      <xdr:rowOff>21166</xdr:rowOff>
    </xdr:from>
    <xdr:to>
      <xdr:col>15</xdr:col>
      <xdr:colOff>560916</xdr:colOff>
      <xdr:row>1637</xdr:row>
      <xdr:rowOff>84667</xdr:rowOff>
    </xdr:to>
    <xdr:cxnSp macro="">
      <xdr:nvCxnSpPr>
        <xdr:cNvPr id="3764" name="Straight Arrow Connector 3763">
          <a:extLst>
            <a:ext uri="{FF2B5EF4-FFF2-40B4-BE49-F238E27FC236}">
              <a16:creationId xmlns:a16="http://schemas.microsoft.com/office/drawing/2014/main" id="{00000000-0008-0000-1300-0000B40E0000}"/>
            </a:ext>
          </a:extLst>
        </xdr:cNvPr>
        <xdr:cNvCxnSpPr/>
      </xdr:nvCxnSpPr>
      <xdr:spPr>
        <a:xfrm>
          <a:off x="11355916" y="1408006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1634</xdr:row>
      <xdr:rowOff>52916</xdr:rowOff>
    </xdr:from>
    <xdr:to>
      <xdr:col>15</xdr:col>
      <xdr:colOff>592666</xdr:colOff>
      <xdr:row>1640</xdr:row>
      <xdr:rowOff>63501</xdr:rowOff>
    </xdr:to>
    <xdr:cxnSp macro="">
      <xdr:nvCxnSpPr>
        <xdr:cNvPr id="3765" name="Straight Arrow Connector 3764">
          <a:extLst>
            <a:ext uri="{FF2B5EF4-FFF2-40B4-BE49-F238E27FC236}">
              <a16:creationId xmlns:a16="http://schemas.microsoft.com/office/drawing/2014/main" id="{00000000-0008-0000-1300-0000B50E0000}"/>
            </a:ext>
          </a:extLst>
        </xdr:cNvPr>
        <xdr:cNvCxnSpPr/>
      </xdr:nvCxnSpPr>
      <xdr:spPr>
        <a:xfrm>
          <a:off x="11313583" y="1408324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1648</xdr:row>
      <xdr:rowOff>116416</xdr:rowOff>
    </xdr:from>
    <xdr:to>
      <xdr:col>15</xdr:col>
      <xdr:colOff>592666</xdr:colOff>
      <xdr:row>1651</xdr:row>
      <xdr:rowOff>158750</xdr:rowOff>
    </xdr:to>
    <xdr:cxnSp macro="">
      <xdr:nvCxnSpPr>
        <xdr:cNvPr id="3766" name="Straight Arrow Connector 3765">
          <a:extLst>
            <a:ext uri="{FF2B5EF4-FFF2-40B4-BE49-F238E27FC236}">
              <a16:creationId xmlns:a16="http://schemas.microsoft.com/office/drawing/2014/main" id="{00000000-0008-0000-1300-0000B60E0000}"/>
            </a:ext>
          </a:extLst>
        </xdr:cNvPr>
        <xdr:cNvCxnSpPr/>
      </xdr:nvCxnSpPr>
      <xdr:spPr>
        <a:xfrm flipV="1">
          <a:off x="11302999" y="143562916"/>
          <a:ext cx="571500" cy="613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1650</xdr:row>
      <xdr:rowOff>95250</xdr:rowOff>
    </xdr:from>
    <xdr:to>
      <xdr:col>15</xdr:col>
      <xdr:colOff>582083</xdr:colOff>
      <xdr:row>1652</xdr:row>
      <xdr:rowOff>52917</xdr:rowOff>
    </xdr:to>
    <xdr:cxnSp macro="">
      <xdr:nvCxnSpPr>
        <xdr:cNvPr id="3767" name="Straight Arrow Connector 3766">
          <a:extLst>
            <a:ext uri="{FF2B5EF4-FFF2-40B4-BE49-F238E27FC236}">
              <a16:creationId xmlns:a16="http://schemas.microsoft.com/office/drawing/2014/main" id="{00000000-0008-0000-1300-0000B70E0000}"/>
            </a:ext>
          </a:extLst>
        </xdr:cNvPr>
        <xdr:cNvCxnSpPr/>
      </xdr:nvCxnSpPr>
      <xdr:spPr>
        <a:xfrm flipV="1">
          <a:off x="11345333" y="143922750"/>
          <a:ext cx="518583" cy="338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1652</xdr:row>
      <xdr:rowOff>116417</xdr:rowOff>
    </xdr:from>
    <xdr:to>
      <xdr:col>15</xdr:col>
      <xdr:colOff>592666</xdr:colOff>
      <xdr:row>1656</xdr:row>
      <xdr:rowOff>95250</xdr:rowOff>
    </xdr:to>
    <xdr:cxnSp macro="">
      <xdr:nvCxnSpPr>
        <xdr:cNvPr id="3768" name="Straight Arrow Connector 3767">
          <a:extLst>
            <a:ext uri="{FF2B5EF4-FFF2-40B4-BE49-F238E27FC236}">
              <a16:creationId xmlns:a16="http://schemas.microsoft.com/office/drawing/2014/main" id="{00000000-0008-0000-1300-0000B80E0000}"/>
            </a:ext>
          </a:extLst>
        </xdr:cNvPr>
        <xdr:cNvCxnSpPr/>
      </xdr:nvCxnSpPr>
      <xdr:spPr>
        <a:xfrm>
          <a:off x="11334749" y="144324917"/>
          <a:ext cx="53975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1663</xdr:row>
      <xdr:rowOff>116416</xdr:rowOff>
    </xdr:from>
    <xdr:to>
      <xdr:col>16</xdr:col>
      <xdr:colOff>0</xdr:colOff>
      <xdr:row>1670</xdr:row>
      <xdr:rowOff>74084</xdr:rowOff>
    </xdr:to>
    <xdr:cxnSp macro="">
      <xdr:nvCxnSpPr>
        <xdr:cNvPr id="3769" name="Straight Arrow Connector 3768">
          <a:extLst>
            <a:ext uri="{FF2B5EF4-FFF2-40B4-BE49-F238E27FC236}">
              <a16:creationId xmlns:a16="http://schemas.microsoft.com/office/drawing/2014/main" id="{00000000-0008-0000-1300-0000B90E0000}"/>
            </a:ext>
          </a:extLst>
        </xdr:cNvPr>
        <xdr:cNvCxnSpPr/>
      </xdr:nvCxnSpPr>
      <xdr:spPr>
        <a:xfrm>
          <a:off x="11313583" y="146420416"/>
          <a:ext cx="582084" cy="12911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1631</xdr:row>
      <xdr:rowOff>52917</xdr:rowOff>
    </xdr:from>
    <xdr:to>
      <xdr:col>15</xdr:col>
      <xdr:colOff>603250</xdr:colOff>
      <xdr:row>1633</xdr:row>
      <xdr:rowOff>148167</xdr:rowOff>
    </xdr:to>
    <xdr:cxnSp macro="">
      <xdr:nvCxnSpPr>
        <xdr:cNvPr id="3770" name="Straight Arrow Connector 3769">
          <a:extLst>
            <a:ext uri="{FF2B5EF4-FFF2-40B4-BE49-F238E27FC236}">
              <a16:creationId xmlns:a16="http://schemas.microsoft.com/office/drawing/2014/main" id="{00000000-0008-0000-1300-0000BA0E0000}"/>
            </a:ext>
          </a:extLst>
        </xdr:cNvPr>
        <xdr:cNvCxnSpPr/>
      </xdr:nvCxnSpPr>
      <xdr:spPr>
        <a:xfrm flipV="1">
          <a:off x="11324166" y="1402609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1666</xdr:row>
      <xdr:rowOff>42333</xdr:rowOff>
    </xdr:from>
    <xdr:to>
      <xdr:col>11</xdr:col>
      <xdr:colOff>603250</xdr:colOff>
      <xdr:row>1678</xdr:row>
      <xdr:rowOff>10583</xdr:rowOff>
    </xdr:to>
    <xdr:cxnSp macro="">
      <xdr:nvCxnSpPr>
        <xdr:cNvPr id="3771" name="Straight Arrow Connector 3770">
          <a:extLst>
            <a:ext uri="{FF2B5EF4-FFF2-40B4-BE49-F238E27FC236}">
              <a16:creationId xmlns:a16="http://schemas.microsoft.com/office/drawing/2014/main" id="{00000000-0008-0000-1300-0000BB0E0000}"/>
            </a:ext>
          </a:extLst>
        </xdr:cNvPr>
        <xdr:cNvCxnSpPr/>
      </xdr:nvCxnSpPr>
      <xdr:spPr>
        <a:xfrm>
          <a:off x="7926917" y="1469178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1656</xdr:row>
      <xdr:rowOff>21167</xdr:rowOff>
    </xdr:from>
    <xdr:to>
      <xdr:col>13</xdr:col>
      <xdr:colOff>592667</xdr:colOff>
      <xdr:row>1658</xdr:row>
      <xdr:rowOff>0</xdr:rowOff>
    </xdr:to>
    <xdr:cxnSp macro="">
      <xdr:nvCxnSpPr>
        <xdr:cNvPr id="3772" name="Straight Arrow Connector 3771">
          <a:extLst>
            <a:ext uri="{FF2B5EF4-FFF2-40B4-BE49-F238E27FC236}">
              <a16:creationId xmlns:a16="http://schemas.microsoft.com/office/drawing/2014/main" id="{00000000-0008-0000-1300-0000BC0E0000}"/>
            </a:ext>
          </a:extLst>
        </xdr:cNvPr>
        <xdr:cNvCxnSpPr/>
      </xdr:nvCxnSpPr>
      <xdr:spPr>
        <a:xfrm flipV="1">
          <a:off x="9133417" y="144991667"/>
          <a:ext cx="984250"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1661</xdr:row>
      <xdr:rowOff>21166</xdr:rowOff>
    </xdr:from>
    <xdr:to>
      <xdr:col>13</xdr:col>
      <xdr:colOff>592667</xdr:colOff>
      <xdr:row>1662</xdr:row>
      <xdr:rowOff>169334</xdr:rowOff>
    </xdr:to>
    <xdr:cxnSp macro="">
      <xdr:nvCxnSpPr>
        <xdr:cNvPr id="3773" name="Straight Arrow Connector 3772">
          <a:extLst>
            <a:ext uri="{FF2B5EF4-FFF2-40B4-BE49-F238E27FC236}">
              <a16:creationId xmlns:a16="http://schemas.microsoft.com/office/drawing/2014/main" id="{00000000-0008-0000-1300-0000BD0E0000}"/>
            </a:ext>
          </a:extLst>
        </xdr:cNvPr>
        <xdr:cNvCxnSpPr/>
      </xdr:nvCxnSpPr>
      <xdr:spPr>
        <a:xfrm>
          <a:off x="9122833" y="145944166"/>
          <a:ext cx="994834"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1676</xdr:row>
      <xdr:rowOff>21167</xdr:rowOff>
    </xdr:from>
    <xdr:to>
      <xdr:col>13</xdr:col>
      <xdr:colOff>592667</xdr:colOff>
      <xdr:row>1678</xdr:row>
      <xdr:rowOff>63500</xdr:rowOff>
    </xdr:to>
    <xdr:cxnSp macro="">
      <xdr:nvCxnSpPr>
        <xdr:cNvPr id="3774" name="Straight Arrow Connector 3773">
          <a:extLst>
            <a:ext uri="{FF2B5EF4-FFF2-40B4-BE49-F238E27FC236}">
              <a16:creationId xmlns:a16="http://schemas.microsoft.com/office/drawing/2014/main" id="{00000000-0008-0000-1300-0000BE0E0000}"/>
            </a:ext>
          </a:extLst>
        </xdr:cNvPr>
        <xdr:cNvCxnSpPr/>
      </xdr:nvCxnSpPr>
      <xdr:spPr>
        <a:xfrm flipV="1">
          <a:off x="9525000" y="1489921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1681</xdr:row>
      <xdr:rowOff>0</xdr:rowOff>
    </xdr:from>
    <xdr:to>
      <xdr:col>14</xdr:col>
      <xdr:colOff>10584</xdr:colOff>
      <xdr:row>1689</xdr:row>
      <xdr:rowOff>148167</xdr:rowOff>
    </xdr:to>
    <xdr:cxnSp macro="">
      <xdr:nvCxnSpPr>
        <xdr:cNvPr id="3775" name="Straight Arrow Connector 3774">
          <a:extLst>
            <a:ext uri="{FF2B5EF4-FFF2-40B4-BE49-F238E27FC236}">
              <a16:creationId xmlns:a16="http://schemas.microsoft.com/office/drawing/2014/main" id="{00000000-0008-0000-1300-0000BF0E0000}"/>
            </a:ext>
          </a:extLst>
        </xdr:cNvPr>
        <xdr:cNvCxnSpPr/>
      </xdr:nvCxnSpPr>
      <xdr:spPr>
        <a:xfrm>
          <a:off x="9535583" y="149923500"/>
          <a:ext cx="613834"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1652</xdr:row>
      <xdr:rowOff>95250</xdr:rowOff>
    </xdr:from>
    <xdr:to>
      <xdr:col>15</xdr:col>
      <xdr:colOff>582083</xdr:colOff>
      <xdr:row>1654</xdr:row>
      <xdr:rowOff>137583</xdr:rowOff>
    </xdr:to>
    <xdr:cxnSp macro="">
      <xdr:nvCxnSpPr>
        <xdr:cNvPr id="3776" name="Straight Arrow Connector 3775">
          <a:extLst>
            <a:ext uri="{FF2B5EF4-FFF2-40B4-BE49-F238E27FC236}">
              <a16:creationId xmlns:a16="http://schemas.microsoft.com/office/drawing/2014/main" id="{00000000-0008-0000-1300-0000C00E0000}"/>
            </a:ext>
          </a:extLst>
        </xdr:cNvPr>
        <xdr:cNvCxnSpPr/>
      </xdr:nvCxnSpPr>
      <xdr:spPr>
        <a:xfrm>
          <a:off x="11334749" y="144303750"/>
          <a:ext cx="5291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1661</xdr:row>
      <xdr:rowOff>52916</xdr:rowOff>
    </xdr:from>
    <xdr:to>
      <xdr:col>16</xdr:col>
      <xdr:colOff>0</xdr:colOff>
      <xdr:row>1663</xdr:row>
      <xdr:rowOff>0</xdr:rowOff>
    </xdr:to>
    <xdr:cxnSp macro="">
      <xdr:nvCxnSpPr>
        <xdr:cNvPr id="3777" name="Straight Arrow Connector 3776">
          <a:extLst>
            <a:ext uri="{FF2B5EF4-FFF2-40B4-BE49-F238E27FC236}">
              <a16:creationId xmlns:a16="http://schemas.microsoft.com/office/drawing/2014/main" id="{00000000-0008-0000-1300-0000C10E0000}"/>
            </a:ext>
          </a:extLst>
        </xdr:cNvPr>
        <xdr:cNvCxnSpPr/>
      </xdr:nvCxnSpPr>
      <xdr:spPr>
        <a:xfrm flipV="1">
          <a:off x="11281833" y="145975916"/>
          <a:ext cx="613834"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1663</xdr:row>
      <xdr:rowOff>21167</xdr:rowOff>
    </xdr:from>
    <xdr:to>
      <xdr:col>15</xdr:col>
      <xdr:colOff>592666</xdr:colOff>
      <xdr:row>1664</xdr:row>
      <xdr:rowOff>84667</xdr:rowOff>
    </xdr:to>
    <xdr:cxnSp macro="">
      <xdr:nvCxnSpPr>
        <xdr:cNvPr id="3778" name="Straight Arrow Connector 3777">
          <a:extLst>
            <a:ext uri="{FF2B5EF4-FFF2-40B4-BE49-F238E27FC236}">
              <a16:creationId xmlns:a16="http://schemas.microsoft.com/office/drawing/2014/main" id="{00000000-0008-0000-1300-0000C20E0000}"/>
            </a:ext>
          </a:extLst>
        </xdr:cNvPr>
        <xdr:cNvCxnSpPr/>
      </xdr:nvCxnSpPr>
      <xdr:spPr>
        <a:xfrm>
          <a:off x="11271250" y="146325167"/>
          <a:ext cx="603249" cy="25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1663</xdr:row>
      <xdr:rowOff>0</xdr:rowOff>
    </xdr:from>
    <xdr:to>
      <xdr:col>16</xdr:col>
      <xdr:colOff>0</xdr:colOff>
      <xdr:row>1667</xdr:row>
      <xdr:rowOff>42334</xdr:rowOff>
    </xdr:to>
    <xdr:cxnSp macro="">
      <xdr:nvCxnSpPr>
        <xdr:cNvPr id="3779" name="Straight Arrow Connector 3778">
          <a:extLst>
            <a:ext uri="{FF2B5EF4-FFF2-40B4-BE49-F238E27FC236}">
              <a16:creationId xmlns:a16="http://schemas.microsoft.com/office/drawing/2014/main" id="{00000000-0008-0000-1300-0000C30E0000}"/>
            </a:ext>
          </a:extLst>
        </xdr:cNvPr>
        <xdr:cNvCxnSpPr/>
      </xdr:nvCxnSpPr>
      <xdr:spPr>
        <a:xfrm>
          <a:off x="11271250" y="146304000"/>
          <a:ext cx="624417" cy="804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1674</xdr:row>
      <xdr:rowOff>0</xdr:rowOff>
    </xdr:from>
    <xdr:to>
      <xdr:col>15</xdr:col>
      <xdr:colOff>603250</xdr:colOff>
      <xdr:row>1676</xdr:row>
      <xdr:rowOff>1</xdr:rowOff>
    </xdr:to>
    <xdr:cxnSp macro="">
      <xdr:nvCxnSpPr>
        <xdr:cNvPr id="3780" name="Straight Arrow Connector 3779">
          <a:extLst>
            <a:ext uri="{FF2B5EF4-FFF2-40B4-BE49-F238E27FC236}">
              <a16:creationId xmlns:a16="http://schemas.microsoft.com/office/drawing/2014/main" id="{00000000-0008-0000-1300-0000C40E0000}"/>
            </a:ext>
          </a:extLst>
        </xdr:cNvPr>
        <xdr:cNvCxnSpPr/>
      </xdr:nvCxnSpPr>
      <xdr:spPr>
        <a:xfrm flipV="1">
          <a:off x="11271250" y="1485900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1676</xdr:row>
      <xdr:rowOff>10584</xdr:rowOff>
    </xdr:from>
    <xdr:to>
      <xdr:col>15</xdr:col>
      <xdr:colOff>592666</xdr:colOff>
      <xdr:row>1677</xdr:row>
      <xdr:rowOff>95250</xdr:rowOff>
    </xdr:to>
    <xdr:cxnSp macro="">
      <xdr:nvCxnSpPr>
        <xdr:cNvPr id="3781" name="Straight Arrow Connector 3780">
          <a:extLst>
            <a:ext uri="{FF2B5EF4-FFF2-40B4-BE49-F238E27FC236}">
              <a16:creationId xmlns:a16="http://schemas.microsoft.com/office/drawing/2014/main" id="{00000000-0008-0000-1300-0000C50E0000}"/>
            </a:ext>
          </a:extLst>
        </xdr:cNvPr>
        <xdr:cNvCxnSpPr/>
      </xdr:nvCxnSpPr>
      <xdr:spPr>
        <a:xfrm>
          <a:off x="11313583" y="1489815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1676</xdr:row>
      <xdr:rowOff>10584</xdr:rowOff>
    </xdr:from>
    <xdr:to>
      <xdr:col>15</xdr:col>
      <xdr:colOff>560916</xdr:colOff>
      <xdr:row>1680</xdr:row>
      <xdr:rowOff>52917</xdr:rowOff>
    </xdr:to>
    <xdr:cxnSp macro="">
      <xdr:nvCxnSpPr>
        <xdr:cNvPr id="3782" name="Straight Arrow Connector 3781">
          <a:extLst>
            <a:ext uri="{FF2B5EF4-FFF2-40B4-BE49-F238E27FC236}">
              <a16:creationId xmlns:a16="http://schemas.microsoft.com/office/drawing/2014/main" id="{00000000-0008-0000-1300-0000C60E0000}"/>
            </a:ext>
          </a:extLst>
        </xdr:cNvPr>
        <xdr:cNvCxnSpPr/>
      </xdr:nvCxnSpPr>
      <xdr:spPr>
        <a:xfrm>
          <a:off x="11292416" y="1489815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3783" name="Straight Arrow Connector 3782">
          <a:extLst>
            <a:ext uri="{FF2B5EF4-FFF2-40B4-BE49-F238E27FC236}">
              <a16:creationId xmlns:a16="http://schemas.microsoft.com/office/drawing/2014/main" id="{00000000-0008-0000-1300-0000C70E0000}"/>
            </a:ext>
          </a:extLst>
        </xdr:cNvPr>
        <xdr:cNvCxnSpPr/>
      </xdr:nvCxnSpPr>
      <xdr:spPr>
        <a:xfrm>
          <a:off x="11324166" y="149002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1690</xdr:row>
      <xdr:rowOff>0</xdr:rowOff>
    </xdr:from>
    <xdr:to>
      <xdr:col>16</xdr:col>
      <xdr:colOff>0</xdr:colOff>
      <xdr:row>1690</xdr:row>
      <xdr:rowOff>42334</xdr:rowOff>
    </xdr:to>
    <xdr:cxnSp macro="">
      <xdr:nvCxnSpPr>
        <xdr:cNvPr id="3784" name="Straight Arrow Connector 3783">
          <a:extLst>
            <a:ext uri="{FF2B5EF4-FFF2-40B4-BE49-F238E27FC236}">
              <a16:creationId xmlns:a16="http://schemas.microsoft.com/office/drawing/2014/main" id="{00000000-0008-0000-1300-0000C80E0000}"/>
            </a:ext>
          </a:extLst>
        </xdr:cNvPr>
        <xdr:cNvCxnSpPr/>
      </xdr:nvCxnSpPr>
      <xdr:spPr>
        <a:xfrm>
          <a:off x="11302999" y="151638000"/>
          <a:ext cx="592668"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1690</xdr:row>
      <xdr:rowOff>21166</xdr:rowOff>
    </xdr:from>
    <xdr:to>
      <xdr:col>15</xdr:col>
      <xdr:colOff>560916</xdr:colOff>
      <xdr:row>1693</xdr:row>
      <xdr:rowOff>84667</xdr:rowOff>
    </xdr:to>
    <xdr:cxnSp macro="">
      <xdr:nvCxnSpPr>
        <xdr:cNvPr id="3785" name="Straight Arrow Connector 3784">
          <a:extLst>
            <a:ext uri="{FF2B5EF4-FFF2-40B4-BE49-F238E27FC236}">
              <a16:creationId xmlns:a16="http://schemas.microsoft.com/office/drawing/2014/main" id="{00000000-0008-0000-1300-0000C90E0000}"/>
            </a:ext>
          </a:extLst>
        </xdr:cNvPr>
        <xdr:cNvCxnSpPr/>
      </xdr:nvCxnSpPr>
      <xdr:spPr>
        <a:xfrm>
          <a:off x="11355916" y="1516591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1690</xdr:row>
      <xdr:rowOff>52916</xdr:rowOff>
    </xdr:from>
    <xdr:to>
      <xdr:col>15</xdr:col>
      <xdr:colOff>592666</xdr:colOff>
      <xdr:row>1696</xdr:row>
      <xdr:rowOff>63501</xdr:rowOff>
    </xdr:to>
    <xdr:cxnSp macro="">
      <xdr:nvCxnSpPr>
        <xdr:cNvPr id="3786" name="Straight Arrow Connector 3785">
          <a:extLst>
            <a:ext uri="{FF2B5EF4-FFF2-40B4-BE49-F238E27FC236}">
              <a16:creationId xmlns:a16="http://schemas.microsoft.com/office/drawing/2014/main" id="{00000000-0008-0000-1300-0000CA0E0000}"/>
            </a:ext>
          </a:extLst>
        </xdr:cNvPr>
        <xdr:cNvCxnSpPr/>
      </xdr:nvCxnSpPr>
      <xdr:spPr>
        <a:xfrm>
          <a:off x="11313583" y="1516909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1687</xdr:row>
      <xdr:rowOff>52917</xdr:rowOff>
    </xdr:from>
    <xdr:to>
      <xdr:col>15</xdr:col>
      <xdr:colOff>603250</xdr:colOff>
      <xdr:row>1689</xdr:row>
      <xdr:rowOff>148167</xdr:rowOff>
    </xdr:to>
    <xdr:cxnSp macro="">
      <xdr:nvCxnSpPr>
        <xdr:cNvPr id="3787" name="Straight Arrow Connector 3786">
          <a:extLst>
            <a:ext uri="{FF2B5EF4-FFF2-40B4-BE49-F238E27FC236}">
              <a16:creationId xmlns:a16="http://schemas.microsoft.com/office/drawing/2014/main" id="{00000000-0008-0000-1300-0000CB0E0000}"/>
            </a:ext>
          </a:extLst>
        </xdr:cNvPr>
        <xdr:cNvCxnSpPr/>
      </xdr:nvCxnSpPr>
      <xdr:spPr>
        <a:xfrm flipV="1">
          <a:off x="11324166" y="1511194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698500</xdr:colOff>
      <xdr:row>1731</xdr:row>
      <xdr:rowOff>95250</xdr:rowOff>
    </xdr:from>
    <xdr:to>
      <xdr:col>8</xdr:col>
      <xdr:colOff>21167</xdr:colOff>
      <xdr:row>1763</xdr:row>
      <xdr:rowOff>148166</xdr:rowOff>
    </xdr:to>
    <xdr:cxnSp macro="">
      <xdr:nvCxnSpPr>
        <xdr:cNvPr id="3788" name="Straight Arrow Connector 3787">
          <a:extLst>
            <a:ext uri="{FF2B5EF4-FFF2-40B4-BE49-F238E27FC236}">
              <a16:creationId xmlns:a16="http://schemas.microsoft.com/office/drawing/2014/main" id="{00000000-0008-0000-1300-0000CC0E0000}"/>
            </a:ext>
          </a:extLst>
        </xdr:cNvPr>
        <xdr:cNvCxnSpPr/>
      </xdr:nvCxnSpPr>
      <xdr:spPr>
        <a:xfrm>
          <a:off x="5185833" y="159734250"/>
          <a:ext cx="910167" cy="6148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1702</xdr:row>
      <xdr:rowOff>137583</xdr:rowOff>
    </xdr:from>
    <xdr:to>
      <xdr:col>9</xdr:col>
      <xdr:colOff>603250</xdr:colOff>
      <xdr:row>1708</xdr:row>
      <xdr:rowOff>21166</xdr:rowOff>
    </xdr:to>
    <xdr:cxnSp macro="">
      <xdr:nvCxnSpPr>
        <xdr:cNvPr id="3789" name="Straight Arrow Connector 3788">
          <a:extLst>
            <a:ext uri="{FF2B5EF4-FFF2-40B4-BE49-F238E27FC236}">
              <a16:creationId xmlns:a16="http://schemas.microsoft.com/office/drawing/2014/main" id="{00000000-0008-0000-1300-0000CD0E0000}"/>
            </a:ext>
          </a:extLst>
        </xdr:cNvPr>
        <xdr:cNvCxnSpPr/>
      </xdr:nvCxnSpPr>
      <xdr:spPr>
        <a:xfrm flipV="1">
          <a:off x="6688667" y="154061583"/>
          <a:ext cx="603250" cy="1026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1711</xdr:row>
      <xdr:rowOff>0</xdr:rowOff>
    </xdr:from>
    <xdr:to>
      <xdr:col>9</xdr:col>
      <xdr:colOff>582083</xdr:colOff>
      <xdr:row>1719</xdr:row>
      <xdr:rowOff>10583</xdr:rowOff>
    </xdr:to>
    <xdr:cxnSp macro="">
      <xdr:nvCxnSpPr>
        <xdr:cNvPr id="3790" name="Straight Arrow Connector 3789">
          <a:extLst>
            <a:ext uri="{FF2B5EF4-FFF2-40B4-BE49-F238E27FC236}">
              <a16:creationId xmlns:a16="http://schemas.microsoft.com/office/drawing/2014/main" id="{00000000-0008-0000-1300-0000CE0E0000}"/>
            </a:ext>
          </a:extLst>
        </xdr:cNvPr>
        <xdr:cNvCxnSpPr/>
      </xdr:nvCxnSpPr>
      <xdr:spPr>
        <a:xfrm>
          <a:off x="6720417" y="155638500"/>
          <a:ext cx="550333" cy="1534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21167</xdr:colOff>
      <xdr:row>1716</xdr:row>
      <xdr:rowOff>169333</xdr:rowOff>
    </xdr:from>
    <xdr:to>
      <xdr:col>11</xdr:col>
      <xdr:colOff>603250</xdr:colOff>
      <xdr:row>1719</xdr:row>
      <xdr:rowOff>21167</xdr:rowOff>
    </xdr:to>
    <xdr:cxnSp macro="">
      <xdr:nvCxnSpPr>
        <xdr:cNvPr id="3791" name="Straight Arrow Connector 3790">
          <a:extLst>
            <a:ext uri="{FF2B5EF4-FFF2-40B4-BE49-F238E27FC236}">
              <a16:creationId xmlns:a16="http://schemas.microsoft.com/office/drawing/2014/main" id="{00000000-0008-0000-1300-0000CF0E0000}"/>
            </a:ext>
          </a:extLst>
        </xdr:cNvPr>
        <xdr:cNvCxnSpPr/>
      </xdr:nvCxnSpPr>
      <xdr:spPr>
        <a:xfrm flipV="1">
          <a:off x="7937500" y="156760333"/>
          <a:ext cx="582083" cy="423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1722</xdr:row>
      <xdr:rowOff>42333</xdr:rowOff>
    </xdr:from>
    <xdr:to>
      <xdr:col>11</xdr:col>
      <xdr:colOff>603250</xdr:colOff>
      <xdr:row>1734</xdr:row>
      <xdr:rowOff>10583</xdr:rowOff>
    </xdr:to>
    <xdr:cxnSp macro="">
      <xdr:nvCxnSpPr>
        <xdr:cNvPr id="3792" name="Straight Arrow Connector 3791">
          <a:extLst>
            <a:ext uri="{FF2B5EF4-FFF2-40B4-BE49-F238E27FC236}">
              <a16:creationId xmlns:a16="http://schemas.microsoft.com/office/drawing/2014/main" id="{00000000-0008-0000-1300-0000D00E0000}"/>
            </a:ext>
          </a:extLst>
        </xdr:cNvPr>
        <xdr:cNvCxnSpPr/>
      </xdr:nvCxnSpPr>
      <xdr:spPr>
        <a:xfrm>
          <a:off x="7926917" y="1577763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1712</xdr:row>
      <xdr:rowOff>21167</xdr:rowOff>
    </xdr:from>
    <xdr:to>
      <xdr:col>13</xdr:col>
      <xdr:colOff>592667</xdr:colOff>
      <xdr:row>1714</xdr:row>
      <xdr:rowOff>0</xdr:rowOff>
    </xdr:to>
    <xdr:cxnSp macro="">
      <xdr:nvCxnSpPr>
        <xdr:cNvPr id="3793" name="Straight Arrow Connector 3792">
          <a:extLst>
            <a:ext uri="{FF2B5EF4-FFF2-40B4-BE49-F238E27FC236}">
              <a16:creationId xmlns:a16="http://schemas.microsoft.com/office/drawing/2014/main" id="{00000000-0008-0000-1300-0000D10E0000}"/>
            </a:ext>
          </a:extLst>
        </xdr:cNvPr>
        <xdr:cNvCxnSpPr/>
      </xdr:nvCxnSpPr>
      <xdr:spPr>
        <a:xfrm flipV="1">
          <a:off x="9133417" y="155850167"/>
          <a:ext cx="984250"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1717</xdr:row>
      <xdr:rowOff>21166</xdr:rowOff>
    </xdr:from>
    <xdr:to>
      <xdr:col>13</xdr:col>
      <xdr:colOff>592667</xdr:colOff>
      <xdr:row>1718</xdr:row>
      <xdr:rowOff>169334</xdr:rowOff>
    </xdr:to>
    <xdr:cxnSp macro="">
      <xdr:nvCxnSpPr>
        <xdr:cNvPr id="3794" name="Straight Arrow Connector 3793">
          <a:extLst>
            <a:ext uri="{FF2B5EF4-FFF2-40B4-BE49-F238E27FC236}">
              <a16:creationId xmlns:a16="http://schemas.microsoft.com/office/drawing/2014/main" id="{00000000-0008-0000-1300-0000D20E0000}"/>
            </a:ext>
          </a:extLst>
        </xdr:cNvPr>
        <xdr:cNvCxnSpPr/>
      </xdr:nvCxnSpPr>
      <xdr:spPr>
        <a:xfrm>
          <a:off x="9122833" y="156802666"/>
          <a:ext cx="994834"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1732</xdr:row>
      <xdr:rowOff>21167</xdr:rowOff>
    </xdr:from>
    <xdr:to>
      <xdr:col>13</xdr:col>
      <xdr:colOff>592667</xdr:colOff>
      <xdr:row>1734</xdr:row>
      <xdr:rowOff>63500</xdr:rowOff>
    </xdr:to>
    <xdr:cxnSp macro="">
      <xdr:nvCxnSpPr>
        <xdr:cNvPr id="3795" name="Straight Arrow Connector 3794">
          <a:extLst>
            <a:ext uri="{FF2B5EF4-FFF2-40B4-BE49-F238E27FC236}">
              <a16:creationId xmlns:a16="http://schemas.microsoft.com/office/drawing/2014/main" id="{00000000-0008-0000-1300-0000D30E0000}"/>
            </a:ext>
          </a:extLst>
        </xdr:cNvPr>
        <xdr:cNvCxnSpPr/>
      </xdr:nvCxnSpPr>
      <xdr:spPr>
        <a:xfrm flipV="1">
          <a:off x="9525000" y="1598506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1737</xdr:row>
      <xdr:rowOff>0</xdr:rowOff>
    </xdr:from>
    <xdr:to>
      <xdr:col>14</xdr:col>
      <xdr:colOff>10584</xdr:colOff>
      <xdr:row>1745</xdr:row>
      <xdr:rowOff>148167</xdr:rowOff>
    </xdr:to>
    <xdr:cxnSp macro="">
      <xdr:nvCxnSpPr>
        <xdr:cNvPr id="3796" name="Straight Arrow Connector 3795">
          <a:extLst>
            <a:ext uri="{FF2B5EF4-FFF2-40B4-BE49-F238E27FC236}">
              <a16:creationId xmlns:a16="http://schemas.microsoft.com/office/drawing/2014/main" id="{00000000-0008-0000-1300-0000D40E0000}"/>
            </a:ext>
          </a:extLst>
        </xdr:cNvPr>
        <xdr:cNvCxnSpPr/>
      </xdr:nvCxnSpPr>
      <xdr:spPr>
        <a:xfrm>
          <a:off x="9535583" y="160782000"/>
          <a:ext cx="613834"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1704</xdr:row>
      <xdr:rowOff>0</xdr:rowOff>
    </xdr:from>
    <xdr:to>
      <xdr:col>15</xdr:col>
      <xdr:colOff>603250</xdr:colOff>
      <xdr:row>1709</xdr:row>
      <xdr:rowOff>31750</xdr:rowOff>
    </xdr:to>
    <xdr:cxnSp macro="">
      <xdr:nvCxnSpPr>
        <xdr:cNvPr id="3797" name="Straight Arrow Connector 3796">
          <a:extLst>
            <a:ext uri="{FF2B5EF4-FFF2-40B4-BE49-F238E27FC236}">
              <a16:creationId xmlns:a16="http://schemas.microsoft.com/office/drawing/2014/main" id="{00000000-0008-0000-1300-0000D50E0000}"/>
            </a:ext>
          </a:extLst>
        </xdr:cNvPr>
        <xdr:cNvCxnSpPr/>
      </xdr:nvCxnSpPr>
      <xdr:spPr>
        <a:xfrm flipV="1">
          <a:off x="11281833" y="154305000"/>
          <a:ext cx="603250" cy="984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1707</xdr:row>
      <xdr:rowOff>52917</xdr:rowOff>
    </xdr:from>
    <xdr:to>
      <xdr:col>15</xdr:col>
      <xdr:colOff>603250</xdr:colOff>
      <xdr:row>1709</xdr:row>
      <xdr:rowOff>95250</xdr:rowOff>
    </xdr:to>
    <xdr:cxnSp macro="">
      <xdr:nvCxnSpPr>
        <xdr:cNvPr id="3798" name="Straight Arrow Connector 3797">
          <a:extLst>
            <a:ext uri="{FF2B5EF4-FFF2-40B4-BE49-F238E27FC236}">
              <a16:creationId xmlns:a16="http://schemas.microsoft.com/office/drawing/2014/main" id="{00000000-0008-0000-1300-0000D60E0000}"/>
            </a:ext>
          </a:extLst>
        </xdr:cNvPr>
        <xdr:cNvCxnSpPr/>
      </xdr:nvCxnSpPr>
      <xdr:spPr>
        <a:xfrm flipV="1">
          <a:off x="11324166" y="154929417"/>
          <a:ext cx="56091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1709</xdr:row>
      <xdr:rowOff>158750</xdr:rowOff>
    </xdr:from>
    <xdr:to>
      <xdr:col>15</xdr:col>
      <xdr:colOff>582083</xdr:colOff>
      <xdr:row>1710</xdr:row>
      <xdr:rowOff>137583</xdr:rowOff>
    </xdr:to>
    <xdr:cxnSp macro="">
      <xdr:nvCxnSpPr>
        <xdr:cNvPr id="3799" name="Straight Arrow Connector 3798">
          <a:extLst>
            <a:ext uri="{FF2B5EF4-FFF2-40B4-BE49-F238E27FC236}">
              <a16:creationId xmlns:a16="http://schemas.microsoft.com/office/drawing/2014/main" id="{00000000-0008-0000-1300-0000D70E0000}"/>
            </a:ext>
          </a:extLst>
        </xdr:cNvPr>
        <xdr:cNvCxnSpPr/>
      </xdr:nvCxnSpPr>
      <xdr:spPr>
        <a:xfrm>
          <a:off x="11345333" y="155416250"/>
          <a:ext cx="518583" cy="169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1121834</xdr:colOff>
      <xdr:row>1709</xdr:row>
      <xdr:rowOff>105834</xdr:rowOff>
    </xdr:from>
    <xdr:to>
      <xdr:col>16</xdr:col>
      <xdr:colOff>0</xdr:colOff>
      <xdr:row>1713</xdr:row>
      <xdr:rowOff>84667</xdr:rowOff>
    </xdr:to>
    <xdr:cxnSp macro="">
      <xdr:nvCxnSpPr>
        <xdr:cNvPr id="3800" name="Straight Arrow Connector 3799">
          <a:extLst>
            <a:ext uri="{FF2B5EF4-FFF2-40B4-BE49-F238E27FC236}">
              <a16:creationId xmlns:a16="http://schemas.microsoft.com/office/drawing/2014/main" id="{00000000-0008-0000-1300-0000D80E0000}"/>
            </a:ext>
          </a:extLst>
        </xdr:cNvPr>
        <xdr:cNvCxnSpPr/>
      </xdr:nvCxnSpPr>
      <xdr:spPr>
        <a:xfrm>
          <a:off x="11260667" y="155363334"/>
          <a:ext cx="63500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1717</xdr:row>
      <xdr:rowOff>52916</xdr:rowOff>
    </xdr:from>
    <xdr:to>
      <xdr:col>16</xdr:col>
      <xdr:colOff>0</xdr:colOff>
      <xdr:row>1719</xdr:row>
      <xdr:rowOff>0</xdr:rowOff>
    </xdr:to>
    <xdr:cxnSp macro="">
      <xdr:nvCxnSpPr>
        <xdr:cNvPr id="3801" name="Straight Arrow Connector 3800">
          <a:extLst>
            <a:ext uri="{FF2B5EF4-FFF2-40B4-BE49-F238E27FC236}">
              <a16:creationId xmlns:a16="http://schemas.microsoft.com/office/drawing/2014/main" id="{00000000-0008-0000-1300-0000D90E0000}"/>
            </a:ext>
          </a:extLst>
        </xdr:cNvPr>
        <xdr:cNvCxnSpPr/>
      </xdr:nvCxnSpPr>
      <xdr:spPr>
        <a:xfrm flipV="1">
          <a:off x="11281833" y="156834416"/>
          <a:ext cx="613834"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1719</xdr:row>
      <xdr:rowOff>21167</xdr:rowOff>
    </xdr:from>
    <xdr:to>
      <xdr:col>15</xdr:col>
      <xdr:colOff>582083</xdr:colOff>
      <xdr:row>1720</xdr:row>
      <xdr:rowOff>42333</xdr:rowOff>
    </xdr:to>
    <xdr:cxnSp macro="">
      <xdr:nvCxnSpPr>
        <xdr:cNvPr id="3802" name="Straight Arrow Connector 3801">
          <a:extLst>
            <a:ext uri="{FF2B5EF4-FFF2-40B4-BE49-F238E27FC236}">
              <a16:creationId xmlns:a16="http://schemas.microsoft.com/office/drawing/2014/main" id="{00000000-0008-0000-1300-0000DA0E0000}"/>
            </a:ext>
          </a:extLst>
        </xdr:cNvPr>
        <xdr:cNvCxnSpPr/>
      </xdr:nvCxnSpPr>
      <xdr:spPr>
        <a:xfrm>
          <a:off x="11292416" y="157183667"/>
          <a:ext cx="571500" cy="211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1719</xdr:row>
      <xdr:rowOff>21167</xdr:rowOff>
    </xdr:from>
    <xdr:to>
      <xdr:col>16</xdr:col>
      <xdr:colOff>42333</xdr:colOff>
      <xdr:row>1724</xdr:row>
      <xdr:rowOff>21168</xdr:rowOff>
    </xdr:to>
    <xdr:cxnSp macro="">
      <xdr:nvCxnSpPr>
        <xdr:cNvPr id="3803" name="Straight Arrow Connector 3802">
          <a:extLst>
            <a:ext uri="{FF2B5EF4-FFF2-40B4-BE49-F238E27FC236}">
              <a16:creationId xmlns:a16="http://schemas.microsoft.com/office/drawing/2014/main" id="{00000000-0008-0000-1300-0000DB0E0000}"/>
            </a:ext>
          </a:extLst>
        </xdr:cNvPr>
        <xdr:cNvCxnSpPr/>
      </xdr:nvCxnSpPr>
      <xdr:spPr>
        <a:xfrm>
          <a:off x="11271250" y="157183667"/>
          <a:ext cx="666750" cy="9525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1719</xdr:row>
      <xdr:rowOff>31750</xdr:rowOff>
    </xdr:from>
    <xdr:to>
      <xdr:col>16</xdr:col>
      <xdr:colOff>42334</xdr:colOff>
      <xdr:row>1726</xdr:row>
      <xdr:rowOff>63501</xdr:rowOff>
    </xdr:to>
    <xdr:cxnSp macro="">
      <xdr:nvCxnSpPr>
        <xdr:cNvPr id="3804" name="Straight Arrow Connector 3803">
          <a:extLst>
            <a:ext uri="{FF2B5EF4-FFF2-40B4-BE49-F238E27FC236}">
              <a16:creationId xmlns:a16="http://schemas.microsoft.com/office/drawing/2014/main" id="{00000000-0008-0000-1300-0000DC0E0000}"/>
            </a:ext>
          </a:extLst>
        </xdr:cNvPr>
        <xdr:cNvCxnSpPr/>
      </xdr:nvCxnSpPr>
      <xdr:spPr>
        <a:xfrm>
          <a:off x="11281833" y="157194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10583</xdr:colOff>
      <xdr:row>1756</xdr:row>
      <xdr:rowOff>42333</xdr:rowOff>
    </xdr:from>
    <xdr:to>
      <xdr:col>9</xdr:col>
      <xdr:colOff>592666</xdr:colOff>
      <xdr:row>1764</xdr:row>
      <xdr:rowOff>42333</xdr:rowOff>
    </xdr:to>
    <xdr:cxnSp macro="">
      <xdr:nvCxnSpPr>
        <xdr:cNvPr id="3805" name="Straight Arrow Connector 3804">
          <a:extLst>
            <a:ext uri="{FF2B5EF4-FFF2-40B4-BE49-F238E27FC236}">
              <a16:creationId xmlns:a16="http://schemas.microsoft.com/office/drawing/2014/main" id="{00000000-0008-0000-1300-0000DD0E0000}"/>
            </a:ext>
          </a:extLst>
        </xdr:cNvPr>
        <xdr:cNvCxnSpPr/>
      </xdr:nvCxnSpPr>
      <xdr:spPr>
        <a:xfrm flipV="1">
          <a:off x="6699250" y="164443833"/>
          <a:ext cx="582083" cy="152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1766</xdr:row>
      <xdr:rowOff>169334</xdr:rowOff>
    </xdr:from>
    <xdr:to>
      <xdr:col>9</xdr:col>
      <xdr:colOff>603250</xdr:colOff>
      <xdr:row>1775</xdr:row>
      <xdr:rowOff>31750</xdr:rowOff>
    </xdr:to>
    <xdr:cxnSp macro="">
      <xdr:nvCxnSpPr>
        <xdr:cNvPr id="3806" name="Straight Arrow Connector 3805">
          <a:extLst>
            <a:ext uri="{FF2B5EF4-FFF2-40B4-BE49-F238E27FC236}">
              <a16:creationId xmlns:a16="http://schemas.microsoft.com/office/drawing/2014/main" id="{00000000-0008-0000-1300-0000DE0E0000}"/>
            </a:ext>
          </a:extLst>
        </xdr:cNvPr>
        <xdr:cNvCxnSpPr/>
      </xdr:nvCxnSpPr>
      <xdr:spPr>
        <a:xfrm>
          <a:off x="6720417" y="166475834"/>
          <a:ext cx="571500" cy="1576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571500</xdr:colOff>
      <xdr:row>1772</xdr:row>
      <xdr:rowOff>158750</xdr:rowOff>
    </xdr:from>
    <xdr:to>
      <xdr:col>11</xdr:col>
      <xdr:colOff>571500</xdr:colOff>
      <xdr:row>1775</xdr:row>
      <xdr:rowOff>0</xdr:rowOff>
    </xdr:to>
    <xdr:cxnSp macro="">
      <xdr:nvCxnSpPr>
        <xdr:cNvPr id="3807" name="Straight Arrow Connector 3806">
          <a:extLst>
            <a:ext uri="{FF2B5EF4-FFF2-40B4-BE49-F238E27FC236}">
              <a16:creationId xmlns:a16="http://schemas.microsoft.com/office/drawing/2014/main" id="{00000000-0008-0000-1300-0000DF0E0000}"/>
            </a:ext>
          </a:extLst>
        </xdr:cNvPr>
        <xdr:cNvCxnSpPr/>
      </xdr:nvCxnSpPr>
      <xdr:spPr>
        <a:xfrm flipV="1">
          <a:off x="7874000" y="167608250"/>
          <a:ext cx="613833" cy="412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1730</xdr:row>
      <xdr:rowOff>0</xdr:rowOff>
    </xdr:from>
    <xdr:to>
      <xdr:col>15</xdr:col>
      <xdr:colOff>603250</xdr:colOff>
      <xdr:row>1732</xdr:row>
      <xdr:rowOff>1</xdr:rowOff>
    </xdr:to>
    <xdr:cxnSp macro="">
      <xdr:nvCxnSpPr>
        <xdr:cNvPr id="3808" name="Straight Arrow Connector 3807">
          <a:extLst>
            <a:ext uri="{FF2B5EF4-FFF2-40B4-BE49-F238E27FC236}">
              <a16:creationId xmlns:a16="http://schemas.microsoft.com/office/drawing/2014/main" id="{00000000-0008-0000-1300-0000E00E0000}"/>
            </a:ext>
          </a:extLst>
        </xdr:cNvPr>
        <xdr:cNvCxnSpPr/>
      </xdr:nvCxnSpPr>
      <xdr:spPr>
        <a:xfrm flipV="1">
          <a:off x="11271250" y="1594485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1732</xdr:row>
      <xdr:rowOff>10584</xdr:rowOff>
    </xdr:from>
    <xdr:to>
      <xdr:col>15</xdr:col>
      <xdr:colOff>592666</xdr:colOff>
      <xdr:row>1733</xdr:row>
      <xdr:rowOff>95250</xdr:rowOff>
    </xdr:to>
    <xdr:cxnSp macro="">
      <xdr:nvCxnSpPr>
        <xdr:cNvPr id="3809" name="Straight Arrow Connector 3808">
          <a:extLst>
            <a:ext uri="{FF2B5EF4-FFF2-40B4-BE49-F238E27FC236}">
              <a16:creationId xmlns:a16="http://schemas.microsoft.com/office/drawing/2014/main" id="{00000000-0008-0000-1300-0000E10E0000}"/>
            </a:ext>
          </a:extLst>
        </xdr:cNvPr>
        <xdr:cNvCxnSpPr/>
      </xdr:nvCxnSpPr>
      <xdr:spPr>
        <a:xfrm>
          <a:off x="11313583" y="1598400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1732</xdr:row>
      <xdr:rowOff>10584</xdr:rowOff>
    </xdr:from>
    <xdr:to>
      <xdr:col>15</xdr:col>
      <xdr:colOff>560916</xdr:colOff>
      <xdr:row>1736</xdr:row>
      <xdr:rowOff>52917</xdr:rowOff>
    </xdr:to>
    <xdr:cxnSp macro="">
      <xdr:nvCxnSpPr>
        <xdr:cNvPr id="3810" name="Straight Arrow Connector 3809">
          <a:extLst>
            <a:ext uri="{FF2B5EF4-FFF2-40B4-BE49-F238E27FC236}">
              <a16:creationId xmlns:a16="http://schemas.microsoft.com/office/drawing/2014/main" id="{00000000-0008-0000-1300-0000E20E0000}"/>
            </a:ext>
          </a:extLst>
        </xdr:cNvPr>
        <xdr:cNvCxnSpPr/>
      </xdr:nvCxnSpPr>
      <xdr:spPr>
        <a:xfrm>
          <a:off x="11292416" y="1598400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3811" name="Straight Arrow Connector 3810">
          <a:extLst>
            <a:ext uri="{FF2B5EF4-FFF2-40B4-BE49-F238E27FC236}">
              <a16:creationId xmlns:a16="http://schemas.microsoft.com/office/drawing/2014/main" id="{00000000-0008-0000-1300-0000E30E0000}"/>
            </a:ext>
          </a:extLst>
        </xdr:cNvPr>
        <xdr:cNvCxnSpPr/>
      </xdr:nvCxnSpPr>
      <xdr:spPr>
        <a:xfrm>
          <a:off x="11324166" y="15986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1746</xdr:row>
      <xdr:rowOff>0</xdr:rowOff>
    </xdr:from>
    <xdr:to>
      <xdr:col>16</xdr:col>
      <xdr:colOff>0</xdr:colOff>
      <xdr:row>1746</xdr:row>
      <xdr:rowOff>42334</xdr:rowOff>
    </xdr:to>
    <xdr:cxnSp macro="">
      <xdr:nvCxnSpPr>
        <xdr:cNvPr id="3812" name="Straight Arrow Connector 3811">
          <a:extLst>
            <a:ext uri="{FF2B5EF4-FFF2-40B4-BE49-F238E27FC236}">
              <a16:creationId xmlns:a16="http://schemas.microsoft.com/office/drawing/2014/main" id="{00000000-0008-0000-1300-0000E40E0000}"/>
            </a:ext>
          </a:extLst>
        </xdr:cNvPr>
        <xdr:cNvCxnSpPr/>
      </xdr:nvCxnSpPr>
      <xdr:spPr>
        <a:xfrm>
          <a:off x="11302999" y="162496500"/>
          <a:ext cx="592668"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1746</xdr:row>
      <xdr:rowOff>21166</xdr:rowOff>
    </xdr:from>
    <xdr:to>
      <xdr:col>15</xdr:col>
      <xdr:colOff>560916</xdr:colOff>
      <xdr:row>1749</xdr:row>
      <xdr:rowOff>84667</xdr:rowOff>
    </xdr:to>
    <xdr:cxnSp macro="">
      <xdr:nvCxnSpPr>
        <xdr:cNvPr id="3813" name="Straight Arrow Connector 3812">
          <a:extLst>
            <a:ext uri="{FF2B5EF4-FFF2-40B4-BE49-F238E27FC236}">
              <a16:creationId xmlns:a16="http://schemas.microsoft.com/office/drawing/2014/main" id="{00000000-0008-0000-1300-0000E50E0000}"/>
            </a:ext>
          </a:extLst>
        </xdr:cNvPr>
        <xdr:cNvCxnSpPr/>
      </xdr:nvCxnSpPr>
      <xdr:spPr>
        <a:xfrm>
          <a:off x="11355916" y="1625176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1746</xdr:row>
      <xdr:rowOff>52916</xdr:rowOff>
    </xdr:from>
    <xdr:to>
      <xdr:col>15</xdr:col>
      <xdr:colOff>592666</xdr:colOff>
      <xdr:row>1752</xdr:row>
      <xdr:rowOff>63501</xdr:rowOff>
    </xdr:to>
    <xdr:cxnSp macro="">
      <xdr:nvCxnSpPr>
        <xdr:cNvPr id="3814" name="Straight Arrow Connector 3813">
          <a:extLst>
            <a:ext uri="{FF2B5EF4-FFF2-40B4-BE49-F238E27FC236}">
              <a16:creationId xmlns:a16="http://schemas.microsoft.com/office/drawing/2014/main" id="{00000000-0008-0000-1300-0000E60E0000}"/>
            </a:ext>
          </a:extLst>
        </xdr:cNvPr>
        <xdr:cNvCxnSpPr/>
      </xdr:nvCxnSpPr>
      <xdr:spPr>
        <a:xfrm>
          <a:off x="11313583" y="1625494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1760</xdr:row>
      <xdr:rowOff>116416</xdr:rowOff>
    </xdr:from>
    <xdr:to>
      <xdr:col>15</xdr:col>
      <xdr:colOff>592666</xdr:colOff>
      <xdr:row>1763</xdr:row>
      <xdr:rowOff>158750</xdr:rowOff>
    </xdr:to>
    <xdr:cxnSp macro="">
      <xdr:nvCxnSpPr>
        <xdr:cNvPr id="3815" name="Straight Arrow Connector 3814">
          <a:extLst>
            <a:ext uri="{FF2B5EF4-FFF2-40B4-BE49-F238E27FC236}">
              <a16:creationId xmlns:a16="http://schemas.microsoft.com/office/drawing/2014/main" id="{00000000-0008-0000-1300-0000E70E0000}"/>
            </a:ext>
          </a:extLst>
        </xdr:cNvPr>
        <xdr:cNvCxnSpPr/>
      </xdr:nvCxnSpPr>
      <xdr:spPr>
        <a:xfrm flipV="1">
          <a:off x="11302999" y="165279916"/>
          <a:ext cx="571500" cy="613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1762</xdr:row>
      <xdr:rowOff>95250</xdr:rowOff>
    </xdr:from>
    <xdr:to>
      <xdr:col>15</xdr:col>
      <xdr:colOff>582083</xdr:colOff>
      <xdr:row>1764</xdr:row>
      <xdr:rowOff>52917</xdr:rowOff>
    </xdr:to>
    <xdr:cxnSp macro="">
      <xdr:nvCxnSpPr>
        <xdr:cNvPr id="3816" name="Straight Arrow Connector 3815">
          <a:extLst>
            <a:ext uri="{FF2B5EF4-FFF2-40B4-BE49-F238E27FC236}">
              <a16:creationId xmlns:a16="http://schemas.microsoft.com/office/drawing/2014/main" id="{00000000-0008-0000-1300-0000E80E0000}"/>
            </a:ext>
          </a:extLst>
        </xdr:cNvPr>
        <xdr:cNvCxnSpPr/>
      </xdr:nvCxnSpPr>
      <xdr:spPr>
        <a:xfrm flipV="1">
          <a:off x="11345333" y="165639750"/>
          <a:ext cx="518583" cy="338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1764</xdr:row>
      <xdr:rowOff>116417</xdr:rowOff>
    </xdr:from>
    <xdr:to>
      <xdr:col>15</xdr:col>
      <xdr:colOff>592666</xdr:colOff>
      <xdr:row>1768</xdr:row>
      <xdr:rowOff>95250</xdr:rowOff>
    </xdr:to>
    <xdr:cxnSp macro="">
      <xdr:nvCxnSpPr>
        <xdr:cNvPr id="3817" name="Straight Arrow Connector 3816">
          <a:extLst>
            <a:ext uri="{FF2B5EF4-FFF2-40B4-BE49-F238E27FC236}">
              <a16:creationId xmlns:a16="http://schemas.microsoft.com/office/drawing/2014/main" id="{00000000-0008-0000-1300-0000E90E0000}"/>
            </a:ext>
          </a:extLst>
        </xdr:cNvPr>
        <xdr:cNvCxnSpPr/>
      </xdr:nvCxnSpPr>
      <xdr:spPr>
        <a:xfrm>
          <a:off x="11334749" y="166041917"/>
          <a:ext cx="53975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1775</xdr:row>
      <xdr:rowOff>116416</xdr:rowOff>
    </xdr:from>
    <xdr:to>
      <xdr:col>16</xdr:col>
      <xdr:colOff>0</xdr:colOff>
      <xdr:row>1782</xdr:row>
      <xdr:rowOff>74084</xdr:rowOff>
    </xdr:to>
    <xdr:cxnSp macro="">
      <xdr:nvCxnSpPr>
        <xdr:cNvPr id="3818" name="Straight Arrow Connector 3817">
          <a:extLst>
            <a:ext uri="{FF2B5EF4-FFF2-40B4-BE49-F238E27FC236}">
              <a16:creationId xmlns:a16="http://schemas.microsoft.com/office/drawing/2014/main" id="{00000000-0008-0000-1300-0000EA0E0000}"/>
            </a:ext>
          </a:extLst>
        </xdr:cNvPr>
        <xdr:cNvCxnSpPr/>
      </xdr:nvCxnSpPr>
      <xdr:spPr>
        <a:xfrm>
          <a:off x="11313583" y="168137416"/>
          <a:ext cx="582084" cy="12911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1743</xdr:row>
      <xdr:rowOff>52917</xdr:rowOff>
    </xdr:from>
    <xdr:to>
      <xdr:col>15</xdr:col>
      <xdr:colOff>603250</xdr:colOff>
      <xdr:row>1745</xdr:row>
      <xdr:rowOff>148167</xdr:rowOff>
    </xdr:to>
    <xdr:cxnSp macro="">
      <xdr:nvCxnSpPr>
        <xdr:cNvPr id="3819" name="Straight Arrow Connector 3818">
          <a:extLst>
            <a:ext uri="{FF2B5EF4-FFF2-40B4-BE49-F238E27FC236}">
              <a16:creationId xmlns:a16="http://schemas.microsoft.com/office/drawing/2014/main" id="{00000000-0008-0000-1300-0000EB0E0000}"/>
            </a:ext>
          </a:extLst>
        </xdr:cNvPr>
        <xdr:cNvCxnSpPr/>
      </xdr:nvCxnSpPr>
      <xdr:spPr>
        <a:xfrm flipV="1">
          <a:off x="11324166" y="1619779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1778</xdr:row>
      <xdr:rowOff>42333</xdr:rowOff>
    </xdr:from>
    <xdr:to>
      <xdr:col>11</xdr:col>
      <xdr:colOff>603250</xdr:colOff>
      <xdr:row>1790</xdr:row>
      <xdr:rowOff>10583</xdr:rowOff>
    </xdr:to>
    <xdr:cxnSp macro="">
      <xdr:nvCxnSpPr>
        <xdr:cNvPr id="3820" name="Straight Arrow Connector 3819">
          <a:extLst>
            <a:ext uri="{FF2B5EF4-FFF2-40B4-BE49-F238E27FC236}">
              <a16:creationId xmlns:a16="http://schemas.microsoft.com/office/drawing/2014/main" id="{00000000-0008-0000-1300-0000EC0E0000}"/>
            </a:ext>
          </a:extLst>
        </xdr:cNvPr>
        <xdr:cNvCxnSpPr/>
      </xdr:nvCxnSpPr>
      <xdr:spPr>
        <a:xfrm>
          <a:off x="7926917" y="1686348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1768</xdr:row>
      <xdr:rowOff>21167</xdr:rowOff>
    </xdr:from>
    <xdr:to>
      <xdr:col>13</xdr:col>
      <xdr:colOff>592667</xdr:colOff>
      <xdr:row>1770</xdr:row>
      <xdr:rowOff>0</xdr:rowOff>
    </xdr:to>
    <xdr:cxnSp macro="">
      <xdr:nvCxnSpPr>
        <xdr:cNvPr id="3821" name="Straight Arrow Connector 3820">
          <a:extLst>
            <a:ext uri="{FF2B5EF4-FFF2-40B4-BE49-F238E27FC236}">
              <a16:creationId xmlns:a16="http://schemas.microsoft.com/office/drawing/2014/main" id="{00000000-0008-0000-1300-0000ED0E0000}"/>
            </a:ext>
          </a:extLst>
        </xdr:cNvPr>
        <xdr:cNvCxnSpPr/>
      </xdr:nvCxnSpPr>
      <xdr:spPr>
        <a:xfrm flipV="1">
          <a:off x="9133417" y="166708667"/>
          <a:ext cx="984250"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1773</xdr:row>
      <xdr:rowOff>21166</xdr:rowOff>
    </xdr:from>
    <xdr:to>
      <xdr:col>13</xdr:col>
      <xdr:colOff>592667</xdr:colOff>
      <xdr:row>1774</xdr:row>
      <xdr:rowOff>169334</xdr:rowOff>
    </xdr:to>
    <xdr:cxnSp macro="">
      <xdr:nvCxnSpPr>
        <xdr:cNvPr id="3822" name="Straight Arrow Connector 3821">
          <a:extLst>
            <a:ext uri="{FF2B5EF4-FFF2-40B4-BE49-F238E27FC236}">
              <a16:creationId xmlns:a16="http://schemas.microsoft.com/office/drawing/2014/main" id="{00000000-0008-0000-1300-0000EE0E0000}"/>
            </a:ext>
          </a:extLst>
        </xdr:cNvPr>
        <xdr:cNvCxnSpPr/>
      </xdr:nvCxnSpPr>
      <xdr:spPr>
        <a:xfrm>
          <a:off x="9122833" y="167661166"/>
          <a:ext cx="994834"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1788</xdr:row>
      <xdr:rowOff>21167</xdr:rowOff>
    </xdr:from>
    <xdr:to>
      <xdr:col>13</xdr:col>
      <xdr:colOff>592667</xdr:colOff>
      <xdr:row>1790</xdr:row>
      <xdr:rowOff>63500</xdr:rowOff>
    </xdr:to>
    <xdr:cxnSp macro="">
      <xdr:nvCxnSpPr>
        <xdr:cNvPr id="3823" name="Straight Arrow Connector 3822">
          <a:extLst>
            <a:ext uri="{FF2B5EF4-FFF2-40B4-BE49-F238E27FC236}">
              <a16:creationId xmlns:a16="http://schemas.microsoft.com/office/drawing/2014/main" id="{00000000-0008-0000-1300-0000EF0E0000}"/>
            </a:ext>
          </a:extLst>
        </xdr:cNvPr>
        <xdr:cNvCxnSpPr/>
      </xdr:nvCxnSpPr>
      <xdr:spPr>
        <a:xfrm flipV="1">
          <a:off x="9525000" y="1707091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1793</xdr:row>
      <xdr:rowOff>0</xdr:rowOff>
    </xdr:from>
    <xdr:to>
      <xdr:col>14</xdr:col>
      <xdr:colOff>10584</xdr:colOff>
      <xdr:row>1801</xdr:row>
      <xdr:rowOff>148167</xdr:rowOff>
    </xdr:to>
    <xdr:cxnSp macro="">
      <xdr:nvCxnSpPr>
        <xdr:cNvPr id="3824" name="Straight Arrow Connector 3823">
          <a:extLst>
            <a:ext uri="{FF2B5EF4-FFF2-40B4-BE49-F238E27FC236}">
              <a16:creationId xmlns:a16="http://schemas.microsoft.com/office/drawing/2014/main" id="{00000000-0008-0000-1300-0000F00E0000}"/>
            </a:ext>
          </a:extLst>
        </xdr:cNvPr>
        <xdr:cNvCxnSpPr/>
      </xdr:nvCxnSpPr>
      <xdr:spPr>
        <a:xfrm>
          <a:off x="9535583" y="171640500"/>
          <a:ext cx="613834"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1764</xdr:row>
      <xdr:rowOff>95250</xdr:rowOff>
    </xdr:from>
    <xdr:to>
      <xdr:col>15</xdr:col>
      <xdr:colOff>582083</xdr:colOff>
      <xdr:row>1766</xdr:row>
      <xdr:rowOff>137583</xdr:rowOff>
    </xdr:to>
    <xdr:cxnSp macro="">
      <xdr:nvCxnSpPr>
        <xdr:cNvPr id="3825" name="Straight Arrow Connector 3824">
          <a:extLst>
            <a:ext uri="{FF2B5EF4-FFF2-40B4-BE49-F238E27FC236}">
              <a16:creationId xmlns:a16="http://schemas.microsoft.com/office/drawing/2014/main" id="{00000000-0008-0000-1300-0000F10E0000}"/>
            </a:ext>
          </a:extLst>
        </xdr:cNvPr>
        <xdr:cNvCxnSpPr/>
      </xdr:nvCxnSpPr>
      <xdr:spPr>
        <a:xfrm>
          <a:off x="11334749" y="166020750"/>
          <a:ext cx="5291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1773</xdr:row>
      <xdr:rowOff>52916</xdr:rowOff>
    </xdr:from>
    <xdr:to>
      <xdr:col>16</xdr:col>
      <xdr:colOff>0</xdr:colOff>
      <xdr:row>1775</xdr:row>
      <xdr:rowOff>0</xdr:rowOff>
    </xdr:to>
    <xdr:cxnSp macro="">
      <xdr:nvCxnSpPr>
        <xdr:cNvPr id="3826" name="Straight Arrow Connector 3825">
          <a:extLst>
            <a:ext uri="{FF2B5EF4-FFF2-40B4-BE49-F238E27FC236}">
              <a16:creationId xmlns:a16="http://schemas.microsoft.com/office/drawing/2014/main" id="{00000000-0008-0000-1300-0000F20E0000}"/>
            </a:ext>
          </a:extLst>
        </xdr:cNvPr>
        <xdr:cNvCxnSpPr/>
      </xdr:nvCxnSpPr>
      <xdr:spPr>
        <a:xfrm flipV="1">
          <a:off x="11281833" y="167692916"/>
          <a:ext cx="613834"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1775</xdr:row>
      <xdr:rowOff>21167</xdr:rowOff>
    </xdr:from>
    <xdr:to>
      <xdr:col>15</xdr:col>
      <xdr:colOff>592666</xdr:colOff>
      <xdr:row>1776</xdr:row>
      <xdr:rowOff>84667</xdr:rowOff>
    </xdr:to>
    <xdr:cxnSp macro="">
      <xdr:nvCxnSpPr>
        <xdr:cNvPr id="3827" name="Straight Arrow Connector 3826">
          <a:extLst>
            <a:ext uri="{FF2B5EF4-FFF2-40B4-BE49-F238E27FC236}">
              <a16:creationId xmlns:a16="http://schemas.microsoft.com/office/drawing/2014/main" id="{00000000-0008-0000-1300-0000F30E0000}"/>
            </a:ext>
          </a:extLst>
        </xdr:cNvPr>
        <xdr:cNvCxnSpPr/>
      </xdr:nvCxnSpPr>
      <xdr:spPr>
        <a:xfrm>
          <a:off x="11271250" y="168042167"/>
          <a:ext cx="603249" cy="25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1775</xdr:row>
      <xdr:rowOff>0</xdr:rowOff>
    </xdr:from>
    <xdr:to>
      <xdr:col>16</xdr:col>
      <xdr:colOff>0</xdr:colOff>
      <xdr:row>1779</xdr:row>
      <xdr:rowOff>42334</xdr:rowOff>
    </xdr:to>
    <xdr:cxnSp macro="">
      <xdr:nvCxnSpPr>
        <xdr:cNvPr id="3828" name="Straight Arrow Connector 3827">
          <a:extLst>
            <a:ext uri="{FF2B5EF4-FFF2-40B4-BE49-F238E27FC236}">
              <a16:creationId xmlns:a16="http://schemas.microsoft.com/office/drawing/2014/main" id="{00000000-0008-0000-1300-0000F40E0000}"/>
            </a:ext>
          </a:extLst>
        </xdr:cNvPr>
        <xdr:cNvCxnSpPr/>
      </xdr:nvCxnSpPr>
      <xdr:spPr>
        <a:xfrm>
          <a:off x="11271250" y="168021000"/>
          <a:ext cx="624417" cy="804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1786</xdr:row>
      <xdr:rowOff>0</xdr:rowOff>
    </xdr:from>
    <xdr:to>
      <xdr:col>15</xdr:col>
      <xdr:colOff>603250</xdr:colOff>
      <xdr:row>1788</xdr:row>
      <xdr:rowOff>1</xdr:rowOff>
    </xdr:to>
    <xdr:cxnSp macro="">
      <xdr:nvCxnSpPr>
        <xdr:cNvPr id="3829" name="Straight Arrow Connector 3828">
          <a:extLst>
            <a:ext uri="{FF2B5EF4-FFF2-40B4-BE49-F238E27FC236}">
              <a16:creationId xmlns:a16="http://schemas.microsoft.com/office/drawing/2014/main" id="{00000000-0008-0000-1300-0000F50E0000}"/>
            </a:ext>
          </a:extLst>
        </xdr:cNvPr>
        <xdr:cNvCxnSpPr/>
      </xdr:nvCxnSpPr>
      <xdr:spPr>
        <a:xfrm flipV="1">
          <a:off x="11271250" y="1703070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1788</xdr:row>
      <xdr:rowOff>10584</xdr:rowOff>
    </xdr:from>
    <xdr:to>
      <xdr:col>15</xdr:col>
      <xdr:colOff>592666</xdr:colOff>
      <xdr:row>1789</xdr:row>
      <xdr:rowOff>95250</xdr:rowOff>
    </xdr:to>
    <xdr:cxnSp macro="">
      <xdr:nvCxnSpPr>
        <xdr:cNvPr id="3830" name="Straight Arrow Connector 3829">
          <a:extLst>
            <a:ext uri="{FF2B5EF4-FFF2-40B4-BE49-F238E27FC236}">
              <a16:creationId xmlns:a16="http://schemas.microsoft.com/office/drawing/2014/main" id="{00000000-0008-0000-1300-0000F60E0000}"/>
            </a:ext>
          </a:extLst>
        </xdr:cNvPr>
        <xdr:cNvCxnSpPr/>
      </xdr:nvCxnSpPr>
      <xdr:spPr>
        <a:xfrm>
          <a:off x="11313583" y="1706985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1788</xdr:row>
      <xdr:rowOff>10584</xdr:rowOff>
    </xdr:from>
    <xdr:to>
      <xdr:col>15</xdr:col>
      <xdr:colOff>560916</xdr:colOff>
      <xdr:row>1792</xdr:row>
      <xdr:rowOff>52917</xdr:rowOff>
    </xdr:to>
    <xdr:cxnSp macro="">
      <xdr:nvCxnSpPr>
        <xdr:cNvPr id="3831" name="Straight Arrow Connector 3830">
          <a:extLst>
            <a:ext uri="{FF2B5EF4-FFF2-40B4-BE49-F238E27FC236}">
              <a16:creationId xmlns:a16="http://schemas.microsoft.com/office/drawing/2014/main" id="{00000000-0008-0000-1300-0000F70E0000}"/>
            </a:ext>
          </a:extLst>
        </xdr:cNvPr>
        <xdr:cNvCxnSpPr/>
      </xdr:nvCxnSpPr>
      <xdr:spPr>
        <a:xfrm>
          <a:off x="11292416" y="1706985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3832" name="Straight Arrow Connector 3831">
          <a:extLst>
            <a:ext uri="{FF2B5EF4-FFF2-40B4-BE49-F238E27FC236}">
              <a16:creationId xmlns:a16="http://schemas.microsoft.com/office/drawing/2014/main" id="{00000000-0008-0000-1300-0000F80E0000}"/>
            </a:ext>
          </a:extLst>
        </xdr:cNvPr>
        <xdr:cNvCxnSpPr/>
      </xdr:nvCxnSpPr>
      <xdr:spPr>
        <a:xfrm>
          <a:off x="11324166" y="170719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1802</xdr:row>
      <xdr:rowOff>0</xdr:rowOff>
    </xdr:from>
    <xdr:to>
      <xdr:col>16</xdr:col>
      <xdr:colOff>0</xdr:colOff>
      <xdr:row>1802</xdr:row>
      <xdr:rowOff>42334</xdr:rowOff>
    </xdr:to>
    <xdr:cxnSp macro="">
      <xdr:nvCxnSpPr>
        <xdr:cNvPr id="3833" name="Straight Arrow Connector 3832">
          <a:extLst>
            <a:ext uri="{FF2B5EF4-FFF2-40B4-BE49-F238E27FC236}">
              <a16:creationId xmlns:a16="http://schemas.microsoft.com/office/drawing/2014/main" id="{00000000-0008-0000-1300-0000F90E0000}"/>
            </a:ext>
          </a:extLst>
        </xdr:cNvPr>
        <xdr:cNvCxnSpPr/>
      </xdr:nvCxnSpPr>
      <xdr:spPr>
        <a:xfrm>
          <a:off x="11302999" y="173355000"/>
          <a:ext cx="592668"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1802</xdr:row>
      <xdr:rowOff>21166</xdr:rowOff>
    </xdr:from>
    <xdr:to>
      <xdr:col>15</xdr:col>
      <xdr:colOff>560916</xdr:colOff>
      <xdr:row>1805</xdr:row>
      <xdr:rowOff>84667</xdr:rowOff>
    </xdr:to>
    <xdr:cxnSp macro="">
      <xdr:nvCxnSpPr>
        <xdr:cNvPr id="3834" name="Straight Arrow Connector 3833">
          <a:extLst>
            <a:ext uri="{FF2B5EF4-FFF2-40B4-BE49-F238E27FC236}">
              <a16:creationId xmlns:a16="http://schemas.microsoft.com/office/drawing/2014/main" id="{00000000-0008-0000-1300-0000FA0E0000}"/>
            </a:ext>
          </a:extLst>
        </xdr:cNvPr>
        <xdr:cNvCxnSpPr/>
      </xdr:nvCxnSpPr>
      <xdr:spPr>
        <a:xfrm>
          <a:off x="11355916" y="1733761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1802</xdr:row>
      <xdr:rowOff>52916</xdr:rowOff>
    </xdr:from>
    <xdr:to>
      <xdr:col>15</xdr:col>
      <xdr:colOff>592666</xdr:colOff>
      <xdr:row>1808</xdr:row>
      <xdr:rowOff>63501</xdr:rowOff>
    </xdr:to>
    <xdr:cxnSp macro="">
      <xdr:nvCxnSpPr>
        <xdr:cNvPr id="3835" name="Straight Arrow Connector 3834">
          <a:extLst>
            <a:ext uri="{FF2B5EF4-FFF2-40B4-BE49-F238E27FC236}">
              <a16:creationId xmlns:a16="http://schemas.microsoft.com/office/drawing/2014/main" id="{00000000-0008-0000-1300-0000FB0E0000}"/>
            </a:ext>
          </a:extLst>
        </xdr:cNvPr>
        <xdr:cNvCxnSpPr/>
      </xdr:nvCxnSpPr>
      <xdr:spPr>
        <a:xfrm>
          <a:off x="11313583" y="1734079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1799</xdr:row>
      <xdr:rowOff>52917</xdr:rowOff>
    </xdr:from>
    <xdr:to>
      <xdr:col>15</xdr:col>
      <xdr:colOff>603250</xdr:colOff>
      <xdr:row>1801</xdr:row>
      <xdr:rowOff>148167</xdr:rowOff>
    </xdr:to>
    <xdr:cxnSp macro="">
      <xdr:nvCxnSpPr>
        <xdr:cNvPr id="3836" name="Straight Arrow Connector 3835">
          <a:extLst>
            <a:ext uri="{FF2B5EF4-FFF2-40B4-BE49-F238E27FC236}">
              <a16:creationId xmlns:a16="http://schemas.microsoft.com/office/drawing/2014/main" id="{00000000-0008-0000-1300-0000FC0E0000}"/>
            </a:ext>
          </a:extLst>
        </xdr:cNvPr>
        <xdr:cNvCxnSpPr/>
      </xdr:nvCxnSpPr>
      <xdr:spPr>
        <a:xfrm flipV="1">
          <a:off x="11324166" y="1728364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31750</xdr:colOff>
      <xdr:row>1710</xdr:row>
      <xdr:rowOff>127000</xdr:rowOff>
    </xdr:from>
    <xdr:to>
      <xdr:col>8</xdr:col>
      <xdr:colOff>63500</xdr:colOff>
      <xdr:row>1729</xdr:row>
      <xdr:rowOff>0</xdr:rowOff>
    </xdr:to>
    <xdr:cxnSp macro="">
      <xdr:nvCxnSpPr>
        <xdr:cNvPr id="3837" name="Straight Arrow Connector 3836">
          <a:extLst>
            <a:ext uri="{FF2B5EF4-FFF2-40B4-BE49-F238E27FC236}">
              <a16:creationId xmlns:a16="http://schemas.microsoft.com/office/drawing/2014/main" id="{00000000-0008-0000-1300-0000FD0E0000}"/>
            </a:ext>
          </a:extLst>
        </xdr:cNvPr>
        <xdr:cNvCxnSpPr/>
      </xdr:nvCxnSpPr>
      <xdr:spPr>
        <a:xfrm flipV="1">
          <a:off x="5492750" y="155575000"/>
          <a:ext cx="645583" cy="3587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1439</xdr:row>
      <xdr:rowOff>31750</xdr:rowOff>
    </xdr:from>
    <xdr:to>
      <xdr:col>16</xdr:col>
      <xdr:colOff>42334</xdr:colOff>
      <xdr:row>1446</xdr:row>
      <xdr:rowOff>63501</xdr:rowOff>
    </xdr:to>
    <xdr:cxnSp macro="">
      <xdr:nvCxnSpPr>
        <xdr:cNvPr id="3838" name="Straight Arrow Connector 3837">
          <a:extLst>
            <a:ext uri="{FF2B5EF4-FFF2-40B4-BE49-F238E27FC236}">
              <a16:creationId xmlns:a16="http://schemas.microsoft.com/office/drawing/2014/main" id="{00000000-0008-0000-1300-0000FE0E0000}"/>
            </a:ext>
          </a:extLst>
        </xdr:cNvPr>
        <xdr:cNvCxnSpPr/>
      </xdr:nvCxnSpPr>
      <xdr:spPr>
        <a:xfrm>
          <a:off x="11281833" y="102901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1452</xdr:row>
      <xdr:rowOff>31750</xdr:rowOff>
    </xdr:from>
    <xdr:to>
      <xdr:col>16</xdr:col>
      <xdr:colOff>21167</xdr:colOff>
      <xdr:row>1459</xdr:row>
      <xdr:rowOff>95250</xdr:rowOff>
    </xdr:to>
    <xdr:cxnSp macro="">
      <xdr:nvCxnSpPr>
        <xdr:cNvPr id="3839" name="Straight Arrow Connector 3838">
          <a:extLst>
            <a:ext uri="{FF2B5EF4-FFF2-40B4-BE49-F238E27FC236}">
              <a16:creationId xmlns:a16="http://schemas.microsoft.com/office/drawing/2014/main" id="{00000000-0008-0000-1300-0000FF0E0000}"/>
            </a:ext>
          </a:extLst>
        </xdr:cNvPr>
        <xdr:cNvCxnSpPr/>
      </xdr:nvCxnSpPr>
      <xdr:spPr>
        <a:xfrm>
          <a:off x="11324166" y="105568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21167</xdr:colOff>
      <xdr:row>1492</xdr:row>
      <xdr:rowOff>169333</xdr:rowOff>
    </xdr:from>
    <xdr:to>
      <xdr:col>11</xdr:col>
      <xdr:colOff>603250</xdr:colOff>
      <xdr:row>1495</xdr:row>
      <xdr:rowOff>21167</xdr:rowOff>
    </xdr:to>
    <xdr:cxnSp macro="">
      <xdr:nvCxnSpPr>
        <xdr:cNvPr id="3840" name="Straight Arrow Connector 3839">
          <a:extLst>
            <a:ext uri="{FF2B5EF4-FFF2-40B4-BE49-F238E27FC236}">
              <a16:creationId xmlns:a16="http://schemas.microsoft.com/office/drawing/2014/main" id="{00000000-0008-0000-1300-0000000F0000}"/>
            </a:ext>
          </a:extLst>
        </xdr:cNvPr>
        <xdr:cNvCxnSpPr/>
      </xdr:nvCxnSpPr>
      <xdr:spPr>
        <a:xfrm flipV="1">
          <a:off x="7937500" y="113326333"/>
          <a:ext cx="582083" cy="423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1498</xdr:row>
      <xdr:rowOff>42333</xdr:rowOff>
    </xdr:from>
    <xdr:to>
      <xdr:col>11</xdr:col>
      <xdr:colOff>603250</xdr:colOff>
      <xdr:row>1510</xdr:row>
      <xdr:rowOff>10583</xdr:rowOff>
    </xdr:to>
    <xdr:cxnSp macro="">
      <xdr:nvCxnSpPr>
        <xdr:cNvPr id="3841" name="Straight Arrow Connector 3840">
          <a:extLst>
            <a:ext uri="{FF2B5EF4-FFF2-40B4-BE49-F238E27FC236}">
              <a16:creationId xmlns:a16="http://schemas.microsoft.com/office/drawing/2014/main" id="{00000000-0008-0000-1300-0000010F0000}"/>
            </a:ext>
          </a:extLst>
        </xdr:cNvPr>
        <xdr:cNvCxnSpPr/>
      </xdr:nvCxnSpPr>
      <xdr:spPr>
        <a:xfrm>
          <a:off x="7926917" y="1143423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1488</xdr:row>
      <xdr:rowOff>21167</xdr:rowOff>
    </xdr:from>
    <xdr:to>
      <xdr:col>13</xdr:col>
      <xdr:colOff>592667</xdr:colOff>
      <xdr:row>1490</xdr:row>
      <xdr:rowOff>0</xdr:rowOff>
    </xdr:to>
    <xdr:cxnSp macro="">
      <xdr:nvCxnSpPr>
        <xdr:cNvPr id="3842" name="Straight Arrow Connector 3841">
          <a:extLst>
            <a:ext uri="{FF2B5EF4-FFF2-40B4-BE49-F238E27FC236}">
              <a16:creationId xmlns:a16="http://schemas.microsoft.com/office/drawing/2014/main" id="{00000000-0008-0000-1300-0000020F0000}"/>
            </a:ext>
          </a:extLst>
        </xdr:cNvPr>
        <xdr:cNvCxnSpPr/>
      </xdr:nvCxnSpPr>
      <xdr:spPr>
        <a:xfrm flipV="1">
          <a:off x="9133417" y="112416167"/>
          <a:ext cx="984250"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1493</xdr:row>
      <xdr:rowOff>21166</xdr:rowOff>
    </xdr:from>
    <xdr:to>
      <xdr:col>13</xdr:col>
      <xdr:colOff>592667</xdr:colOff>
      <xdr:row>1494</xdr:row>
      <xdr:rowOff>169334</xdr:rowOff>
    </xdr:to>
    <xdr:cxnSp macro="">
      <xdr:nvCxnSpPr>
        <xdr:cNvPr id="3843" name="Straight Arrow Connector 3842">
          <a:extLst>
            <a:ext uri="{FF2B5EF4-FFF2-40B4-BE49-F238E27FC236}">
              <a16:creationId xmlns:a16="http://schemas.microsoft.com/office/drawing/2014/main" id="{00000000-0008-0000-1300-0000030F0000}"/>
            </a:ext>
          </a:extLst>
        </xdr:cNvPr>
        <xdr:cNvCxnSpPr/>
      </xdr:nvCxnSpPr>
      <xdr:spPr>
        <a:xfrm>
          <a:off x="9122833" y="113368666"/>
          <a:ext cx="994834"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1508</xdr:row>
      <xdr:rowOff>21167</xdr:rowOff>
    </xdr:from>
    <xdr:to>
      <xdr:col>13</xdr:col>
      <xdr:colOff>592667</xdr:colOff>
      <xdr:row>1510</xdr:row>
      <xdr:rowOff>63500</xdr:rowOff>
    </xdr:to>
    <xdr:cxnSp macro="">
      <xdr:nvCxnSpPr>
        <xdr:cNvPr id="3844" name="Straight Arrow Connector 3843">
          <a:extLst>
            <a:ext uri="{FF2B5EF4-FFF2-40B4-BE49-F238E27FC236}">
              <a16:creationId xmlns:a16="http://schemas.microsoft.com/office/drawing/2014/main" id="{00000000-0008-0000-1300-0000040F0000}"/>
            </a:ext>
          </a:extLst>
        </xdr:cNvPr>
        <xdr:cNvCxnSpPr/>
      </xdr:nvCxnSpPr>
      <xdr:spPr>
        <a:xfrm flipV="1">
          <a:off x="9525000" y="1164166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1513</xdr:row>
      <xdr:rowOff>0</xdr:rowOff>
    </xdr:from>
    <xdr:to>
      <xdr:col>14</xdr:col>
      <xdr:colOff>10584</xdr:colOff>
      <xdr:row>1521</xdr:row>
      <xdr:rowOff>148167</xdr:rowOff>
    </xdr:to>
    <xdr:cxnSp macro="">
      <xdr:nvCxnSpPr>
        <xdr:cNvPr id="3845" name="Straight Arrow Connector 3844">
          <a:extLst>
            <a:ext uri="{FF2B5EF4-FFF2-40B4-BE49-F238E27FC236}">
              <a16:creationId xmlns:a16="http://schemas.microsoft.com/office/drawing/2014/main" id="{00000000-0008-0000-1300-0000050F0000}"/>
            </a:ext>
          </a:extLst>
        </xdr:cNvPr>
        <xdr:cNvCxnSpPr/>
      </xdr:nvCxnSpPr>
      <xdr:spPr>
        <a:xfrm>
          <a:off x="9535583" y="117348000"/>
          <a:ext cx="613834"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1480</xdr:row>
      <xdr:rowOff>0</xdr:rowOff>
    </xdr:from>
    <xdr:to>
      <xdr:col>15</xdr:col>
      <xdr:colOff>603250</xdr:colOff>
      <xdr:row>1485</xdr:row>
      <xdr:rowOff>31750</xdr:rowOff>
    </xdr:to>
    <xdr:cxnSp macro="">
      <xdr:nvCxnSpPr>
        <xdr:cNvPr id="3846" name="Straight Arrow Connector 3845">
          <a:extLst>
            <a:ext uri="{FF2B5EF4-FFF2-40B4-BE49-F238E27FC236}">
              <a16:creationId xmlns:a16="http://schemas.microsoft.com/office/drawing/2014/main" id="{00000000-0008-0000-1300-0000060F0000}"/>
            </a:ext>
          </a:extLst>
        </xdr:cNvPr>
        <xdr:cNvCxnSpPr/>
      </xdr:nvCxnSpPr>
      <xdr:spPr>
        <a:xfrm flipV="1">
          <a:off x="11281833" y="110871000"/>
          <a:ext cx="603250" cy="984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1483</xdr:row>
      <xdr:rowOff>52917</xdr:rowOff>
    </xdr:from>
    <xdr:to>
      <xdr:col>15</xdr:col>
      <xdr:colOff>603250</xdr:colOff>
      <xdr:row>1485</xdr:row>
      <xdr:rowOff>95250</xdr:rowOff>
    </xdr:to>
    <xdr:cxnSp macro="">
      <xdr:nvCxnSpPr>
        <xdr:cNvPr id="3847" name="Straight Arrow Connector 3846">
          <a:extLst>
            <a:ext uri="{FF2B5EF4-FFF2-40B4-BE49-F238E27FC236}">
              <a16:creationId xmlns:a16="http://schemas.microsoft.com/office/drawing/2014/main" id="{00000000-0008-0000-1300-0000070F0000}"/>
            </a:ext>
          </a:extLst>
        </xdr:cNvPr>
        <xdr:cNvCxnSpPr/>
      </xdr:nvCxnSpPr>
      <xdr:spPr>
        <a:xfrm flipV="1">
          <a:off x="11324166" y="111495417"/>
          <a:ext cx="56091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1485</xdr:row>
      <xdr:rowOff>158750</xdr:rowOff>
    </xdr:from>
    <xdr:to>
      <xdr:col>15</xdr:col>
      <xdr:colOff>582083</xdr:colOff>
      <xdr:row>1486</xdr:row>
      <xdr:rowOff>137583</xdr:rowOff>
    </xdr:to>
    <xdr:cxnSp macro="">
      <xdr:nvCxnSpPr>
        <xdr:cNvPr id="3848" name="Straight Arrow Connector 3847">
          <a:extLst>
            <a:ext uri="{FF2B5EF4-FFF2-40B4-BE49-F238E27FC236}">
              <a16:creationId xmlns:a16="http://schemas.microsoft.com/office/drawing/2014/main" id="{00000000-0008-0000-1300-0000080F0000}"/>
            </a:ext>
          </a:extLst>
        </xdr:cNvPr>
        <xdr:cNvCxnSpPr/>
      </xdr:nvCxnSpPr>
      <xdr:spPr>
        <a:xfrm>
          <a:off x="11345333" y="111982250"/>
          <a:ext cx="518583" cy="169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1121834</xdr:colOff>
      <xdr:row>1485</xdr:row>
      <xdr:rowOff>105834</xdr:rowOff>
    </xdr:from>
    <xdr:to>
      <xdr:col>16</xdr:col>
      <xdr:colOff>0</xdr:colOff>
      <xdr:row>1489</xdr:row>
      <xdr:rowOff>84667</xdr:rowOff>
    </xdr:to>
    <xdr:cxnSp macro="">
      <xdr:nvCxnSpPr>
        <xdr:cNvPr id="3849" name="Straight Arrow Connector 3848">
          <a:extLst>
            <a:ext uri="{FF2B5EF4-FFF2-40B4-BE49-F238E27FC236}">
              <a16:creationId xmlns:a16="http://schemas.microsoft.com/office/drawing/2014/main" id="{00000000-0008-0000-1300-0000090F0000}"/>
            </a:ext>
          </a:extLst>
        </xdr:cNvPr>
        <xdr:cNvCxnSpPr/>
      </xdr:nvCxnSpPr>
      <xdr:spPr>
        <a:xfrm>
          <a:off x="11260667" y="111929334"/>
          <a:ext cx="63500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1493</xdr:row>
      <xdr:rowOff>52916</xdr:rowOff>
    </xdr:from>
    <xdr:to>
      <xdr:col>16</xdr:col>
      <xdr:colOff>0</xdr:colOff>
      <xdr:row>1495</xdr:row>
      <xdr:rowOff>0</xdr:rowOff>
    </xdr:to>
    <xdr:cxnSp macro="">
      <xdr:nvCxnSpPr>
        <xdr:cNvPr id="3850" name="Straight Arrow Connector 3849">
          <a:extLst>
            <a:ext uri="{FF2B5EF4-FFF2-40B4-BE49-F238E27FC236}">
              <a16:creationId xmlns:a16="http://schemas.microsoft.com/office/drawing/2014/main" id="{00000000-0008-0000-1300-00000A0F0000}"/>
            </a:ext>
          </a:extLst>
        </xdr:cNvPr>
        <xdr:cNvCxnSpPr/>
      </xdr:nvCxnSpPr>
      <xdr:spPr>
        <a:xfrm flipV="1">
          <a:off x="11281833" y="113400416"/>
          <a:ext cx="613834"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1495</xdr:row>
      <xdr:rowOff>21167</xdr:rowOff>
    </xdr:from>
    <xdr:to>
      <xdr:col>15</xdr:col>
      <xdr:colOff>582083</xdr:colOff>
      <xdr:row>1496</xdr:row>
      <xdr:rowOff>42333</xdr:rowOff>
    </xdr:to>
    <xdr:cxnSp macro="">
      <xdr:nvCxnSpPr>
        <xdr:cNvPr id="3851" name="Straight Arrow Connector 3850">
          <a:extLst>
            <a:ext uri="{FF2B5EF4-FFF2-40B4-BE49-F238E27FC236}">
              <a16:creationId xmlns:a16="http://schemas.microsoft.com/office/drawing/2014/main" id="{00000000-0008-0000-1300-00000B0F0000}"/>
            </a:ext>
          </a:extLst>
        </xdr:cNvPr>
        <xdr:cNvCxnSpPr/>
      </xdr:nvCxnSpPr>
      <xdr:spPr>
        <a:xfrm>
          <a:off x="11292416" y="113749667"/>
          <a:ext cx="571500" cy="211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1495</xdr:row>
      <xdr:rowOff>21167</xdr:rowOff>
    </xdr:from>
    <xdr:to>
      <xdr:col>16</xdr:col>
      <xdr:colOff>42333</xdr:colOff>
      <xdr:row>1500</xdr:row>
      <xdr:rowOff>21168</xdr:rowOff>
    </xdr:to>
    <xdr:cxnSp macro="">
      <xdr:nvCxnSpPr>
        <xdr:cNvPr id="3852" name="Straight Arrow Connector 3851">
          <a:extLst>
            <a:ext uri="{FF2B5EF4-FFF2-40B4-BE49-F238E27FC236}">
              <a16:creationId xmlns:a16="http://schemas.microsoft.com/office/drawing/2014/main" id="{00000000-0008-0000-1300-00000C0F0000}"/>
            </a:ext>
          </a:extLst>
        </xdr:cNvPr>
        <xdr:cNvCxnSpPr/>
      </xdr:nvCxnSpPr>
      <xdr:spPr>
        <a:xfrm>
          <a:off x="11271250" y="113749667"/>
          <a:ext cx="666750" cy="9525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1495</xdr:row>
      <xdr:rowOff>31750</xdr:rowOff>
    </xdr:from>
    <xdr:to>
      <xdr:col>16</xdr:col>
      <xdr:colOff>42334</xdr:colOff>
      <xdr:row>1502</xdr:row>
      <xdr:rowOff>63501</xdr:rowOff>
    </xdr:to>
    <xdr:cxnSp macro="">
      <xdr:nvCxnSpPr>
        <xdr:cNvPr id="3853" name="Straight Arrow Connector 3852">
          <a:extLst>
            <a:ext uri="{FF2B5EF4-FFF2-40B4-BE49-F238E27FC236}">
              <a16:creationId xmlns:a16="http://schemas.microsoft.com/office/drawing/2014/main" id="{00000000-0008-0000-1300-00000D0F0000}"/>
            </a:ext>
          </a:extLst>
        </xdr:cNvPr>
        <xdr:cNvCxnSpPr/>
      </xdr:nvCxnSpPr>
      <xdr:spPr>
        <a:xfrm>
          <a:off x="11281833" y="113760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571500</xdr:colOff>
      <xdr:row>1548</xdr:row>
      <xdr:rowOff>158750</xdr:rowOff>
    </xdr:from>
    <xdr:to>
      <xdr:col>11</xdr:col>
      <xdr:colOff>571500</xdr:colOff>
      <xdr:row>1551</xdr:row>
      <xdr:rowOff>0</xdr:rowOff>
    </xdr:to>
    <xdr:cxnSp macro="">
      <xdr:nvCxnSpPr>
        <xdr:cNvPr id="3854" name="Straight Arrow Connector 3853">
          <a:extLst>
            <a:ext uri="{FF2B5EF4-FFF2-40B4-BE49-F238E27FC236}">
              <a16:creationId xmlns:a16="http://schemas.microsoft.com/office/drawing/2014/main" id="{00000000-0008-0000-1300-00000E0F0000}"/>
            </a:ext>
          </a:extLst>
        </xdr:cNvPr>
        <xdr:cNvCxnSpPr/>
      </xdr:nvCxnSpPr>
      <xdr:spPr>
        <a:xfrm flipV="1">
          <a:off x="7874000" y="124174250"/>
          <a:ext cx="613833" cy="412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1506</xdr:row>
      <xdr:rowOff>0</xdr:rowOff>
    </xdr:from>
    <xdr:to>
      <xdr:col>15</xdr:col>
      <xdr:colOff>603250</xdr:colOff>
      <xdr:row>1508</xdr:row>
      <xdr:rowOff>1</xdr:rowOff>
    </xdr:to>
    <xdr:cxnSp macro="">
      <xdr:nvCxnSpPr>
        <xdr:cNvPr id="3855" name="Straight Arrow Connector 3854">
          <a:extLst>
            <a:ext uri="{FF2B5EF4-FFF2-40B4-BE49-F238E27FC236}">
              <a16:creationId xmlns:a16="http://schemas.microsoft.com/office/drawing/2014/main" id="{00000000-0008-0000-1300-00000F0F0000}"/>
            </a:ext>
          </a:extLst>
        </xdr:cNvPr>
        <xdr:cNvCxnSpPr/>
      </xdr:nvCxnSpPr>
      <xdr:spPr>
        <a:xfrm flipV="1">
          <a:off x="11271250" y="1160145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1508</xdr:row>
      <xdr:rowOff>10584</xdr:rowOff>
    </xdr:from>
    <xdr:to>
      <xdr:col>15</xdr:col>
      <xdr:colOff>592666</xdr:colOff>
      <xdr:row>1509</xdr:row>
      <xdr:rowOff>95250</xdr:rowOff>
    </xdr:to>
    <xdr:cxnSp macro="">
      <xdr:nvCxnSpPr>
        <xdr:cNvPr id="3856" name="Straight Arrow Connector 3855">
          <a:extLst>
            <a:ext uri="{FF2B5EF4-FFF2-40B4-BE49-F238E27FC236}">
              <a16:creationId xmlns:a16="http://schemas.microsoft.com/office/drawing/2014/main" id="{00000000-0008-0000-1300-0000100F0000}"/>
            </a:ext>
          </a:extLst>
        </xdr:cNvPr>
        <xdr:cNvCxnSpPr/>
      </xdr:nvCxnSpPr>
      <xdr:spPr>
        <a:xfrm>
          <a:off x="11313583" y="1164060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1508</xdr:row>
      <xdr:rowOff>10584</xdr:rowOff>
    </xdr:from>
    <xdr:to>
      <xdr:col>15</xdr:col>
      <xdr:colOff>560916</xdr:colOff>
      <xdr:row>1512</xdr:row>
      <xdr:rowOff>52917</xdr:rowOff>
    </xdr:to>
    <xdr:cxnSp macro="">
      <xdr:nvCxnSpPr>
        <xdr:cNvPr id="3857" name="Straight Arrow Connector 3856">
          <a:extLst>
            <a:ext uri="{FF2B5EF4-FFF2-40B4-BE49-F238E27FC236}">
              <a16:creationId xmlns:a16="http://schemas.microsoft.com/office/drawing/2014/main" id="{00000000-0008-0000-1300-0000110F0000}"/>
            </a:ext>
          </a:extLst>
        </xdr:cNvPr>
        <xdr:cNvCxnSpPr/>
      </xdr:nvCxnSpPr>
      <xdr:spPr>
        <a:xfrm>
          <a:off x="11292416" y="1164060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1508</xdr:row>
      <xdr:rowOff>31750</xdr:rowOff>
    </xdr:from>
    <xdr:to>
      <xdr:col>16</xdr:col>
      <xdr:colOff>21167</xdr:colOff>
      <xdr:row>1515</xdr:row>
      <xdr:rowOff>95250</xdr:rowOff>
    </xdr:to>
    <xdr:cxnSp macro="">
      <xdr:nvCxnSpPr>
        <xdr:cNvPr id="3858" name="Straight Arrow Connector 3857">
          <a:extLst>
            <a:ext uri="{FF2B5EF4-FFF2-40B4-BE49-F238E27FC236}">
              <a16:creationId xmlns:a16="http://schemas.microsoft.com/office/drawing/2014/main" id="{00000000-0008-0000-1300-0000120F0000}"/>
            </a:ext>
          </a:extLst>
        </xdr:cNvPr>
        <xdr:cNvCxnSpPr/>
      </xdr:nvCxnSpPr>
      <xdr:spPr>
        <a:xfrm>
          <a:off x="11324166" y="116427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1522</xdr:row>
      <xdr:rowOff>0</xdr:rowOff>
    </xdr:from>
    <xdr:to>
      <xdr:col>16</xdr:col>
      <xdr:colOff>0</xdr:colOff>
      <xdr:row>1522</xdr:row>
      <xdr:rowOff>42334</xdr:rowOff>
    </xdr:to>
    <xdr:cxnSp macro="">
      <xdr:nvCxnSpPr>
        <xdr:cNvPr id="3859" name="Straight Arrow Connector 3858">
          <a:extLst>
            <a:ext uri="{FF2B5EF4-FFF2-40B4-BE49-F238E27FC236}">
              <a16:creationId xmlns:a16="http://schemas.microsoft.com/office/drawing/2014/main" id="{00000000-0008-0000-1300-0000130F0000}"/>
            </a:ext>
          </a:extLst>
        </xdr:cNvPr>
        <xdr:cNvCxnSpPr/>
      </xdr:nvCxnSpPr>
      <xdr:spPr>
        <a:xfrm>
          <a:off x="11302999" y="119062500"/>
          <a:ext cx="592668"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1522</xdr:row>
      <xdr:rowOff>21166</xdr:rowOff>
    </xdr:from>
    <xdr:to>
      <xdr:col>15</xdr:col>
      <xdr:colOff>560916</xdr:colOff>
      <xdr:row>1525</xdr:row>
      <xdr:rowOff>84667</xdr:rowOff>
    </xdr:to>
    <xdr:cxnSp macro="">
      <xdr:nvCxnSpPr>
        <xdr:cNvPr id="3860" name="Straight Arrow Connector 3859">
          <a:extLst>
            <a:ext uri="{FF2B5EF4-FFF2-40B4-BE49-F238E27FC236}">
              <a16:creationId xmlns:a16="http://schemas.microsoft.com/office/drawing/2014/main" id="{00000000-0008-0000-1300-0000140F0000}"/>
            </a:ext>
          </a:extLst>
        </xdr:cNvPr>
        <xdr:cNvCxnSpPr/>
      </xdr:nvCxnSpPr>
      <xdr:spPr>
        <a:xfrm>
          <a:off x="11355916" y="1190836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1522</xdr:row>
      <xdr:rowOff>52916</xdr:rowOff>
    </xdr:from>
    <xdr:to>
      <xdr:col>15</xdr:col>
      <xdr:colOff>592666</xdr:colOff>
      <xdr:row>1528</xdr:row>
      <xdr:rowOff>63501</xdr:rowOff>
    </xdr:to>
    <xdr:cxnSp macro="">
      <xdr:nvCxnSpPr>
        <xdr:cNvPr id="3861" name="Straight Arrow Connector 3860">
          <a:extLst>
            <a:ext uri="{FF2B5EF4-FFF2-40B4-BE49-F238E27FC236}">
              <a16:creationId xmlns:a16="http://schemas.microsoft.com/office/drawing/2014/main" id="{00000000-0008-0000-1300-0000150F0000}"/>
            </a:ext>
          </a:extLst>
        </xdr:cNvPr>
        <xdr:cNvCxnSpPr/>
      </xdr:nvCxnSpPr>
      <xdr:spPr>
        <a:xfrm>
          <a:off x="11313583" y="1191154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1536</xdr:row>
      <xdr:rowOff>116416</xdr:rowOff>
    </xdr:from>
    <xdr:to>
      <xdr:col>15</xdr:col>
      <xdr:colOff>592666</xdr:colOff>
      <xdr:row>1539</xdr:row>
      <xdr:rowOff>158750</xdr:rowOff>
    </xdr:to>
    <xdr:cxnSp macro="">
      <xdr:nvCxnSpPr>
        <xdr:cNvPr id="3862" name="Straight Arrow Connector 3861">
          <a:extLst>
            <a:ext uri="{FF2B5EF4-FFF2-40B4-BE49-F238E27FC236}">
              <a16:creationId xmlns:a16="http://schemas.microsoft.com/office/drawing/2014/main" id="{00000000-0008-0000-1300-0000160F0000}"/>
            </a:ext>
          </a:extLst>
        </xdr:cNvPr>
        <xdr:cNvCxnSpPr/>
      </xdr:nvCxnSpPr>
      <xdr:spPr>
        <a:xfrm flipV="1">
          <a:off x="11302999" y="121845916"/>
          <a:ext cx="571500" cy="613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1538</xdr:row>
      <xdr:rowOff>95250</xdr:rowOff>
    </xdr:from>
    <xdr:to>
      <xdr:col>15</xdr:col>
      <xdr:colOff>582083</xdr:colOff>
      <xdr:row>1540</xdr:row>
      <xdr:rowOff>52917</xdr:rowOff>
    </xdr:to>
    <xdr:cxnSp macro="">
      <xdr:nvCxnSpPr>
        <xdr:cNvPr id="3863" name="Straight Arrow Connector 3862">
          <a:extLst>
            <a:ext uri="{FF2B5EF4-FFF2-40B4-BE49-F238E27FC236}">
              <a16:creationId xmlns:a16="http://schemas.microsoft.com/office/drawing/2014/main" id="{00000000-0008-0000-1300-0000170F0000}"/>
            </a:ext>
          </a:extLst>
        </xdr:cNvPr>
        <xdr:cNvCxnSpPr/>
      </xdr:nvCxnSpPr>
      <xdr:spPr>
        <a:xfrm flipV="1">
          <a:off x="11345333" y="122205750"/>
          <a:ext cx="518583" cy="338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1540</xdr:row>
      <xdr:rowOff>116417</xdr:rowOff>
    </xdr:from>
    <xdr:to>
      <xdr:col>15</xdr:col>
      <xdr:colOff>592666</xdr:colOff>
      <xdr:row>1544</xdr:row>
      <xdr:rowOff>95250</xdr:rowOff>
    </xdr:to>
    <xdr:cxnSp macro="">
      <xdr:nvCxnSpPr>
        <xdr:cNvPr id="3864" name="Straight Arrow Connector 3863">
          <a:extLst>
            <a:ext uri="{FF2B5EF4-FFF2-40B4-BE49-F238E27FC236}">
              <a16:creationId xmlns:a16="http://schemas.microsoft.com/office/drawing/2014/main" id="{00000000-0008-0000-1300-0000180F0000}"/>
            </a:ext>
          </a:extLst>
        </xdr:cNvPr>
        <xdr:cNvCxnSpPr/>
      </xdr:nvCxnSpPr>
      <xdr:spPr>
        <a:xfrm>
          <a:off x="11334749" y="122607917"/>
          <a:ext cx="53975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1551</xdr:row>
      <xdr:rowOff>116416</xdr:rowOff>
    </xdr:from>
    <xdr:to>
      <xdr:col>16</xdr:col>
      <xdr:colOff>0</xdr:colOff>
      <xdr:row>1558</xdr:row>
      <xdr:rowOff>74084</xdr:rowOff>
    </xdr:to>
    <xdr:cxnSp macro="">
      <xdr:nvCxnSpPr>
        <xdr:cNvPr id="3865" name="Straight Arrow Connector 3864">
          <a:extLst>
            <a:ext uri="{FF2B5EF4-FFF2-40B4-BE49-F238E27FC236}">
              <a16:creationId xmlns:a16="http://schemas.microsoft.com/office/drawing/2014/main" id="{00000000-0008-0000-1300-0000190F0000}"/>
            </a:ext>
          </a:extLst>
        </xdr:cNvPr>
        <xdr:cNvCxnSpPr/>
      </xdr:nvCxnSpPr>
      <xdr:spPr>
        <a:xfrm>
          <a:off x="11313583" y="124703416"/>
          <a:ext cx="582084" cy="12911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1519</xdr:row>
      <xdr:rowOff>52917</xdr:rowOff>
    </xdr:from>
    <xdr:to>
      <xdr:col>15</xdr:col>
      <xdr:colOff>603250</xdr:colOff>
      <xdr:row>1521</xdr:row>
      <xdr:rowOff>148167</xdr:rowOff>
    </xdr:to>
    <xdr:cxnSp macro="">
      <xdr:nvCxnSpPr>
        <xdr:cNvPr id="3866" name="Straight Arrow Connector 3865">
          <a:extLst>
            <a:ext uri="{FF2B5EF4-FFF2-40B4-BE49-F238E27FC236}">
              <a16:creationId xmlns:a16="http://schemas.microsoft.com/office/drawing/2014/main" id="{00000000-0008-0000-1300-00001A0F0000}"/>
            </a:ext>
          </a:extLst>
        </xdr:cNvPr>
        <xdr:cNvCxnSpPr/>
      </xdr:nvCxnSpPr>
      <xdr:spPr>
        <a:xfrm flipV="1">
          <a:off x="11324166" y="1185439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1554</xdr:row>
      <xdr:rowOff>42333</xdr:rowOff>
    </xdr:from>
    <xdr:to>
      <xdr:col>11</xdr:col>
      <xdr:colOff>603250</xdr:colOff>
      <xdr:row>1566</xdr:row>
      <xdr:rowOff>10583</xdr:rowOff>
    </xdr:to>
    <xdr:cxnSp macro="">
      <xdr:nvCxnSpPr>
        <xdr:cNvPr id="3867" name="Straight Arrow Connector 3866">
          <a:extLst>
            <a:ext uri="{FF2B5EF4-FFF2-40B4-BE49-F238E27FC236}">
              <a16:creationId xmlns:a16="http://schemas.microsoft.com/office/drawing/2014/main" id="{00000000-0008-0000-1300-00001B0F0000}"/>
            </a:ext>
          </a:extLst>
        </xdr:cNvPr>
        <xdr:cNvCxnSpPr/>
      </xdr:nvCxnSpPr>
      <xdr:spPr>
        <a:xfrm>
          <a:off x="7926917" y="1252008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1544</xdr:row>
      <xdr:rowOff>21167</xdr:rowOff>
    </xdr:from>
    <xdr:to>
      <xdr:col>13</xdr:col>
      <xdr:colOff>592667</xdr:colOff>
      <xdr:row>1546</xdr:row>
      <xdr:rowOff>0</xdr:rowOff>
    </xdr:to>
    <xdr:cxnSp macro="">
      <xdr:nvCxnSpPr>
        <xdr:cNvPr id="3868" name="Straight Arrow Connector 3867">
          <a:extLst>
            <a:ext uri="{FF2B5EF4-FFF2-40B4-BE49-F238E27FC236}">
              <a16:creationId xmlns:a16="http://schemas.microsoft.com/office/drawing/2014/main" id="{00000000-0008-0000-1300-00001C0F0000}"/>
            </a:ext>
          </a:extLst>
        </xdr:cNvPr>
        <xdr:cNvCxnSpPr/>
      </xdr:nvCxnSpPr>
      <xdr:spPr>
        <a:xfrm flipV="1">
          <a:off x="9133417" y="123274667"/>
          <a:ext cx="984250"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1549</xdr:row>
      <xdr:rowOff>21166</xdr:rowOff>
    </xdr:from>
    <xdr:to>
      <xdr:col>13</xdr:col>
      <xdr:colOff>592667</xdr:colOff>
      <xdr:row>1550</xdr:row>
      <xdr:rowOff>169334</xdr:rowOff>
    </xdr:to>
    <xdr:cxnSp macro="">
      <xdr:nvCxnSpPr>
        <xdr:cNvPr id="3869" name="Straight Arrow Connector 3868">
          <a:extLst>
            <a:ext uri="{FF2B5EF4-FFF2-40B4-BE49-F238E27FC236}">
              <a16:creationId xmlns:a16="http://schemas.microsoft.com/office/drawing/2014/main" id="{00000000-0008-0000-1300-00001D0F0000}"/>
            </a:ext>
          </a:extLst>
        </xdr:cNvPr>
        <xdr:cNvCxnSpPr/>
      </xdr:nvCxnSpPr>
      <xdr:spPr>
        <a:xfrm>
          <a:off x="9122833" y="124227166"/>
          <a:ext cx="994834"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1564</xdr:row>
      <xdr:rowOff>21167</xdr:rowOff>
    </xdr:from>
    <xdr:to>
      <xdr:col>13</xdr:col>
      <xdr:colOff>592667</xdr:colOff>
      <xdr:row>1566</xdr:row>
      <xdr:rowOff>63500</xdr:rowOff>
    </xdr:to>
    <xdr:cxnSp macro="">
      <xdr:nvCxnSpPr>
        <xdr:cNvPr id="3870" name="Straight Arrow Connector 3869">
          <a:extLst>
            <a:ext uri="{FF2B5EF4-FFF2-40B4-BE49-F238E27FC236}">
              <a16:creationId xmlns:a16="http://schemas.microsoft.com/office/drawing/2014/main" id="{00000000-0008-0000-1300-00001E0F0000}"/>
            </a:ext>
          </a:extLst>
        </xdr:cNvPr>
        <xdr:cNvCxnSpPr/>
      </xdr:nvCxnSpPr>
      <xdr:spPr>
        <a:xfrm flipV="1">
          <a:off x="9525000" y="1272751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1569</xdr:row>
      <xdr:rowOff>0</xdr:rowOff>
    </xdr:from>
    <xdr:to>
      <xdr:col>14</xdr:col>
      <xdr:colOff>10584</xdr:colOff>
      <xdr:row>1577</xdr:row>
      <xdr:rowOff>148167</xdr:rowOff>
    </xdr:to>
    <xdr:cxnSp macro="">
      <xdr:nvCxnSpPr>
        <xdr:cNvPr id="3871" name="Straight Arrow Connector 3870">
          <a:extLst>
            <a:ext uri="{FF2B5EF4-FFF2-40B4-BE49-F238E27FC236}">
              <a16:creationId xmlns:a16="http://schemas.microsoft.com/office/drawing/2014/main" id="{00000000-0008-0000-1300-00001F0F0000}"/>
            </a:ext>
          </a:extLst>
        </xdr:cNvPr>
        <xdr:cNvCxnSpPr/>
      </xdr:nvCxnSpPr>
      <xdr:spPr>
        <a:xfrm>
          <a:off x="9535583" y="128206500"/>
          <a:ext cx="613834"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1540</xdr:row>
      <xdr:rowOff>95250</xdr:rowOff>
    </xdr:from>
    <xdr:to>
      <xdr:col>15</xdr:col>
      <xdr:colOff>582083</xdr:colOff>
      <xdr:row>1542</xdr:row>
      <xdr:rowOff>137583</xdr:rowOff>
    </xdr:to>
    <xdr:cxnSp macro="">
      <xdr:nvCxnSpPr>
        <xdr:cNvPr id="3872" name="Straight Arrow Connector 3871">
          <a:extLst>
            <a:ext uri="{FF2B5EF4-FFF2-40B4-BE49-F238E27FC236}">
              <a16:creationId xmlns:a16="http://schemas.microsoft.com/office/drawing/2014/main" id="{00000000-0008-0000-1300-0000200F0000}"/>
            </a:ext>
          </a:extLst>
        </xdr:cNvPr>
        <xdr:cNvCxnSpPr/>
      </xdr:nvCxnSpPr>
      <xdr:spPr>
        <a:xfrm>
          <a:off x="11334749" y="122586750"/>
          <a:ext cx="5291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1549</xdr:row>
      <xdr:rowOff>52916</xdr:rowOff>
    </xdr:from>
    <xdr:to>
      <xdr:col>16</xdr:col>
      <xdr:colOff>0</xdr:colOff>
      <xdr:row>1551</xdr:row>
      <xdr:rowOff>0</xdr:rowOff>
    </xdr:to>
    <xdr:cxnSp macro="">
      <xdr:nvCxnSpPr>
        <xdr:cNvPr id="3873" name="Straight Arrow Connector 3872">
          <a:extLst>
            <a:ext uri="{FF2B5EF4-FFF2-40B4-BE49-F238E27FC236}">
              <a16:creationId xmlns:a16="http://schemas.microsoft.com/office/drawing/2014/main" id="{00000000-0008-0000-1300-0000210F0000}"/>
            </a:ext>
          </a:extLst>
        </xdr:cNvPr>
        <xdr:cNvCxnSpPr/>
      </xdr:nvCxnSpPr>
      <xdr:spPr>
        <a:xfrm flipV="1">
          <a:off x="11281833" y="124258916"/>
          <a:ext cx="613834"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1551</xdr:row>
      <xdr:rowOff>21167</xdr:rowOff>
    </xdr:from>
    <xdr:to>
      <xdr:col>15</xdr:col>
      <xdr:colOff>592666</xdr:colOff>
      <xdr:row>1552</xdr:row>
      <xdr:rowOff>84667</xdr:rowOff>
    </xdr:to>
    <xdr:cxnSp macro="">
      <xdr:nvCxnSpPr>
        <xdr:cNvPr id="3874" name="Straight Arrow Connector 3873">
          <a:extLst>
            <a:ext uri="{FF2B5EF4-FFF2-40B4-BE49-F238E27FC236}">
              <a16:creationId xmlns:a16="http://schemas.microsoft.com/office/drawing/2014/main" id="{00000000-0008-0000-1300-0000220F0000}"/>
            </a:ext>
          </a:extLst>
        </xdr:cNvPr>
        <xdr:cNvCxnSpPr/>
      </xdr:nvCxnSpPr>
      <xdr:spPr>
        <a:xfrm>
          <a:off x="11271250" y="124608167"/>
          <a:ext cx="603249" cy="25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1551</xdr:row>
      <xdr:rowOff>0</xdr:rowOff>
    </xdr:from>
    <xdr:to>
      <xdr:col>16</xdr:col>
      <xdr:colOff>0</xdr:colOff>
      <xdr:row>1555</xdr:row>
      <xdr:rowOff>42334</xdr:rowOff>
    </xdr:to>
    <xdr:cxnSp macro="">
      <xdr:nvCxnSpPr>
        <xdr:cNvPr id="3875" name="Straight Arrow Connector 3874">
          <a:extLst>
            <a:ext uri="{FF2B5EF4-FFF2-40B4-BE49-F238E27FC236}">
              <a16:creationId xmlns:a16="http://schemas.microsoft.com/office/drawing/2014/main" id="{00000000-0008-0000-1300-0000230F0000}"/>
            </a:ext>
          </a:extLst>
        </xdr:cNvPr>
        <xdr:cNvCxnSpPr/>
      </xdr:nvCxnSpPr>
      <xdr:spPr>
        <a:xfrm>
          <a:off x="11271250" y="124587000"/>
          <a:ext cx="624417" cy="804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1562</xdr:row>
      <xdr:rowOff>0</xdr:rowOff>
    </xdr:from>
    <xdr:to>
      <xdr:col>15</xdr:col>
      <xdr:colOff>603250</xdr:colOff>
      <xdr:row>1564</xdr:row>
      <xdr:rowOff>1</xdr:rowOff>
    </xdr:to>
    <xdr:cxnSp macro="">
      <xdr:nvCxnSpPr>
        <xdr:cNvPr id="3876" name="Straight Arrow Connector 3875">
          <a:extLst>
            <a:ext uri="{FF2B5EF4-FFF2-40B4-BE49-F238E27FC236}">
              <a16:creationId xmlns:a16="http://schemas.microsoft.com/office/drawing/2014/main" id="{00000000-0008-0000-1300-0000240F0000}"/>
            </a:ext>
          </a:extLst>
        </xdr:cNvPr>
        <xdr:cNvCxnSpPr/>
      </xdr:nvCxnSpPr>
      <xdr:spPr>
        <a:xfrm flipV="1">
          <a:off x="11271250" y="1268730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1564</xdr:row>
      <xdr:rowOff>10584</xdr:rowOff>
    </xdr:from>
    <xdr:to>
      <xdr:col>15</xdr:col>
      <xdr:colOff>592666</xdr:colOff>
      <xdr:row>1565</xdr:row>
      <xdr:rowOff>95250</xdr:rowOff>
    </xdr:to>
    <xdr:cxnSp macro="">
      <xdr:nvCxnSpPr>
        <xdr:cNvPr id="3877" name="Straight Arrow Connector 3876">
          <a:extLst>
            <a:ext uri="{FF2B5EF4-FFF2-40B4-BE49-F238E27FC236}">
              <a16:creationId xmlns:a16="http://schemas.microsoft.com/office/drawing/2014/main" id="{00000000-0008-0000-1300-0000250F0000}"/>
            </a:ext>
          </a:extLst>
        </xdr:cNvPr>
        <xdr:cNvCxnSpPr/>
      </xdr:nvCxnSpPr>
      <xdr:spPr>
        <a:xfrm>
          <a:off x="11313583" y="1272645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1564</xdr:row>
      <xdr:rowOff>10584</xdr:rowOff>
    </xdr:from>
    <xdr:to>
      <xdr:col>15</xdr:col>
      <xdr:colOff>560916</xdr:colOff>
      <xdr:row>1568</xdr:row>
      <xdr:rowOff>52917</xdr:rowOff>
    </xdr:to>
    <xdr:cxnSp macro="">
      <xdr:nvCxnSpPr>
        <xdr:cNvPr id="3878" name="Straight Arrow Connector 3877">
          <a:extLst>
            <a:ext uri="{FF2B5EF4-FFF2-40B4-BE49-F238E27FC236}">
              <a16:creationId xmlns:a16="http://schemas.microsoft.com/office/drawing/2014/main" id="{00000000-0008-0000-1300-0000260F0000}"/>
            </a:ext>
          </a:extLst>
        </xdr:cNvPr>
        <xdr:cNvCxnSpPr/>
      </xdr:nvCxnSpPr>
      <xdr:spPr>
        <a:xfrm>
          <a:off x="11292416" y="1272645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1564</xdr:row>
      <xdr:rowOff>31750</xdr:rowOff>
    </xdr:from>
    <xdr:to>
      <xdr:col>16</xdr:col>
      <xdr:colOff>21167</xdr:colOff>
      <xdr:row>1571</xdr:row>
      <xdr:rowOff>95250</xdr:rowOff>
    </xdr:to>
    <xdr:cxnSp macro="">
      <xdr:nvCxnSpPr>
        <xdr:cNvPr id="3879" name="Straight Arrow Connector 3878">
          <a:extLst>
            <a:ext uri="{FF2B5EF4-FFF2-40B4-BE49-F238E27FC236}">
              <a16:creationId xmlns:a16="http://schemas.microsoft.com/office/drawing/2014/main" id="{00000000-0008-0000-1300-0000270F0000}"/>
            </a:ext>
          </a:extLst>
        </xdr:cNvPr>
        <xdr:cNvCxnSpPr/>
      </xdr:nvCxnSpPr>
      <xdr:spPr>
        <a:xfrm>
          <a:off x="11324166" y="127285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1578</xdr:row>
      <xdr:rowOff>0</xdr:rowOff>
    </xdr:from>
    <xdr:to>
      <xdr:col>16</xdr:col>
      <xdr:colOff>0</xdr:colOff>
      <xdr:row>1578</xdr:row>
      <xdr:rowOff>42334</xdr:rowOff>
    </xdr:to>
    <xdr:cxnSp macro="">
      <xdr:nvCxnSpPr>
        <xdr:cNvPr id="3880" name="Straight Arrow Connector 3879">
          <a:extLst>
            <a:ext uri="{FF2B5EF4-FFF2-40B4-BE49-F238E27FC236}">
              <a16:creationId xmlns:a16="http://schemas.microsoft.com/office/drawing/2014/main" id="{00000000-0008-0000-1300-0000280F0000}"/>
            </a:ext>
          </a:extLst>
        </xdr:cNvPr>
        <xdr:cNvCxnSpPr/>
      </xdr:nvCxnSpPr>
      <xdr:spPr>
        <a:xfrm>
          <a:off x="11302999" y="129921000"/>
          <a:ext cx="592668"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1578</xdr:row>
      <xdr:rowOff>21166</xdr:rowOff>
    </xdr:from>
    <xdr:to>
      <xdr:col>15</xdr:col>
      <xdr:colOff>560916</xdr:colOff>
      <xdr:row>1581</xdr:row>
      <xdr:rowOff>84667</xdr:rowOff>
    </xdr:to>
    <xdr:cxnSp macro="">
      <xdr:nvCxnSpPr>
        <xdr:cNvPr id="3881" name="Straight Arrow Connector 3880">
          <a:extLst>
            <a:ext uri="{FF2B5EF4-FFF2-40B4-BE49-F238E27FC236}">
              <a16:creationId xmlns:a16="http://schemas.microsoft.com/office/drawing/2014/main" id="{00000000-0008-0000-1300-0000290F0000}"/>
            </a:ext>
          </a:extLst>
        </xdr:cNvPr>
        <xdr:cNvCxnSpPr/>
      </xdr:nvCxnSpPr>
      <xdr:spPr>
        <a:xfrm>
          <a:off x="11355916" y="1299421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1578</xdr:row>
      <xdr:rowOff>52916</xdr:rowOff>
    </xdr:from>
    <xdr:to>
      <xdr:col>15</xdr:col>
      <xdr:colOff>592666</xdr:colOff>
      <xdr:row>1584</xdr:row>
      <xdr:rowOff>63501</xdr:rowOff>
    </xdr:to>
    <xdr:cxnSp macro="">
      <xdr:nvCxnSpPr>
        <xdr:cNvPr id="3882" name="Straight Arrow Connector 3881">
          <a:extLst>
            <a:ext uri="{FF2B5EF4-FFF2-40B4-BE49-F238E27FC236}">
              <a16:creationId xmlns:a16="http://schemas.microsoft.com/office/drawing/2014/main" id="{00000000-0008-0000-1300-00002A0F0000}"/>
            </a:ext>
          </a:extLst>
        </xdr:cNvPr>
        <xdr:cNvCxnSpPr/>
      </xdr:nvCxnSpPr>
      <xdr:spPr>
        <a:xfrm>
          <a:off x="11313583" y="1299739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1575</xdr:row>
      <xdr:rowOff>52917</xdr:rowOff>
    </xdr:from>
    <xdr:to>
      <xdr:col>15</xdr:col>
      <xdr:colOff>603250</xdr:colOff>
      <xdr:row>1577</xdr:row>
      <xdr:rowOff>148167</xdr:rowOff>
    </xdr:to>
    <xdr:cxnSp macro="">
      <xdr:nvCxnSpPr>
        <xdr:cNvPr id="3883" name="Straight Arrow Connector 3882">
          <a:extLst>
            <a:ext uri="{FF2B5EF4-FFF2-40B4-BE49-F238E27FC236}">
              <a16:creationId xmlns:a16="http://schemas.microsoft.com/office/drawing/2014/main" id="{00000000-0008-0000-1300-00002B0F0000}"/>
            </a:ext>
          </a:extLst>
        </xdr:cNvPr>
        <xdr:cNvCxnSpPr/>
      </xdr:nvCxnSpPr>
      <xdr:spPr>
        <a:xfrm flipV="1">
          <a:off x="11324166" y="1294024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1551</xdr:row>
      <xdr:rowOff>31750</xdr:rowOff>
    </xdr:from>
    <xdr:to>
      <xdr:col>16</xdr:col>
      <xdr:colOff>42334</xdr:colOff>
      <xdr:row>1558</xdr:row>
      <xdr:rowOff>63501</xdr:rowOff>
    </xdr:to>
    <xdr:cxnSp macro="">
      <xdr:nvCxnSpPr>
        <xdr:cNvPr id="3884" name="Straight Arrow Connector 3883">
          <a:extLst>
            <a:ext uri="{FF2B5EF4-FFF2-40B4-BE49-F238E27FC236}">
              <a16:creationId xmlns:a16="http://schemas.microsoft.com/office/drawing/2014/main" id="{00000000-0008-0000-1300-00002C0F0000}"/>
            </a:ext>
          </a:extLst>
        </xdr:cNvPr>
        <xdr:cNvCxnSpPr/>
      </xdr:nvCxnSpPr>
      <xdr:spPr>
        <a:xfrm>
          <a:off x="11281833" y="124618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1564</xdr:row>
      <xdr:rowOff>31750</xdr:rowOff>
    </xdr:from>
    <xdr:to>
      <xdr:col>16</xdr:col>
      <xdr:colOff>21167</xdr:colOff>
      <xdr:row>1571</xdr:row>
      <xdr:rowOff>95250</xdr:rowOff>
    </xdr:to>
    <xdr:cxnSp macro="">
      <xdr:nvCxnSpPr>
        <xdr:cNvPr id="3885" name="Straight Arrow Connector 3884">
          <a:extLst>
            <a:ext uri="{FF2B5EF4-FFF2-40B4-BE49-F238E27FC236}">
              <a16:creationId xmlns:a16="http://schemas.microsoft.com/office/drawing/2014/main" id="{00000000-0008-0000-1300-00002D0F0000}"/>
            </a:ext>
          </a:extLst>
        </xdr:cNvPr>
        <xdr:cNvCxnSpPr/>
      </xdr:nvCxnSpPr>
      <xdr:spPr>
        <a:xfrm>
          <a:off x="11324166" y="127285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1620</xdr:row>
      <xdr:rowOff>31750</xdr:rowOff>
    </xdr:from>
    <xdr:to>
      <xdr:col>16</xdr:col>
      <xdr:colOff>21167</xdr:colOff>
      <xdr:row>1627</xdr:row>
      <xdr:rowOff>95250</xdr:rowOff>
    </xdr:to>
    <xdr:cxnSp macro="">
      <xdr:nvCxnSpPr>
        <xdr:cNvPr id="3886" name="Straight Arrow Connector 3885">
          <a:extLst>
            <a:ext uri="{FF2B5EF4-FFF2-40B4-BE49-F238E27FC236}">
              <a16:creationId xmlns:a16="http://schemas.microsoft.com/office/drawing/2014/main" id="{00000000-0008-0000-1300-00002E0F0000}"/>
            </a:ext>
          </a:extLst>
        </xdr:cNvPr>
        <xdr:cNvCxnSpPr/>
      </xdr:nvCxnSpPr>
      <xdr:spPr>
        <a:xfrm>
          <a:off x="11324166" y="138144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1620</xdr:row>
      <xdr:rowOff>31750</xdr:rowOff>
    </xdr:from>
    <xdr:to>
      <xdr:col>16</xdr:col>
      <xdr:colOff>21167</xdr:colOff>
      <xdr:row>1627</xdr:row>
      <xdr:rowOff>95250</xdr:rowOff>
    </xdr:to>
    <xdr:cxnSp macro="">
      <xdr:nvCxnSpPr>
        <xdr:cNvPr id="3887" name="Straight Arrow Connector 3886">
          <a:extLst>
            <a:ext uri="{FF2B5EF4-FFF2-40B4-BE49-F238E27FC236}">
              <a16:creationId xmlns:a16="http://schemas.microsoft.com/office/drawing/2014/main" id="{00000000-0008-0000-1300-00002F0F0000}"/>
            </a:ext>
          </a:extLst>
        </xdr:cNvPr>
        <xdr:cNvCxnSpPr/>
      </xdr:nvCxnSpPr>
      <xdr:spPr>
        <a:xfrm>
          <a:off x="11324166" y="138144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1607</xdr:row>
      <xdr:rowOff>31750</xdr:rowOff>
    </xdr:from>
    <xdr:to>
      <xdr:col>16</xdr:col>
      <xdr:colOff>42334</xdr:colOff>
      <xdr:row>1614</xdr:row>
      <xdr:rowOff>63501</xdr:rowOff>
    </xdr:to>
    <xdr:cxnSp macro="">
      <xdr:nvCxnSpPr>
        <xdr:cNvPr id="3888" name="Straight Arrow Connector 3887">
          <a:extLst>
            <a:ext uri="{FF2B5EF4-FFF2-40B4-BE49-F238E27FC236}">
              <a16:creationId xmlns:a16="http://schemas.microsoft.com/office/drawing/2014/main" id="{00000000-0008-0000-1300-0000300F0000}"/>
            </a:ext>
          </a:extLst>
        </xdr:cNvPr>
        <xdr:cNvCxnSpPr/>
      </xdr:nvCxnSpPr>
      <xdr:spPr>
        <a:xfrm>
          <a:off x="11281833" y="135477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1620</xdr:row>
      <xdr:rowOff>31750</xdr:rowOff>
    </xdr:from>
    <xdr:to>
      <xdr:col>16</xdr:col>
      <xdr:colOff>21167</xdr:colOff>
      <xdr:row>1627</xdr:row>
      <xdr:rowOff>95250</xdr:rowOff>
    </xdr:to>
    <xdr:cxnSp macro="">
      <xdr:nvCxnSpPr>
        <xdr:cNvPr id="3889" name="Straight Arrow Connector 3888">
          <a:extLst>
            <a:ext uri="{FF2B5EF4-FFF2-40B4-BE49-F238E27FC236}">
              <a16:creationId xmlns:a16="http://schemas.microsoft.com/office/drawing/2014/main" id="{00000000-0008-0000-1300-0000310F0000}"/>
            </a:ext>
          </a:extLst>
        </xdr:cNvPr>
        <xdr:cNvCxnSpPr/>
      </xdr:nvCxnSpPr>
      <xdr:spPr>
        <a:xfrm>
          <a:off x="11324166" y="138144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1690</xdr:row>
      <xdr:rowOff>21167</xdr:rowOff>
    </xdr:from>
    <xdr:to>
      <xdr:col>15</xdr:col>
      <xdr:colOff>592666</xdr:colOff>
      <xdr:row>1691</xdr:row>
      <xdr:rowOff>84667</xdr:rowOff>
    </xdr:to>
    <xdr:cxnSp macro="">
      <xdr:nvCxnSpPr>
        <xdr:cNvPr id="3890" name="Straight Arrow Connector 3889">
          <a:extLst>
            <a:ext uri="{FF2B5EF4-FFF2-40B4-BE49-F238E27FC236}">
              <a16:creationId xmlns:a16="http://schemas.microsoft.com/office/drawing/2014/main" id="{00000000-0008-0000-1300-0000320F0000}"/>
            </a:ext>
          </a:extLst>
        </xdr:cNvPr>
        <xdr:cNvCxnSpPr/>
      </xdr:nvCxnSpPr>
      <xdr:spPr>
        <a:xfrm>
          <a:off x="11271250" y="151659167"/>
          <a:ext cx="603249" cy="25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1663</xdr:row>
      <xdr:rowOff>31750</xdr:rowOff>
    </xdr:from>
    <xdr:to>
      <xdr:col>16</xdr:col>
      <xdr:colOff>42334</xdr:colOff>
      <xdr:row>1670</xdr:row>
      <xdr:rowOff>63501</xdr:rowOff>
    </xdr:to>
    <xdr:cxnSp macro="">
      <xdr:nvCxnSpPr>
        <xdr:cNvPr id="3891" name="Straight Arrow Connector 3890">
          <a:extLst>
            <a:ext uri="{FF2B5EF4-FFF2-40B4-BE49-F238E27FC236}">
              <a16:creationId xmlns:a16="http://schemas.microsoft.com/office/drawing/2014/main" id="{00000000-0008-0000-1300-0000330F0000}"/>
            </a:ext>
          </a:extLst>
        </xdr:cNvPr>
        <xdr:cNvCxnSpPr/>
      </xdr:nvCxnSpPr>
      <xdr:spPr>
        <a:xfrm>
          <a:off x="11281833" y="146335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3892" name="Straight Arrow Connector 3891">
          <a:extLst>
            <a:ext uri="{FF2B5EF4-FFF2-40B4-BE49-F238E27FC236}">
              <a16:creationId xmlns:a16="http://schemas.microsoft.com/office/drawing/2014/main" id="{00000000-0008-0000-1300-0000340F0000}"/>
            </a:ext>
          </a:extLst>
        </xdr:cNvPr>
        <xdr:cNvCxnSpPr/>
      </xdr:nvCxnSpPr>
      <xdr:spPr>
        <a:xfrm>
          <a:off x="11324166" y="149002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3893" name="Straight Arrow Connector 3892">
          <a:extLst>
            <a:ext uri="{FF2B5EF4-FFF2-40B4-BE49-F238E27FC236}">
              <a16:creationId xmlns:a16="http://schemas.microsoft.com/office/drawing/2014/main" id="{00000000-0008-0000-1300-0000350F0000}"/>
            </a:ext>
          </a:extLst>
        </xdr:cNvPr>
        <xdr:cNvCxnSpPr/>
      </xdr:nvCxnSpPr>
      <xdr:spPr>
        <a:xfrm>
          <a:off x="11324166" y="149002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3894" name="Straight Arrow Connector 3893">
          <a:extLst>
            <a:ext uri="{FF2B5EF4-FFF2-40B4-BE49-F238E27FC236}">
              <a16:creationId xmlns:a16="http://schemas.microsoft.com/office/drawing/2014/main" id="{00000000-0008-0000-1300-0000360F0000}"/>
            </a:ext>
          </a:extLst>
        </xdr:cNvPr>
        <xdr:cNvCxnSpPr/>
      </xdr:nvCxnSpPr>
      <xdr:spPr>
        <a:xfrm>
          <a:off x="11324166" y="149002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1663</xdr:row>
      <xdr:rowOff>31750</xdr:rowOff>
    </xdr:from>
    <xdr:to>
      <xdr:col>16</xdr:col>
      <xdr:colOff>42334</xdr:colOff>
      <xdr:row>1670</xdr:row>
      <xdr:rowOff>63501</xdr:rowOff>
    </xdr:to>
    <xdr:cxnSp macro="">
      <xdr:nvCxnSpPr>
        <xdr:cNvPr id="3895" name="Straight Arrow Connector 3894">
          <a:extLst>
            <a:ext uri="{FF2B5EF4-FFF2-40B4-BE49-F238E27FC236}">
              <a16:creationId xmlns:a16="http://schemas.microsoft.com/office/drawing/2014/main" id="{00000000-0008-0000-1300-0000370F0000}"/>
            </a:ext>
          </a:extLst>
        </xdr:cNvPr>
        <xdr:cNvCxnSpPr/>
      </xdr:nvCxnSpPr>
      <xdr:spPr>
        <a:xfrm>
          <a:off x="11281833" y="146335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3896" name="Straight Arrow Connector 3895">
          <a:extLst>
            <a:ext uri="{FF2B5EF4-FFF2-40B4-BE49-F238E27FC236}">
              <a16:creationId xmlns:a16="http://schemas.microsoft.com/office/drawing/2014/main" id="{00000000-0008-0000-1300-0000380F0000}"/>
            </a:ext>
          </a:extLst>
        </xdr:cNvPr>
        <xdr:cNvCxnSpPr/>
      </xdr:nvCxnSpPr>
      <xdr:spPr>
        <a:xfrm>
          <a:off x="11324166" y="149002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21167</xdr:colOff>
      <xdr:row>1716</xdr:row>
      <xdr:rowOff>169333</xdr:rowOff>
    </xdr:from>
    <xdr:to>
      <xdr:col>11</xdr:col>
      <xdr:colOff>603250</xdr:colOff>
      <xdr:row>1719</xdr:row>
      <xdr:rowOff>21167</xdr:rowOff>
    </xdr:to>
    <xdr:cxnSp macro="">
      <xdr:nvCxnSpPr>
        <xdr:cNvPr id="3897" name="Straight Arrow Connector 3896">
          <a:extLst>
            <a:ext uri="{FF2B5EF4-FFF2-40B4-BE49-F238E27FC236}">
              <a16:creationId xmlns:a16="http://schemas.microsoft.com/office/drawing/2014/main" id="{00000000-0008-0000-1300-0000390F0000}"/>
            </a:ext>
          </a:extLst>
        </xdr:cNvPr>
        <xdr:cNvCxnSpPr/>
      </xdr:nvCxnSpPr>
      <xdr:spPr>
        <a:xfrm flipV="1">
          <a:off x="7937500" y="156760333"/>
          <a:ext cx="582083" cy="423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1722</xdr:row>
      <xdr:rowOff>42333</xdr:rowOff>
    </xdr:from>
    <xdr:to>
      <xdr:col>11</xdr:col>
      <xdr:colOff>603250</xdr:colOff>
      <xdr:row>1734</xdr:row>
      <xdr:rowOff>10583</xdr:rowOff>
    </xdr:to>
    <xdr:cxnSp macro="">
      <xdr:nvCxnSpPr>
        <xdr:cNvPr id="3898" name="Straight Arrow Connector 3897">
          <a:extLst>
            <a:ext uri="{FF2B5EF4-FFF2-40B4-BE49-F238E27FC236}">
              <a16:creationId xmlns:a16="http://schemas.microsoft.com/office/drawing/2014/main" id="{00000000-0008-0000-1300-00003A0F0000}"/>
            </a:ext>
          </a:extLst>
        </xdr:cNvPr>
        <xdr:cNvCxnSpPr/>
      </xdr:nvCxnSpPr>
      <xdr:spPr>
        <a:xfrm>
          <a:off x="7926917" y="1577763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1712</xdr:row>
      <xdr:rowOff>21167</xdr:rowOff>
    </xdr:from>
    <xdr:to>
      <xdr:col>13</xdr:col>
      <xdr:colOff>592667</xdr:colOff>
      <xdr:row>1714</xdr:row>
      <xdr:rowOff>0</xdr:rowOff>
    </xdr:to>
    <xdr:cxnSp macro="">
      <xdr:nvCxnSpPr>
        <xdr:cNvPr id="3899" name="Straight Arrow Connector 3898">
          <a:extLst>
            <a:ext uri="{FF2B5EF4-FFF2-40B4-BE49-F238E27FC236}">
              <a16:creationId xmlns:a16="http://schemas.microsoft.com/office/drawing/2014/main" id="{00000000-0008-0000-1300-00003B0F0000}"/>
            </a:ext>
          </a:extLst>
        </xdr:cNvPr>
        <xdr:cNvCxnSpPr/>
      </xdr:nvCxnSpPr>
      <xdr:spPr>
        <a:xfrm flipV="1">
          <a:off x="9133417" y="155850167"/>
          <a:ext cx="984250"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1717</xdr:row>
      <xdr:rowOff>21166</xdr:rowOff>
    </xdr:from>
    <xdr:to>
      <xdr:col>13</xdr:col>
      <xdr:colOff>592667</xdr:colOff>
      <xdr:row>1718</xdr:row>
      <xdr:rowOff>169334</xdr:rowOff>
    </xdr:to>
    <xdr:cxnSp macro="">
      <xdr:nvCxnSpPr>
        <xdr:cNvPr id="3900" name="Straight Arrow Connector 3899">
          <a:extLst>
            <a:ext uri="{FF2B5EF4-FFF2-40B4-BE49-F238E27FC236}">
              <a16:creationId xmlns:a16="http://schemas.microsoft.com/office/drawing/2014/main" id="{00000000-0008-0000-1300-00003C0F0000}"/>
            </a:ext>
          </a:extLst>
        </xdr:cNvPr>
        <xdr:cNvCxnSpPr/>
      </xdr:nvCxnSpPr>
      <xdr:spPr>
        <a:xfrm>
          <a:off x="9122833" y="156802666"/>
          <a:ext cx="994834"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1732</xdr:row>
      <xdr:rowOff>21167</xdr:rowOff>
    </xdr:from>
    <xdr:to>
      <xdr:col>13</xdr:col>
      <xdr:colOff>592667</xdr:colOff>
      <xdr:row>1734</xdr:row>
      <xdr:rowOff>63500</xdr:rowOff>
    </xdr:to>
    <xdr:cxnSp macro="">
      <xdr:nvCxnSpPr>
        <xdr:cNvPr id="3901" name="Straight Arrow Connector 3900">
          <a:extLst>
            <a:ext uri="{FF2B5EF4-FFF2-40B4-BE49-F238E27FC236}">
              <a16:creationId xmlns:a16="http://schemas.microsoft.com/office/drawing/2014/main" id="{00000000-0008-0000-1300-00003D0F0000}"/>
            </a:ext>
          </a:extLst>
        </xdr:cNvPr>
        <xdr:cNvCxnSpPr/>
      </xdr:nvCxnSpPr>
      <xdr:spPr>
        <a:xfrm flipV="1">
          <a:off x="9525000" y="1598506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1737</xdr:row>
      <xdr:rowOff>0</xdr:rowOff>
    </xdr:from>
    <xdr:to>
      <xdr:col>14</xdr:col>
      <xdr:colOff>10584</xdr:colOff>
      <xdr:row>1745</xdr:row>
      <xdr:rowOff>148167</xdr:rowOff>
    </xdr:to>
    <xdr:cxnSp macro="">
      <xdr:nvCxnSpPr>
        <xdr:cNvPr id="3902" name="Straight Arrow Connector 3901">
          <a:extLst>
            <a:ext uri="{FF2B5EF4-FFF2-40B4-BE49-F238E27FC236}">
              <a16:creationId xmlns:a16="http://schemas.microsoft.com/office/drawing/2014/main" id="{00000000-0008-0000-1300-00003E0F0000}"/>
            </a:ext>
          </a:extLst>
        </xdr:cNvPr>
        <xdr:cNvCxnSpPr/>
      </xdr:nvCxnSpPr>
      <xdr:spPr>
        <a:xfrm>
          <a:off x="9535583" y="160782000"/>
          <a:ext cx="613834"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1704</xdr:row>
      <xdr:rowOff>0</xdr:rowOff>
    </xdr:from>
    <xdr:to>
      <xdr:col>15</xdr:col>
      <xdr:colOff>603250</xdr:colOff>
      <xdr:row>1709</xdr:row>
      <xdr:rowOff>31750</xdr:rowOff>
    </xdr:to>
    <xdr:cxnSp macro="">
      <xdr:nvCxnSpPr>
        <xdr:cNvPr id="3903" name="Straight Arrow Connector 3902">
          <a:extLst>
            <a:ext uri="{FF2B5EF4-FFF2-40B4-BE49-F238E27FC236}">
              <a16:creationId xmlns:a16="http://schemas.microsoft.com/office/drawing/2014/main" id="{00000000-0008-0000-1300-00003F0F0000}"/>
            </a:ext>
          </a:extLst>
        </xdr:cNvPr>
        <xdr:cNvCxnSpPr/>
      </xdr:nvCxnSpPr>
      <xdr:spPr>
        <a:xfrm flipV="1">
          <a:off x="11281833" y="154305000"/>
          <a:ext cx="603250" cy="984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1707</xdr:row>
      <xdr:rowOff>52917</xdr:rowOff>
    </xdr:from>
    <xdr:to>
      <xdr:col>15</xdr:col>
      <xdr:colOff>603250</xdr:colOff>
      <xdr:row>1709</xdr:row>
      <xdr:rowOff>95250</xdr:rowOff>
    </xdr:to>
    <xdr:cxnSp macro="">
      <xdr:nvCxnSpPr>
        <xdr:cNvPr id="3904" name="Straight Arrow Connector 3903">
          <a:extLst>
            <a:ext uri="{FF2B5EF4-FFF2-40B4-BE49-F238E27FC236}">
              <a16:creationId xmlns:a16="http://schemas.microsoft.com/office/drawing/2014/main" id="{00000000-0008-0000-1300-0000400F0000}"/>
            </a:ext>
          </a:extLst>
        </xdr:cNvPr>
        <xdr:cNvCxnSpPr/>
      </xdr:nvCxnSpPr>
      <xdr:spPr>
        <a:xfrm flipV="1">
          <a:off x="11324166" y="154929417"/>
          <a:ext cx="56091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1709</xdr:row>
      <xdr:rowOff>158750</xdr:rowOff>
    </xdr:from>
    <xdr:to>
      <xdr:col>15</xdr:col>
      <xdr:colOff>582083</xdr:colOff>
      <xdr:row>1710</xdr:row>
      <xdr:rowOff>137583</xdr:rowOff>
    </xdr:to>
    <xdr:cxnSp macro="">
      <xdr:nvCxnSpPr>
        <xdr:cNvPr id="3905" name="Straight Arrow Connector 3904">
          <a:extLst>
            <a:ext uri="{FF2B5EF4-FFF2-40B4-BE49-F238E27FC236}">
              <a16:creationId xmlns:a16="http://schemas.microsoft.com/office/drawing/2014/main" id="{00000000-0008-0000-1300-0000410F0000}"/>
            </a:ext>
          </a:extLst>
        </xdr:cNvPr>
        <xdr:cNvCxnSpPr/>
      </xdr:nvCxnSpPr>
      <xdr:spPr>
        <a:xfrm>
          <a:off x="11345333" y="155416250"/>
          <a:ext cx="518583" cy="169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1121834</xdr:colOff>
      <xdr:row>1709</xdr:row>
      <xdr:rowOff>105834</xdr:rowOff>
    </xdr:from>
    <xdr:to>
      <xdr:col>16</xdr:col>
      <xdr:colOff>0</xdr:colOff>
      <xdr:row>1713</xdr:row>
      <xdr:rowOff>84667</xdr:rowOff>
    </xdr:to>
    <xdr:cxnSp macro="">
      <xdr:nvCxnSpPr>
        <xdr:cNvPr id="3906" name="Straight Arrow Connector 3905">
          <a:extLst>
            <a:ext uri="{FF2B5EF4-FFF2-40B4-BE49-F238E27FC236}">
              <a16:creationId xmlns:a16="http://schemas.microsoft.com/office/drawing/2014/main" id="{00000000-0008-0000-1300-0000420F0000}"/>
            </a:ext>
          </a:extLst>
        </xdr:cNvPr>
        <xdr:cNvCxnSpPr/>
      </xdr:nvCxnSpPr>
      <xdr:spPr>
        <a:xfrm>
          <a:off x="11260667" y="155363334"/>
          <a:ext cx="63500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1717</xdr:row>
      <xdr:rowOff>52916</xdr:rowOff>
    </xdr:from>
    <xdr:to>
      <xdr:col>16</xdr:col>
      <xdr:colOff>0</xdr:colOff>
      <xdr:row>1719</xdr:row>
      <xdr:rowOff>0</xdr:rowOff>
    </xdr:to>
    <xdr:cxnSp macro="">
      <xdr:nvCxnSpPr>
        <xdr:cNvPr id="3907" name="Straight Arrow Connector 3906">
          <a:extLst>
            <a:ext uri="{FF2B5EF4-FFF2-40B4-BE49-F238E27FC236}">
              <a16:creationId xmlns:a16="http://schemas.microsoft.com/office/drawing/2014/main" id="{00000000-0008-0000-1300-0000430F0000}"/>
            </a:ext>
          </a:extLst>
        </xdr:cNvPr>
        <xdr:cNvCxnSpPr/>
      </xdr:nvCxnSpPr>
      <xdr:spPr>
        <a:xfrm flipV="1">
          <a:off x="11281833" y="156834416"/>
          <a:ext cx="613834"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1719</xdr:row>
      <xdr:rowOff>21167</xdr:rowOff>
    </xdr:from>
    <xdr:to>
      <xdr:col>15</xdr:col>
      <xdr:colOff>582083</xdr:colOff>
      <xdr:row>1720</xdr:row>
      <xdr:rowOff>42333</xdr:rowOff>
    </xdr:to>
    <xdr:cxnSp macro="">
      <xdr:nvCxnSpPr>
        <xdr:cNvPr id="3908" name="Straight Arrow Connector 3907">
          <a:extLst>
            <a:ext uri="{FF2B5EF4-FFF2-40B4-BE49-F238E27FC236}">
              <a16:creationId xmlns:a16="http://schemas.microsoft.com/office/drawing/2014/main" id="{00000000-0008-0000-1300-0000440F0000}"/>
            </a:ext>
          </a:extLst>
        </xdr:cNvPr>
        <xdr:cNvCxnSpPr/>
      </xdr:nvCxnSpPr>
      <xdr:spPr>
        <a:xfrm>
          <a:off x="11292416" y="157183667"/>
          <a:ext cx="571500" cy="211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1719</xdr:row>
      <xdr:rowOff>21167</xdr:rowOff>
    </xdr:from>
    <xdr:to>
      <xdr:col>16</xdr:col>
      <xdr:colOff>42333</xdr:colOff>
      <xdr:row>1724</xdr:row>
      <xdr:rowOff>21168</xdr:rowOff>
    </xdr:to>
    <xdr:cxnSp macro="">
      <xdr:nvCxnSpPr>
        <xdr:cNvPr id="3909" name="Straight Arrow Connector 3908">
          <a:extLst>
            <a:ext uri="{FF2B5EF4-FFF2-40B4-BE49-F238E27FC236}">
              <a16:creationId xmlns:a16="http://schemas.microsoft.com/office/drawing/2014/main" id="{00000000-0008-0000-1300-0000450F0000}"/>
            </a:ext>
          </a:extLst>
        </xdr:cNvPr>
        <xdr:cNvCxnSpPr/>
      </xdr:nvCxnSpPr>
      <xdr:spPr>
        <a:xfrm>
          <a:off x="11271250" y="157183667"/>
          <a:ext cx="666750" cy="9525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1719</xdr:row>
      <xdr:rowOff>31750</xdr:rowOff>
    </xdr:from>
    <xdr:to>
      <xdr:col>16</xdr:col>
      <xdr:colOff>42334</xdr:colOff>
      <xdr:row>1726</xdr:row>
      <xdr:rowOff>63501</xdr:rowOff>
    </xdr:to>
    <xdr:cxnSp macro="">
      <xdr:nvCxnSpPr>
        <xdr:cNvPr id="3910" name="Straight Arrow Connector 3909">
          <a:extLst>
            <a:ext uri="{FF2B5EF4-FFF2-40B4-BE49-F238E27FC236}">
              <a16:creationId xmlns:a16="http://schemas.microsoft.com/office/drawing/2014/main" id="{00000000-0008-0000-1300-0000460F0000}"/>
            </a:ext>
          </a:extLst>
        </xdr:cNvPr>
        <xdr:cNvCxnSpPr/>
      </xdr:nvCxnSpPr>
      <xdr:spPr>
        <a:xfrm>
          <a:off x="11281833" y="157194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571500</xdr:colOff>
      <xdr:row>1772</xdr:row>
      <xdr:rowOff>158750</xdr:rowOff>
    </xdr:from>
    <xdr:to>
      <xdr:col>11</xdr:col>
      <xdr:colOff>571500</xdr:colOff>
      <xdr:row>1775</xdr:row>
      <xdr:rowOff>0</xdr:rowOff>
    </xdr:to>
    <xdr:cxnSp macro="">
      <xdr:nvCxnSpPr>
        <xdr:cNvPr id="3911" name="Straight Arrow Connector 3910">
          <a:extLst>
            <a:ext uri="{FF2B5EF4-FFF2-40B4-BE49-F238E27FC236}">
              <a16:creationId xmlns:a16="http://schemas.microsoft.com/office/drawing/2014/main" id="{00000000-0008-0000-1300-0000470F0000}"/>
            </a:ext>
          </a:extLst>
        </xdr:cNvPr>
        <xdr:cNvCxnSpPr/>
      </xdr:nvCxnSpPr>
      <xdr:spPr>
        <a:xfrm flipV="1">
          <a:off x="7874000" y="167608250"/>
          <a:ext cx="613833" cy="412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1730</xdr:row>
      <xdr:rowOff>0</xdr:rowOff>
    </xdr:from>
    <xdr:to>
      <xdr:col>15</xdr:col>
      <xdr:colOff>603250</xdr:colOff>
      <xdr:row>1732</xdr:row>
      <xdr:rowOff>1</xdr:rowOff>
    </xdr:to>
    <xdr:cxnSp macro="">
      <xdr:nvCxnSpPr>
        <xdr:cNvPr id="3912" name="Straight Arrow Connector 3911">
          <a:extLst>
            <a:ext uri="{FF2B5EF4-FFF2-40B4-BE49-F238E27FC236}">
              <a16:creationId xmlns:a16="http://schemas.microsoft.com/office/drawing/2014/main" id="{00000000-0008-0000-1300-0000480F0000}"/>
            </a:ext>
          </a:extLst>
        </xdr:cNvPr>
        <xdr:cNvCxnSpPr/>
      </xdr:nvCxnSpPr>
      <xdr:spPr>
        <a:xfrm flipV="1">
          <a:off x="11271250" y="1594485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1732</xdr:row>
      <xdr:rowOff>10584</xdr:rowOff>
    </xdr:from>
    <xdr:to>
      <xdr:col>15</xdr:col>
      <xdr:colOff>592666</xdr:colOff>
      <xdr:row>1733</xdr:row>
      <xdr:rowOff>95250</xdr:rowOff>
    </xdr:to>
    <xdr:cxnSp macro="">
      <xdr:nvCxnSpPr>
        <xdr:cNvPr id="3913" name="Straight Arrow Connector 3912">
          <a:extLst>
            <a:ext uri="{FF2B5EF4-FFF2-40B4-BE49-F238E27FC236}">
              <a16:creationId xmlns:a16="http://schemas.microsoft.com/office/drawing/2014/main" id="{00000000-0008-0000-1300-0000490F0000}"/>
            </a:ext>
          </a:extLst>
        </xdr:cNvPr>
        <xdr:cNvCxnSpPr/>
      </xdr:nvCxnSpPr>
      <xdr:spPr>
        <a:xfrm>
          <a:off x="11313583" y="1598400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1732</xdr:row>
      <xdr:rowOff>10584</xdr:rowOff>
    </xdr:from>
    <xdr:to>
      <xdr:col>15</xdr:col>
      <xdr:colOff>560916</xdr:colOff>
      <xdr:row>1736</xdr:row>
      <xdr:rowOff>52917</xdr:rowOff>
    </xdr:to>
    <xdr:cxnSp macro="">
      <xdr:nvCxnSpPr>
        <xdr:cNvPr id="3914" name="Straight Arrow Connector 3913">
          <a:extLst>
            <a:ext uri="{FF2B5EF4-FFF2-40B4-BE49-F238E27FC236}">
              <a16:creationId xmlns:a16="http://schemas.microsoft.com/office/drawing/2014/main" id="{00000000-0008-0000-1300-00004A0F0000}"/>
            </a:ext>
          </a:extLst>
        </xdr:cNvPr>
        <xdr:cNvCxnSpPr/>
      </xdr:nvCxnSpPr>
      <xdr:spPr>
        <a:xfrm>
          <a:off x="11292416" y="1598400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3915" name="Straight Arrow Connector 3914">
          <a:extLst>
            <a:ext uri="{FF2B5EF4-FFF2-40B4-BE49-F238E27FC236}">
              <a16:creationId xmlns:a16="http://schemas.microsoft.com/office/drawing/2014/main" id="{00000000-0008-0000-1300-00004B0F0000}"/>
            </a:ext>
          </a:extLst>
        </xdr:cNvPr>
        <xdr:cNvCxnSpPr/>
      </xdr:nvCxnSpPr>
      <xdr:spPr>
        <a:xfrm>
          <a:off x="11324166" y="15986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1746</xdr:row>
      <xdr:rowOff>0</xdr:rowOff>
    </xdr:from>
    <xdr:to>
      <xdr:col>16</xdr:col>
      <xdr:colOff>0</xdr:colOff>
      <xdr:row>1746</xdr:row>
      <xdr:rowOff>42334</xdr:rowOff>
    </xdr:to>
    <xdr:cxnSp macro="">
      <xdr:nvCxnSpPr>
        <xdr:cNvPr id="3916" name="Straight Arrow Connector 3915">
          <a:extLst>
            <a:ext uri="{FF2B5EF4-FFF2-40B4-BE49-F238E27FC236}">
              <a16:creationId xmlns:a16="http://schemas.microsoft.com/office/drawing/2014/main" id="{00000000-0008-0000-1300-00004C0F0000}"/>
            </a:ext>
          </a:extLst>
        </xdr:cNvPr>
        <xdr:cNvCxnSpPr/>
      </xdr:nvCxnSpPr>
      <xdr:spPr>
        <a:xfrm>
          <a:off x="11302999" y="162496500"/>
          <a:ext cx="592668"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1746</xdr:row>
      <xdr:rowOff>21166</xdr:rowOff>
    </xdr:from>
    <xdr:to>
      <xdr:col>15</xdr:col>
      <xdr:colOff>560916</xdr:colOff>
      <xdr:row>1749</xdr:row>
      <xdr:rowOff>84667</xdr:rowOff>
    </xdr:to>
    <xdr:cxnSp macro="">
      <xdr:nvCxnSpPr>
        <xdr:cNvPr id="3917" name="Straight Arrow Connector 3916">
          <a:extLst>
            <a:ext uri="{FF2B5EF4-FFF2-40B4-BE49-F238E27FC236}">
              <a16:creationId xmlns:a16="http://schemas.microsoft.com/office/drawing/2014/main" id="{00000000-0008-0000-1300-00004D0F0000}"/>
            </a:ext>
          </a:extLst>
        </xdr:cNvPr>
        <xdr:cNvCxnSpPr/>
      </xdr:nvCxnSpPr>
      <xdr:spPr>
        <a:xfrm>
          <a:off x="11355916" y="1625176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1746</xdr:row>
      <xdr:rowOff>52916</xdr:rowOff>
    </xdr:from>
    <xdr:to>
      <xdr:col>15</xdr:col>
      <xdr:colOff>592666</xdr:colOff>
      <xdr:row>1752</xdr:row>
      <xdr:rowOff>63501</xdr:rowOff>
    </xdr:to>
    <xdr:cxnSp macro="">
      <xdr:nvCxnSpPr>
        <xdr:cNvPr id="3918" name="Straight Arrow Connector 3917">
          <a:extLst>
            <a:ext uri="{FF2B5EF4-FFF2-40B4-BE49-F238E27FC236}">
              <a16:creationId xmlns:a16="http://schemas.microsoft.com/office/drawing/2014/main" id="{00000000-0008-0000-1300-00004E0F0000}"/>
            </a:ext>
          </a:extLst>
        </xdr:cNvPr>
        <xdr:cNvCxnSpPr/>
      </xdr:nvCxnSpPr>
      <xdr:spPr>
        <a:xfrm>
          <a:off x="11313583" y="1625494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1760</xdr:row>
      <xdr:rowOff>116416</xdr:rowOff>
    </xdr:from>
    <xdr:to>
      <xdr:col>15</xdr:col>
      <xdr:colOff>592666</xdr:colOff>
      <xdr:row>1763</xdr:row>
      <xdr:rowOff>158750</xdr:rowOff>
    </xdr:to>
    <xdr:cxnSp macro="">
      <xdr:nvCxnSpPr>
        <xdr:cNvPr id="3919" name="Straight Arrow Connector 3918">
          <a:extLst>
            <a:ext uri="{FF2B5EF4-FFF2-40B4-BE49-F238E27FC236}">
              <a16:creationId xmlns:a16="http://schemas.microsoft.com/office/drawing/2014/main" id="{00000000-0008-0000-1300-00004F0F0000}"/>
            </a:ext>
          </a:extLst>
        </xdr:cNvPr>
        <xdr:cNvCxnSpPr/>
      </xdr:nvCxnSpPr>
      <xdr:spPr>
        <a:xfrm flipV="1">
          <a:off x="11302999" y="165279916"/>
          <a:ext cx="571500" cy="613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1762</xdr:row>
      <xdr:rowOff>95250</xdr:rowOff>
    </xdr:from>
    <xdr:to>
      <xdr:col>15</xdr:col>
      <xdr:colOff>582083</xdr:colOff>
      <xdr:row>1764</xdr:row>
      <xdr:rowOff>52917</xdr:rowOff>
    </xdr:to>
    <xdr:cxnSp macro="">
      <xdr:nvCxnSpPr>
        <xdr:cNvPr id="3920" name="Straight Arrow Connector 3919">
          <a:extLst>
            <a:ext uri="{FF2B5EF4-FFF2-40B4-BE49-F238E27FC236}">
              <a16:creationId xmlns:a16="http://schemas.microsoft.com/office/drawing/2014/main" id="{00000000-0008-0000-1300-0000500F0000}"/>
            </a:ext>
          </a:extLst>
        </xdr:cNvPr>
        <xdr:cNvCxnSpPr/>
      </xdr:nvCxnSpPr>
      <xdr:spPr>
        <a:xfrm flipV="1">
          <a:off x="11345333" y="165639750"/>
          <a:ext cx="518583" cy="338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1764</xdr:row>
      <xdr:rowOff>116417</xdr:rowOff>
    </xdr:from>
    <xdr:to>
      <xdr:col>15</xdr:col>
      <xdr:colOff>592666</xdr:colOff>
      <xdr:row>1768</xdr:row>
      <xdr:rowOff>95250</xdr:rowOff>
    </xdr:to>
    <xdr:cxnSp macro="">
      <xdr:nvCxnSpPr>
        <xdr:cNvPr id="3921" name="Straight Arrow Connector 3920">
          <a:extLst>
            <a:ext uri="{FF2B5EF4-FFF2-40B4-BE49-F238E27FC236}">
              <a16:creationId xmlns:a16="http://schemas.microsoft.com/office/drawing/2014/main" id="{00000000-0008-0000-1300-0000510F0000}"/>
            </a:ext>
          </a:extLst>
        </xdr:cNvPr>
        <xdr:cNvCxnSpPr/>
      </xdr:nvCxnSpPr>
      <xdr:spPr>
        <a:xfrm>
          <a:off x="11334749" y="166041917"/>
          <a:ext cx="53975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1775</xdr:row>
      <xdr:rowOff>116416</xdr:rowOff>
    </xdr:from>
    <xdr:to>
      <xdr:col>16</xdr:col>
      <xdr:colOff>0</xdr:colOff>
      <xdr:row>1782</xdr:row>
      <xdr:rowOff>74084</xdr:rowOff>
    </xdr:to>
    <xdr:cxnSp macro="">
      <xdr:nvCxnSpPr>
        <xdr:cNvPr id="3922" name="Straight Arrow Connector 3921">
          <a:extLst>
            <a:ext uri="{FF2B5EF4-FFF2-40B4-BE49-F238E27FC236}">
              <a16:creationId xmlns:a16="http://schemas.microsoft.com/office/drawing/2014/main" id="{00000000-0008-0000-1300-0000520F0000}"/>
            </a:ext>
          </a:extLst>
        </xdr:cNvPr>
        <xdr:cNvCxnSpPr/>
      </xdr:nvCxnSpPr>
      <xdr:spPr>
        <a:xfrm>
          <a:off x="11313583" y="168137416"/>
          <a:ext cx="582084" cy="12911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1743</xdr:row>
      <xdr:rowOff>52917</xdr:rowOff>
    </xdr:from>
    <xdr:to>
      <xdr:col>15</xdr:col>
      <xdr:colOff>603250</xdr:colOff>
      <xdr:row>1745</xdr:row>
      <xdr:rowOff>148167</xdr:rowOff>
    </xdr:to>
    <xdr:cxnSp macro="">
      <xdr:nvCxnSpPr>
        <xdr:cNvPr id="3923" name="Straight Arrow Connector 3922">
          <a:extLst>
            <a:ext uri="{FF2B5EF4-FFF2-40B4-BE49-F238E27FC236}">
              <a16:creationId xmlns:a16="http://schemas.microsoft.com/office/drawing/2014/main" id="{00000000-0008-0000-1300-0000530F0000}"/>
            </a:ext>
          </a:extLst>
        </xdr:cNvPr>
        <xdr:cNvCxnSpPr/>
      </xdr:nvCxnSpPr>
      <xdr:spPr>
        <a:xfrm flipV="1">
          <a:off x="11324166" y="1619779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1778</xdr:row>
      <xdr:rowOff>42333</xdr:rowOff>
    </xdr:from>
    <xdr:to>
      <xdr:col>11</xdr:col>
      <xdr:colOff>603250</xdr:colOff>
      <xdr:row>1790</xdr:row>
      <xdr:rowOff>10583</xdr:rowOff>
    </xdr:to>
    <xdr:cxnSp macro="">
      <xdr:nvCxnSpPr>
        <xdr:cNvPr id="3924" name="Straight Arrow Connector 3923">
          <a:extLst>
            <a:ext uri="{FF2B5EF4-FFF2-40B4-BE49-F238E27FC236}">
              <a16:creationId xmlns:a16="http://schemas.microsoft.com/office/drawing/2014/main" id="{00000000-0008-0000-1300-0000540F0000}"/>
            </a:ext>
          </a:extLst>
        </xdr:cNvPr>
        <xdr:cNvCxnSpPr/>
      </xdr:nvCxnSpPr>
      <xdr:spPr>
        <a:xfrm>
          <a:off x="7926917" y="1686348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1768</xdr:row>
      <xdr:rowOff>21167</xdr:rowOff>
    </xdr:from>
    <xdr:to>
      <xdr:col>13</xdr:col>
      <xdr:colOff>592667</xdr:colOff>
      <xdr:row>1770</xdr:row>
      <xdr:rowOff>0</xdr:rowOff>
    </xdr:to>
    <xdr:cxnSp macro="">
      <xdr:nvCxnSpPr>
        <xdr:cNvPr id="3925" name="Straight Arrow Connector 3924">
          <a:extLst>
            <a:ext uri="{FF2B5EF4-FFF2-40B4-BE49-F238E27FC236}">
              <a16:creationId xmlns:a16="http://schemas.microsoft.com/office/drawing/2014/main" id="{00000000-0008-0000-1300-0000550F0000}"/>
            </a:ext>
          </a:extLst>
        </xdr:cNvPr>
        <xdr:cNvCxnSpPr/>
      </xdr:nvCxnSpPr>
      <xdr:spPr>
        <a:xfrm flipV="1">
          <a:off x="9133417" y="166708667"/>
          <a:ext cx="984250"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1773</xdr:row>
      <xdr:rowOff>21166</xdr:rowOff>
    </xdr:from>
    <xdr:to>
      <xdr:col>13</xdr:col>
      <xdr:colOff>592667</xdr:colOff>
      <xdr:row>1774</xdr:row>
      <xdr:rowOff>169334</xdr:rowOff>
    </xdr:to>
    <xdr:cxnSp macro="">
      <xdr:nvCxnSpPr>
        <xdr:cNvPr id="3926" name="Straight Arrow Connector 3925">
          <a:extLst>
            <a:ext uri="{FF2B5EF4-FFF2-40B4-BE49-F238E27FC236}">
              <a16:creationId xmlns:a16="http://schemas.microsoft.com/office/drawing/2014/main" id="{00000000-0008-0000-1300-0000560F0000}"/>
            </a:ext>
          </a:extLst>
        </xdr:cNvPr>
        <xdr:cNvCxnSpPr/>
      </xdr:nvCxnSpPr>
      <xdr:spPr>
        <a:xfrm>
          <a:off x="9122833" y="167661166"/>
          <a:ext cx="994834"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1788</xdr:row>
      <xdr:rowOff>21167</xdr:rowOff>
    </xdr:from>
    <xdr:to>
      <xdr:col>13</xdr:col>
      <xdr:colOff>592667</xdr:colOff>
      <xdr:row>1790</xdr:row>
      <xdr:rowOff>63500</xdr:rowOff>
    </xdr:to>
    <xdr:cxnSp macro="">
      <xdr:nvCxnSpPr>
        <xdr:cNvPr id="3927" name="Straight Arrow Connector 3926">
          <a:extLst>
            <a:ext uri="{FF2B5EF4-FFF2-40B4-BE49-F238E27FC236}">
              <a16:creationId xmlns:a16="http://schemas.microsoft.com/office/drawing/2014/main" id="{00000000-0008-0000-1300-0000570F0000}"/>
            </a:ext>
          </a:extLst>
        </xdr:cNvPr>
        <xdr:cNvCxnSpPr/>
      </xdr:nvCxnSpPr>
      <xdr:spPr>
        <a:xfrm flipV="1">
          <a:off x="9525000" y="1707091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1793</xdr:row>
      <xdr:rowOff>0</xdr:rowOff>
    </xdr:from>
    <xdr:to>
      <xdr:col>14</xdr:col>
      <xdr:colOff>10584</xdr:colOff>
      <xdr:row>1801</xdr:row>
      <xdr:rowOff>148167</xdr:rowOff>
    </xdr:to>
    <xdr:cxnSp macro="">
      <xdr:nvCxnSpPr>
        <xdr:cNvPr id="3928" name="Straight Arrow Connector 3927">
          <a:extLst>
            <a:ext uri="{FF2B5EF4-FFF2-40B4-BE49-F238E27FC236}">
              <a16:creationId xmlns:a16="http://schemas.microsoft.com/office/drawing/2014/main" id="{00000000-0008-0000-1300-0000580F0000}"/>
            </a:ext>
          </a:extLst>
        </xdr:cNvPr>
        <xdr:cNvCxnSpPr/>
      </xdr:nvCxnSpPr>
      <xdr:spPr>
        <a:xfrm>
          <a:off x="9535583" y="171640500"/>
          <a:ext cx="613834"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1764</xdr:row>
      <xdr:rowOff>95250</xdr:rowOff>
    </xdr:from>
    <xdr:to>
      <xdr:col>15</xdr:col>
      <xdr:colOff>582083</xdr:colOff>
      <xdr:row>1766</xdr:row>
      <xdr:rowOff>137583</xdr:rowOff>
    </xdr:to>
    <xdr:cxnSp macro="">
      <xdr:nvCxnSpPr>
        <xdr:cNvPr id="3929" name="Straight Arrow Connector 3928">
          <a:extLst>
            <a:ext uri="{FF2B5EF4-FFF2-40B4-BE49-F238E27FC236}">
              <a16:creationId xmlns:a16="http://schemas.microsoft.com/office/drawing/2014/main" id="{00000000-0008-0000-1300-0000590F0000}"/>
            </a:ext>
          </a:extLst>
        </xdr:cNvPr>
        <xdr:cNvCxnSpPr/>
      </xdr:nvCxnSpPr>
      <xdr:spPr>
        <a:xfrm>
          <a:off x="11334749" y="166020750"/>
          <a:ext cx="5291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1773</xdr:row>
      <xdr:rowOff>52916</xdr:rowOff>
    </xdr:from>
    <xdr:to>
      <xdr:col>16</xdr:col>
      <xdr:colOff>0</xdr:colOff>
      <xdr:row>1775</xdr:row>
      <xdr:rowOff>0</xdr:rowOff>
    </xdr:to>
    <xdr:cxnSp macro="">
      <xdr:nvCxnSpPr>
        <xdr:cNvPr id="3930" name="Straight Arrow Connector 3929">
          <a:extLst>
            <a:ext uri="{FF2B5EF4-FFF2-40B4-BE49-F238E27FC236}">
              <a16:creationId xmlns:a16="http://schemas.microsoft.com/office/drawing/2014/main" id="{00000000-0008-0000-1300-00005A0F0000}"/>
            </a:ext>
          </a:extLst>
        </xdr:cNvPr>
        <xdr:cNvCxnSpPr/>
      </xdr:nvCxnSpPr>
      <xdr:spPr>
        <a:xfrm flipV="1">
          <a:off x="11281833" y="167692916"/>
          <a:ext cx="613834"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1775</xdr:row>
      <xdr:rowOff>21167</xdr:rowOff>
    </xdr:from>
    <xdr:to>
      <xdr:col>15</xdr:col>
      <xdr:colOff>592666</xdr:colOff>
      <xdr:row>1776</xdr:row>
      <xdr:rowOff>84667</xdr:rowOff>
    </xdr:to>
    <xdr:cxnSp macro="">
      <xdr:nvCxnSpPr>
        <xdr:cNvPr id="3931" name="Straight Arrow Connector 3930">
          <a:extLst>
            <a:ext uri="{FF2B5EF4-FFF2-40B4-BE49-F238E27FC236}">
              <a16:creationId xmlns:a16="http://schemas.microsoft.com/office/drawing/2014/main" id="{00000000-0008-0000-1300-00005B0F0000}"/>
            </a:ext>
          </a:extLst>
        </xdr:cNvPr>
        <xdr:cNvCxnSpPr/>
      </xdr:nvCxnSpPr>
      <xdr:spPr>
        <a:xfrm>
          <a:off x="11271250" y="168042167"/>
          <a:ext cx="603249" cy="25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1775</xdr:row>
      <xdr:rowOff>0</xdr:rowOff>
    </xdr:from>
    <xdr:to>
      <xdr:col>16</xdr:col>
      <xdr:colOff>0</xdr:colOff>
      <xdr:row>1779</xdr:row>
      <xdr:rowOff>42334</xdr:rowOff>
    </xdr:to>
    <xdr:cxnSp macro="">
      <xdr:nvCxnSpPr>
        <xdr:cNvPr id="3932" name="Straight Arrow Connector 3931">
          <a:extLst>
            <a:ext uri="{FF2B5EF4-FFF2-40B4-BE49-F238E27FC236}">
              <a16:creationId xmlns:a16="http://schemas.microsoft.com/office/drawing/2014/main" id="{00000000-0008-0000-1300-00005C0F0000}"/>
            </a:ext>
          </a:extLst>
        </xdr:cNvPr>
        <xdr:cNvCxnSpPr/>
      </xdr:nvCxnSpPr>
      <xdr:spPr>
        <a:xfrm>
          <a:off x="11271250" y="168021000"/>
          <a:ext cx="624417" cy="804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1786</xdr:row>
      <xdr:rowOff>0</xdr:rowOff>
    </xdr:from>
    <xdr:to>
      <xdr:col>15</xdr:col>
      <xdr:colOff>603250</xdr:colOff>
      <xdr:row>1788</xdr:row>
      <xdr:rowOff>1</xdr:rowOff>
    </xdr:to>
    <xdr:cxnSp macro="">
      <xdr:nvCxnSpPr>
        <xdr:cNvPr id="3933" name="Straight Arrow Connector 3932">
          <a:extLst>
            <a:ext uri="{FF2B5EF4-FFF2-40B4-BE49-F238E27FC236}">
              <a16:creationId xmlns:a16="http://schemas.microsoft.com/office/drawing/2014/main" id="{00000000-0008-0000-1300-00005D0F0000}"/>
            </a:ext>
          </a:extLst>
        </xdr:cNvPr>
        <xdr:cNvCxnSpPr/>
      </xdr:nvCxnSpPr>
      <xdr:spPr>
        <a:xfrm flipV="1">
          <a:off x="11271250" y="1703070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1788</xdr:row>
      <xdr:rowOff>10584</xdr:rowOff>
    </xdr:from>
    <xdr:to>
      <xdr:col>15</xdr:col>
      <xdr:colOff>592666</xdr:colOff>
      <xdr:row>1789</xdr:row>
      <xdr:rowOff>95250</xdr:rowOff>
    </xdr:to>
    <xdr:cxnSp macro="">
      <xdr:nvCxnSpPr>
        <xdr:cNvPr id="3934" name="Straight Arrow Connector 3933">
          <a:extLst>
            <a:ext uri="{FF2B5EF4-FFF2-40B4-BE49-F238E27FC236}">
              <a16:creationId xmlns:a16="http://schemas.microsoft.com/office/drawing/2014/main" id="{00000000-0008-0000-1300-00005E0F0000}"/>
            </a:ext>
          </a:extLst>
        </xdr:cNvPr>
        <xdr:cNvCxnSpPr/>
      </xdr:nvCxnSpPr>
      <xdr:spPr>
        <a:xfrm>
          <a:off x="11313583" y="1706985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1788</xdr:row>
      <xdr:rowOff>10584</xdr:rowOff>
    </xdr:from>
    <xdr:to>
      <xdr:col>15</xdr:col>
      <xdr:colOff>560916</xdr:colOff>
      <xdr:row>1792</xdr:row>
      <xdr:rowOff>52917</xdr:rowOff>
    </xdr:to>
    <xdr:cxnSp macro="">
      <xdr:nvCxnSpPr>
        <xdr:cNvPr id="3935" name="Straight Arrow Connector 3934">
          <a:extLst>
            <a:ext uri="{FF2B5EF4-FFF2-40B4-BE49-F238E27FC236}">
              <a16:creationId xmlns:a16="http://schemas.microsoft.com/office/drawing/2014/main" id="{00000000-0008-0000-1300-00005F0F0000}"/>
            </a:ext>
          </a:extLst>
        </xdr:cNvPr>
        <xdr:cNvCxnSpPr/>
      </xdr:nvCxnSpPr>
      <xdr:spPr>
        <a:xfrm>
          <a:off x="11292416" y="1706985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3936" name="Straight Arrow Connector 3935">
          <a:extLst>
            <a:ext uri="{FF2B5EF4-FFF2-40B4-BE49-F238E27FC236}">
              <a16:creationId xmlns:a16="http://schemas.microsoft.com/office/drawing/2014/main" id="{00000000-0008-0000-1300-0000600F0000}"/>
            </a:ext>
          </a:extLst>
        </xdr:cNvPr>
        <xdr:cNvCxnSpPr/>
      </xdr:nvCxnSpPr>
      <xdr:spPr>
        <a:xfrm>
          <a:off x="11324166" y="170719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1802</xdr:row>
      <xdr:rowOff>0</xdr:rowOff>
    </xdr:from>
    <xdr:to>
      <xdr:col>16</xdr:col>
      <xdr:colOff>0</xdr:colOff>
      <xdr:row>1802</xdr:row>
      <xdr:rowOff>42334</xdr:rowOff>
    </xdr:to>
    <xdr:cxnSp macro="">
      <xdr:nvCxnSpPr>
        <xdr:cNvPr id="3937" name="Straight Arrow Connector 3936">
          <a:extLst>
            <a:ext uri="{FF2B5EF4-FFF2-40B4-BE49-F238E27FC236}">
              <a16:creationId xmlns:a16="http://schemas.microsoft.com/office/drawing/2014/main" id="{00000000-0008-0000-1300-0000610F0000}"/>
            </a:ext>
          </a:extLst>
        </xdr:cNvPr>
        <xdr:cNvCxnSpPr/>
      </xdr:nvCxnSpPr>
      <xdr:spPr>
        <a:xfrm>
          <a:off x="11302999" y="173355000"/>
          <a:ext cx="592668"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1802</xdr:row>
      <xdr:rowOff>21166</xdr:rowOff>
    </xdr:from>
    <xdr:to>
      <xdr:col>15</xdr:col>
      <xdr:colOff>560916</xdr:colOff>
      <xdr:row>1805</xdr:row>
      <xdr:rowOff>84667</xdr:rowOff>
    </xdr:to>
    <xdr:cxnSp macro="">
      <xdr:nvCxnSpPr>
        <xdr:cNvPr id="3938" name="Straight Arrow Connector 3937">
          <a:extLst>
            <a:ext uri="{FF2B5EF4-FFF2-40B4-BE49-F238E27FC236}">
              <a16:creationId xmlns:a16="http://schemas.microsoft.com/office/drawing/2014/main" id="{00000000-0008-0000-1300-0000620F0000}"/>
            </a:ext>
          </a:extLst>
        </xdr:cNvPr>
        <xdr:cNvCxnSpPr/>
      </xdr:nvCxnSpPr>
      <xdr:spPr>
        <a:xfrm>
          <a:off x="11355916" y="1733761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1802</xdr:row>
      <xdr:rowOff>52916</xdr:rowOff>
    </xdr:from>
    <xdr:to>
      <xdr:col>15</xdr:col>
      <xdr:colOff>592666</xdr:colOff>
      <xdr:row>1808</xdr:row>
      <xdr:rowOff>63501</xdr:rowOff>
    </xdr:to>
    <xdr:cxnSp macro="">
      <xdr:nvCxnSpPr>
        <xdr:cNvPr id="3939" name="Straight Arrow Connector 3938">
          <a:extLst>
            <a:ext uri="{FF2B5EF4-FFF2-40B4-BE49-F238E27FC236}">
              <a16:creationId xmlns:a16="http://schemas.microsoft.com/office/drawing/2014/main" id="{00000000-0008-0000-1300-0000630F0000}"/>
            </a:ext>
          </a:extLst>
        </xdr:cNvPr>
        <xdr:cNvCxnSpPr/>
      </xdr:nvCxnSpPr>
      <xdr:spPr>
        <a:xfrm>
          <a:off x="11313583" y="1734079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1799</xdr:row>
      <xdr:rowOff>52917</xdr:rowOff>
    </xdr:from>
    <xdr:to>
      <xdr:col>15</xdr:col>
      <xdr:colOff>603250</xdr:colOff>
      <xdr:row>1801</xdr:row>
      <xdr:rowOff>148167</xdr:rowOff>
    </xdr:to>
    <xdr:cxnSp macro="">
      <xdr:nvCxnSpPr>
        <xdr:cNvPr id="3940" name="Straight Arrow Connector 3939">
          <a:extLst>
            <a:ext uri="{FF2B5EF4-FFF2-40B4-BE49-F238E27FC236}">
              <a16:creationId xmlns:a16="http://schemas.microsoft.com/office/drawing/2014/main" id="{00000000-0008-0000-1300-0000640F0000}"/>
            </a:ext>
          </a:extLst>
        </xdr:cNvPr>
        <xdr:cNvCxnSpPr/>
      </xdr:nvCxnSpPr>
      <xdr:spPr>
        <a:xfrm flipV="1">
          <a:off x="11324166" y="1728364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3941" name="Straight Arrow Connector 3940">
          <a:extLst>
            <a:ext uri="{FF2B5EF4-FFF2-40B4-BE49-F238E27FC236}">
              <a16:creationId xmlns:a16="http://schemas.microsoft.com/office/drawing/2014/main" id="{00000000-0008-0000-1300-0000650F0000}"/>
            </a:ext>
          </a:extLst>
        </xdr:cNvPr>
        <xdr:cNvCxnSpPr/>
      </xdr:nvCxnSpPr>
      <xdr:spPr>
        <a:xfrm>
          <a:off x="11324166" y="15986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3942" name="Straight Arrow Connector 3941">
          <a:extLst>
            <a:ext uri="{FF2B5EF4-FFF2-40B4-BE49-F238E27FC236}">
              <a16:creationId xmlns:a16="http://schemas.microsoft.com/office/drawing/2014/main" id="{00000000-0008-0000-1300-0000660F0000}"/>
            </a:ext>
          </a:extLst>
        </xdr:cNvPr>
        <xdr:cNvCxnSpPr/>
      </xdr:nvCxnSpPr>
      <xdr:spPr>
        <a:xfrm>
          <a:off x="11324166" y="15986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1719</xdr:row>
      <xdr:rowOff>31750</xdr:rowOff>
    </xdr:from>
    <xdr:to>
      <xdr:col>16</xdr:col>
      <xdr:colOff>42334</xdr:colOff>
      <xdr:row>1726</xdr:row>
      <xdr:rowOff>63501</xdr:rowOff>
    </xdr:to>
    <xdr:cxnSp macro="">
      <xdr:nvCxnSpPr>
        <xdr:cNvPr id="3943" name="Straight Arrow Connector 3942">
          <a:extLst>
            <a:ext uri="{FF2B5EF4-FFF2-40B4-BE49-F238E27FC236}">
              <a16:creationId xmlns:a16="http://schemas.microsoft.com/office/drawing/2014/main" id="{00000000-0008-0000-1300-0000670F0000}"/>
            </a:ext>
          </a:extLst>
        </xdr:cNvPr>
        <xdr:cNvCxnSpPr/>
      </xdr:nvCxnSpPr>
      <xdr:spPr>
        <a:xfrm>
          <a:off x="11281833" y="157194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3944" name="Straight Arrow Connector 3943">
          <a:extLst>
            <a:ext uri="{FF2B5EF4-FFF2-40B4-BE49-F238E27FC236}">
              <a16:creationId xmlns:a16="http://schemas.microsoft.com/office/drawing/2014/main" id="{00000000-0008-0000-1300-0000680F0000}"/>
            </a:ext>
          </a:extLst>
        </xdr:cNvPr>
        <xdr:cNvCxnSpPr/>
      </xdr:nvCxnSpPr>
      <xdr:spPr>
        <a:xfrm>
          <a:off x="11324166" y="15986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1802</xdr:row>
      <xdr:rowOff>21167</xdr:rowOff>
    </xdr:from>
    <xdr:to>
      <xdr:col>15</xdr:col>
      <xdr:colOff>592666</xdr:colOff>
      <xdr:row>1803</xdr:row>
      <xdr:rowOff>84667</xdr:rowOff>
    </xdr:to>
    <xdr:cxnSp macro="">
      <xdr:nvCxnSpPr>
        <xdr:cNvPr id="3945" name="Straight Arrow Connector 3944">
          <a:extLst>
            <a:ext uri="{FF2B5EF4-FFF2-40B4-BE49-F238E27FC236}">
              <a16:creationId xmlns:a16="http://schemas.microsoft.com/office/drawing/2014/main" id="{00000000-0008-0000-1300-0000690F0000}"/>
            </a:ext>
          </a:extLst>
        </xdr:cNvPr>
        <xdr:cNvCxnSpPr/>
      </xdr:nvCxnSpPr>
      <xdr:spPr>
        <a:xfrm>
          <a:off x="11271250" y="173376167"/>
          <a:ext cx="603249" cy="25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3946" name="Straight Arrow Connector 3945">
          <a:extLst>
            <a:ext uri="{FF2B5EF4-FFF2-40B4-BE49-F238E27FC236}">
              <a16:creationId xmlns:a16="http://schemas.microsoft.com/office/drawing/2014/main" id="{00000000-0008-0000-1300-00006A0F0000}"/>
            </a:ext>
          </a:extLst>
        </xdr:cNvPr>
        <xdr:cNvCxnSpPr/>
      </xdr:nvCxnSpPr>
      <xdr:spPr>
        <a:xfrm>
          <a:off x="11281833" y="168052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3947" name="Straight Arrow Connector 3946">
          <a:extLst>
            <a:ext uri="{FF2B5EF4-FFF2-40B4-BE49-F238E27FC236}">
              <a16:creationId xmlns:a16="http://schemas.microsoft.com/office/drawing/2014/main" id="{00000000-0008-0000-1300-00006B0F0000}"/>
            </a:ext>
          </a:extLst>
        </xdr:cNvPr>
        <xdr:cNvCxnSpPr/>
      </xdr:nvCxnSpPr>
      <xdr:spPr>
        <a:xfrm>
          <a:off x="11324166" y="170719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3948" name="Straight Arrow Connector 3947">
          <a:extLst>
            <a:ext uri="{FF2B5EF4-FFF2-40B4-BE49-F238E27FC236}">
              <a16:creationId xmlns:a16="http://schemas.microsoft.com/office/drawing/2014/main" id="{00000000-0008-0000-1300-00006C0F0000}"/>
            </a:ext>
          </a:extLst>
        </xdr:cNvPr>
        <xdr:cNvCxnSpPr/>
      </xdr:nvCxnSpPr>
      <xdr:spPr>
        <a:xfrm>
          <a:off x="11324166" y="170719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3949" name="Straight Arrow Connector 3948">
          <a:extLst>
            <a:ext uri="{FF2B5EF4-FFF2-40B4-BE49-F238E27FC236}">
              <a16:creationId xmlns:a16="http://schemas.microsoft.com/office/drawing/2014/main" id="{00000000-0008-0000-1300-00006D0F0000}"/>
            </a:ext>
          </a:extLst>
        </xdr:cNvPr>
        <xdr:cNvCxnSpPr/>
      </xdr:nvCxnSpPr>
      <xdr:spPr>
        <a:xfrm>
          <a:off x="11324166" y="170719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3950" name="Straight Arrow Connector 3949">
          <a:extLst>
            <a:ext uri="{FF2B5EF4-FFF2-40B4-BE49-F238E27FC236}">
              <a16:creationId xmlns:a16="http://schemas.microsoft.com/office/drawing/2014/main" id="{00000000-0008-0000-1300-00006E0F0000}"/>
            </a:ext>
          </a:extLst>
        </xdr:cNvPr>
        <xdr:cNvCxnSpPr/>
      </xdr:nvCxnSpPr>
      <xdr:spPr>
        <a:xfrm>
          <a:off x="11281833" y="168052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3951" name="Straight Arrow Connector 3950">
          <a:extLst>
            <a:ext uri="{FF2B5EF4-FFF2-40B4-BE49-F238E27FC236}">
              <a16:creationId xmlns:a16="http://schemas.microsoft.com/office/drawing/2014/main" id="{00000000-0008-0000-1300-00006F0F0000}"/>
            </a:ext>
          </a:extLst>
        </xdr:cNvPr>
        <xdr:cNvCxnSpPr/>
      </xdr:nvCxnSpPr>
      <xdr:spPr>
        <a:xfrm>
          <a:off x="11324166" y="170719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1409</xdr:row>
      <xdr:rowOff>31750</xdr:rowOff>
    </xdr:from>
    <xdr:to>
      <xdr:col>16</xdr:col>
      <xdr:colOff>42334</xdr:colOff>
      <xdr:row>1416</xdr:row>
      <xdr:rowOff>63501</xdr:rowOff>
    </xdr:to>
    <xdr:cxnSp macro="">
      <xdr:nvCxnSpPr>
        <xdr:cNvPr id="3952" name="Straight Arrow Connector 3951">
          <a:extLst>
            <a:ext uri="{FF2B5EF4-FFF2-40B4-BE49-F238E27FC236}">
              <a16:creationId xmlns:a16="http://schemas.microsoft.com/office/drawing/2014/main" id="{00000000-0008-0000-1300-0000700F0000}"/>
            </a:ext>
          </a:extLst>
        </xdr:cNvPr>
        <xdr:cNvCxnSpPr/>
      </xdr:nvCxnSpPr>
      <xdr:spPr>
        <a:xfrm>
          <a:off x="11281833" y="97186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1409</xdr:row>
      <xdr:rowOff>31750</xdr:rowOff>
    </xdr:from>
    <xdr:to>
      <xdr:col>16</xdr:col>
      <xdr:colOff>42334</xdr:colOff>
      <xdr:row>1416</xdr:row>
      <xdr:rowOff>63501</xdr:rowOff>
    </xdr:to>
    <xdr:cxnSp macro="">
      <xdr:nvCxnSpPr>
        <xdr:cNvPr id="3953" name="Straight Arrow Connector 3952">
          <a:extLst>
            <a:ext uri="{FF2B5EF4-FFF2-40B4-BE49-F238E27FC236}">
              <a16:creationId xmlns:a16="http://schemas.microsoft.com/office/drawing/2014/main" id="{00000000-0008-0000-1300-0000710F0000}"/>
            </a:ext>
          </a:extLst>
        </xdr:cNvPr>
        <xdr:cNvCxnSpPr/>
      </xdr:nvCxnSpPr>
      <xdr:spPr>
        <a:xfrm>
          <a:off x="11281833" y="97186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1439</xdr:row>
      <xdr:rowOff>31750</xdr:rowOff>
    </xdr:from>
    <xdr:to>
      <xdr:col>16</xdr:col>
      <xdr:colOff>42334</xdr:colOff>
      <xdr:row>1446</xdr:row>
      <xdr:rowOff>63501</xdr:rowOff>
    </xdr:to>
    <xdr:cxnSp macro="">
      <xdr:nvCxnSpPr>
        <xdr:cNvPr id="3954" name="Straight Arrow Connector 3953">
          <a:extLst>
            <a:ext uri="{FF2B5EF4-FFF2-40B4-BE49-F238E27FC236}">
              <a16:creationId xmlns:a16="http://schemas.microsoft.com/office/drawing/2014/main" id="{00000000-0008-0000-1300-0000720F0000}"/>
            </a:ext>
          </a:extLst>
        </xdr:cNvPr>
        <xdr:cNvCxnSpPr/>
      </xdr:nvCxnSpPr>
      <xdr:spPr>
        <a:xfrm>
          <a:off x="11281833" y="102901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1452</xdr:row>
      <xdr:rowOff>31750</xdr:rowOff>
    </xdr:from>
    <xdr:to>
      <xdr:col>16</xdr:col>
      <xdr:colOff>21167</xdr:colOff>
      <xdr:row>1459</xdr:row>
      <xdr:rowOff>95250</xdr:rowOff>
    </xdr:to>
    <xdr:cxnSp macro="">
      <xdr:nvCxnSpPr>
        <xdr:cNvPr id="3955" name="Straight Arrow Connector 3954">
          <a:extLst>
            <a:ext uri="{FF2B5EF4-FFF2-40B4-BE49-F238E27FC236}">
              <a16:creationId xmlns:a16="http://schemas.microsoft.com/office/drawing/2014/main" id="{00000000-0008-0000-1300-0000730F0000}"/>
            </a:ext>
          </a:extLst>
        </xdr:cNvPr>
        <xdr:cNvCxnSpPr/>
      </xdr:nvCxnSpPr>
      <xdr:spPr>
        <a:xfrm>
          <a:off x="11324166" y="105568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1439</xdr:row>
      <xdr:rowOff>31750</xdr:rowOff>
    </xdr:from>
    <xdr:to>
      <xdr:col>16</xdr:col>
      <xdr:colOff>42334</xdr:colOff>
      <xdr:row>1446</xdr:row>
      <xdr:rowOff>63501</xdr:rowOff>
    </xdr:to>
    <xdr:cxnSp macro="">
      <xdr:nvCxnSpPr>
        <xdr:cNvPr id="3956" name="Straight Arrow Connector 3955">
          <a:extLst>
            <a:ext uri="{FF2B5EF4-FFF2-40B4-BE49-F238E27FC236}">
              <a16:creationId xmlns:a16="http://schemas.microsoft.com/office/drawing/2014/main" id="{00000000-0008-0000-1300-0000740F0000}"/>
            </a:ext>
          </a:extLst>
        </xdr:cNvPr>
        <xdr:cNvCxnSpPr/>
      </xdr:nvCxnSpPr>
      <xdr:spPr>
        <a:xfrm>
          <a:off x="11281833" y="102901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1452</xdr:row>
      <xdr:rowOff>31750</xdr:rowOff>
    </xdr:from>
    <xdr:to>
      <xdr:col>16</xdr:col>
      <xdr:colOff>21167</xdr:colOff>
      <xdr:row>1459</xdr:row>
      <xdr:rowOff>95250</xdr:rowOff>
    </xdr:to>
    <xdr:cxnSp macro="">
      <xdr:nvCxnSpPr>
        <xdr:cNvPr id="3957" name="Straight Arrow Connector 3956">
          <a:extLst>
            <a:ext uri="{FF2B5EF4-FFF2-40B4-BE49-F238E27FC236}">
              <a16:creationId xmlns:a16="http://schemas.microsoft.com/office/drawing/2014/main" id="{00000000-0008-0000-1300-0000750F0000}"/>
            </a:ext>
          </a:extLst>
        </xdr:cNvPr>
        <xdr:cNvCxnSpPr/>
      </xdr:nvCxnSpPr>
      <xdr:spPr>
        <a:xfrm>
          <a:off x="11324166" y="105568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1508</xdr:row>
      <xdr:rowOff>31750</xdr:rowOff>
    </xdr:from>
    <xdr:to>
      <xdr:col>16</xdr:col>
      <xdr:colOff>21167</xdr:colOff>
      <xdr:row>1515</xdr:row>
      <xdr:rowOff>95250</xdr:rowOff>
    </xdr:to>
    <xdr:cxnSp macro="">
      <xdr:nvCxnSpPr>
        <xdr:cNvPr id="3960" name="Straight Arrow Connector 3959">
          <a:extLst>
            <a:ext uri="{FF2B5EF4-FFF2-40B4-BE49-F238E27FC236}">
              <a16:creationId xmlns:a16="http://schemas.microsoft.com/office/drawing/2014/main" id="{00000000-0008-0000-1300-0000780F0000}"/>
            </a:ext>
          </a:extLst>
        </xdr:cNvPr>
        <xdr:cNvCxnSpPr/>
      </xdr:nvCxnSpPr>
      <xdr:spPr>
        <a:xfrm>
          <a:off x="11324166" y="116427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1508</xdr:row>
      <xdr:rowOff>31750</xdr:rowOff>
    </xdr:from>
    <xdr:to>
      <xdr:col>16</xdr:col>
      <xdr:colOff>21167</xdr:colOff>
      <xdr:row>1515</xdr:row>
      <xdr:rowOff>95250</xdr:rowOff>
    </xdr:to>
    <xdr:cxnSp macro="">
      <xdr:nvCxnSpPr>
        <xdr:cNvPr id="3961" name="Straight Arrow Connector 3960">
          <a:extLst>
            <a:ext uri="{FF2B5EF4-FFF2-40B4-BE49-F238E27FC236}">
              <a16:creationId xmlns:a16="http://schemas.microsoft.com/office/drawing/2014/main" id="{00000000-0008-0000-1300-0000790F0000}"/>
            </a:ext>
          </a:extLst>
        </xdr:cNvPr>
        <xdr:cNvCxnSpPr/>
      </xdr:nvCxnSpPr>
      <xdr:spPr>
        <a:xfrm>
          <a:off x="11324166" y="116427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1495</xdr:row>
      <xdr:rowOff>31750</xdr:rowOff>
    </xdr:from>
    <xdr:to>
      <xdr:col>16</xdr:col>
      <xdr:colOff>42334</xdr:colOff>
      <xdr:row>1502</xdr:row>
      <xdr:rowOff>63501</xdr:rowOff>
    </xdr:to>
    <xdr:cxnSp macro="">
      <xdr:nvCxnSpPr>
        <xdr:cNvPr id="3962" name="Straight Arrow Connector 3961">
          <a:extLst>
            <a:ext uri="{FF2B5EF4-FFF2-40B4-BE49-F238E27FC236}">
              <a16:creationId xmlns:a16="http://schemas.microsoft.com/office/drawing/2014/main" id="{00000000-0008-0000-1300-00007A0F0000}"/>
            </a:ext>
          </a:extLst>
        </xdr:cNvPr>
        <xdr:cNvCxnSpPr/>
      </xdr:nvCxnSpPr>
      <xdr:spPr>
        <a:xfrm>
          <a:off x="11281833" y="113760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1508</xdr:row>
      <xdr:rowOff>31750</xdr:rowOff>
    </xdr:from>
    <xdr:to>
      <xdr:col>16</xdr:col>
      <xdr:colOff>21167</xdr:colOff>
      <xdr:row>1515</xdr:row>
      <xdr:rowOff>95250</xdr:rowOff>
    </xdr:to>
    <xdr:cxnSp macro="">
      <xdr:nvCxnSpPr>
        <xdr:cNvPr id="3963" name="Straight Arrow Connector 3962">
          <a:extLst>
            <a:ext uri="{FF2B5EF4-FFF2-40B4-BE49-F238E27FC236}">
              <a16:creationId xmlns:a16="http://schemas.microsoft.com/office/drawing/2014/main" id="{00000000-0008-0000-1300-00007B0F0000}"/>
            </a:ext>
          </a:extLst>
        </xdr:cNvPr>
        <xdr:cNvCxnSpPr/>
      </xdr:nvCxnSpPr>
      <xdr:spPr>
        <a:xfrm>
          <a:off x="11324166" y="116427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1495</xdr:row>
      <xdr:rowOff>31750</xdr:rowOff>
    </xdr:from>
    <xdr:to>
      <xdr:col>16</xdr:col>
      <xdr:colOff>42334</xdr:colOff>
      <xdr:row>1502</xdr:row>
      <xdr:rowOff>63501</xdr:rowOff>
    </xdr:to>
    <xdr:cxnSp macro="">
      <xdr:nvCxnSpPr>
        <xdr:cNvPr id="3964" name="Straight Arrow Connector 3963">
          <a:extLst>
            <a:ext uri="{FF2B5EF4-FFF2-40B4-BE49-F238E27FC236}">
              <a16:creationId xmlns:a16="http://schemas.microsoft.com/office/drawing/2014/main" id="{00000000-0008-0000-1300-00007C0F0000}"/>
            </a:ext>
          </a:extLst>
        </xdr:cNvPr>
        <xdr:cNvCxnSpPr/>
      </xdr:nvCxnSpPr>
      <xdr:spPr>
        <a:xfrm>
          <a:off x="11281833" y="113760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1508</xdr:row>
      <xdr:rowOff>31750</xdr:rowOff>
    </xdr:from>
    <xdr:to>
      <xdr:col>16</xdr:col>
      <xdr:colOff>21167</xdr:colOff>
      <xdr:row>1515</xdr:row>
      <xdr:rowOff>95250</xdr:rowOff>
    </xdr:to>
    <xdr:cxnSp macro="">
      <xdr:nvCxnSpPr>
        <xdr:cNvPr id="3965" name="Straight Arrow Connector 3964">
          <a:extLst>
            <a:ext uri="{FF2B5EF4-FFF2-40B4-BE49-F238E27FC236}">
              <a16:creationId xmlns:a16="http://schemas.microsoft.com/office/drawing/2014/main" id="{00000000-0008-0000-1300-00007D0F0000}"/>
            </a:ext>
          </a:extLst>
        </xdr:cNvPr>
        <xdr:cNvCxnSpPr/>
      </xdr:nvCxnSpPr>
      <xdr:spPr>
        <a:xfrm>
          <a:off x="11324166" y="116427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1495</xdr:row>
      <xdr:rowOff>31750</xdr:rowOff>
    </xdr:from>
    <xdr:to>
      <xdr:col>16</xdr:col>
      <xdr:colOff>42334</xdr:colOff>
      <xdr:row>1502</xdr:row>
      <xdr:rowOff>63501</xdr:rowOff>
    </xdr:to>
    <xdr:cxnSp macro="">
      <xdr:nvCxnSpPr>
        <xdr:cNvPr id="3966" name="Straight Arrow Connector 3965">
          <a:extLst>
            <a:ext uri="{FF2B5EF4-FFF2-40B4-BE49-F238E27FC236}">
              <a16:creationId xmlns:a16="http://schemas.microsoft.com/office/drawing/2014/main" id="{00000000-0008-0000-1300-00007E0F0000}"/>
            </a:ext>
          </a:extLst>
        </xdr:cNvPr>
        <xdr:cNvCxnSpPr/>
      </xdr:nvCxnSpPr>
      <xdr:spPr>
        <a:xfrm>
          <a:off x="11281833" y="113760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1508</xdr:row>
      <xdr:rowOff>31750</xdr:rowOff>
    </xdr:from>
    <xdr:to>
      <xdr:col>16</xdr:col>
      <xdr:colOff>21167</xdr:colOff>
      <xdr:row>1515</xdr:row>
      <xdr:rowOff>95250</xdr:rowOff>
    </xdr:to>
    <xdr:cxnSp macro="">
      <xdr:nvCxnSpPr>
        <xdr:cNvPr id="3967" name="Straight Arrow Connector 3966">
          <a:extLst>
            <a:ext uri="{FF2B5EF4-FFF2-40B4-BE49-F238E27FC236}">
              <a16:creationId xmlns:a16="http://schemas.microsoft.com/office/drawing/2014/main" id="{00000000-0008-0000-1300-00007F0F0000}"/>
            </a:ext>
          </a:extLst>
        </xdr:cNvPr>
        <xdr:cNvCxnSpPr/>
      </xdr:nvCxnSpPr>
      <xdr:spPr>
        <a:xfrm>
          <a:off x="11324166" y="116427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1521</xdr:row>
      <xdr:rowOff>31750</xdr:rowOff>
    </xdr:from>
    <xdr:to>
      <xdr:col>16</xdr:col>
      <xdr:colOff>42334</xdr:colOff>
      <xdr:row>1528</xdr:row>
      <xdr:rowOff>63501</xdr:rowOff>
    </xdr:to>
    <xdr:cxnSp macro="">
      <xdr:nvCxnSpPr>
        <xdr:cNvPr id="3968" name="Straight Arrow Connector 3967">
          <a:extLst>
            <a:ext uri="{FF2B5EF4-FFF2-40B4-BE49-F238E27FC236}">
              <a16:creationId xmlns:a16="http://schemas.microsoft.com/office/drawing/2014/main" id="{00000000-0008-0000-1300-0000800F0000}"/>
            </a:ext>
          </a:extLst>
        </xdr:cNvPr>
        <xdr:cNvCxnSpPr/>
      </xdr:nvCxnSpPr>
      <xdr:spPr>
        <a:xfrm>
          <a:off x="11281833" y="11890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1521</xdr:row>
      <xdr:rowOff>31750</xdr:rowOff>
    </xdr:from>
    <xdr:to>
      <xdr:col>16</xdr:col>
      <xdr:colOff>42334</xdr:colOff>
      <xdr:row>1528</xdr:row>
      <xdr:rowOff>63501</xdr:rowOff>
    </xdr:to>
    <xdr:cxnSp macro="">
      <xdr:nvCxnSpPr>
        <xdr:cNvPr id="3969" name="Straight Arrow Connector 3968">
          <a:extLst>
            <a:ext uri="{FF2B5EF4-FFF2-40B4-BE49-F238E27FC236}">
              <a16:creationId xmlns:a16="http://schemas.microsoft.com/office/drawing/2014/main" id="{00000000-0008-0000-1300-0000810F0000}"/>
            </a:ext>
          </a:extLst>
        </xdr:cNvPr>
        <xdr:cNvCxnSpPr/>
      </xdr:nvCxnSpPr>
      <xdr:spPr>
        <a:xfrm>
          <a:off x="11281833" y="11890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1551</xdr:row>
      <xdr:rowOff>31750</xdr:rowOff>
    </xdr:from>
    <xdr:to>
      <xdr:col>16</xdr:col>
      <xdr:colOff>42334</xdr:colOff>
      <xdr:row>1558</xdr:row>
      <xdr:rowOff>63501</xdr:rowOff>
    </xdr:to>
    <xdr:cxnSp macro="">
      <xdr:nvCxnSpPr>
        <xdr:cNvPr id="3970" name="Straight Arrow Connector 3969">
          <a:extLst>
            <a:ext uri="{FF2B5EF4-FFF2-40B4-BE49-F238E27FC236}">
              <a16:creationId xmlns:a16="http://schemas.microsoft.com/office/drawing/2014/main" id="{00000000-0008-0000-1300-0000820F0000}"/>
            </a:ext>
          </a:extLst>
        </xdr:cNvPr>
        <xdr:cNvCxnSpPr/>
      </xdr:nvCxnSpPr>
      <xdr:spPr>
        <a:xfrm>
          <a:off x="11281833" y="124618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1564</xdr:row>
      <xdr:rowOff>31750</xdr:rowOff>
    </xdr:from>
    <xdr:to>
      <xdr:col>16</xdr:col>
      <xdr:colOff>21167</xdr:colOff>
      <xdr:row>1571</xdr:row>
      <xdr:rowOff>95250</xdr:rowOff>
    </xdr:to>
    <xdr:cxnSp macro="">
      <xdr:nvCxnSpPr>
        <xdr:cNvPr id="3971" name="Straight Arrow Connector 3970">
          <a:extLst>
            <a:ext uri="{FF2B5EF4-FFF2-40B4-BE49-F238E27FC236}">
              <a16:creationId xmlns:a16="http://schemas.microsoft.com/office/drawing/2014/main" id="{00000000-0008-0000-1300-0000830F0000}"/>
            </a:ext>
          </a:extLst>
        </xdr:cNvPr>
        <xdr:cNvCxnSpPr/>
      </xdr:nvCxnSpPr>
      <xdr:spPr>
        <a:xfrm>
          <a:off x="11324166" y="127285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1551</xdr:row>
      <xdr:rowOff>31750</xdr:rowOff>
    </xdr:from>
    <xdr:to>
      <xdr:col>16</xdr:col>
      <xdr:colOff>42334</xdr:colOff>
      <xdr:row>1558</xdr:row>
      <xdr:rowOff>63501</xdr:rowOff>
    </xdr:to>
    <xdr:cxnSp macro="">
      <xdr:nvCxnSpPr>
        <xdr:cNvPr id="3972" name="Straight Arrow Connector 3971">
          <a:extLst>
            <a:ext uri="{FF2B5EF4-FFF2-40B4-BE49-F238E27FC236}">
              <a16:creationId xmlns:a16="http://schemas.microsoft.com/office/drawing/2014/main" id="{00000000-0008-0000-1300-0000840F0000}"/>
            </a:ext>
          </a:extLst>
        </xdr:cNvPr>
        <xdr:cNvCxnSpPr/>
      </xdr:nvCxnSpPr>
      <xdr:spPr>
        <a:xfrm>
          <a:off x="11281833" y="124618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1564</xdr:row>
      <xdr:rowOff>31750</xdr:rowOff>
    </xdr:from>
    <xdr:to>
      <xdr:col>16</xdr:col>
      <xdr:colOff>21167</xdr:colOff>
      <xdr:row>1571</xdr:row>
      <xdr:rowOff>95250</xdr:rowOff>
    </xdr:to>
    <xdr:cxnSp macro="">
      <xdr:nvCxnSpPr>
        <xdr:cNvPr id="3973" name="Straight Arrow Connector 3972">
          <a:extLst>
            <a:ext uri="{FF2B5EF4-FFF2-40B4-BE49-F238E27FC236}">
              <a16:creationId xmlns:a16="http://schemas.microsoft.com/office/drawing/2014/main" id="{00000000-0008-0000-1300-0000850F0000}"/>
            </a:ext>
          </a:extLst>
        </xdr:cNvPr>
        <xdr:cNvCxnSpPr/>
      </xdr:nvCxnSpPr>
      <xdr:spPr>
        <a:xfrm>
          <a:off x="11324166" y="127285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1551</xdr:row>
      <xdr:rowOff>31750</xdr:rowOff>
    </xdr:from>
    <xdr:to>
      <xdr:col>16</xdr:col>
      <xdr:colOff>42334</xdr:colOff>
      <xdr:row>1558</xdr:row>
      <xdr:rowOff>63501</xdr:rowOff>
    </xdr:to>
    <xdr:cxnSp macro="">
      <xdr:nvCxnSpPr>
        <xdr:cNvPr id="3974" name="Straight Arrow Connector 3973">
          <a:extLst>
            <a:ext uri="{FF2B5EF4-FFF2-40B4-BE49-F238E27FC236}">
              <a16:creationId xmlns:a16="http://schemas.microsoft.com/office/drawing/2014/main" id="{00000000-0008-0000-1300-0000860F0000}"/>
            </a:ext>
          </a:extLst>
        </xdr:cNvPr>
        <xdr:cNvCxnSpPr/>
      </xdr:nvCxnSpPr>
      <xdr:spPr>
        <a:xfrm>
          <a:off x="11281833" y="124618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1564</xdr:row>
      <xdr:rowOff>31750</xdr:rowOff>
    </xdr:from>
    <xdr:to>
      <xdr:col>16</xdr:col>
      <xdr:colOff>21167</xdr:colOff>
      <xdr:row>1571</xdr:row>
      <xdr:rowOff>95250</xdr:rowOff>
    </xdr:to>
    <xdr:cxnSp macro="">
      <xdr:nvCxnSpPr>
        <xdr:cNvPr id="3975" name="Straight Arrow Connector 3974">
          <a:extLst>
            <a:ext uri="{FF2B5EF4-FFF2-40B4-BE49-F238E27FC236}">
              <a16:creationId xmlns:a16="http://schemas.microsoft.com/office/drawing/2014/main" id="{00000000-0008-0000-1300-0000870F0000}"/>
            </a:ext>
          </a:extLst>
        </xdr:cNvPr>
        <xdr:cNvCxnSpPr/>
      </xdr:nvCxnSpPr>
      <xdr:spPr>
        <a:xfrm>
          <a:off x="11324166" y="127285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1564</xdr:row>
      <xdr:rowOff>31750</xdr:rowOff>
    </xdr:from>
    <xdr:to>
      <xdr:col>16</xdr:col>
      <xdr:colOff>21167</xdr:colOff>
      <xdr:row>1571</xdr:row>
      <xdr:rowOff>95250</xdr:rowOff>
    </xdr:to>
    <xdr:cxnSp macro="">
      <xdr:nvCxnSpPr>
        <xdr:cNvPr id="3976" name="Straight Arrow Connector 3975">
          <a:extLst>
            <a:ext uri="{FF2B5EF4-FFF2-40B4-BE49-F238E27FC236}">
              <a16:creationId xmlns:a16="http://schemas.microsoft.com/office/drawing/2014/main" id="{00000000-0008-0000-1300-0000880F0000}"/>
            </a:ext>
          </a:extLst>
        </xdr:cNvPr>
        <xdr:cNvCxnSpPr/>
      </xdr:nvCxnSpPr>
      <xdr:spPr>
        <a:xfrm>
          <a:off x="11324166" y="127285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1564</xdr:row>
      <xdr:rowOff>31750</xdr:rowOff>
    </xdr:from>
    <xdr:to>
      <xdr:col>16</xdr:col>
      <xdr:colOff>21167</xdr:colOff>
      <xdr:row>1571</xdr:row>
      <xdr:rowOff>95250</xdr:rowOff>
    </xdr:to>
    <xdr:cxnSp macro="">
      <xdr:nvCxnSpPr>
        <xdr:cNvPr id="3977" name="Straight Arrow Connector 3976">
          <a:extLst>
            <a:ext uri="{FF2B5EF4-FFF2-40B4-BE49-F238E27FC236}">
              <a16:creationId xmlns:a16="http://schemas.microsoft.com/office/drawing/2014/main" id="{00000000-0008-0000-1300-0000890F0000}"/>
            </a:ext>
          </a:extLst>
        </xdr:cNvPr>
        <xdr:cNvCxnSpPr/>
      </xdr:nvCxnSpPr>
      <xdr:spPr>
        <a:xfrm>
          <a:off x="11324166" y="127285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1551</xdr:row>
      <xdr:rowOff>31750</xdr:rowOff>
    </xdr:from>
    <xdr:to>
      <xdr:col>16</xdr:col>
      <xdr:colOff>42334</xdr:colOff>
      <xdr:row>1558</xdr:row>
      <xdr:rowOff>63501</xdr:rowOff>
    </xdr:to>
    <xdr:cxnSp macro="">
      <xdr:nvCxnSpPr>
        <xdr:cNvPr id="3978" name="Straight Arrow Connector 3977">
          <a:extLst>
            <a:ext uri="{FF2B5EF4-FFF2-40B4-BE49-F238E27FC236}">
              <a16:creationId xmlns:a16="http://schemas.microsoft.com/office/drawing/2014/main" id="{00000000-0008-0000-1300-00008A0F0000}"/>
            </a:ext>
          </a:extLst>
        </xdr:cNvPr>
        <xdr:cNvCxnSpPr/>
      </xdr:nvCxnSpPr>
      <xdr:spPr>
        <a:xfrm>
          <a:off x="11281833" y="124618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1564</xdr:row>
      <xdr:rowOff>31750</xdr:rowOff>
    </xdr:from>
    <xdr:to>
      <xdr:col>16</xdr:col>
      <xdr:colOff>21167</xdr:colOff>
      <xdr:row>1571</xdr:row>
      <xdr:rowOff>95250</xdr:rowOff>
    </xdr:to>
    <xdr:cxnSp macro="">
      <xdr:nvCxnSpPr>
        <xdr:cNvPr id="3979" name="Straight Arrow Connector 3978">
          <a:extLst>
            <a:ext uri="{FF2B5EF4-FFF2-40B4-BE49-F238E27FC236}">
              <a16:creationId xmlns:a16="http://schemas.microsoft.com/office/drawing/2014/main" id="{00000000-0008-0000-1300-00008B0F0000}"/>
            </a:ext>
          </a:extLst>
        </xdr:cNvPr>
        <xdr:cNvCxnSpPr/>
      </xdr:nvCxnSpPr>
      <xdr:spPr>
        <a:xfrm>
          <a:off x="11324166" y="127285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1551</xdr:row>
      <xdr:rowOff>31750</xdr:rowOff>
    </xdr:from>
    <xdr:to>
      <xdr:col>16</xdr:col>
      <xdr:colOff>42334</xdr:colOff>
      <xdr:row>1558</xdr:row>
      <xdr:rowOff>63501</xdr:rowOff>
    </xdr:to>
    <xdr:cxnSp macro="">
      <xdr:nvCxnSpPr>
        <xdr:cNvPr id="3980" name="Straight Arrow Connector 3979">
          <a:extLst>
            <a:ext uri="{FF2B5EF4-FFF2-40B4-BE49-F238E27FC236}">
              <a16:creationId xmlns:a16="http://schemas.microsoft.com/office/drawing/2014/main" id="{00000000-0008-0000-1300-00008C0F0000}"/>
            </a:ext>
          </a:extLst>
        </xdr:cNvPr>
        <xdr:cNvCxnSpPr/>
      </xdr:nvCxnSpPr>
      <xdr:spPr>
        <a:xfrm>
          <a:off x="11281833" y="124618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1564</xdr:row>
      <xdr:rowOff>31750</xdr:rowOff>
    </xdr:from>
    <xdr:to>
      <xdr:col>16</xdr:col>
      <xdr:colOff>21167</xdr:colOff>
      <xdr:row>1571</xdr:row>
      <xdr:rowOff>95250</xdr:rowOff>
    </xdr:to>
    <xdr:cxnSp macro="">
      <xdr:nvCxnSpPr>
        <xdr:cNvPr id="3981" name="Straight Arrow Connector 3980">
          <a:extLst>
            <a:ext uri="{FF2B5EF4-FFF2-40B4-BE49-F238E27FC236}">
              <a16:creationId xmlns:a16="http://schemas.microsoft.com/office/drawing/2014/main" id="{00000000-0008-0000-1300-00008D0F0000}"/>
            </a:ext>
          </a:extLst>
        </xdr:cNvPr>
        <xdr:cNvCxnSpPr/>
      </xdr:nvCxnSpPr>
      <xdr:spPr>
        <a:xfrm>
          <a:off x="11324166" y="127285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1551</xdr:row>
      <xdr:rowOff>31750</xdr:rowOff>
    </xdr:from>
    <xdr:to>
      <xdr:col>16</xdr:col>
      <xdr:colOff>42334</xdr:colOff>
      <xdr:row>1558</xdr:row>
      <xdr:rowOff>63501</xdr:rowOff>
    </xdr:to>
    <xdr:cxnSp macro="">
      <xdr:nvCxnSpPr>
        <xdr:cNvPr id="3982" name="Straight Arrow Connector 3981">
          <a:extLst>
            <a:ext uri="{FF2B5EF4-FFF2-40B4-BE49-F238E27FC236}">
              <a16:creationId xmlns:a16="http://schemas.microsoft.com/office/drawing/2014/main" id="{00000000-0008-0000-1300-00008E0F0000}"/>
            </a:ext>
          </a:extLst>
        </xdr:cNvPr>
        <xdr:cNvCxnSpPr/>
      </xdr:nvCxnSpPr>
      <xdr:spPr>
        <a:xfrm>
          <a:off x="11281833" y="124618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1564</xdr:row>
      <xdr:rowOff>31750</xdr:rowOff>
    </xdr:from>
    <xdr:to>
      <xdr:col>16</xdr:col>
      <xdr:colOff>21167</xdr:colOff>
      <xdr:row>1571</xdr:row>
      <xdr:rowOff>95250</xdr:rowOff>
    </xdr:to>
    <xdr:cxnSp macro="">
      <xdr:nvCxnSpPr>
        <xdr:cNvPr id="3983" name="Straight Arrow Connector 3982">
          <a:extLst>
            <a:ext uri="{FF2B5EF4-FFF2-40B4-BE49-F238E27FC236}">
              <a16:creationId xmlns:a16="http://schemas.microsoft.com/office/drawing/2014/main" id="{00000000-0008-0000-1300-00008F0F0000}"/>
            </a:ext>
          </a:extLst>
        </xdr:cNvPr>
        <xdr:cNvCxnSpPr/>
      </xdr:nvCxnSpPr>
      <xdr:spPr>
        <a:xfrm>
          <a:off x="11324166" y="127285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1577</xdr:row>
      <xdr:rowOff>31750</xdr:rowOff>
    </xdr:from>
    <xdr:to>
      <xdr:col>16</xdr:col>
      <xdr:colOff>42334</xdr:colOff>
      <xdr:row>1584</xdr:row>
      <xdr:rowOff>63501</xdr:rowOff>
    </xdr:to>
    <xdr:cxnSp macro="">
      <xdr:nvCxnSpPr>
        <xdr:cNvPr id="3984" name="Straight Arrow Connector 3983">
          <a:extLst>
            <a:ext uri="{FF2B5EF4-FFF2-40B4-BE49-F238E27FC236}">
              <a16:creationId xmlns:a16="http://schemas.microsoft.com/office/drawing/2014/main" id="{00000000-0008-0000-1300-0000900F0000}"/>
            </a:ext>
          </a:extLst>
        </xdr:cNvPr>
        <xdr:cNvCxnSpPr/>
      </xdr:nvCxnSpPr>
      <xdr:spPr>
        <a:xfrm>
          <a:off x="11281833" y="129762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1577</xdr:row>
      <xdr:rowOff>31750</xdr:rowOff>
    </xdr:from>
    <xdr:to>
      <xdr:col>16</xdr:col>
      <xdr:colOff>42334</xdr:colOff>
      <xdr:row>1584</xdr:row>
      <xdr:rowOff>63501</xdr:rowOff>
    </xdr:to>
    <xdr:cxnSp macro="">
      <xdr:nvCxnSpPr>
        <xdr:cNvPr id="3985" name="Straight Arrow Connector 3984">
          <a:extLst>
            <a:ext uri="{FF2B5EF4-FFF2-40B4-BE49-F238E27FC236}">
              <a16:creationId xmlns:a16="http://schemas.microsoft.com/office/drawing/2014/main" id="{00000000-0008-0000-1300-0000910F0000}"/>
            </a:ext>
          </a:extLst>
        </xdr:cNvPr>
        <xdr:cNvCxnSpPr/>
      </xdr:nvCxnSpPr>
      <xdr:spPr>
        <a:xfrm>
          <a:off x="11281833" y="129762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1620</xdr:row>
      <xdr:rowOff>31750</xdr:rowOff>
    </xdr:from>
    <xdr:to>
      <xdr:col>16</xdr:col>
      <xdr:colOff>21167</xdr:colOff>
      <xdr:row>1627</xdr:row>
      <xdr:rowOff>95250</xdr:rowOff>
    </xdr:to>
    <xdr:cxnSp macro="">
      <xdr:nvCxnSpPr>
        <xdr:cNvPr id="3986" name="Straight Arrow Connector 3985">
          <a:extLst>
            <a:ext uri="{FF2B5EF4-FFF2-40B4-BE49-F238E27FC236}">
              <a16:creationId xmlns:a16="http://schemas.microsoft.com/office/drawing/2014/main" id="{00000000-0008-0000-1300-0000920F0000}"/>
            </a:ext>
          </a:extLst>
        </xdr:cNvPr>
        <xdr:cNvCxnSpPr/>
      </xdr:nvCxnSpPr>
      <xdr:spPr>
        <a:xfrm>
          <a:off x="11324166" y="138144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1620</xdr:row>
      <xdr:rowOff>31750</xdr:rowOff>
    </xdr:from>
    <xdr:to>
      <xdr:col>16</xdr:col>
      <xdr:colOff>21167</xdr:colOff>
      <xdr:row>1627</xdr:row>
      <xdr:rowOff>95250</xdr:rowOff>
    </xdr:to>
    <xdr:cxnSp macro="">
      <xdr:nvCxnSpPr>
        <xdr:cNvPr id="3987" name="Straight Arrow Connector 3986">
          <a:extLst>
            <a:ext uri="{FF2B5EF4-FFF2-40B4-BE49-F238E27FC236}">
              <a16:creationId xmlns:a16="http://schemas.microsoft.com/office/drawing/2014/main" id="{00000000-0008-0000-1300-0000930F0000}"/>
            </a:ext>
          </a:extLst>
        </xdr:cNvPr>
        <xdr:cNvCxnSpPr/>
      </xdr:nvCxnSpPr>
      <xdr:spPr>
        <a:xfrm>
          <a:off x="11324166" y="138144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1620</xdr:row>
      <xdr:rowOff>31750</xdr:rowOff>
    </xdr:from>
    <xdr:to>
      <xdr:col>16</xdr:col>
      <xdr:colOff>21167</xdr:colOff>
      <xdr:row>1627</xdr:row>
      <xdr:rowOff>95250</xdr:rowOff>
    </xdr:to>
    <xdr:cxnSp macro="">
      <xdr:nvCxnSpPr>
        <xdr:cNvPr id="3988" name="Straight Arrow Connector 3987">
          <a:extLst>
            <a:ext uri="{FF2B5EF4-FFF2-40B4-BE49-F238E27FC236}">
              <a16:creationId xmlns:a16="http://schemas.microsoft.com/office/drawing/2014/main" id="{00000000-0008-0000-1300-0000940F0000}"/>
            </a:ext>
          </a:extLst>
        </xdr:cNvPr>
        <xdr:cNvCxnSpPr/>
      </xdr:nvCxnSpPr>
      <xdr:spPr>
        <a:xfrm>
          <a:off x="11324166" y="138144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1607</xdr:row>
      <xdr:rowOff>31750</xdr:rowOff>
    </xdr:from>
    <xdr:to>
      <xdr:col>16</xdr:col>
      <xdr:colOff>42334</xdr:colOff>
      <xdr:row>1614</xdr:row>
      <xdr:rowOff>63501</xdr:rowOff>
    </xdr:to>
    <xdr:cxnSp macro="">
      <xdr:nvCxnSpPr>
        <xdr:cNvPr id="3989" name="Straight Arrow Connector 3988">
          <a:extLst>
            <a:ext uri="{FF2B5EF4-FFF2-40B4-BE49-F238E27FC236}">
              <a16:creationId xmlns:a16="http://schemas.microsoft.com/office/drawing/2014/main" id="{00000000-0008-0000-1300-0000950F0000}"/>
            </a:ext>
          </a:extLst>
        </xdr:cNvPr>
        <xdr:cNvCxnSpPr/>
      </xdr:nvCxnSpPr>
      <xdr:spPr>
        <a:xfrm>
          <a:off x="11281833" y="135477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1620</xdr:row>
      <xdr:rowOff>31750</xdr:rowOff>
    </xdr:from>
    <xdr:to>
      <xdr:col>16</xdr:col>
      <xdr:colOff>21167</xdr:colOff>
      <xdr:row>1627</xdr:row>
      <xdr:rowOff>95250</xdr:rowOff>
    </xdr:to>
    <xdr:cxnSp macro="">
      <xdr:nvCxnSpPr>
        <xdr:cNvPr id="3990" name="Straight Arrow Connector 3989">
          <a:extLst>
            <a:ext uri="{FF2B5EF4-FFF2-40B4-BE49-F238E27FC236}">
              <a16:creationId xmlns:a16="http://schemas.microsoft.com/office/drawing/2014/main" id="{00000000-0008-0000-1300-0000960F0000}"/>
            </a:ext>
          </a:extLst>
        </xdr:cNvPr>
        <xdr:cNvCxnSpPr/>
      </xdr:nvCxnSpPr>
      <xdr:spPr>
        <a:xfrm>
          <a:off x="11324166" y="138144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1607</xdr:row>
      <xdr:rowOff>31750</xdr:rowOff>
    </xdr:from>
    <xdr:to>
      <xdr:col>16</xdr:col>
      <xdr:colOff>42334</xdr:colOff>
      <xdr:row>1614</xdr:row>
      <xdr:rowOff>63501</xdr:rowOff>
    </xdr:to>
    <xdr:cxnSp macro="">
      <xdr:nvCxnSpPr>
        <xdr:cNvPr id="3991" name="Straight Arrow Connector 3990">
          <a:extLst>
            <a:ext uri="{FF2B5EF4-FFF2-40B4-BE49-F238E27FC236}">
              <a16:creationId xmlns:a16="http://schemas.microsoft.com/office/drawing/2014/main" id="{00000000-0008-0000-1300-0000970F0000}"/>
            </a:ext>
          </a:extLst>
        </xdr:cNvPr>
        <xdr:cNvCxnSpPr/>
      </xdr:nvCxnSpPr>
      <xdr:spPr>
        <a:xfrm>
          <a:off x="11281833" y="135477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1620</xdr:row>
      <xdr:rowOff>31750</xdr:rowOff>
    </xdr:from>
    <xdr:to>
      <xdr:col>16</xdr:col>
      <xdr:colOff>21167</xdr:colOff>
      <xdr:row>1627</xdr:row>
      <xdr:rowOff>95250</xdr:rowOff>
    </xdr:to>
    <xdr:cxnSp macro="">
      <xdr:nvCxnSpPr>
        <xdr:cNvPr id="3992" name="Straight Arrow Connector 3991">
          <a:extLst>
            <a:ext uri="{FF2B5EF4-FFF2-40B4-BE49-F238E27FC236}">
              <a16:creationId xmlns:a16="http://schemas.microsoft.com/office/drawing/2014/main" id="{00000000-0008-0000-1300-0000980F0000}"/>
            </a:ext>
          </a:extLst>
        </xdr:cNvPr>
        <xdr:cNvCxnSpPr/>
      </xdr:nvCxnSpPr>
      <xdr:spPr>
        <a:xfrm>
          <a:off x="11324166" y="138144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1607</xdr:row>
      <xdr:rowOff>31750</xdr:rowOff>
    </xdr:from>
    <xdr:to>
      <xdr:col>16</xdr:col>
      <xdr:colOff>42334</xdr:colOff>
      <xdr:row>1614</xdr:row>
      <xdr:rowOff>63501</xdr:rowOff>
    </xdr:to>
    <xdr:cxnSp macro="">
      <xdr:nvCxnSpPr>
        <xdr:cNvPr id="3993" name="Straight Arrow Connector 3992">
          <a:extLst>
            <a:ext uri="{FF2B5EF4-FFF2-40B4-BE49-F238E27FC236}">
              <a16:creationId xmlns:a16="http://schemas.microsoft.com/office/drawing/2014/main" id="{00000000-0008-0000-1300-0000990F0000}"/>
            </a:ext>
          </a:extLst>
        </xdr:cNvPr>
        <xdr:cNvCxnSpPr/>
      </xdr:nvCxnSpPr>
      <xdr:spPr>
        <a:xfrm>
          <a:off x="11281833" y="135477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1620</xdr:row>
      <xdr:rowOff>31750</xdr:rowOff>
    </xdr:from>
    <xdr:to>
      <xdr:col>16</xdr:col>
      <xdr:colOff>21167</xdr:colOff>
      <xdr:row>1627</xdr:row>
      <xdr:rowOff>95250</xdr:rowOff>
    </xdr:to>
    <xdr:cxnSp macro="">
      <xdr:nvCxnSpPr>
        <xdr:cNvPr id="3994" name="Straight Arrow Connector 3993">
          <a:extLst>
            <a:ext uri="{FF2B5EF4-FFF2-40B4-BE49-F238E27FC236}">
              <a16:creationId xmlns:a16="http://schemas.microsoft.com/office/drawing/2014/main" id="{00000000-0008-0000-1300-00009A0F0000}"/>
            </a:ext>
          </a:extLst>
        </xdr:cNvPr>
        <xdr:cNvCxnSpPr/>
      </xdr:nvCxnSpPr>
      <xdr:spPr>
        <a:xfrm>
          <a:off x="11324166" y="138144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1607</xdr:row>
      <xdr:rowOff>31750</xdr:rowOff>
    </xdr:from>
    <xdr:to>
      <xdr:col>16</xdr:col>
      <xdr:colOff>42334</xdr:colOff>
      <xdr:row>1614</xdr:row>
      <xdr:rowOff>63501</xdr:rowOff>
    </xdr:to>
    <xdr:cxnSp macro="">
      <xdr:nvCxnSpPr>
        <xdr:cNvPr id="3995" name="Straight Arrow Connector 3994">
          <a:extLst>
            <a:ext uri="{FF2B5EF4-FFF2-40B4-BE49-F238E27FC236}">
              <a16:creationId xmlns:a16="http://schemas.microsoft.com/office/drawing/2014/main" id="{00000000-0008-0000-1300-00009B0F0000}"/>
            </a:ext>
          </a:extLst>
        </xdr:cNvPr>
        <xdr:cNvCxnSpPr/>
      </xdr:nvCxnSpPr>
      <xdr:spPr>
        <a:xfrm>
          <a:off x="11281833" y="135477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1620</xdr:row>
      <xdr:rowOff>31750</xdr:rowOff>
    </xdr:from>
    <xdr:to>
      <xdr:col>16</xdr:col>
      <xdr:colOff>21167</xdr:colOff>
      <xdr:row>1627</xdr:row>
      <xdr:rowOff>95250</xdr:rowOff>
    </xdr:to>
    <xdr:cxnSp macro="">
      <xdr:nvCxnSpPr>
        <xdr:cNvPr id="3996" name="Straight Arrow Connector 3995">
          <a:extLst>
            <a:ext uri="{FF2B5EF4-FFF2-40B4-BE49-F238E27FC236}">
              <a16:creationId xmlns:a16="http://schemas.microsoft.com/office/drawing/2014/main" id="{00000000-0008-0000-1300-00009C0F0000}"/>
            </a:ext>
          </a:extLst>
        </xdr:cNvPr>
        <xdr:cNvCxnSpPr/>
      </xdr:nvCxnSpPr>
      <xdr:spPr>
        <a:xfrm>
          <a:off x="11324166" y="138144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1620</xdr:row>
      <xdr:rowOff>31750</xdr:rowOff>
    </xdr:from>
    <xdr:to>
      <xdr:col>16</xdr:col>
      <xdr:colOff>21167</xdr:colOff>
      <xdr:row>1627</xdr:row>
      <xdr:rowOff>95250</xdr:rowOff>
    </xdr:to>
    <xdr:cxnSp macro="">
      <xdr:nvCxnSpPr>
        <xdr:cNvPr id="3997" name="Straight Arrow Connector 3996">
          <a:extLst>
            <a:ext uri="{FF2B5EF4-FFF2-40B4-BE49-F238E27FC236}">
              <a16:creationId xmlns:a16="http://schemas.microsoft.com/office/drawing/2014/main" id="{00000000-0008-0000-1300-00009D0F0000}"/>
            </a:ext>
          </a:extLst>
        </xdr:cNvPr>
        <xdr:cNvCxnSpPr/>
      </xdr:nvCxnSpPr>
      <xdr:spPr>
        <a:xfrm>
          <a:off x="11324166" y="138144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1620</xdr:row>
      <xdr:rowOff>31750</xdr:rowOff>
    </xdr:from>
    <xdr:to>
      <xdr:col>16</xdr:col>
      <xdr:colOff>21167</xdr:colOff>
      <xdr:row>1627</xdr:row>
      <xdr:rowOff>95250</xdr:rowOff>
    </xdr:to>
    <xdr:cxnSp macro="">
      <xdr:nvCxnSpPr>
        <xdr:cNvPr id="3998" name="Straight Arrow Connector 3997">
          <a:extLst>
            <a:ext uri="{FF2B5EF4-FFF2-40B4-BE49-F238E27FC236}">
              <a16:creationId xmlns:a16="http://schemas.microsoft.com/office/drawing/2014/main" id="{00000000-0008-0000-1300-00009E0F0000}"/>
            </a:ext>
          </a:extLst>
        </xdr:cNvPr>
        <xdr:cNvCxnSpPr/>
      </xdr:nvCxnSpPr>
      <xdr:spPr>
        <a:xfrm>
          <a:off x="11324166" y="138144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1607</xdr:row>
      <xdr:rowOff>31750</xdr:rowOff>
    </xdr:from>
    <xdr:to>
      <xdr:col>16</xdr:col>
      <xdr:colOff>42334</xdr:colOff>
      <xdr:row>1614</xdr:row>
      <xdr:rowOff>63501</xdr:rowOff>
    </xdr:to>
    <xdr:cxnSp macro="">
      <xdr:nvCxnSpPr>
        <xdr:cNvPr id="3999" name="Straight Arrow Connector 3998">
          <a:extLst>
            <a:ext uri="{FF2B5EF4-FFF2-40B4-BE49-F238E27FC236}">
              <a16:creationId xmlns:a16="http://schemas.microsoft.com/office/drawing/2014/main" id="{00000000-0008-0000-1300-00009F0F0000}"/>
            </a:ext>
          </a:extLst>
        </xdr:cNvPr>
        <xdr:cNvCxnSpPr/>
      </xdr:nvCxnSpPr>
      <xdr:spPr>
        <a:xfrm>
          <a:off x="11281833" y="135477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1620</xdr:row>
      <xdr:rowOff>31750</xdr:rowOff>
    </xdr:from>
    <xdr:to>
      <xdr:col>16</xdr:col>
      <xdr:colOff>21167</xdr:colOff>
      <xdr:row>1627</xdr:row>
      <xdr:rowOff>95250</xdr:rowOff>
    </xdr:to>
    <xdr:cxnSp macro="">
      <xdr:nvCxnSpPr>
        <xdr:cNvPr id="4000" name="Straight Arrow Connector 3999">
          <a:extLst>
            <a:ext uri="{FF2B5EF4-FFF2-40B4-BE49-F238E27FC236}">
              <a16:creationId xmlns:a16="http://schemas.microsoft.com/office/drawing/2014/main" id="{00000000-0008-0000-1300-0000A00F0000}"/>
            </a:ext>
          </a:extLst>
        </xdr:cNvPr>
        <xdr:cNvCxnSpPr/>
      </xdr:nvCxnSpPr>
      <xdr:spPr>
        <a:xfrm>
          <a:off x="11324166" y="138144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1607</xdr:row>
      <xdr:rowOff>31750</xdr:rowOff>
    </xdr:from>
    <xdr:to>
      <xdr:col>16</xdr:col>
      <xdr:colOff>42334</xdr:colOff>
      <xdr:row>1614</xdr:row>
      <xdr:rowOff>63501</xdr:rowOff>
    </xdr:to>
    <xdr:cxnSp macro="">
      <xdr:nvCxnSpPr>
        <xdr:cNvPr id="4001" name="Straight Arrow Connector 4000">
          <a:extLst>
            <a:ext uri="{FF2B5EF4-FFF2-40B4-BE49-F238E27FC236}">
              <a16:creationId xmlns:a16="http://schemas.microsoft.com/office/drawing/2014/main" id="{00000000-0008-0000-1300-0000A10F0000}"/>
            </a:ext>
          </a:extLst>
        </xdr:cNvPr>
        <xdr:cNvCxnSpPr/>
      </xdr:nvCxnSpPr>
      <xdr:spPr>
        <a:xfrm>
          <a:off x="11281833" y="135477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1620</xdr:row>
      <xdr:rowOff>31750</xdr:rowOff>
    </xdr:from>
    <xdr:to>
      <xdr:col>16</xdr:col>
      <xdr:colOff>21167</xdr:colOff>
      <xdr:row>1627</xdr:row>
      <xdr:rowOff>95250</xdr:rowOff>
    </xdr:to>
    <xdr:cxnSp macro="">
      <xdr:nvCxnSpPr>
        <xdr:cNvPr id="4002" name="Straight Arrow Connector 4001">
          <a:extLst>
            <a:ext uri="{FF2B5EF4-FFF2-40B4-BE49-F238E27FC236}">
              <a16:creationId xmlns:a16="http://schemas.microsoft.com/office/drawing/2014/main" id="{00000000-0008-0000-1300-0000A20F0000}"/>
            </a:ext>
          </a:extLst>
        </xdr:cNvPr>
        <xdr:cNvCxnSpPr/>
      </xdr:nvCxnSpPr>
      <xdr:spPr>
        <a:xfrm>
          <a:off x="11324166" y="138144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1607</xdr:row>
      <xdr:rowOff>31750</xdr:rowOff>
    </xdr:from>
    <xdr:to>
      <xdr:col>16</xdr:col>
      <xdr:colOff>42334</xdr:colOff>
      <xdr:row>1614</xdr:row>
      <xdr:rowOff>63501</xdr:rowOff>
    </xdr:to>
    <xdr:cxnSp macro="">
      <xdr:nvCxnSpPr>
        <xdr:cNvPr id="4003" name="Straight Arrow Connector 4002">
          <a:extLst>
            <a:ext uri="{FF2B5EF4-FFF2-40B4-BE49-F238E27FC236}">
              <a16:creationId xmlns:a16="http://schemas.microsoft.com/office/drawing/2014/main" id="{00000000-0008-0000-1300-0000A30F0000}"/>
            </a:ext>
          </a:extLst>
        </xdr:cNvPr>
        <xdr:cNvCxnSpPr/>
      </xdr:nvCxnSpPr>
      <xdr:spPr>
        <a:xfrm>
          <a:off x="11281833" y="135477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1620</xdr:row>
      <xdr:rowOff>31750</xdr:rowOff>
    </xdr:from>
    <xdr:to>
      <xdr:col>16</xdr:col>
      <xdr:colOff>21167</xdr:colOff>
      <xdr:row>1627</xdr:row>
      <xdr:rowOff>95250</xdr:rowOff>
    </xdr:to>
    <xdr:cxnSp macro="">
      <xdr:nvCxnSpPr>
        <xdr:cNvPr id="4004" name="Straight Arrow Connector 4003">
          <a:extLst>
            <a:ext uri="{FF2B5EF4-FFF2-40B4-BE49-F238E27FC236}">
              <a16:creationId xmlns:a16="http://schemas.microsoft.com/office/drawing/2014/main" id="{00000000-0008-0000-1300-0000A40F0000}"/>
            </a:ext>
          </a:extLst>
        </xdr:cNvPr>
        <xdr:cNvCxnSpPr/>
      </xdr:nvCxnSpPr>
      <xdr:spPr>
        <a:xfrm>
          <a:off x="11324166" y="138144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1633</xdr:row>
      <xdr:rowOff>31750</xdr:rowOff>
    </xdr:from>
    <xdr:to>
      <xdr:col>16</xdr:col>
      <xdr:colOff>42334</xdr:colOff>
      <xdr:row>1640</xdr:row>
      <xdr:rowOff>63501</xdr:rowOff>
    </xdr:to>
    <xdr:cxnSp macro="">
      <xdr:nvCxnSpPr>
        <xdr:cNvPr id="4005" name="Straight Arrow Connector 4004">
          <a:extLst>
            <a:ext uri="{FF2B5EF4-FFF2-40B4-BE49-F238E27FC236}">
              <a16:creationId xmlns:a16="http://schemas.microsoft.com/office/drawing/2014/main" id="{00000000-0008-0000-1300-0000A50F0000}"/>
            </a:ext>
          </a:extLst>
        </xdr:cNvPr>
        <xdr:cNvCxnSpPr/>
      </xdr:nvCxnSpPr>
      <xdr:spPr>
        <a:xfrm>
          <a:off x="11281833" y="140620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1633</xdr:row>
      <xdr:rowOff>31750</xdr:rowOff>
    </xdr:from>
    <xdr:to>
      <xdr:col>16</xdr:col>
      <xdr:colOff>42334</xdr:colOff>
      <xdr:row>1640</xdr:row>
      <xdr:rowOff>63501</xdr:rowOff>
    </xdr:to>
    <xdr:cxnSp macro="">
      <xdr:nvCxnSpPr>
        <xdr:cNvPr id="4006" name="Straight Arrow Connector 4005">
          <a:extLst>
            <a:ext uri="{FF2B5EF4-FFF2-40B4-BE49-F238E27FC236}">
              <a16:creationId xmlns:a16="http://schemas.microsoft.com/office/drawing/2014/main" id="{00000000-0008-0000-1300-0000A60F0000}"/>
            </a:ext>
          </a:extLst>
        </xdr:cNvPr>
        <xdr:cNvCxnSpPr/>
      </xdr:nvCxnSpPr>
      <xdr:spPr>
        <a:xfrm>
          <a:off x="11281833" y="140620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1663</xdr:row>
      <xdr:rowOff>31750</xdr:rowOff>
    </xdr:from>
    <xdr:to>
      <xdr:col>16</xdr:col>
      <xdr:colOff>42334</xdr:colOff>
      <xdr:row>1670</xdr:row>
      <xdr:rowOff>63501</xdr:rowOff>
    </xdr:to>
    <xdr:cxnSp macro="">
      <xdr:nvCxnSpPr>
        <xdr:cNvPr id="4007" name="Straight Arrow Connector 4006">
          <a:extLst>
            <a:ext uri="{FF2B5EF4-FFF2-40B4-BE49-F238E27FC236}">
              <a16:creationId xmlns:a16="http://schemas.microsoft.com/office/drawing/2014/main" id="{00000000-0008-0000-1300-0000A70F0000}"/>
            </a:ext>
          </a:extLst>
        </xdr:cNvPr>
        <xdr:cNvCxnSpPr/>
      </xdr:nvCxnSpPr>
      <xdr:spPr>
        <a:xfrm>
          <a:off x="11281833" y="146335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008" name="Straight Arrow Connector 4007">
          <a:extLst>
            <a:ext uri="{FF2B5EF4-FFF2-40B4-BE49-F238E27FC236}">
              <a16:creationId xmlns:a16="http://schemas.microsoft.com/office/drawing/2014/main" id="{00000000-0008-0000-1300-0000A80F0000}"/>
            </a:ext>
          </a:extLst>
        </xdr:cNvPr>
        <xdr:cNvCxnSpPr/>
      </xdr:nvCxnSpPr>
      <xdr:spPr>
        <a:xfrm>
          <a:off x="11324166" y="149002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1663</xdr:row>
      <xdr:rowOff>31750</xdr:rowOff>
    </xdr:from>
    <xdr:to>
      <xdr:col>16</xdr:col>
      <xdr:colOff>42334</xdr:colOff>
      <xdr:row>1670</xdr:row>
      <xdr:rowOff>63501</xdr:rowOff>
    </xdr:to>
    <xdr:cxnSp macro="">
      <xdr:nvCxnSpPr>
        <xdr:cNvPr id="4009" name="Straight Arrow Connector 4008">
          <a:extLst>
            <a:ext uri="{FF2B5EF4-FFF2-40B4-BE49-F238E27FC236}">
              <a16:creationId xmlns:a16="http://schemas.microsoft.com/office/drawing/2014/main" id="{00000000-0008-0000-1300-0000A90F0000}"/>
            </a:ext>
          </a:extLst>
        </xdr:cNvPr>
        <xdr:cNvCxnSpPr/>
      </xdr:nvCxnSpPr>
      <xdr:spPr>
        <a:xfrm>
          <a:off x="11281833" y="146335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010" name="Straight Arrow Connector 4009">
          <a:extLst>
            <a:ext uri="{FF2B5EF4-FFF2-40B4-BE49-F238E27FC236}">
              <a16:creationId xmlns:a16="http://schemas.microsoft.com/office/drawing/2014/main" id="{00000000-0008-0000-1300-0000AA0F0000}"/>
            </a:ext>
          </a:extLst>
        </xdr:cNvPr>
        <xdr:cNvCxnSpPr/>
      </xdr:nvCxnSpPr>
      <xdr:spPr>
        <a:xfrm>
          <a:off x="11324166" y="149002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011" name="Straight Arrow Connector 4010">
          <a:extLst>
            <a:ext uri="{FF2B5EF4-FFF2-40B4-BE49-F238E27FC236}">
              <a16:creationId xmlns:a16="http://schemas.microsoft.com/office/drawing/2014/main" id="{00000000-0008-0000-1300-0000AB0F0000}"/>
            </a:ext>
          </a:extLst>
        </xdr:cNvPr>
        <xdr:cNvCxnSpPr/>
      </xdr:nvCxnSpPr>
      <xdr:spPr>
        <a:xfrm>
          <a:off x="11324166" y="149002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012" name="Straight Arrow Connector 4011">
          <a:extLst>
            <a:ext uri="{FF2B5EF4-FFF2-40B4-BE49-F238E27FC236}">
              <a16:creationId xmlns:a16="http://schemas.microsoft.com/office/drawing/2014/main" id="{00000000-0008-0000-1300-0000AC0F0000}"/>
            </a:ext>
          </a:extLst>
        </xdr:cNvPr>
        <xdr:cNvCxnSpPr/>
      </xdr:nvCxnSpPr>
      <xdr:spPr>
        <a:xfrm>
          <a:off x="11324166" y="149002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1663</xdr:row>
      <xdr:rowOff>31750</xdr:rowOff>
    </xdr:from>
    <xdr:to>
      <xdr:col>16</xdr:col>
      <xdr:colOff>42334</xdr:colOff>
      <xdr:row>1670</xdr:row>
      <xdr:rowOff>63501</xdr:rowOff>
    </xdr:to>
    <xdr:cxnSp macro="">
      <xdr:nvCxnSpPr>
        <xdr:cNvPr id="4013" name="Straight Arrow Connector 4012">
          <a:extLst>
            <a:ext uri="{FF2B5EF4-FFF2-40B4-BE49-F238E27FC236}">
              <a16:creationId xmlns:a16="http://schemas.microsoft.com/office/drawing/2014/main" id="{00000000-0008-0000-1300-0000AD0F0000}"/>
            </a:ext>
          </a:extLst>
        </xdr:cNvPr>
        <xdr:cNvCxnSpPr/>
      </xdr:nvCxnSpPr>
      <xdr:spPr>
        <a:xfrm>
          <a:off x="11281833" y="146335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014" name="Straight Arrow Connector 4013">
          <a:extLst>
            <a:ext uri="{FF2B5EF4-FFF2-40B4-BE49-F238E27FC236}">
              <a16:creationId xmlns:a16="http://schemas.microsoft.com/office/drawing/2014/main" id="{00000000-0008-0000-1300-0000AE0F0000}"/>
            </a:ext>
          </a:extLst>
        </xdr:cNvPr>
        <xdr:cNvCxnSpPr/>
      </xdr:nvCxnSpPr>
      <xdr:spPr>
        <a:xfrm>
          <a:off x="11324166" y="149002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015" name="Straight Arrow Connector 4014">
          <a:extLst>
            <a:ext uri="{FF2B5EF4-FFF2-40B4-BE49-F238E27FC236}">
              <a16:creationId xmlns:a16="http://schemas.microsoft.com/office/drawing/2014/main" id="{00000000-0008-0000-1300-0000AF0F0000}"/>
            </a:ext>
          </a:extLst>
        </xdr:cNvPr>
        <xdr:cNvCxnSpPr/>
      </xdr:nvCxnSpPr>
      <xdr:spPr>
        <a:xfrm>
          <a:off x="11324166" y="149002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016" name="Straight Arrow Connector 4015">
          <a:extLst>
            <a:ext uri="{FF2B5EF4-FFF2-40B4-BE49-F238E27FC236}">
              <a16:creationId xmlns:a16="http://schemas.microsoft.com/office/drawing/2014/main" id="{00000000-0008-0000-1300-0000B00F0000}"/>
            </a:ext>
          </a:extLst>
        </xdr:cNvPr>
        <xdr:cNvCxnSpPr/>
      </xdr:nvCxnSpPr>
      <xdr:spPr>
        <a:xfrm>
          <a:off x="11324166" y="149002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017" name="Straight Arrow Connector 4016">
          <a:extLst>
            <a:ext uri="{FF2B5EF4-FFF2-40B4-BE49-F238E27FC236}">
              <a16:creationId xmlns:a16="http://schemas.microsoft.com/office/drawing/2014/main" id="{00000000-0008-0000-1300-0000B10F0000}"/>
            </a:ext>
          </a:extLst>
        </xdr:cNvPr>
        <xdr:cNvCxnSpPr/>
      </xdr:nvCxnSpPr>
      <xdr:spPr>
        <a:xfrm>
          <a:off x="11324166" y="149002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1663</xdr:row>
      <xdr:rowOff>31750</xdr:rowOff>
    </xdr:from>
    <xdr:to>
      <xdr:col>16</xdr:col>
      <xdr:colOff>42334</xdr:colOff>
      <xdr:row>1670</xdr:row>
      <xdr:rowOff>63501</xdr:rowOff>
    </xdr:to>
    <xdr:cxnSp macro="">
      <xdr:nvCxnSpPr>
        <xdr:cNvPr id="4018" name="Straight Arrow Connector 4017">
          <a:extLst>
            <a:ext uri="{FF2B5EF4-FFF2-40B4-BE49-F238E27FC236}">
              <a16:creationId xmlns:a16="http://schemas.microsoft.com/office/drawing/2014/main" id="{00000000-0008-0000-1300-0000B20F0000}"/>
            </a:ext>
          </a:extLst>
        </xdr:cNvPr>
        <xdr:cNvCxnSpPr/>
      </xdr:nvCxnSpPr>
      <xdr:spPr>
        <a:xfrm>
          <a:off x="11281833" y="146335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019" name="Straight Arrow Connector 4018">
          <a:extLst>
            <a:ext uri="{FF2B5EF4-FFF2-40B4-BE49-F238E27FC236}">
              <a16:creationId xmlns:a16="http://schemas.microsoft.com/office/drawing/2014/main" id="{00000000-0008-0000-1300-0000B30F0000}"/>
            </a:ext>
          </a:extLst>
        </xdr:cNvPr>
        <xdr:cNvCxnSpPr/>
      </xdr:nvCxnSpPr>
      <xdr:spPr>
        <a:xfrm>
          <a:off x="11324166" y="149002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1663</xdr:row>
      <xdr:rowOff>31750</xdr:rowOff>
    </xdr:from>
    <xdr:to>
      <xdr:col>16</xdr:col>
      <xdr:colOff>42334</xdr:colOff>
      <xdr:row>1670</xdr:row>
      <xdr:rowOff>63501</xdr:rowOff>
    </xdr:to>
    <xdr:cxnSp macro="">
      <xdr:nvCxnSpPr>
        <xdr:cNvPr id="4020" name="Straight Arrow Connector 4019">
          <a:extLst>
            <a:ext uri="{FF2B5EF4-FFF2-40B4-BE49-F238E27FC236}">
              <a16:creationId xmlns:a16="http://schemas.microsoft.com/office/drawing/2014/main" id="{00000000-0008-0000-1300-0000B40F0000}"/>
            </a:ext>
          </a:extLst>
        </xdr:cNvPr>
        <xdr:cNvCxnSpPr/>
      </xdr:nvCxnSpPr>
      <xdr:spPr>
        <a:xfrm>
          <a:off x="11281833" y="146335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021" name="Straight Arrow Connector 4020">
          <a:extLst>
            <a:ext uri="{FF2B5EF4-FFF2-40B4-BE49-F238E27FC236}">
              <a16:creationId xmlns:a16="http://schemas.microsoft.com/office/drawing/2014/main" id="{00000000-0008-0000-1300-0000B50F0000}"/>
            </a:ext>
          </a:extLst>
        </xdr:cNvPr>
        <xdr:cNvCxnSpPr/>
      </xdr:nvCxnSpPr>
      <xdr:spPr>
        <a:xfrm>
          <a:off x="11324166" y="149002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1663</xdr:row>
      <xdr:rowOff>31750</xdr:rowOff>
    </xdr:from>
    <xdr:to>
      <xdr:col>16</xdr:col>
      <xdr:colOff>42334</xdr:colOff>
      <xdr:row>1670</xdr:row>
      <xdr:rowOff>63501</xdr:rowOff>
    </xdr:to>
    <xdr:cxnSp macro="">
      <xdr:nvCxnSpPr>
        <xdr:cNvPr id="4022" name="Straight Arrow Connector 4021">
          <a:extLst>
            <a:ext uri="{FF2B5EF4-FFF2-40B4-BE49-F238E27FC236}">
              <a16:creationId xmlns:a16="http://schemas.microsoft.com/office/drawing/2014/main" id="{00000000-0008-0000-1300-0000B60F0000}"/>
            </a:ext>
          </a:extLst>
        </xdr:cNvPr>
        <xdr:cNvCxnSpPr/>
      </xdr:nvCxnSpPr>
      <xdr:spPr>
        <a:xfrm>
          <a:off x="11281833" y="146335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023" name="Straight Arrow Connector 4022">
          <a:extLst>
            <a:ext uri="{FF2B5EF4-FFF2-40B4-BE49-F238E27FC236}">
              <a16:creationId xmlns:a16="http://schemas.microsoft.com/office/drawing/2014/main" id="{00000000-0008-0000-1300-0000B70F0000}"/>
            </a:ext>
          </a:extLst>
        </xdr:cNvPr>
        <xdr:cNvCxnSpPr/>
      </xdr:nvCxnSpPr>
      <xdr:spPr>
        <a:xfrm>
          <a:off x="11324166" y="149002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1663</xdr:row>
      <xdr:rowOff>31750</xdr:rowOff>
    </xdr:from>
    <xdr:to>
      <xdr:col>16</xdr:col>
      <xdr:colOff>42334</xdr:colOff>
      <xdr:row>1670</xdr:row>
      <xdr:rowOff>63501</xdr:rowOff>
    </xdr:to>
    <xdr:cxnSp macro="">
      <xdr:nvCxnSpPr>
        <xdr:cNvPr id="4024" name="Straight Arrow Connector 4023">
          <a:extLst>
            <a:ext uri="{FF2B5EF4-FFF2-40B4-BE49-F238E27FC236}">
              <a16:creationId xmlns:a16="http://schemas.microsoft.com/office/drawing/2014/main" id="{00000000-0008-0000-1300-0000B80F0000}"/>
            </a:ext>
          </a:extLst>
        </xdr:cNvPr>
        <xdr:cNvCxnSpPr/>
      </xdr:nvCxnSpPr>
      <xdr:spPr>
        <a:xfrm>
          <a:off x="11281833" y="146335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025" name="Straight Arrow Connector 4024">
          <a:extLst>
            <a:ext uri="{FF2B5EF4-FFF2-40B4-BE49-F238E27FC236}">
              <a16:creationId xmlns:a16="http://schemas.microsoft.com/office/drawing/2014/main" id="{00000000-0008-0000-1300-0000B90F0000}"/>
            </a:ext>
          </a:extLst>
        </xdr:cNvPr>
        <xdr:cNvCxnSpPr/>
      </xdr:nvCxnSpPr>
      <xdr:spPr>
        <a:xfrm>
          <a:off x="11324166" y="149002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026" name="Straight Arrow Connector 4025">
          <a:extLst>
            <a:ext uri="{FF2B5EF4-FFF2-40B4-BE49-F238E27FC236}">
              <a16:creationId xmlns:a16="http://schemas.microsoft.com/office/drawing/2014/main" id="{00000000-0008-0000-1300-0000BA0F0000}"/>
            </a:ext>
          </a:extLst>
        </xdr:cNvPr>
        <xdr:cNvCxnSpPr/>
      </xdr:nvCxnSpPr>
      <xdr:spPr>
        <a:xfrm>
          <a:off x="11324166" y="149002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027" name="Straight Arrow Connector 4026">
          <a:extLst>
            <a:ext uri="{FF2B5EF4-FFF2-40B4-BE49-F238E27FC236}">
              <a16:creationId xmlns:a16="http://schemas.microsoft.com/office/drawing/2014/main" id="{00000000-0008-0000-1300-0000BB0F0000}"/>
            </a:ext>
          </a:extLst>
        </xdr:cNvPr>
        <xdr:cNvCxnSpPr/>
      </xdr:nvCxnSpPr>
      <xdr:spPr>
        <a:xfrm>
          <a:off x="11324166" y="149002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1663</xdr:row>
      <xdr:rowOff>31750</xdr:rowOff>
    </xdr:from>
    <xdr:to>
      <xdr:col>16</xdr:col>
      <xdr:colOff>42334</xdr:colOff>
      <xdr:row>1670</xdr:row>
      <xdr:rowOff>63501</xdr:rowOff>
    </xdr:to>
    <xdr:cxnSp macro="">
      <xdr:nvCxnSpPr>
        <xdr:cNvPr id="4028" name="Straight Arrow Connector 4027">
          <a:extLst>
            <a:ext uri="{FF2B5EF4-FFF2-40B4-BE49-F238E27FC236}">
              <a16:creationId xmlns:a16="http://schemas.microsoft.com/office/drawing/2014/main" id="{00000000-0008-0000-1300-0000BC0F0000}"/>
            </a:ext>
          </a:extLst>
        </xdr:cNvPr>
        <xdr:cNvCxnSpPr/>
      </xdr:nvCxnSpPr>
      <xdr:spPr>
        <a:xfrm>
          <a:off x="11281833" y="146335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029" name="Straight Arrow Connector 4028">
          <a:extLst>
            <a:ext uri="{FF2B5EF4-FFF2-40B4-BE49-F238E27FC236}">
              <a16:creationId xmlns:a16="http://schemas.microsoft.com/office/drawing/2014/main" id="{00000000-0008-0000-1300-0000BD0F0000}"/>
            </a:ext>
          </a:extLst>
        </xdr:cNvPr>
        <xdr:cNvCxnSpPr/>
      </xdr:nvCxnSpPr>
      <xdr:spPr>
        <a:xfrm>
          <a:off x="11324166" y="149002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1663</xdr:row>
      <xdr:rowOff>31750</xdr:rowOff>
    </xdr:from>
    <xdr:to>
      <xdr:col>16</xdr:col>
      <xdr:colOff>42334</xdr:colOff>
      <xdr:row>1670</xdr:row>
      <xdr:rowOff>63501</xdr:rowOff>
    </xdr:to>
    <xdr:cxnSp macro="">
      <xdr:nvCxnSpPr>
        <xdr:cNvPr id="4030" name="Straight Arrow Connector 4029">
          <a:extLst>
            <a:ext uri="{FF2B5EF4-FFF2-40B4-BE49-F238E27FC236}">
              <a16:creationId xmlns:a16="http://schemas.microsoft.com/office/drawing/2014/main" id="{00000000-0008-0000-1300-0000BE0F0000}"/>
            </a:ext>
          </a:extLst>
        </xdr:cNvPr>
        <xdr:cNvCxnSpPr/>
      </xdr:nvCxnSpPr>
      <xdr:spPr>
        <a:xfrm>
          <a:off x="11281833" y="146335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031" name="Straight Arrow Connector 4030">
          <a:extLst>
            <a:ext uri="{FF2B5EF4-FFF2-40B4-BE49-F238E27FC236}">
              <a16:creationId xmlns:a16="http://schemas.microsoft.com/office/drawing/2014/main" id="{00000000-0008-0000-1300-0000BF0F0000}"/>
            </a:ext>
          </a:extLst>
        </xdr:cNvPr>
        <xdr:cNvCxnSpPr/>
      </xdr:nvCxnSpPr>
      <xdr:spPr>
        <a:xfrm>
          <a:off x="11324166" y="149002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1663</xdr:row>
      <xdr:rowOff>31750</xdr:rowOff>
    </xdr:from>
    <xdr:to>
      <xdr:col>16</xdr:col>
      <xdr:colOff>42334</xdr:colOff>
      <xdr:row>1670</xdr:row>
      <xdr:rowOff>63501</xdr:rowOff>
    </xdr:to>
    <xdr:cxnSp macro="">
      <xdr:nvCxnSpPr>
        <xdr:cNvPr id="4032" name="Straight Arrow Connector 4031">
          <a:extLst>
            <a:ext uri="{FF2B5EF4-FFF2-40B4-BE49-F238E27FC236}">
              <a16:creationId xmlns:a16="http://schemas.microsoft.com/office/drawing/2014/main" id="{00000000-0008-0000-1300-0000C00F0000}"/>
            </a:ext>
          </a:extLst>
        </xdr:cNvPr>
        <xdr:cNvCxnSpPr/>
      </xdr:nvCxnSpPr>
      <xdr:spPr>
        <a:xfrm>
          <a:off x="11281833" y="146335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033" name="Straight Arrow Connector 4032">
          <a:extLst>
            <a:ext uri="{FF2B5EF4-FFF2-40B4-BE49-F238E27FC236}">
              <a16:creationId xmlns:a16="http://schemas.microsoft.com/office/drawing/2014/main" id="{00000000-0008-0000-1300-0000C10F0000}"/>
            </a:ext>
          </a:extLst>
        </xdr:cNvPr>
        <xdr:cNvCxnSpPr/>
      </xdr:nvCxnSpPr>
      <xdr:spPr>
        <a:xfrm>
          <a:off x="11324166" y="149002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1689</xdr:row>
      <xdr:rowOff>31750</xdr:rowOff>
    </xdr:from>
    <xdr:to>
      <xdr:col>16</xdr:col>
      <xdr:colOff>42334</xdr:colOff>
      <xdr:row>1696</xdr:row>
      <xdr:rowOff>63501</xdr:rowOff>
    </xdr:to>
    <xdr:cxnSp macro="">
      <xdr:nvCxnSpPr>
        <xdr:cNvPr id="4034" name="Straight Arrow Connector 4033">
          <a:extLst>
            <a:ext uri="{FF2B5EF4-FFF2-40B4-BE49-F238E27FC236}">
              <a16:creationId xmlns:a16="http://schemas.microsoft.com/office/drawing/2014/main" id="{00000000-0008-0000-1300-0000C20F0000}"/>
            </a:ext>
          </a:extLst>
        </xdr:cNvPr>
        <xdr:cNvCxnSpPr/>
      </xdr:nvCxnSpPr>
      <xdr:spPr>
        <a:xfrm>
          <a:off x="11281833" y="151479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1689</xdr:row>
      <xdr:rowOff>31750</xdr:rowOff>
    </xdr:from>
    <xdr:to>
      <xdr:col>16</xdr:col>
      <xdr:colOff>42334</xdr:colOff>
      <xdr:row>1696</xdr:row>
      <xdr:rowOff>63501</xdr:rowOff>
    </xdr:to>
    <xdr:cxnSp macro="">
      <xdr:nvCxnSpPr>
        <xdr:cNvPr id="4035" name="Straight Arrow Connector 4034">
          <a:extLst>
            <a:ext uri="{FF2B5EF4-FFF2-40B4-BE49-F238E27FC236}">
              <a16:creationId xmlns:a16="http://schemas.microsoft.com/office/drawing/2014/main" id="{00000000-0008-0000-1300-0000C30F0000}"/>
            </a:ext>
          </a:extLst>
        </xdr:cNvPr>
        <xdr:cNvCxnSpPr/>
      </xdr:nvCxnSpPr>
      <xdr:spPr>
        <a:xfrm>
          <a:off x="11281833" y="151479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036" name="Straight Arrow Connector 4035">
          <a:extLst>
            <a:ext uri="{FF2B5EF4-FFF2-40B4-BE49-F238E27FC236}">
              <a16:creationId xmlns:a16="http://schemas.microsoft.com/office/drawing/2014/main" id="{00000000-0008-0000-1300-0000C40F0000}"/>
            </a:ext>
          </a:extLst>
        </xdr:cNvPr>
        <xdr:cNvCxnSpPr/>
      </xdr:nvCxnSpPr>
      <xdr:spPr>
        <a:xfrm>
          <a:off x="11324166" y="15986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037" name="Straight Arrow Connector 4036">
          <a:extLst>
            <a:ext uri="{FF2B5EF4-FFF2-40B4-BE49-F238E27FC236}">
              <a16:creationId xmlns:a16="http://schemas.microsoft.com/office/drawing/2014/main" id="{00000000-0008-0000-1300-0000C50F0000}"/>
            </a:ext>
          </a:extLst>
        </xdr:cNvPr>
        <xdr:cNvCxnSpPr/>
      </xdr:nvCxnSpPr>
      <xdr:spPr>
        <a:xfrm>
          <a:off x="11324166" y="15986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1719</xdr:row>
      <xdr:rowOff>31750</xdr:rowOff>
    </xdr:from>
    <xdr:to>
      <xdr:col>16</xdr:col>
      <xdr:colOff>42334</xdr:colOff>
      <xdr:row>1726</xdr:row>
      <xdr:rowOff>63501</xdr:rowOff>
    </xdr:to>
    <xdr:cxnSp macro="">
      <xdr:nvCxnSpPr>
        <xdr:cNvPr id="4038" name="Straight Arrow Connector 4037">
          <a:extLst>
            <a:ext uri="{FF2B5EF4-FFF2-40B4-BE49-F238E27FC236}">
              <a16:creationId xmlns:a16="http://schemas.microsoft.com/office/drawing/2014/main" id="{00000000-0008-0000-1300-0000C60F0000}"/>
            </a:ext>
          </a:extLst>
        </xdr:cNvPr>
        <xdr:cNvCxnSpPr/>
      </xdr:nvCxnSpPr>
      <xdr:spPr>
        <a:xfrm>
          <a:off x="11281833" y="157194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039" name="Straight Arrow Connector 4038">
          <a:extLst>
            <a:ext uri="{FF2B5EF4-FFF2-40B4-BE49-F238E27FC236}">
              <a16:creationId xmlns:a16="http://schemas.microsoft.com/office/drawing/2014/main" id="{00000000-0008-0000-1300-0000C70F0000}"/>
            </a:ext>
          </a:extLst>
        </xdr:cNvPr>
        <xdr:cNvCxnSpPr/>
      </xdr:nvCxnSpPr>
      <xdr:spPr>
        <a:xfrm>
          <a:off x="11324166" y="15986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040" name="Straight Arrow Connector 4039">
          <a:extLst>
            <a:ext uri="{FF2B5EF4-FFF2-40B4-BE49-F238E27FC236}">
              <a16:creationId xmlns:a16="http://schemas.microsoft.com/office/drawing/2014/main" id="{00000000-0008-0000-1300-0000C80F0000}"/>
            </a:ext>
          </a:extLst>
        </xdr:cNvPr>
        <xdr:cNvCxnSpPr/>
      </xdr:nvCxnSpPr>
      <xdr:spPr>
        <a:xfrm>
          <a:off x="11324166" y="15986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041" name="Straight Arrow Connector 4040">
          <a:extLst>
            <a:ext uri="{FF2B5EF4-FFF2-40B4-BE49-F238E27FC236}">
              <a16:creationId xmlns:a16="http://schemas.microsoft.com/office/drawing/2014/main" id="{00000000-0008-0000-1300-0000C90F0000}"/>
            </a:ext>
          </a:extLst>
        </xdr:cNvPr>
        <xdr:cNvCxnSpPr/>
      </xdr:nvCxnSpPr>
      <xdr:spPr>
        <a:xfrm>
          <a:off x="11324166" y="15986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1719</xdr:row>
      <xdr:rowOff>31750</xdr:rowOff>
    </xdr:from>
    <xdr:to>
      <xdr:col>16</xdr:col>
      <xdr:colOff>42334</xdr:colOff>
      <xdr:row>1726</xdr:row>
      <xdr:rowOff>63501</xdr:rowOff>
    </xdr:to>
    <xdr:cxnSp macro="">
      <xdr:nvCxnSpPr>
        <xdr:cNvPr id="4042" name="Straight Arrow Connector 4041">
          <a:extLst>
            <a:ext uri="{FF2B5EF4-FFF2-40B4-BE49-F238E27FC236}">
              <a16:creationId xmlns:a16="http://schemas.microsoft.com/office/drawing/2014/main" id="{00000000-0008-0000-1300-0000CA0F0000}"/>
            </a:ext>
          </a:extLst>
        </xdr:cNvPr>
        <xdr:cNvCxnSpPr/>
      </xdr:nvCxnSpPr>
      <xdr:spPr>
        <a:xfrm>
          <a:off x="11281833" y="157194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043" name="Straight Arrow Connector 4042">
          <a:extLst>
            <a:ext uri="{FF2B5EF4-FFF2-40B4-BE49-F238E27FC236}">
              <a16:creationId xmlns:a16="http://schemas.microsoft.com/office/drawing/2014/main" id="{00000000-0008-0000-1300-0000CB0F0000}"/>
            </a:ext>
          </a:extLst>
        </xdr:cNvPr>
        <xdr:cNvCxnSpPr/>
      </xdr:nvCxnSpPr>
      <xdr:spPr>
        <a:xfrm>
          <a:off x="11324166" y="15986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1719</xdr:row>
      <xdr:rowOff>31750</xdr:rowOff>
    </xdr:from>
    <xdr:to>
      <xdr:col>16</xdr:col>
      <xdr:colOff>42334</xdr:colOff>
      <xdr:row>1726</xdr:row>
      <xdr:rowOff>63501</xdr:rowOff>
    </xdr:to>
    <xdr:cxnSp macro="">
      <xdr:nvCxnSpPr>
        <xdr:cNvPr id="4044" name="Straight Arrow Connector 4043">
          <a:extLst>
            <a:ext uri="{FF2B5EF4-FFF2-40B4-BE49-F238E27FC236}">
              <a16:creationId xmlns:a16="http://schemas.microsoft.com/office/drawing/2014/main" id="{00000000-0008-0000-1300-0000CC0F0000}"/>
            </a:ext>
          </a:extLst>
        </xdr:cNvPr>
        <xdr:cNvCxnSpPr/>
      </xdr:nvCxnSpPr>
      <xdr:spPr>
        <a:xfrm>
          <a:off x="11281833" y="157194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045" name="Straight Arrow Connector 4044">
          <a:extLst>
            <a:ext uri="{FF2B5EF4-FFF2-40B4-BE49-F238E27FC236}">
              <a16:creationId xmlns:a16="http://schemas.microsoft.com/office/drawing/2014/main" id="{00000000-0008-0000-1300-0000CD0F0000}"/>
            </a:ext>
          </a:extLst>
        </xdr:cNvPr>
        <xdr:cNvCxnSpPr/>
      </xdr:nvCxnSpPr>
      <xdr:spPr>
        <a:xfrm>
          <a:off x="11324166" y="15986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1719</xdr:row>
      <xdr:rowOff>31750</xdr:rowOff>
    </xdr:from>
    <xdr:to>
      <xdr:col>16</xdr:col>
      <xdr:colOff>42334</xdr:colOff>
      <xdr:row>1726</xdr:row>
      <xdr:rowOff>63501</xdr:rowOff>
    </xdr:to>
    <xdr:cxnSp macro="">
      <xdr:nvCxnSpPr>
        <xdr:cNvPr id="4046" name="Straight Arrow Connector 4045">
          <a:extLst>
            <a:ext uri="{FF2B5EF4-FFF2-40B4-BE49-F238E27FC236}">
              <a16:creationId xmlns:a16="http://schemas.microsoft.com/office/drawing/2014/main" id="{00000000-0008-0000-1300-0000CE0F0000}"/>
            </a:ext>
          </a:extLst>
        </xdr:cNvPr>
        <xdr:cNvCxnSpPr/>
      </xdr:nvCxnSpPr>
      <xdr:spPr>
        <a:xfrm>
          <a:off x="11281833" y="157194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047" name="Straight Arrow Connector 4046">
          <a:extLst>
            <a:ext uri="{FF2B5EF4-FFF2-40B4-BE49-F238E27FC236}">
              <a16:creationId xmlns:a16="http://schemas.microsoft.com/office/drawing/2014/main" id="{00000000-0008-0000-1300-0000CF0F0000}"/>
            </a:ext>
          </a:extLst>
        </xdr:cNvPr>
        <xdr:cNvCxnSpPr/>
      </xdr:nvCxnSpPr>
      <xdr:spPr>
        <a:xfrm>
          <a:off x="11324166" y="15986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048" name="Straight Arrow Connector 4047">
          <a:extLst>
            <a:ext uri="{FF2B5EF4-FFF2-40B4-BE49-F238E27FC236}">
              <a16:creationId xmlns:a16="http://schemas.microsoft.com/office/drawing/2014/main" id="{00000000-0008-0000-1300-0000D00F0000}"/>
            </a:ext>
          </a:extLst>
        </xdr:cNvPr>
        <xdr:cNvCxnSpPr/>
      </xdr:nvCxnSpPr>
      <xdr:spPr>
        <a:xfrm>
          <a:off x="11324166" y="15986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049" name="Straight Arrow Connector 4048">
          <a:extLst>
            <a:ext uri="{FF2B5EF4-FFF2-40B4-BE49-F238E27FC236}">
              <a16:creationId xmlns:a16="http://schemas.microsoft.com/office/drawing/2014/main" id="{00000000-0008-0000-1300-0000D10F0000}"/>
            </a:ext>
          </a:extLst>
        </xdr:cNvPr>
        <xdr:cNvCxnSpPr/>
      </xdr:nvCxnSpPr>
      <xdr:spPr>
        <a:xfrm>
          <a:off x="11324166" y="15986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1719</xdr:row>
      <xdr:rowOff>31750</xdr:rowOff>
    </xdr:from>
    <xdr:to>
      <xdr:col>16</xdr:col>
      <xdr:colOff>42334</xdr:colOff>
      <xdr:row>1726</xdr:row>
      <xdr:rowOff>63501</xdr:rowOff>
    </xdr:to>
    <xdr:cxnSp macro="">
      <xdr:nvCxnSpPr>
        <xdr:cNvPr id="4050" name="Straight Arrow Connector 4049">
          <a:extLst>
            <a:ext uri="{FF2B5EF4-FFF2-40B4-BE49-F238E27FC236}">
              <a16:creationId xmlns:a16="http://schemas.microsoft.com/office/drawing/2014/main" id="{00000000-0008-0000-1300-0000D20F0000}"/>
            </a:ext>
          </a:extLst>
        </xdr:cNvPr>
        <xdr:cNvCxnSpPr/>
      </xdr:nvCxnSpPr>
      <xdr:spPr>
        <a:xfrm>
          <a:off x="11281833" y="157194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051" name="Straight Arrow Connector 4050">
          <a:extLst>
            <a:ext uri="{FF2B5EF4-FFF2-40B4-BE49-F238E27FC236}">
              <a16:creationId xmlns:a16="http://schemas.microsoft.com/office/drawing/2014/main" id="{00000000-0008-0000-1300-0000D30F0000}"/>
            </a:ext>
          </a:extLst>
        </xdr:cNvPr>
        <xdr:cNvCxnSpPr/>
      </xdr:nvCxnSpPr>
      <xdr:spPr>
        <a:xfrm>
          <a:off x="11324166" y="15986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052" name="Straight Arrow Connector 4051">
          <a:extLst>
            <a:ext uri="{FF2B5EF4-FFF2-40B4-BE49-F238E27FC236}">
              <a16:creationId xmlns:a16="http://schemas.microsoft.com/office/drawing/2014/main" id="{00000000-0008-0000-1300-0000D40F0000}"/>
            </a:ext>
          </a:extLst>
        </xdr:cNvPr>
        <xdr:cNvCxnSpPr/>
      </xdr:nvCxnSpPr>
      <xdr:spPr>
        <a:xfrm>
          <a:off x="11324166" y="15986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053" name="Straight Arrow Connector 4052">
          <a:extLst>
            <a:ext uri="{FF2B5EF4-FFF2-40B4-BE49-F238E27FC236}">
              <a16:creationId xmlns:a16="http://schemas.microsoft.com/office/drawing/2014/main" id="{00000000-0008-0000-1300-0000D50F0000}"/>
            </a:ext>
          </a:extLst>
        </xdr:cNvPr>
        <xdr:cNvCxnSpPr/>
      </xdr:nvCxnSpPr>
      <xdr:spPr>
        <a:xfrm>
          <a:off x="11324166" y="15986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054" name="Straight Arrow Connector 4053">
          <a:extLst>
            <a:ext uri="{FF2B5EF4-FFF2-40B4-BE49-F238E27FC236}">
              <a16:creationId xmlns:a16="http://schemas.microsoft.com/office/drawing/2014/main" id="{00000000-0008-0000-1300-0000D60F0000}"/>
            </a:ext>
          </a:extLst>
        </xdr:cNvPr>
        <xdr:cNvCxnSpPr/>
      </xdr:nvCxnSpPr>
      <xdr:spPr>
        <a:xfrm>
          <a:off x="11324166" y="15986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1719</xdr:row>
      <xdr:rowOff>31750</xdr:rowOff>
    </xdr:from>
    <xdr:to>
      <xdr:col>16</xdr:col>
      <xdr:colOff>42334</xdr:colOff>
      <xdr:row>1726</xdr:row>
      <xdr:rowOff>63501</xdr:rowOff>
    </xdr:to>
    <xdr:cxnSp macro="">
      <xdr:nvCxnSpPr>
        <xdr:cNvPr id="4055" name="Straight Arrow Connector 4054">
          <a:extLst>
            <a:ext uri="{FF2B5EF4-FFF2-40B4-BE49-F238E27FC236}">
              <a16:creationId xmlns:a16="http://schemas.microsoft.com/office/drawing/2014/main" id="{00000000-0008-0000-1300-0000D70F0000}"/>
            </a:ext>
          </a:extLst>
        </xdr:cNvPr>
        <xdr:cNvCxnSpPr/>
      </xdr:nvCxnSpPr>
      <xdr:spPr>
        <a:xfrm>
          <a:off x="11281833" y="157194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056" name="Straight Arrow Connector 4055">
          <a:extLst>
            <a:ext uri="{FF2B5EF4-FFF2-40B4-BE49-F238E27FC236}">
              <a16:creationId xmlns:a16="http://schemas.microsoft.com/office/drawing/2014/main" id="{00000000-0008-0000-1300-0000D80F0000}"/>
            </a:ext>
          </a:extLst>
        </xdr:cNvPr>
        <xdr:cNvCxnSpPr/>
      </xdr:nvCxnSpPr>
      <xdr:spPr>
        <a:xfrm>
          <a:off x="11324166" y="15986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1719</xdr:row>
      <xdr:rowOff>31750</xdr:rowOff>
    </xdr:from>
    <xdr:to>
      <xdr:col>16</xdr:col>
      <xdr:colOff>42334</xdr:colOff>
      <xdr:row>1726</xdr:row>
      <xdr:rowOff>63501</xdr:rowOff>
    </xdr:to>
    <xdr:cxnSp macro="">
      <xdr:nvCxnSpPr>
        <xdr:cNvPr id="4057" name="Straight Arrow Connector 4056">
          <a:extLst>
            <a:ext uri="{FF2B5EF4-FFF2-40B4-BE49-F238E27FC236}">
              <a16:creationId xmlns:a16="http://schemas.microsoft.com/office/drawing/2014/main" id="{00000000-0008-0000-1300-0000D90F0000}"/>
            </a:ext>
          </a:extLst>
        </xdr:cNvPr>
        <xdr:cNvCxnSpPr/>
      </xdr:nvCxnSpPr>
      <xdr:spPr>
        <a:xfrm>
          <a:off x="11281833" y="157194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058" name="Straight Arrow Connector 4057">
          <a:extLst>
            <a:ext uri="{FF2B5EF4-FFF2-40B4-BE49-F238E27FC236}">
              <a16:creationId xmlns:a16="http://schemas.microsoft.com/office/drawing/2014/main" id="{00000000-0008-0000-1300-0000DA0F0000}"/>
            </a:ext>
          </a:extLst>
        </xdr:cNvPr>
        <xdr:cNvCxnSpPr/>
      </xdr:nvCxnSpPr>
      <xdr:spPr>
        <a:xfrm>
          <a:off x="11324166" y="15986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1719</xdr:row>
      <xdr:rowOff>31750</xdr:rowOff>
    </xdr:from>
    <xdr:to>
      <xdr:col>16</xdr:col>
      <xdr:colOff>42334</xdr:colOff>
      <xdr:row>1726</xdr:row>
      <xdr:rowOff>63501</xdr:rowOff>
    </xdr:to>
    <xdr:cxnSp macro="">
      <xdr:nvCxnSpPr>
        <xdr:cNvPr id="4059" name="Straight Arrow Connector 4058">
          <a:extLst>
            <a:ext uri="{FF2B5EF4-FFF2-40B4-BE49-F238E27FC236}">
              <a16:creationId xmlns:a16="http://schemas.microsoft.com/office/drawing/2014/main" id="{00000000-0008-0000-1300-0000DB0F0000}"/>
            </a:ext>
          </a:extLst>
        </xdr:cNvPr>
        <xdr:cNvCxnSpPr/>
      </xdr:nvCxnSpPr>
      <xdr:spPr>
        <a:xfrm>
          <a:off x="11281833" y="157194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060" name="Straight Arrow Connector 4059">
          <a:extLst>
            <a:ext uri="{FF2B5EF4-FFF2-40B4-BE49-F238E27FC236}">
              <a16:creationId xmlns:a16="http://schemas.microsoft.com/office/drawing/2014/main" id="{00000000-0008-0000-1300-0000DC0F0000}"/>
            </a:ext>
          </a:extLst>
        </xdr:cNvPr>
        <xdr:cNvCxnSpPr/>
      </xdr:nvCxnSpPr>
      <xdr:spPr>
        <a:xfrm>
          <a:off x="11324166" y="15986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1719</xdr:row>
      <xdr:rowOff>31750</xdr:rowOff>
    </xdr:from>
    <xdr:to>
      <xdr:col>16</xdr:col>
      <xdr:colOff>42334</xdr:colOff>
      <xdr:row>1726</xdr:row>
      <xdr:rowOff>63501</xdr:rowOff>
    </xdr:to>
    <xdr:cxnSp macro="">
      <xdr:nvCxnSpPr>
        <xdr:cNvPr id="4061" name="Straight Arrow Connector 4060">
          <a:extLst>
            <a:ext uri="{FF2B5EF4-FFF2-40B4-BE49-F238E27FC236}">
              <a16:creationId xmlns:a16="http://schemas.microsoft.com/office/drawing/2014/main" id="{00000000-0008-0000-1300-0000DD0F0000}"/>
            </a:ext>
          </a:extLst>
        </xdr:cNvPr>
        <xdr:cNvCxnSpPr/>
      </xdr:nvCxnSpPr>
      <xdr:spPr>
        <a:xfrm>
          <a:off x="11281833" y="157194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062" name="Straight Arrow Connector 4061">
          <a:extLst>
            <a:ext uri="{FF2B5EF4-FFF2-40B4-BE49-F238E27FC236}">
              <a16:creationId xmlns:a16="http://schemas.microsoft.com/office/drawing/2014/main" id="{00000000-0008-0000-1300-0000DE0F0000}"/>
            </a:ext>
          </a:extLst>
        </xdr:cNvPr>
        <xdr:cNvCxnSpPr/>
      </xdr:nvCxnSpPr>
      <xdr:spPr>
        <a:xfrm>
          <a:off x="11324166" y="15986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063" name="Straight Arrow Connector 4062">
          <a:extLst>
            <a:ext uri="{FF2B5EF4-FFF2-40B4-BE49-F238E27FC236}">
              <a16:creationId xmlns:a16="http://schemas.microsoft.com/office/drawing/2014/main" id="{00000000-0008-0000-1300-0000DF0F0000}"/>
            </a:ext>
          </a:extLst>
        </xdr:cNvPr>
        <xdr:cNvCxnSpPr/>
      </xdr:nvCxnSpPr>
      <xdr:spPr>
        <a:xfrm>
          <a:off x="11324166" y="15986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064" name="Straight Arrow Connector 4063">
          <a:extLst>
            <a:ext uri="{FF2B5EF4-FFF2-40B4-BE49-F238E27FC236}">
              <a16:creationId xmlns:a16="http://schemas.microsoft.com/office/drawing/2014/main" id="{00000000-0008-0000-1300-0000E00F0000}"/>
            </a:ext>
          </a:extLst>
        </xdr:cNvPr>
        <xdr:cNvCxnSpPr/>
      </xdr:nvCxnSpPr>
      <xdr:spPr>
        <a:xfrm>
          <a:off x="11324166" y="15986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1719</xdr:row>
      <xdr:rowOff>31750</xdr:rowOff>
    </xdr:from>
    <xdr:to>
      <xdr:col>16</xdr:col>
      <xdr:colOff>42334</xdr:colOff>
      <xdr:row>1726</xdr:row>
      <xdr:rowOff>63501</xdr:rowOff>
    </xdr:to>
    <xdr:cxnSp macro="">
      <xdr:nvCxnSpPr>
        <xdr:cNvPr id="4065" name="Straight Arrow Connector 4064">
          <a:extLst>
            <a:ext uri="{FF2B5EF4-FFF2-40B4-BE49-F238E27FC236}">
              <a16:creationId xmlns:a16="http://schemas.microsoft.com/office/drawing/2014/main" id="{00000000-0008-0000-1300-0000E10F0000}"/>
            </a:ext>
          </a:extLst>
        </xdr:cNvPr>
        <xdr:cNvCxnSpPr/>
      </xdr:nvCxnSpPr>
      <xdr:spPr>
        <a:xfrm>
          <a:off x="11281833" y="157194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066" name="Straight Arrow Connector 4065">
          <a:extLst>
            <a:ext uri="{FF2B5EF4-FFF2-40B4-BE49-F238E27FC236}">
              <a16:creationId xmlns:a16="http://schemas.microsoft.com/office/drawing/2014/main" id="{00000000-0008-0000-1300-0000E20F0000}"/>
            </a:ext>
          </a:extLst>
        </xdr:cNvPr>
        <xdr:cNvCxnSpPr/>
      </xdr:nvCxnSpPr>
      <xdr:spPr>
        <a:xfrm>
          <a:off x="11324166" y="15986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1719</xdr:row>
      <xdr:rowOff>31750</xdr:rowOff>
    </xdr:from>
    <xdr:to>
      <xdr:col>16</xdr:col>
      <xdr:colOff>42334</xdr:colOff>
      <xdr:row>1726</xdr:row>
      <xdr:rowOff>63501</xdr:rowOff>
    </xdr:to>
    <xdr:cxnSp macro="">
      <xdr:nvCxnSpPr>
        <xdr:cNvPr id="4067" name="Straight Arrow Connector 4066">
          <a:extLst>
            <a:ext uri="{FF2B5EF4-FFF2-40B4-BE49-F238E27FC236}">
              <a16:creationId xmlns:a16="http://schemas.microsoft.com/office/drawing/2014/main" id="{00000000-0008-0000-1300-0000E30F0000}"/>
            </a:ext>
          </a:extLst>
        </xdr:cNvPr>
        <xdr:cNvCxnSpPr/>
      </xdr:nvCxnSpPr>
      <xdr:spPr>
        <a:xfrm>
          <a:off x="11281833" y="157194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068" name="Straight Arrow Connector 4067">
          <a:extLst>
            <a:ext uri="{FF2B5EF4-FFF2-40B4-BE49-F238E27FC236}">
              <a16:creationId xmlns:a16="http://schemas.microsoft.com/office/drawing/2014/main" id="{00000000-0008-0000-1300-0000E40F0000}"/>
            </a:ext>
          </a:extLst>
        </xdr:cNvPr>
        <xdr:cNvCxnSpPr/>
      </xdr:nvCxnSpPr>
      <xdr:spPr>
        <a:xfrm>
          <a:off x="11324166" y="15986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1719</xdr:row>
      <xdr:rowOff>31750</xdr:rowOff>
    </xdr:from>
    <xdr:to>
      <xdr:col>16</xdr:col>
      <xdr:colOff>42334</xdr:colOff>
      <xdr:row>1726</xdr:row>
      <xdr:rowOff>63501</xdr:rowOff>
    </xdr:to>
    <xdr:cxnSp macro="">
      <xdr:nvCxnSpPr>
        <xdr:cNvPr id="4069" name="Straight Arrow Connector 4068">
          <a:extLst>
            <a:ext uri="{FF2B5EF4-FFF2-40B4-BE49-F238E27FC236}">
              <a16:creationId xmlns:a16="http://schemas.microsoft.com/office/drawing/2014/main" id="{00000000-0008-0000-1300-0000E50F0000}"/>
            </a:ext>
          </a:extLst>
        </xdr:cNvPr>
        <xdr:cNvCxnSpPr/>
      </xdr:nvCxnSpPr>
      <xdr:spPr>
        <a:xfrm>
          <a:off x="11281833" y="157194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070" name="Straight Arrow Connector 4069">
          <a:extLst>
            <a:ext uri="{FF2B5EF4-FFF2-40B4-BE49-F238E27FC236}">
              <a16:creationId xmlns:a16="http://schemas.microsoft.com/office/drawing/2014/main" id="{00000000-0008-0000-1300-0000E60F0000}"/>
            </a:ext>
          </a:extLst>
        </xdr:cNvPr>
        <xdr:cNvCxnSpPr/>
      </xdr:nvCxnSpPr>
      <xdr:spPr>
        <a:xfrm>
          <a:off x="11324166" y="15986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1745</xdr:row>
      <xdr:rowOff>31750</xdr:rowOff>
    </xdr:from>
    <xdr:to>
      <xdr:col>16</xdr:col>
      <xdr:colOff>42334</xdr:colOff>
      <xdr:row>1752</xdr:row>
      <xdr:rowOff>63501</xdr:rowOff>
    </xdr:to>
    <xdr:cxnSp macro="">
      <xdr:nvCxnSpPr>
        <xdr:cNvPr id="4071" name="Straight Arrow Connector 4070">
          <a:extLst>
            <a:ext uri="{FF2B5EF4-FFF2-40B4-BE49-F238E27FC236}">
              <a16:creationId xmlns:a16="http://schemas.microsoft.com/office/drawing/2014/main" id="{00000000-0008-0000-1300-0000E70F0000}"/>
            </a:ext>
          </a:extLst>
        </xdr:cNvPr>
        <xdr:cNvCxnSpPr/>
      </xdr:nvCxnSpPr>
      <xdr:spPr>
        <a:xfrm>
          <a:off x="11281833" y="162337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1745</xdr:row>
      <xdr:rowOff>31750</xdr:rowOff>
    </xdr:from>
    <xdr:to>
      <xdr:col>16</xdr:col>
      <xdr:colOff>42334</xdr:colOff>
      <xdr:row>1752</xdr:row>
      <xdr:rowOff>63501</xdr:rowOff>
    </xdr:to>
    <xdr:cxnSp macro="">
      <xdr:nvCxnSpPr>
        <xdr:cNvPr id="4072" name="Straight Arrow Connector 4071">
          <a:extLst>
            <a:ext uri="{FF2B5EF4-FFF2-40B4-BE49-F238E27FC236}">
              <a16:creationId xmlns:a16="http://schemas.microsoft.com/office/drawing/2014/main" id="{00000000-0008-0000-1300-0000E80F0000}"/>
            </a:ext>
          </a:extLst>
        </xdr:cNvPr>
        <xdr:cNvCxnSpPr/>
      </xdr:nvCxnSpPr>
      <xdr:spPr>
        <a:xfrm>
          <a:off x="11281833" y="162337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4073" name="Straight Arrow Connector 4072">
          <a:extLst>
            <a:ext uri="{FF2B5EF4-FFF2-40B4-BE49-F238E27FC236}">
              <a16:creationId xmlns:a16="http://schemas.microsoft.com/office/drawing/2014/main" id="{00000000-0008-0000-1300-0000E90F0000}"/>
            </a:ext>
          </a:extLst>
        </xdr:cNvPr>
        <xdr:cNvCxnSpPr/>
      </xdr:nvCxnSpPr>
      <xdr:spPr>
        <a:xfrm>
          <a:off x="11281833" y="168052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074" name="Straight Arrow Connector 4073">
          <a:extLst>
            <a:ext uri="{FF2B5EF4-FFF2-40B4-BE49-F238E27FC236}">
              <a16:creationId xmlns:a16="http://schemas.microsoft.com/office/drawing/2014/main" id="{00000000-0008-0000-1300-0000EA0F0000}"/>
            </a:ext>
          </a:extLst>
        </xdr:cNvPr>
        <xdr:cNvCxnSpPr/>
      </xdr:nvCxnSpPr>
      <xdr:spPr>
        <a:xfrm>
          <a:off x="11324166" y="170719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4075" name="Straight Arrow Connector 4074">
          <a:extLst>
            <a:ext uri="{FF2B5EF4-FFF2-40B4-BE49-F238E27FC236}">
              <a16:creationId xmlns:a16="http://schemas.microsoft.com/office/drawing/2014/main" id="{00000000-0008-0000-1300-0000EB0F0000}"/>
            </a:ext>
          </a:extLst>
        </xdr:cNvPr>
        <xdr:cNvCxnSpPr/>
      </xdr:nvCxnSpPr>
      <xdr:spPr>
        <a:xfrm>
          <a:off x="11281833" y="168052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076" name="Straight Arrow Connector 4075">
          <a:extLst>
            <a:ext uri="{FF2B5EF4-FFF2-40B4-BE49-F238E27FC236}">
              <a16:creationId xmlns:a16="http://schemas.microsoft.com/office/drawing/2014/main" id="{00000000-0008-0000-1300-0000EC0F0000}"/>
            </a:ext>
          </a:extLst>
        </xdr:cNvPr>
        <xdr:cNvCxnSpPr/>
      </xdr:nvCxnSpPr>
      <xdr:spPr>
        <a:xfrm>
          <a:off x="11324166" y="170719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4077" name="Straight Arrow Connector 4076">
          <a:extLst>
            <a:ext uri="{FF2B5EF4-FFF2-40B4-BE49-F238E27FC236}">
              <a16:creationId xmlns:a16="http://schemas.microsoft.com/office/drawing/2014/main" id="{00000000-0008-0000-1300-0000ED0F0000}"/>
            </a:ext>
          </a:extLst>
        </xdr:cNvPr>
        <xdr:cNvCxnSpPr/>
      </xdr:nvCxnSpPr>
      <xdr:spPr>
        <a:xfrm>
          <a:off x="11281833" y="168052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078" name="Straight Arrow Connector 4077">
          <a:extLst>
            <a:ext uri="{FF2B5EF4-FFF2-40B4-BE49-F238E27FC236}">
              <a16:creationId xmlns:a16="http://schemas.microsoft.com/office/drawing/2014/main" id="{00000000-0008-0000-1300-0000EE0F0000}"/>
            </a:ext>
          </a:extLst>
        </xdr:cNvPr>
        <xdr:cNvCxnSpPr/>
      </xdr:nvCxnSpPr>
      <xdr:spPr>
        <a:xfrm>
          <a:off x="11324166" y="170719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079" name="Straight Arrow Connector 4078">
          <a:extLst>
            <a:ext uri="{FF2B5EF4-FFF2-40B4-BE49-F238E27FC236}">
              <a16:creationId xmlns:a16="http://schemas.microsoft.com/office/drawing/2014/main" id="{00000000-0008-0000-1300-0000EF0F0000}"/>
            </a:ext>
          </a:extLst>
        </xdr:cNvPr>
        <xdr:cNvCxnSpPr/>
      </xdr:nvCxnSpPr>
      <xdr:spPr>
        <a:xfrm>
          <a:off x="11324166" y="170719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080" name="Straight Arrow Connector 4079">
          <a:extLst>
            <a:ext uri="{FF2B5EF4-FFF2-40B4-BE49-F238E27FC236}">
              <a16:creationId xmlns:a16="http://schemas.microsoft.com/office/drawing/2014/main" id="{00000000-0008-0000-1300-0000F00F0000}"/>
            </a:ext>
          </a:extLst>
        </xdr:cNvPr>
        <xdr:cNvCxnSpPr/>
      </xdr:nvCxnSpPr>
      <xdr:spPr>
        <a:xfrm>
          <a:off x="11324166" y="170719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4081" name="Straight Arrow Connector 4080">
          <a:extLst>
            <a:ext uri="{FF2B5EF4-FFF2-40B4-BE49-F238E27FC236}">
              <a16:creationId xmlns:a16="http://schemas.microsoft.com/office/drawing/2014/main" id="{00000000-0008-0000-1300-0000F10F0000}"/>
            </a:ext>
          </a:extLst>
        </xdr:cNvPr>
        <xdr:cNvCxnSpPr/>
      </xdr:nvCxnSpPr>
      <xdr:spPr>
        <a:xfrm>
          <a:off x="11281833" y="168052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082" name="Straight Arrow Connector 4081">
          <a:extLst>
            <a:ext uri="{FF2B5EF4-FFF2-40B4-BE49-F238E27FC236}">
              <a16:creationId xmlns:a16="http://schemas.microsoft.com/office/drawing/2014/main" id="{00000000-0008-0000-1300-0000F20F0000}"/>
            </a:ext>
          </a:extLst>
        </xdr:cNvPr>
        <xdr:cNvCxnSpPr/>
      </xdr:nvCxnSpPr>
      <xdr:spPr>
        <a:xfrm>
          <a:off x="11324166" y="170719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083" name="Straight Arrow Connector 4082">
          <a:extLst>
            <a:ext uri="{FF2B5EF4-FFF2-40B4-BE49-F238E27FC236}">
              <a16:creationId xmlns:a16="http://schemas.microsoft.com/office/drawing/2014/main" id="{00000000-0008-0000-1300-0000F30F0000}"/>
            </a:ext>
          </a:extLst>
        </xdr:cNvPr>
        <xdr:cNvCxnSpPr/>
      </xdr:nvCxnSpPr>
      <xdr:spPr>
        <a:xfrm>
          <a:off x="11324166" y="170719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084" name="Straight Arrow Connector 4083">
          <a:extLst>
            <a:ext uri="{FF2B5EF4-FFF2-40B4-BE49-F238E27FC236}">
              <a16:creationId xmlns:a16="http://schemas.microsoft.com/office/drawing/2014/main" id="{00000000-0008-0000-1300-0000F40F0000}"/>
            </a:ext>
          </a:extLst>
        </xdr:cNvPr>
        <xdr:cNvCxnSpPr/>
      </xdr:nvCxnSpPr>
      <xdr:spPr>
        <a:xfrm>
          <a:off x="11324166" y="170719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4085" name="Straight Arrow Connector 4084">
          <a:extLst>
            <a:ext uri="{FF2B5EF4-FFF2-40B4-BE49-F238E27FC236}">
              <a16:creationId xmlns:a16="http://schemas.microsoft.com/office/drawing/2014/main" id="{00000000-0008-0000-1300-0000F50F0000}"/>
            </a:ext>
          </a:extLst>
        </xdr:cNvPr>
        <xdr:cNvCxnSpPr/>
      </xdr:nvCxnSpPr>
      <xdr:spPr>
        <a:xfrm>
          <a:off x="11281833" y="168052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086" name="Straight Arrow Connector 4085">
          <a:extLst>
            <a:ext uri="{FF2B5EF4-FFF2-40B4-BE49-F238E27FC236}">
              <a16:creationId xmlns:a16="http://schemas.microsoft.com/office/drawing/2014/main" id="{00000000-0008-0000-1300-0000F60F0000}"/>
            </a:ext>
          </a:extLst>
        </xdr:cNvPr>
        <xdr:cNvCxnSpPr/>
      </xdr:nvCxnSpPr>
      <xdr:spPr>
        <a:xfrm>
          <a:off x="11324166" y="170719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087" name="Straight Arrow Connector 4086">
          <a:extLst>
            <a:ext uri="{FF2B5EF4-FFF2-40B4-BE49-F238E27FC236}">
              <a16:creationId xmlns:a16="http://schemas.microsoft.com/office/drawing/2014/main" id="{00000000-0008-0000-1300-0000F70F0000}"/>
            </a:ext>
          </a:extLst>
        </xdr:cNvPr>
        <xdr:cNvCxnSpPr/>
      </xdr:nvCxnSpPr>
      <xdr:spPr>
        <a:xfrm>
          <a:off x="11324166" y="170719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088" name="Straight Arrow Connector 4087">
          <a:extLst>
            <a:ext uri="{FF2B5EF4-FFF2-40B4-BE49-F238E27FC236}">
              <a16:creationId xmlns:a16="http://schemas.microsoft.com/office/drawing/2014/main" id="{00000000-0008-0000-1300-0000F80F0000}"/>
            </a:ext>
          </a:extLst>
        </xdr:cNvPr>
        <xdr:cNvCxnSpPr/>
      </xdr:nvCxnSpPr>
      <xdr:spPr>
        <a:xfrm>
          <a:off x="11324166" y="170719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4089" name="Straight Arrow Connector 4088">
          <a:extLst>
            <a:ext uri="{FF2B5EF4-FFF2-40B4-BE49-F238E27FC236}">
              <a16:creationId xmlns:a16="http://schemas.microsoft.com/office/drawing/2014/main" id="{00000000-0008-0000-1300-0000F90F0000}"/>
            </a:ext>
          </a:extLst>
        </xdr:cNvPr>
        <xdr:cNvCxnSpPr/>
      </xdr:nvCxnSpPr>
      <xdr:spPr>
        <a:xfrm>
          <a:off x="11281833" y="168052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090" name="Straight Arrow Connector 4089">
          <a:extLst>
            <a:ext uri="{FF2B5EF4-FFF2-40B4-BE49-F238E27FC236}">
              <a16:creationId xmlns:a16="http://schemas.microsoft.com/office/drawing/2014/main" id="{00000000-0008-0000-1300-0000FA0F0000}"/>
            </a:ext>
          </a:extLst>
        </xdr:cNvPr>
        <xdr:cNvCxnSpPr/>
      </xdr:nvCxnSpPr>
      <xdr:spPr>
        <a:xfrm>
          <a:off x="11324166" y="170719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4091" name="Straight Arrow Connector 4090">
          <a:extLst>
            <a:ext uri="{FF2B5EF4-FFF2-40B4-BE49-F238E27FC236}">
              <a16:creationId xmlns:a16="http://schemas.microsoft.com/office/drawing/2014/main" id="{00000000-0008-0000-1300-0000FB0F0000}"/>
            </a:ext>
          </a:extLst>
        </xdr:cNvPr>
        <xdr:cNvCxnSpPr/>
      </xdr:nvCxnSpPr>
      <xdr:spPr>
        <a:xfrm>
          <a:off x="11281833" y="168052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092" name="Straight Arrow Connector 4091">
          <a:extLst>
            <a:ext uri="{FF2B5EF4-FFF2-40B4-BE49-F238E27FC236}">
              <a16:creationId xmlns:a16="http://schemas.microsoft.com/office/drawing/2014/main" id="{00000000-0008-0000-1300-0000FC0F0000}"/>
            </a:ext>
          </a:extLst>
        </xdr:cNvPr>
        <xdr:cNvCxnSpPr/>
      </xdr:nvCxnSpPr>
      <xdr:spPr>
        <a:xfrm>
          <a:off x="11324166" y="170719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4093" name="Straight Arrow Connector 4092">
          <a:extLst>
            <a:ext uri="{FF2B5EF4-FFF2-40B4-BE49-F238E27FC236}">
              <a16:creationId xmlns:a16="http://schemas.microsoft.com/office/drawing/2014/main" id="{00000000-0008-0000-1300-0000FD0F0000}"/>
            </a:ext>
          </a:extLst>
        </xdr:cNvPr>
        <xdr:cNvCxnSpPr/>
      </xdr:nvCxnSpPr>
      <xdr:spPr>
        <a:xfrm>
          <a:off x="11281833" y="168052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094" name="Straight Arrow Connector 4093">
          <a:extLst>
            <a:ext uri="{FF2B5EF4-FFF2-40B4-BE49-F238E27FC236}">
              <a16:creationId xmlns:a16="http://schemas.microsoft.com/office/drawing/2014/main" id="{00000000-0008-0000-1300-0000FE0F0000}"/>
            </a:ext>
          </a:extLst>
        </xdr:cNvPr>
        <xdr:cNvCxnSpPr/>
      </xdr:nvCxnSpPr>
      <xdr:spPr>
        <a:xfrm>
          <a:off x="11324166" y="170719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095" name="Straight Arrow Connector 4094">
          <a:extLst>
            <a:ext uri="{FF2B5EF4-FFF2-40B4-BE49-F238E27FC236}">
              <a16:creationId xmlns:a16="http://schemas.microsoft.com/office/drawing/2014/main" id="{00000000-0008-0000-1300-0000FF0F0000}"/>
            </a:ext>
          </a:extLst>
        </xdr:cNvPr>
        <xdr:cNvCxnSpPr/>
      </xdr:nvCxnSpPr>
      <xdr:spPr>
        <a:xfrm>
          <a:off x="11324166" y="170719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096" name="Straight Arrow Connector 4095">
          <a:extLst>
            <a:ext uri="{FF2B5EF4-FFF2-40B4-BE49-F238E27FC236}">
              <a16:creationId xmlns:a16="http://schemas.microsoft.com/office/drawing/2014/main" id="{00000000-0008-0000-1300-000000100000}"/>
            </a:ext>
          </a:extLst>
        </xdr:cNvPr>
        <xdr:cNvCxnSpPr/>
      </xdr:nvCxnSpPr>
      <xdr:spPr>
        <a:xfrm>
          <a:off x="11324166" y="170719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4097" name="Straight Arrow Connector 4096">
          <a:extLst>
            <a:ext uri="{FF2B5EF4-FFF2-40B4-BE49-F238E27FC236}">
              <a16:creationId xmlns:a16="http://schemas.microsoft.com/office/drawing/2014/main" id="{00000000-0008-0000-1300-000001100000}"/>
            </a:ext>
          </a:extLst>
        </xdr:cNvPr>
        <xdr:cNvCxnSpPr/>
      </xdr:nvCxnSpPr>
      <xdr:spPr>
        <a:xfrm>
          <a:off x="11281833" y="168052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098" name="Straight Arrow Connector 4097">
          <a:extLst>
            <a:ext uri="{FF2B5EF4-FFF2-40B4-BE49-F238E27FC236}">
              <a16:creationId xmlns:a16="http://schemas.microsoft.com/office/drawing/2014/main" id="{00000000-0008-0000-1300-000002100000}"/>
            </a:ext>
          </a:extLst>
        </xdr:cNvPr>
        <xdr:cNvCxnSpPr/>
      </xdr:nvCxnSpPr>
      <xdr:spPr>
        <a:xfrm>
          <a:off x="11324166" y="170719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099" name="Straight Arrow Connector 4098">
          <a:extLst>
            <a:ext uri="{FF2B5EF4-FFF2-40B4-BE49-F238E27FC236}">
              <a16:creationId xmlns:a16="http://schemas.microsoft.com/office/drawing/2014/main" id="{00000000-0008-0000-1300-000003100000}"/>
            </a:ext>
          </a:extLst>
        </xdr:cNvPr>
        <xdr:cNvCxnSpPr/>
      </xdr:nvCxnSpPr>
      <xdr:spPr>
        <a:xfrm>
          <a:off x="11324166" y="170719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100" name="Straight Arrow Connector 4099">
          <a:extLst>
            <a:ext uri="{FF2B5EF4-FFF2-40B4-BE49-F238E27FC236}">
              <a16:creationId xmlns:a16="http://schemas.microsoft.com/office/drawing/2014/main" id="{00000000-0008-0000-1300-000004100000}"/>
            </a:ext>
          </a:extLst>
        </xdr:cNvPr>
        <xdr:cNvCxnSpPr/>
      </xdr:nvCxnSpPr>
      <xdr:spPr>
        <a:xfrm>
          <a:off x="11324166" y="170719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101" name="Straight Arrow Connector 4100">
          <a:extLst>
            <a:ext uri="{FF2B5EF4-FFF2-40B4-BE49-F238E27FC236}">
              <a16:creationId xmlns:a16="http://schemas.microsoft.com/office/drawing/2014/main" id="{00000000-0008-0000-1300-000005100000}"/>
            </a:ext>
          </a:extLst>
        </xdr:cNvPr>
        <xdr:cNvCxnSpPr/>
      </xdr:nvCxnSpPr>
      <xdr:spPr>
        <a:xfrm>
          <a:off x="11324166" y="170719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4102" name="Straight Arrow Connector 4101">
          <a:extLst>
            <a:ext uri="{FF2B5EF4-FFF2-40B4-BE49-F238E27FC236}">
              <a16:creationId xmlns:a16="http://schemas.microsoft.com/office/drawing/2014/main" id="{00000000-0008-0000-1300-000006100000}"/>
            </a:ext>
          </a:extLst>
        </xdr:cNvPr>
        <xdr:cNvCxnSpPr/>
      </xdr:nvCxnSpPr>
      <xdr:spPr>
        <a:xfrm>
          <a:off x="11281833" y="168052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103" name="Straight Arrow Connector 4102">
          <a:extLst>
            <a:ext uri="{FF2B5EF4-FFF2-40B4-BE49-F238E27FC236}">
              <a16:creationId xmlns:a16="http://schemas.microsoft.com/office/drawing/2014/main" id="{00000000-0008-0000-1300-000007100000}"/>
            </a:ext>
          </a:extLst>
        </xdr:cNvPr>
        <xdr:cNvCxnSpPr/>
      </xdr:nvCxnSpPr>
      <xdr:spPr>
        <a:xfrm>
          <a:off x="11324166" y="170719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4104" name="Straight Arrow Connector 4103">
          <a:extLst>
            <a:ext uri="{FF2B5EF4-FFF2-40B4-BE49-F238E27FC236}">
              <a16:creationId xmlns:a16="http://schemas.microsoft.com/office/drawing/2014/main" id="{00000000-0008-0000-1300-000008100000}"/>
            </a:ext>
          </a:extLst>
        </xdr:cNvPr>
        <xdr:cNvCxnSpPr/>
      </xdr:nvCxnSpPr>
      <xdr:spPr>
        <a:xfrm>
          <a:off x="11281833" y="168052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105" name="Straight Arrow Connector 4104">
          <a:extLst>
            <a:ext uri="{FF2B5EF4-FFF2-40B4-BE49-F238E27FC236}">
              <a16:creationId xmlns:a16="http://schemas.microsoft.com/office/drawing/2014/main" id="{00000000-0008-0000-1300-000009100000}"/>
            </a:ext>
          </a:extLst>
        </xdr:cNvPr>
        <xdr:cNvCxnSpPr/>
      </xdr:nvCxnSpPr>
      <xdr:spPr>
        <a:xfrm>
          <a:off x="11324166" y="170719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4106" name="Straight Arrow Connector 4105">
          <a:extLst>
            <a:ext uri="{FF2B5EF4-FFF2-40B4-BE49-F238E27FC236}">
              <a16:creationId xmlns:a16="http://schemas.microsoft.com/office/drawing/2014/main" id="{00000000-0008-0000-1300-00000A100000}"/>
            </a:ext>
          </a:extLst>
        </xdr:cNvPr>
        <xdr:cNvCxnSpPr/>
      </xdr:nvCxnSpPr>
      <xdr:spPr>
        <a:xfrm>
          <a:off x="11281833" y="168052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107" name="Straight Arrow Connector 4106">
          <a:extLst>
            <a:ext uri="{FF2B5EF4-FFF2-40B4-BE49-F238E27FC236}">
              <a16:creationId xmlns:a16="http://schemas.microsoft.com/office/drawing/2014/main" id="{00000000-0008-0000-1300-00000B100000}"/>
            </a:ext>
          </a:extLst>
        </xdr:cNvPr>
        <xdr:cNvCxnSpPr/>
      </xdr:nvCxnSpPr>
      <xdr:spPr>
        <a:xfrm>
          <a:off x="11324166" y="170719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4108" name="Straight Arrow Connector 4107">
          <a:extLst>
            <a:ext uri="{FF2B5EF4-FFF2-40B4-BE49-F238E27FC236}">
              <a16:creationId xmlns:a16="http://schemas.microsoft.com/office/drawing/2014/main" id="{00000000-0008-0000-1300-00000C100000}"/>
            </a:ext>
          </a:extLst>
        </xdr:cNvPr>
        <xdr:cNvCxnSpPr/>
      </xdr:nvCxnSpPr>
      <xdr:spPr>
        <a:xfrm>
          <a:off x="11281833" y="168052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109" name="Straight Arrow Connector 4108">
          <a:extLst>
            <a:ext uri="{FF2B5EF4-FFF2-40B4-BE49-F238E27FC236}">
              <a16:creationId xmlns:a16="http://schemas.microsoft.com/office/drawing/2014/main" id="{00000000-0008-0000-1300-00000D100000}"/>
            </a:ext>
          </a:extLst>
        </xdr:cNvPr>
        <xdr:cNvCxnSpPr/>
      </xdr:nvCxnSpPr>
      <xdr:spPr>
        <a:xfrm>
          <a:off x="11324166" y="170719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110" name="Straight Arrow Connector 4109">
          <a:extLst>
            <a:ext uri="{FF2B5EF4-FFF2-40B4-BE49-F238E27FC236}">
              <a16:creationId xmlns:a16="http://schemas.microsoft.com/office/drawing/2014/main" id="{00000000-0008-0000-1300-00000E100000}"/>
            </a:ext>
          </a:extLst>
        </xdr:cNvPr>
        <xdr:cNvCxnSpPr/>
      </xdr:nvCxnSpPr>
      <xdr:spPr>
        <a:xfrm>
          <a:off x="11324166" y="170719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111" name="Straight Arrow Connector 4110">
          <a:extLst>
            <a:ext uri="{FF2B5EF4-FFF2-40B4-BE49-F238E27FC236}">
              <a16:creationId xmlns:a16="http://schemas.microsoft.com/office/drawing/2014/main" id="{00000000-0008-0000-1300-00000F100000}"/>
            </a:ext>
          </a:extLst>
        </xdr:cNvPr>
        <xdr:cNvCxnSpPr/>
      </xdr:nvCxnSpPr>
      <xdr:spPr>
        <a:xfrm>
          <a:off x="11324166" y="170719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4112" name="Straight Arrow Connector 4111">
          <a:extLst>
            <a:ext uri="{FF2B5EF4-FFF2-40B4-BE49-F238E27FC236}">
              <a16:creationId xmlns:a16="http://schemas.microsoft.com/office/drawing/2014/main" id="{00000000-0008-0000-1300-000010100000}"/>
            </a:ext>
          </a:extLst>
        </xdr:cNvPr>
        <xdr:cNvCxnSpPr/>
      </xdr:nvCxnSpPr>
      <xdr:spPr>
        <a:xfrm>
          <a:off x="11281833" y="168052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113" name="Straight Arrow Connector 4112">
          <a:extLst>
            <a:ext uri="{FF2B5EF4-FFF2-40B4-BE49-F238E27FC236}">
              <a16:creationId xmlns:a16="http://schemas.microsoft.com/office/drawing/2014/main" id="{00000000-0008-0000-1300-000011100000}"/>
            </a:ext>
          </a:extLst>
        </xdr:cNvPr>
        <xdr:cNvCxnSpPr/>
      </xdr:nvCxnSpPr>
      <xdr:spPr>
        <a:xfrm>
          <a:off x="11324166" y="170719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4114" name="Straight Arrow Connector 4113">
          <a:extLst>
            <a:ext uri="{FF2B5EF4-FFF2-40B4-BE49-F238E27FC236}">
              <a16:creationId xmlns:a16="http://schemas.microsoft.com/office/drawing/2014/main" id="{00000000-0008-0000-1300-000012100000}"/>
            </a:ext>
          </a:extLst>
        </xdr:cNvPr>
        <xdr:cNvCxnSpPr/>
      </xdr:nvCxnSpPr>
      <xdr:spPr>
        <a:xfrm>
          <a:off x="11281833" y="168052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115" name="Straight Arrow Connector 4114">
          <a:extLst>
            <a:ext uri="{FF2B5EF4-FFF2-40B4-BE49-F238E27FC236}">
              <a16:creationId xmlns:a16="http://schemas.microsoft.com/office/drawing/2014/main" id="{00000000-0008-0000-1300-000013100000}"/>
            </a:ext>
          </a:extLst>
        </xdr:cNvPr>
        <xdr:cNvCxnSpPr/>
      </xdr:nvCxnSpPr>
      <xdr:spPr>
        <a:xfrm>
          <a:off x="11324166" y="170719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4116" name="Straight Arrow Connector 4115">
          <a:extLst>
            <a:ext uri="{FF2B5EF4-FFF2-40B4-BE49-F238E27FC236}">
              <a16:creationId xmlns:a16="http://schemas.microsoft.com/office/drawing/2014/main" id="{00000000-0008-0000-1300-000014100000}"/>
            </a:ext>
          </a:extLst>
        </xdr:cNvPr>
        <xdr:cNvCxnSpPr/>
      </xdr:nvCxnSpPr>
      <xdr:spPr>
        <a:xfrm>
          <a:off x="11281833" y="168052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117" name="Straight Arrow Connector 4116">
          <a:extLst>
            <a:ext uri="{FF2B5EF4-FFF2-40B4-BE49-F238E27FC236}">
              <a16:creationId xmlns:a16="http://schemas.microsoft.com/office/drawing/2014/main" id="{00000000-0008-0000-1300-000015100000}"/>
            </a:ext>
          </a:extLst>
        </xdr:cNvPr>
        <xdr:cNvCxnSpPr/>
      </xdr:nvCxnSpPr>
      <xdr:spPr>
        <a:xfrm>
          <a:off x="11324166" y="170719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1801</xdr:row>
      <xdr:rowOff>31750</xdr:rowOff>
    </xdr:from>
    <xdr:to>
      <xdr:col>16</xdr:col>
      <xdr:colOff>42334</xdr:colOff>
      <xdr:row>1808</xdr:row>
      <xdr:rowOff>63501</xdr:rowOff>
    </xdr:to>
    <xdr:cxnSp macro="">
      <xdr:nvCxnSpPr>
        <xdr:cNvPr id="4118" name="Straight Arrow Connector 4117">
          <a:extLst>
            <a:ext uri="{FF2B5EF4-FFF2-40B4-BE49-F238E27FC236}">
              <a16:creationId xmlns:a16="http://schemas.microsoft.com/office/drawing/2014/main" id="{00000000-0008-0000-1300-000016100000}"/>
            </a:ext>
          </a:extLst>
        </xdr:cNvPr>
        <xdr:cNvCxnSpPr/>
      </xdr:nvCxnSpPr>
      <xdr:spPr>
        <a:xfrm>
          <a:off x="11281833" y="173196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1801</xdr:row>
      <xdr:rowOff>31750</xdr:rowOff>
    </xdr:from>
    <xdr:to>
      <xdr:col>16</xdr:col>
      <xdr:colOff>42334</xdr:colOff>
      <xdr:row>1808</xdr:row>
      <xdr:rowOff>63501</xdr:rowOff>
    </xdr:to>
    <xdr:cxnSp macro="">
      <xdr:nvCxnSpPr>
        <xdr:cNvPr id="4119" name="Straight Arrow Connector 4118">
          <a:extLst>
            <a:ext uri="{FF2B5EF4-FFF2-40B4-BE49-F238E27FC236}">
              <a16:creationId xmlns:a16="http://schemas.microsoft.com/office/drawing/2014/main" id="{00000000-0008-0000-1300-000017100000}"/>
            </a:ext>
          </a:extLst>
        </xdr:cNvPr>
        <xdr:cNvCxnSpPr/>
      </xdr:nvCxnSpPr>
      <xdr:spPr>
        <a:xfrm>
          <a:off x="11281833" y="173196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1000</xdr:row>
      <xdr:rowOff>31750</xdr:rowOff>
    </xdr:from>
    <xdr:to>
      <xdr:col>16</xdr:col>
      <xdr:colOff>21167</xdr:colOff>
      <xdr:row>1007</xdr:row>
      <xdr:rowOff>95250</xdr:rowOff>
    </xdr:to>
    <xdr:cxnSp macro="">
      <xdr:nvCxnSpPr>
        <xdr:cNvPr id="4142" name="Straight Arrow Connector 4141">
          <a:extLst>
            <a:ext uri="{FF2B5EF4-FFF2-40B4-BE49-F238E27FC236}">
              <a16:creationId xmlns:a16="http://schemas.microsoft.com/office/drawing/2014/main" id="{00000000-0008-0000-1300-00002E100000}"/>
            </a:ext>
          </a:extLst>
        </xdr:cNvPr>
        <xdr:cNvCxnSpPr/>
      </xdr:nvCxnSpPr>
      <xdr:spPr>
        <a:xfrm>
          <a:off x="11324166" y="182340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1000</xdr:row>
      <xdr:rowOff>31750</xdr:rowOff>
    </xdr:from>
    <xdr:to>
      <xdr:col>16</xdr:col>
      <xdr:colOff>21167</xdr:colOff>
      <xdr:row>1007</xdr:row>
      <xdr:rowOff>95250</xdr:rowOff>
    </xdr:to>
    <xdr:cxnSp macro="">
      <xdr:nvCxnSpPr>
        <xdr:cNvPr id="4144" name="Straight Arrow Connector 4143">
          <a:extLst>
            <a:ext uri="{FF2B5EF4-FFF2-40B4-BE49-F238E27FC236}">
              <a16:creationId xmlns:a16="http://schemas.microsoft.com/office/drawing/2014/main" id="{00000000-0008-0000-1300-000030100000}"/>
            </a:ext>
          </a:extLst>
        </xdr:cNvPr>
        <xdr:cNvCxnSpPr/>
      </xdr:nvCxnSpPr>
      <xdr:spPr>
        <a:xfrm>
          <a:off x="11324166" y="182340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1000</xdr:row>
      <xdr:rowOff>31750</xdr:rowOff>
    </xdr:from>
    <xdr:to>
      <xdr:col>16</xdr:col>
      <xdr:colOff>21167</xdr:colOff>
      <xdr:row>1007</xdr:row>
      <xdr:rowOff>95250</xdr:rowOff>
    </xdr:to>
    <xdr:cxnSp macro="">
      <xdr:nvCxnSpPr>
        <xdr:cNvPr id="4146" name="Straight Arrow Connector 4145">
          <a:extLst>
            <a:ext uri="{FF2B5EF4-FFF2-40B4-BE49-F238E27FC236}">
              <a16:creationId xmlns:a16="http://schemas.microsoft.com/office/drawing/2014/main" id="{00000000-0008-0000-1300-000032100000}"/>
            </a:ext>
          </a:extLst>
        </xdr:cNvPr>
        <xdr:cNvCxnSpPr/>
      </xdr:nvCxnSpPr>
      <xdr:spPr>
        <a:xfrm>
          <a:off x="11324166" y="182340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1056</xdr:row>
      <xdr:rowOff>31750</xdr:rowOff>
    </xdr:from>
    <xdr:to>
      <xdr:col>16</xdr:col>
      <xdr:colOff>21167</xdr:colOff>
      <xdr:row>1063</xdr:row>
      <xdr:rowOff>95250</xdr:rowOff>
    </xdr:to>
    <xdr:cxnSp macro="">
      <xdr:nvCxnSpPr>
        <xdr:cNvPr id="4149" name="Straight Arrow Connector 4148">
          <a:extLst>
            <a:ext uri="{FF2B5EF4-FFF2-40B4-BE49-F238E27FC236}">
              <a16:creationId xmlns:a16="http://schemas.microsoft.com/office/drawing/2014/main" id="{00000000-0008-0000-1300-000035100000}"/>
            </a:ext>
          </a:extLst>
        </xdr:cNvPr>
        <xdr:cNvCxnSpPr/>
      </xdr:nvCxnSpPr>
      <xdr:spPr>
        <a:xfrm>
          <a:off x="11324166" y="193198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1056</xdr:row>
      <xdr:rowOff>31750</xdr:rowOff>
    </xdr:from>
    <xdr:to>
      <xdr:col>16</xdr:col>
      <xdr:colOff>21167</xdr:colOff>
      <xdr:row>1063</xdr:row>
      <xdr:rowOff>95250</xdr:rowOff>
    </xdr:to>
    <xdr:cxnSp macro="">
      <xdr:nvCxnSpPr>
        <xdr:cNvPr id="4150" name="Straight Arrow Connector 4149">
          <a:extLst>
            <a:ext uri="{FF2B5EF4-FFF2-40B4-BE49-F238E27FC236}">
              <a16:creationId xmlns:a16="http://schemas.microsoft.com/office/drawing/2014/main" id="{00000000-0008-0000-1300-000036100000}"/>
            </a:ext>
          </a:extLst>
        </xdr:cNvPr>
        <xdr:cNvCxnSpPr/>
      </xdr:nvCxnSpPr>
      <xdr:spPr>
        <a:xfrm>
          <a:off x="11324166" y="193198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1056</xdr:row>
      <xdr:rowOff>31750</xdr:rowOff>
    </xdr:from>
    <xdr:to>
      <xdr:col>16</xdr:col>
      <xdr:colOff>21167</xdr:colOff>
      <xdr:row>1063</xdr:row>
      <xdr:rowOff>95250</xdr:rowOff>
    </xdr:to>
    <xdr:cxnSp macro="">
      <xdr:nvCxnSpPr>
        <xdr:cNvPr id="4151" name="Straight Arrow Connector 4150">
          <a:extLst>
            <a:ext uri="{FF2B5EF4-FFF2-40B4-BE49-F238E27FC236}">
              <a16:creationId xmlns:a16="http://schemas.microsoft.com/office/drawing/2014/main" id="{00000000-0008-0000-1300-000037100000}"/>
            </a:ext>
          </a:extLst>
        </xdr:cNvPr>
        <xdr:cNvCxnSpPr/>
      </xdr:nvCxnSpPr>
      <xdr:spPr>
        <a:xfrm>
          <a:off x="11324166" y="193198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1056</xdr:row>
      <xdr:rowOff>31750</xdr:rowOff>
    </xdr:from>
    <xdr:to>
      <xdr:col>16</xdr:col>
      <xdr:colOff>21167</xdr:colOff>
      <xdr:row>1063</xdr:row>
      <xdr:rowOff>95250</xdr:rowOff>
    </xdr:to>
    <xdr:cxnSp macro="">
      <xdr:nvCxnSpPr>
        <xdr:cNvPr id="4152" name="Straight Arrow Connector 4151">
          <a:extLst>
            <a:ext uri="{FF2B5EF4-FFF2-40B4-BE49-F238E27FC236}">
              <a16:creationId xmlns:a16="http://schemas.microsoft.com/office/drawing/2014/main" id="{00000000-0008-0000-1300-000038100000}"/>
            </a:ext>
          </a:extLst>
        </xdr:cNvPr>
        <xdr:cNvCxnSpPr/>
      </xdr:nvCxnSpPr>
      <xdr:spPr>
        <a:xfrm>
          <a:off x="11324166" y="193198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1043</xdr:row>
      <xdr:rowOff>31750</xdr:rowOff>
    </xdr:from>
    <xdr:to>
      <xdr:col>16</xdr:col>
      <xdr:colOff>42334</xdr:colOff>
      <xdr:row>1050</xdr:row>
      <xdr:rowOff>63501</xdr:rowOff>
    </xdr:to>
    <xdr:cxnSp macro="">
      <xdr:nvCxnSpPr>
        <xdr:cNvPr id="4153" name="Straight Arrow Connector 4152">
          <a:extLst>
            <a:ext uri="{FF2B5EF4-FFF2-40B4-BE49-F238E27FC236}">
              <a16:creationId xmlns:a16="http://schemas.microsoft.com/office/drawing/2014/main" id="{00000000-0008-0000-1300-000039100000}"/>
            </a:ext>
          </a:extLst>
        </xdr:cNvPr>
        <xdr:cNvCxnSpPr/>
      </xdr:nvCxnSpPr>
      <xdr:spPr>
        <a:xfrm>
          <a:off x="11281833" y="190531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1056</xdr:row>
      <xdr:rowOff>31750</xdr:rowOff>
    </xdr:from>
    <xdr:to>
      <xdr:col>16</xdr:col>
      <xdr:colOff>21167</xdr:colOff>
      <xdr:row>1063</xdr:row>
      <xdr:rowOff>95250</xdr:rowOff>
    </xdr:to>
    <xdr:cxnSp macro="">
      <xdr:nvCxnSpPr>
        <xdr:cNvPr id="4154" name="Straight Arrow Connector 4153">
          <a:extLst>
            <a:ext uri="{FF2B5EF4-FFF2-40B4-BE49-F238E27FC236}">
              <a16:creationId xmlns:a16="http://schemas.microsoft.com/office/drawing/2014/main" id="{00000000-0008-0000-1300-00003A100000}"/>
            </a:ext>
          </a:extLst>
        </xdr:cNvPr>
        <xdr:cNvCxnSpPr/>
      </xdr:nvCxnSpPr>
      <xdr:spPr>
        <a:xfrm>
          <a:off x="11324166" y="193198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1043</xdr:row>
      <xdr:rowOff>31750</xdr:rowOff>
    </xdr:from>
    <xdr:to>
      <xdr:col>16</xdr:col>
      <xdr:colOff>42334</xdr:colOff>
      <xdr:row>1050</xdr:row>
      <xdr:rowOff>63501</xdr:rowOff>
    </xdr:to>
    <xdr:cxnSp macro="">
      <xdr:nvCxnSpPr>
        <xdr:cNvPr id="4155" name="Straight Arrow Connector 4154">
          <a:extLst>
            <a:ext uri="{FF2B5EF4-FFF2-40B4-BE49-F238E27FC236}">
              <a16:creationId xmlns:a16="http://schemas.microsoft.com/office/drawing/2014/main" id="{00000000-0008-0000-1300-00003B100000}"/>
            </a:ext>
          </a:extLst>
        </xdr:cNvPr>
        <xdr:cNvCxnSpPr/>
      </xdr:nvCxnSpPr>
      <xdr:spPr>
        <a:xfrm>
          <a:off x="11281833" y="190531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1056</xdr:row>
      <xdr:rowOff>31750</xdr:rowOff>
    </xdr:from>
    <xdr:to>
      <xdr:col>16</xdr:col>
      <xdr:colOff>21167</xdr:colOff>
      <xdr:row>1063</xdr:row>
      <xdr:rowOff>95250</xdr:rowOff>
    </xdr:to>
    <xdr:cxnSp macro="">
      <xdr:nvCxnSpPr>
        <xdr:cNvPr id="4156" name="Straight Arrow Connector 4155">
          <a:extLst>
            <a:ext uri="{FF2B5EF4-FFF2-40B4-BE49-F238E27FC236}">
              <a16:creationId xmlns:a16="http://schemas.microsoft.com/office/drawing/2014/main" id="{00000000-0008-0000-1300-00003C100000}"/>
            </a:ext>
          </a:extLst>
        </xdr:cNvPr>
        <xdr:cNvCxnSpPr/>
      </xdr:nvCxnSpPr>
      <xdr:spPr>
        <a:xfrm>
          <a:off x="11324166" y="193198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1043</xdr:row>
      <xdr:rowOff>31750</xdr:rowOff>
    </xdr:from>
    <xdr:to>
      <xdr:col>16</xdr:col>
      <xdr:colOff>42334</xdr:colOff>
      <xdr:row>1050</xdr:row>
      <xdr:rowOff>63501</xdr:rowOff>
    </xdr:to>
    <xdr:cxnSp macro="">
      <xdr:nvCxnSpPr>
        <xdr:cNvPr id="4157" name="Straight Arrow Connector 4156">
          <a:extLst>
            <a:ext uri="{FF2B5EF4-FFF2-40B4-BE49-F238E27FC236}">
              <a16:creationId xmlns:a16="http://schemas.microsoft.com/office/drawing/2014/main" id="{00000000-0008-0000-1300-00003D100000}"/>
            </a:ext>
          </a:extLst>
        </xdr:cNvPr>
        <xdr:cNvCxnSpPr/>
      </xdr:nvCxnSpPr>
      <xdr:spPr>
        <a:xfrm>
          <a:off x="11281833" y="190531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1056</xdr:row>
      <xdr:rowOff>31750</xdr:rowOff>
    </xdr:from>
    <xdr:to>
      <xdr:col>16</xdr:col>
      <xdr:colOff>21167</xdr:colOff>
      <xdr:row>1063</xdr:row>
      <xdr:rowOff>95250</xdr:rowOff>
    </xdr:to>
    <xdr:cxnSp macro="">
      <xdr:nvCxnSpPr>
        <xdr:cNvPr id="4158" name="Straight Arrow Connector 4157">
          <a:extLst>
            <a:ext uri="{FF2B5EF4-FFF2-40B4-BE49-F238E27FC236}">
              <a16:creationId xmlns:a16="http://schemas.microsoft.com/office/drawing/2014/main" id="{00000000-0008-0000-1300-00003E100000}"/>
            </a:ext>
          </a:extLst>
        </xdr:cNvPr>
        <xdr:cNvCxnSpPr/>
      </xdr:nvCxnSpPr>
      <xdr:spPr>
        <a:xfrm>
          <a:off x="11324166" y="193198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1043</xdr:row>
      <xdr:rowOff>31750</xdr:rowOff>
    </xdr:from>
    <xdr:to>
      <xdr:col>16</xdr:col>
      <xdr:colOff>42334</xdr:colOff>
      <xdr:row>1050</xdr:row>
      <xdr:rowOff>63501</xdr:rowOff>
    </xdr:to>
    <xdr:cxnSp macro="">
      <xdr:nvCxnSpPr>
        <xdr:cNvPr id="4159" name="Straight Arrow Connector 4158">
          <a:extLst>
            <a:ext uri="{FF2B5EF4-FFF2-40B4-BE49-F238E27FC236}">
              <a16:creationId xmlns:a16="http://schemas.microsoft.com/office/drawing/2014/main" id="{00000000-0008-0000-1300-00003F100000}"/>
            </a:ext>
          </a:extLst>
        </xdr:cNvPr>
        <xdr:cNvCxnSpPr/>
      </xdr:nvCxnSpPr>
      <xdr:spPr>
        <a:xfrm>
          <a:off x="11281833" y="190531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1056</xdr:row>
      <xdr:rowOff>31750</xdr:rowOff>
    </xdr:from>
    <xdr:to>
      <xdr:col>16</xdr:col>
      <xdr:colOff>21167</xdr:colOff>
      <xdr:row>1063</xdr:row>
      <xdr:rowOff>95250</xdr:rowOff>
    </xdr:to>
    <xdr:cxnSp macro="">
      <xdr:nvCxnSpPr>
        <xdr:cNvPr id="4160" name="Straight Arrow Connector 4159">
          <a:extLst>
            <a:ext uri="{FF2B5EF4-FFF2-40B4-BE49-F238E27FC236}">
              <a16:creationId xmlns:a16="http://schemas.microsoft.com/office/drawing/2014/main" id="{00000000-0008-0000-1300-000040100000}"/>
            </a:ext>
          </a:extLst>
        </xdr:cNvPr>
        <xdr:cNvCxnSpPr/>
      </xdr:nvCxnSpPr>
      <xdr:spPr>
        <a:xfrm>
          <a:off x="11324166" y="193198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1043</xdr:row>
      <xdr:rowOff>31750</xdr:rowOff>
    </xdr:from>
    <xdr:to>
      <xdr:col>16</xdr:col>
      <xdr:colOff>42334</xdr:colOff>
      <xdr:row>1050</xdr:row>
      <xdr:rowOff>63501</xdr:rowOff>
    </xdr:to>
    <xdr:cxnSp macro="">
      <xdr:nvCxnSpPr>
        <xdr:cNvPr id="4161" name="Straight Arrow Connector 4160">
          <a:extLst>
            <a:ext uri="{FF2B5EF4-FFF2-40B4-BE49-F238E27FC236}">
              <a16:creationId xmlns:a16="http://schemas.microsoft.com/office/drawing/2014/main" id="{00000000-0008-0000-1300-000041100000}"/>
            </a:ext>
          </a:extLst>
        </xdr:cNvPr>
        <xdr:cNvCxnSpPr/>
      </xdr:nvCxnSpPr>
      <xdr:spPr>
        <a:xfrm>
          <a:off x="11281833" y="190531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1056</xdr:row>
      <xdr:rowOff>31750</xdr:rowOff>
    </xdr:from>
    <xdr:to>
      <xdr:col>16</xdr:col>
      <xdr:colOff>21167</xdr:colOff>
      <xdr:row>1063</xdr:row>
      <xdr:rowOff>95250</xdr:rowOff>
    </xdr:to>
    <xdr:cxnSp macro="">
      <xdr:nvCxnSpPr>
        <xdr:cNvPr id="4162" name="Straight Arrow Connector 4161">
          <a:extLst>
            <a:ext uri="{FF2B5EF4-FFF2-40B4-BE49-F238E27FC236}">
              <a16:creationId xmlns:a16="http://schemas.microsoft.com/office/drawing/2014/main" id="{00000000-0008-0000-1300-000042100000}"/>
            </a:ext>
          </a:extLst>
        </xdr:cNvPr>
        <xdr:cNvCxnSpPr/>
      </xdr:nvCxnSpPr>
      <xdr:spPr>
        <a:xfrm>
          <a:off x="11324166" y="193198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1099</xdr:row>
      <xdr:rowOff>31750</xdr:rowOff>
    </xdr:from>
    <xdr:to>
      <xdr:col>16</xdr:col>
      <xdr:colOff>42334</xdr:colOff>
      <xdr:row>1106</xdr:row>
      <xdr:rowOff>63501</xdr:rowOff>
    </xdr:to>
    <xdr:cxnSp macro="">
      <xdr:nvCxnSpPr>
        <xdr:cNvPr id="4163" name="Straight Arrow Connector 4162">
          <a:extLst>
            <a:ext uri="{FF2B5EF4-FFF2-40B4-BE49-F238E27FC236}">
              <a16:creationId xmlns:a16="http://schemas.microsoft.com/office/drawing/2014/main" id="{00000000-0008-0000-1300-000043100000}"/>
            </a:ext>
          </a:extLst>
        </xdr:cNvPr>
        <xdr:cNvCxnSpPr/>
      </xdr:nvCxnSpPr>
      <xdr:spPr>
        <a:xfrm>
          <a:off x="11281833" y="201390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1112</xdr:row>
      <xdr:rowOff>31750</xdr:rowOff>
    </xdr:from>
    <xdr:to>
      <xdr:col>16</xdr:col>
      <xdr:colOff>21167</xdr:colOff>
      <xdr:row>1119</xdr:row>
      <xdr:rowOff>95250</xdr:rowOff>
    </xdr:to>
    <xdr:cxnSp macro="">
      <xdr:nvCxnSpPr>
        <xdr:cNvPr id="4164" name="Straight Arrow Connector 4163">
          <a:extLst>
            <a:ext uri="{FF2B5EF4-FFF2-40B4-BE49-F238E27FC236}">
              <a16:creationId xmlns:a16="http://schemas.microsoft.com/office/drawing/2014/main" id="{00000000-0008-0000-1300-000044100000}"/>
            </a:ext>
          </a:extLst>
        </xdr:cNvPr>
        <xdr:cNvCxnSpPr/>
      </xdr:nvCxnSpPr>
      <xdr:spPr>
        <a:xfrm>
          <a:off x="11324166" y="204057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1099</xdr:row>
      <xdr:rowOff>31750</xdr:rowOff>
    </xdr:from>
    <xdr:to>
      <xdr:col>16</xdr:col>
      <xdr:colOff>42334</xdr:colOff>
      <xdr:row>1106</xdr:row>
      <xdr:rowOff>63501</xdr:rowOff>
    </xdr:to>
    <xdr:cxnSp macro="">
      <xdr:nvCxnSpPr>
        <xdr:cNvPr id="4165" name="Straight Arrow Connector 4164">
          <a:extLst>
            <a:ext uri="{FF2B5EF4-FFF2-40B4-BE49-F238E27FC236}">
              <a16:creationId xmlns:a16="http://schemas.microsoft.com/office/drawing/2014/main" id="{00000000-0008-0000-1300-000045100000}"/>
            </a:ext>
          </a:extLst>
        </xdr:cNvPr>
        <xdr:cNvCxnSpPr/>
      </xdr:nvCxnSpPr>
      <xdr:spPr>
        <a:xfrm>
          <a:off x="11281833" y="201390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1112</xdr:row>
      <xdr:rowOff>31750</xdr:rowOff>
    </xdr:from>
    <xdr:to>
      <xdr:col>16</xdr:col>
      <xdr:colOff>21167</xdr:colOff>
      <xdr:row>1119</xdr:row>
      <xdr:rowOff>95250</xdr:rowOff>
    </xdr:to>
    <xdr:cxnSp macro="">
      <xdr:nvCxnSpPr>
        <xdr:cNvPr id="4166" name="Straight Arrow Connector 4165">
          <a:extLst>
            <a:ext uri="{FF2B5EF4-FFF2-40B4-BE49-F238E27FC236}">
              <a16:creationId xmlns:a16="http://schemas.microsoft.com/office/drawing/2014/main" id="{00000000-0008-0000-1300-000046100000}"/>
            </a:ext>
          </a:extLst>
        </xdr:cNvPr>
        <xdr:cNvCxnSpPr/>
      </xdr:nvCxnSpPr>
      <xdr:spPr>
        <a:xfrm>
          <a:off x="11324166" y="204057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1099</xdr:row>
      <xdr:rowOff>31750</xdr:rowOff>
    </xdr:from>
    <xdr:to>
      <xdr:col>16</xdr:col>
      <xdr:colOff>42334</xdr:colOff>
      <xdr:row>1106</xdr:row>
      <xdr:rowOff>63501</xdr:rowOff>
    </xdr:to>
    <xdr:cxnSp macro="">
      <xdr:nvCxnSpPr>
        <xdr:cNvPr id="4167" name="Straight Arrow Connector 4166">
          <a:extLst>
            <a:ext uri="{FF2B5EF4-FFF2-40B4-BE49-F238E27FC236}">
              <a16:creationId xmlns:a16="http://schemas.microsoft.com/office/drawing/2014/main" id="{00000000-0008-0000-1300-000047100000}"/>
            </a:ext>
          </a:extLst>
        </xdr:cNvPr>
        <xdr:cNvCxnSpPr/>
      </xdr:nvCxnSpPr>
      <xdr:spPr>
        <a:xfrm>
          <a:off x="11281833" y="201390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1112</xdr:row>
      <xdr:rowOff>31750</xdr:rowOff>
    </xdr:from>
    <xdr:to>
      <xdr:col>16</xdr:col>
      <xdr:colOff>21167</xdr:colOff>
      <xdr:row>1119</xdr:row>
      <xdr:rowOff>95250</xdr:rowOff>
    </xdr:to>
    <xdr:cxnSp macro="">
      <xdr:nvCxnSpPr>
        <xdr:cNvPr id="4168" name="Straight Arrow Connector 4167">
          <a:extLst>
            <a:ext uri="{FF2B5EF4-FFF2-40B4-BE49-F238E27FC236}">
              <a16:creationId xmlns:a16="http://schemas.microsoft.com/office/drawing/2014/main" id="{00000000-0008-0000-1300-000048100000}"/>
            </a:ext>
          </a:extLst>
        </xdr:cNvPr>
        <xdr:cNvCxnSpPr/>
      </xdr:nvCxnSpPr>
      <xdr:spPr>
        <a:xfrm>
          <a:off x="11324166" y="204057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1099</xdr:row>
      <xdr:rowOff>31750</xdr:rowOff>
    </xdr:from>
    <xdr:to>
      <xdr:col>16</xdr:col>
      <xdr:colOff>42334</xdr:colOff>
      <xdr:row>1106</xdr:row>
      <xdr:rowOff>63501</xdr:rowOff>
    </xdr:to>
    <xdr:cxnSp macro="">
      <xdr:nvCxnSpPr>
        <xdr:cNvPr id="4169" name="Straight Arrow Connector 4168">
          <a:extLst>
            <a:ext uri="{FF2B5EF4-FFF2-40B4-BE49-F238E27FC236}">
              <a16:creationId xmlns:a16="http://schemas.microsoft.com/office/drawing/2014/main" id="{00000000-0008-0000-1300-000049100000}"/>
            </a:ext>
          </a:extLst>
        </xdr:cNvPr>
        <xdr:cNvCxnSpPr/>
      </xdr:nvCxnSpPr>
      <xdr:spPr>
        <a:xfrm>
          <a:off x="11281833" y="201390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1112</xdr:row>
      <xdr:rowOff>31750</xdr:rowOff>
    </xdr:from>
    <xdr:to>
      <xdr:col>16</xdr:col>
      <xdr:colOff>21167</xdr:colOff>
      <xdr:row>1119</xdr:row>
      <xdr:rowOff>95250</xdr:rowOff>
    </xdr:to>
    <xdr:cxnSp macro="">
      <xdr:nvCxnSpPr>
        <xdr:cNvPr id="4170" name="Straight Arrow Connector 4169">
          <a:extLst>
            <a:ext uri="{FF2B5EF4-FFF2-40B4-BE49-F238E27FC236}">
              <a16:creationId xmlns:a16="http://schemas.microsoft.com/office/drawing/2014/main" id="{00000000-0008-0000-1300-00004A100000}"/>
            </a:ext>
          </a:extLst>
        </xdr:cNvPr>
        <xdr:cNvCxnSpPr/>
      </xdr:nvCxnSpPr>
      <xdr:spPr>
        <a:xfrm>
          <a:off x="11324166" y="204057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1099</xdr:row>
      <xdr:rowOff>31750</xdr:rowOff>
    </xdr:from>
    <xdr:to>
      <xdr:col>16</xdr:col>
      <xdr:colOff>42334</xdr:colOff>
      <xdr:row>1106</xdr:row>
      <xdr:rowOff>63501</xdr:rowOff>
    </xdr:to>
    <xdr:cxnSp macro="">
      <xdr:nvCxnSpPr>
        <xdr:cNvPr id="4171" name="Straight Arrow Connector 4170">
          <a:extLst>
            <a:ext uri="{FF2B5EF4-FFF2-40B4-BE49-F238E27FC236}">
              <a16:creationId xmlns:a16="http://schemas.microsoft.com/office/drawing/2014/main" id="{00000000-0008-0000-1300-00004B100000}"/>
            </a:ext>
          </a:extLst>
        </xdr:cNvPr>
        <xdr:cNvCxnSpPr/>
      </xdr:nvCxnSpPr>
      <xdr:spPr>
        <a:xfrm>
          <a:off x="11281833" y="201390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1112</xdr:row>
      <xdr:rowOff>31750</xdr:rowOff>
    </xdr:from>
    <xdr:to>
      <xdr:col>16</xdr:col>
      <xdr:colOff>21167</xdr:colOff>
      <xdr:row>1119</xdr:row>
      <xdr:rowOff>95250</xdr:rowOff>
    </xdr:to>
    <xdr:cxnSp macro="">
      <xdr:nvCxnSpPr>
        <xdr:cNvPr id="4172" name="Straight Arrow Connector 4171">
          <a:extLst>
            <a:ext uri="{FF2B5EF4-FFF2-40B4-BE49-F238E27FC236}">
              <a16:creationId xmlns:a16="http://schemas.microsoft.com/office/drawing/2014/main" id="{00000000-0008-0000-1300-00004C100000}"/>
            </a:ext>
          </a:extLst>
        </xdr:cNvPr>
        <xdr:cNvCxnSpPr/>
      </xdr:nvCxnSpPr>
      <xdr:spPr>
        <a:xfrm>
          <a:off x="11324166" y="204057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1112</xdr:row>
      <xdr:rowOff>31750</xdr:rowOff>
    </xdr:from>
    <xdr:to>
      <xdr:col>16</xdr:col>
      <xdr:colOff>21167</xdr:colOff>
      <xdr:row>1119</xdr:row>
      <xdr:rowOff>95250</xdr:rowOff>
    </xdr:to>
    <xdr:cxnSp macro="">
      <xdr:nvCxnSpPr>
        <xdr:cNvPr id="4173" name="Straight Arrow Connector 4172">
          <a:extLst>
            <a:ext uri="{FF2B5EF4-FFF2-40B4-BE49-F238E27FC236}">
              <a16:creationId xmlns:a16="http://schemas.microsoft.com/office/drawing/2014/main" id="{00000000-0008-0000-1300-00004D100000}"/>
            </a:ext>
          </a:extLst>
        </xdr:cNvPr>
        <xdr:cNvCxnSpPr/>
      </xdr:nvCxnSpPr>
      <xdr:spPr>
        <a:xfrm>
          <a:off x="11324166" y="204057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1112</xdr:row>
      <xdr:rowOff>31750</xdr:rowOff>
    </xdr:from>
    <xdr:to>
      <xdr:col>16</xdr:col>
      <xdr:colOff>21167</xdr:colOff>
      <xdr:row>1119</xdr:row>
      <xdr:rowOff>95250</xdr:rowOff>
    </xdr:to>
    <xdr:cxnSp macro="">
      <xdr:nvCxnSpPr>
        <xdr:cNvPr id="4174" name="Straight Arrow Connector 4173">
          <a:extLst>
            <a:ext uri="{FF2B5EF4-FFF2-40B4-BE49-F238E27FC236}">
              <a16:creationId xmlns:a16="http://schemas.microsoft.com/office/drawing/2014/main" id="{00000000-0008-0000-1300-00004E100000}"/>
            </a:ext>
          </a:extLst>
        </xdr:cNvPr>
        <xdr:cNvCxnSpPr/>
      </xdr:nvCxnSpPr>
      <xdr:spPr>
        <a:xfrm>
          <a:off x="11324166" y="204057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1112</xdr:row>
      <xdr:rowOff>31750</xdr:rowOff>
    </xdr:from>
    <xdr:to>
      <xdr:col>16</xdr:col>
      <xdr:colOff>21167</xdr:colOff>
      <xdr:row>1119</xdr:row>
      <xdr:rowOff>95250</xdr:rowOff>
    </xdr:to>
    <xdr:cxnSp macro="">
      <xdr:nvCxnSpPr>
        <xdr:cNvPr id="4175" name="Straight Arrow Connector 4174">
          <a:extLst>
            <a:ext uri="{FF2B5EF4-FFF2-40B4-BE49-F238E27FC236}">
              <a16:creationId xmlns:a16="http://schemas.microsoft.com/office/drawing/2014/main" id="{00000000-0008-0000-1300-00004F100000}"/>
            </a:ext>
          </a:extLst>
        </xdr:cNvPr>
        <xdr:cNvCxnSpPr/>
      </xdr:nvCxnSpPr>
      <xdr:spPr>
        <a:xfrm>
          <a:off x="11324166" y="204057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1112</xdr:row>
      <xdr:rowOff>31750</xdr:rowOff>
    </xdr:from>
    <xdr:to>
      <xdr:col>16</xdr:col>
      <xdr:colOff>21167</xdr:colOff>
      <xdr:row>1119</xdr:row>
      <xdr:rowOff>95250</xdr:rowOff>
    </xdr:to>
    <xdr:cxnSp macro="">
      <xdr:nvCxnSpPr>
        <xdr:cNvPr id="4176" name="Straight Arrow Connector 4175">
          <a:extLst>
            <a:ext uri="{FF2B5EF4-FFF2-40B4-BE49-F238E27FC236}">
              <a16:creationId xmlns:a16="http://schemas.microsoft.com/office/drawing/2014/main" id="{00000000-0008-0000-1300-000050100000}"/>
            </a:ext>
          </a:extLst>
        </xdr:cNvPr>
        <xdr:cNvCxnSpPr/>
      </xdr:nvCxnSpPr>
      <xdr:spPr>
        <a:xfrm>
          <a:off x="11324166" y="204057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1099</xdr:row>
      <xdr:rowOff>31750</xdr:rowOff>
    </xdr:from>
    <xdr:to>
      <xdr:col>16</xdr:col>
      <xdr:colOff>42334</xdr:colOff>
      <xdr:row>1106</xdr:row>
      <xdr:rowOff>63501</xdr:rowOff>
    </xdr:to>
    <xdr:cxnSp macro="">
      <xdr:nvCxnSpPr>
        <xdr:cNvPr id="4177" name="Straight Arrow Connector 4176">
          <a:extLst>
            <a:ext uri="{FF2B5EF4-FFF2-40B4-BE49-F238E27FC236}">
              <a16:creationId xmlns:a16="http://schemas.microsoft.com/office/drawing/2014/main" id="{00000000-0008-0000-1300-000051100000}"/>
            </a:ext>
          </a:extLst>
        </xdr:cNvPr>
        <xdr:cNvCxnSpPr/>
      </xdr:nvCxnSpPr>
      <xdr:spPr>
        <a:xfrm>
          <a:off x="11281833" y="201390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1112</xdr:row>
      <xdr:rowOff>31750</xdr:rowOff>
    </xdr:from>
    <xdr:to>
      <xdr:col>16</xdr:col>
      <xdr:colOff>21167</xdr:colOff>
      <xdr:row>1119</xdr:row>
      <xdr:rowOff>95250</xdr:rowOff>
    </xdr:to>
    <xdr:cxnSp macro="">
      <xdr:nvCxnSpPr>
        <xdr:cNvPr id="4178" name="Straight Arrow Connector 4177">
          <a:extLst>
            <a:ext uri="{FF2B5EF4-FFF2-40B4-BE49-F238E27FC236}">
              <a16:creationId xmlns:a16="http://schemas.microsoft.com/office/drawing/2014/main" id="{00000000-0008-0000-1300-000052100000}"/>
            </a:ext>
          </a:extLst>
        </xdr:cNvPr>
        <xdr:cNvCxnSpPr/>
      </xdr:nvCxnSpPr>
      <xdr:spPr>
        <a:xfrm>
          <a:off x="11324166" y="204057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1099</xdr:row>
      <xdr:rowOff>31750</xdr:rowOff>
    </xdr:from>
    <xdr:to>
      <xdr:col>16</xdr:col>
      <xdr:colOff>42334</xdr:colOff>
      <xdr:row>1106</xdr:row>
      <xdr:rowOff>63501</xdr:rowOff>
    </xdr:to>
    <xdr:cxnSp macro="">
      <xdr:nvCxnSpPr>
        <xdr:cNvPr id="4179" name="Straight Arrow Connector 4178">
          <a:extLst>
            <a:ext uri="{FF2B5EF4-FFF2-40B4-BE49-F238E27FC236}">
              <a16:creationId xmlns:a16="http://schemas.microsoft.com/office/drawing/2014/main" id="{00000000-0008-0000-1300-000053100000}"/>
            </a:ext>
          </a:extLst>
        </xdr:cNvPr>
        <xdr:cNvCxnSpPr/>
      </xdr:nvCxnSpPr>
      <xdr:spPr>
        <a:xfrm>
          <a:off x="11281833" y="201390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1112</xdr:row>
      <xdr:rowOff>31750</xdr:rowOff>
    </xdr:from>
    <xdr:to>
      <xdr:col>16</xdr:col>
      <xdr:colOff>21167</xdr:colOff>
      <xdr:row>1119</xdr:row>
      <xdr:rowOff>95250</xdr:rowOff>
    </xdr:to>
    <xdr:cxnSp macro="">
      <xdr:nvCxnSpPr>
        <xdr:cNvPr id="4180" name="Straight Arrow Connector 4179">
          <a:extLst>
            <a:ext uri="{FF2B5EF4-FFF2-40B4-BE49-F238E27FC236}">
              <a16:creationId xmlns:a16="http://schemas.microsoft.com/office/drawing/2014/main" id="{00000000-0008-0000-1300-000054100000}"/>
            </a:ext>
          </a:extLst>
        </xdr:cNvPr>
        <xdr:cNvCxnSpPr/>
      </xdr:nvCxnSpPr>
      <xdr:spPr>
        <a:xfrm>
          <a:off x="11324166" y="204057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1099</xdr:row>
      <xdr:rowOff>31750</xdr:rowOff>
    </xdr:from>
    <xdr:to>
      <xdr:col>16</xdr:col>
      <xdr:colOff>42334</xdr:colOff>
      <xdr:row>1106</xdr:row>
      <xdr:rowOff>63501</xdr:rowOff>
    </xdr:to>
    <xdr:cxnSp macro="">
      <xdr:nvCxnSpPr>
        <xdr:cNvPr id="4181" name="Straight Arrow Connector 4180">
          <a:extLst>
            <a:ext uri="{FF2B5EF4-FFF2-40B4-BE49-F238E27FC236}">
              <a16:creationId xmlns:a16="http://schemas.microsoft.com/office/drawing/2014/main" id="{00000000-0008-0000-1300-000055100000}"/>
            </a:ext>
          </a:extLst>
        </xdr:cNvPr>
        <xdr:cNvCxnSpPr/>
      </xdr:nvCxnSpPr>
      <xdr:spPr>
        <a:xfrm>
          <a:off x="11281833" y="201390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1112</xdr:row>
      <xdr:rowOff>31750</xdr:rowOff>
    </xdr:from>
    <xdr:to>
      <xdr:col>16</xdr:col>
      <xdr:colOff>21167</xdr:colOff>
      <xdr:row>1119</xdr:row>
      <xdr:rowOff>95250</xdr:rowOff>
    </xdr:to>
    <xdr:cxnSp macro="">
      <xdr:nvCxnSpPr>
        <xdr:cNvPr id="4182" name="Straight Arrow Connector 4181">
          <a:extLst>
            <a:ext uri="{FF2B5EF4-FFF2-40B4-BE49-F238E27FC236}">
              <a16:creationId xmlns:a16="http://schemas.microsoft.com/office/drawing/2014/main" id="{00000000-0008-0000-1300-000056100000}"/>
            </a:ext>
          </a:extLst>
        </xdr:cNvPr>
        <xdr:cNvCxnSpPr/>
      </xdr:nvCxnSpPr>
      <xdr:spPr>
        <a:xfrm>
          <a:off x="11324166" y="204057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1099</xdr:row>
      <xdr:rowOff>31750</xdr:rowOff>
    </xdr:from>
    <xdr:to>
      <xdr:col>16</xdr:col>
      <xdr:colOff>42334</xdr:colOff>
      <xdr:row>1106</xdr:row>
      <xdr:rowOff>63501</xdr:rowOff>
    </xdr:to>
    <xdr:cxnSp macro="">
      <xdr:nvCxnSpPr>
        <xdr:cNvPr id="4183" name="Straight Arrow Connector 4182">
          <a:extLst>
            <a:ext uri="{FF2B5EF4-FFF2-40B4-BE49-F238E27FC236}">
              <a16:creationId xmlns:a16="http://schemas.microsoft.com/office/drawing/2014/main" id="{00000000-0008-0000-1300-000057100000}"/>
            </a:ext>
          </a:extLst>
        </xdr:cNvPr>
        <xdr:cNvCxnSpPr/>
      </xdr:nvCxnSpPr>
      <xdr:spPr>
        <a:xfrm>
          <a:off x="11281833" y="201390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1112</xdr:row>
      <xdr:rowOff>31750</xdr:rowOff>
    </xdr:from>
    <xdr:to>
      <xdr:col>16</xdr:col>
      <xdr:colOff>21167</xdr:colOff>
      <xdr:row>1119</xdr:row>
      <xdr:rowOff>95250</xdr:rowOff>
    </xdr:to>
    <xdr:cxnSp macro="">
      <xdr:nvCxnSpPr>
        <xdr:cNvPr id="4184" name="Straight Arrow Connector 4183">
          <a:extLst>
            <a:ext uri="{FF2B5EF4-FFF2-40B4-BE49-F238E27FC236}">
              <a16:creationId xmlns:a16="http://schemas.microsoft.com/office/drawing/2014/main" id="{00000000-0008-0000-1300-000058100000}"/>
            </a:ext>
          </a:extLst>
        </xdr:cNvPr>
        <xdr:cNvCxnSpPr/>
      </xdr:nvCxnSpPr>
      <xdr:spPr>
        <a:xfrm>
          <a:off x="11324166" y="204057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1099</xdr:row>
      <xdr:rowOff>31750</xdr:rowOff>
    </xdr:from>
    <xdr:to>
      <xdr:col>16</xdr:col>
      <xdr:colOff>42334</xdr:colOff>
      <xdr:row>1106</xdr:row>
      <xdr:rowOff>63501</xdr:rowOff>
    </xdr:to>
    <xdr:cxnSp macro="">
      <xdr:nvCxnSpPr>
        <xdr:cNvPr id="4185" name="Straight Arrow Connector 4184">
          <a:extLst>
            <a:ext uri="{FF2B5EF4-FFF2-40B4-BE49-F238E27FC236}">
              <a16:creationId xmlns:a16="http://schemas.microsoft.com/office/drawing/2014/main" id="{00000000-0008-0000-1300-000059100000}"/>
            </a:ext>
          </a:extLst>
        </xdr:cNvPr>
        <xdr:cNvCxnSpPr/>
      </xdr:nvCxnSpPr>
      <xdr:spPr>
        <a:xfrm>
          <a:off x="11281833" y="201390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1112</xdr:row>
      <xdr:rowOff>31750</xdr:rowOff>
    </xdr:from>
    <xdr:to>
      <xdr:col>16</xdr:col>
      <xdr:colOff>21167</xdr:colOff>
      <xdr:row>1119</xdr:row>
      <xdr:rowOff>95250</xdr:rowOff>
    </xdr:to>
    <xdr:cxnSp macro="">
      <xdr:nvCxnSpPr>
        <xdr:cNvPr id="4186" name="Straight Arrow Connector 4185">
          <a:extLst>
            <a:ext uri="{FF2B5EF4-FFF2-40B4-BE49-F238E27FC236}">
              <a16:creationId xmlns:a16="http://schemas.microsoft.com/office/drawing/2014/main" id="{00000000-0008-0000-1300-00005A100000}"/>
            </a:ext>
          </a:extLst>
        </xdr:cNvPr>
        <xdr:cNvCxnSpPr/>
      </xdr:nvCxnSpPr>
      <xdr:spPr>
        <a:xfrm>
          <a:off x="11324166" y="204057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1168</xdr:row>
      <xdr:rowOff>31750</xdr:rowOff>
    </xdr:from>
    <xdr:to>
      <xdr:col>16</xdr:col>
      <xdr:colOff>21167</xdr:colOff>
      <xdr:row>1175</xdr:row>
      <xdr:rowOff>95250</xdr:rowOff>
    </xdr:to>
    <xdr:cxnSp macro="">
      <xdr:nvCxnSpPr>
        <xdr:cNvPr id="4187" name="Straight Arrow Connector 4186">
          <a:extLst>
            <a:ext uri="{FF2B5EF4-FFF2-40B4-BE49-F238E27FC236}">
              <a16:creationId xmlns:a16="http://schemas.microsoft.com/office/drawing/2014/main" id="{00000000-0008-0000-1300-00005B100000}"/>
            </a:ext>
          </a:extLst>
        </xdr:cNvPr>
        <xdr:cNvCxnSpPr/>
      </xdr:nvCxnSpPr>
      <xdr:spPr>
        <a:xfrm>
          <a:off x="11324166" y="214915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1168</xdr:row>
      <xdr:rowOff>31750</xdr:rowOff>
    </xdr:from>
    <xdr:to>
      <xdr:col>16</xdr:col>
      <xdr:colOff>21167</xdr:colOff>
      <xdr:row>1175</xdr:row>
      <xdr:rowOff>95250</xdr:rowOff>
    </xdr:to>
    <xdr:cxnSp macro="">
      <xdr:nvCxnSpPr>
        <xdr:cNvPr id="4188" name="Straight Arrow Connector 4187">
          <a:extLst>
            <a:ext uri="{FF2B5EF4-FFF2-40B4-BE49-F238E27FC236}">
              <a16:creationId xmlns:a16="http://schemas.microsoft.com/office/drawing/2014/main" id="{00000000-0008-0000-1300-00005C100000}"/>
            </a:ext>
          </a:extLst>
        </xdr:cNvPr>
        <xdr:cNvCxnSpPr/>
      </xdr:nvCxnSpPr>
      <xdr:spPr>
        <a:xfrm>
          <a:off x="11324166" y="214915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1168</xdr:row>
      <xdr:rowOff>31750</xdr:rowOff>
    </xdr:from>
    <xdr:to>
      <xdr:col>16</xdr:col>
      <xdr:colOff>21167</xdr:colOff>
      <xdr:row>1175</xdr:row>
      <xdr:rowOff>95250</xdr:rowOff>
    </xdr:to>
    <xdr:cxnSp macro="">
      <xdr:nvCxnSpPr>
        <xdr:cNvPr id="4189" name="Straight Arrow Connector 4188">
          <a:extLst>
            <a:ext uri="{FF2B5EF4-FFF2-40B4-BE49-F238E27FC236}">
              <a16:creationId xmlns:a16="http://schemas.microsoft.com/office/drawing/2014/main" id="{00000000-0008-0000-1300-00005D100000}"/>
            </a:ext>
          </a:extLst>
        </xdr:cNvPr>
        <xdr:cNvCxnSpPr/>
      </xdr:nvCxnSpPr>
      <xdr:spPr>
        <a:xfrm>
          <a:off x="11324166" y="214915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1168</xdr:row>
      <xdr:rowOff>31750</xdr:rowOff>
    </xdr:from>
    <xdr:to>
      <xdr:col>16</xdr:col>
      <xdr:colOff>21167</xdr:colOff>
      <xdr:row>1175</xdr:row>
      <xdr:rowOff>95250</xdr:rowOff>
    </xdr:to>
    <xdr:cxnSp macro="">
      <xdr:nvCxnSpPr>
        <xdr:cNvPr id="4190" name="Straight Arrow Connector 4189">
          <a:extLst>
            <a:ext uri="{FF2B5EF4-FFF2-40B4-BE49-F238E27FC236}">
              <a16:creationId xmlns:a16="http://schemas.microsoft.com/office/drawing/2014/main" id="{00000000-0008-0000-1300-00005E100000}"/>
            </a:ext>
          </a:extLst>
        </xdr:cNvPr>
        <xdr:cNvCxnSpPr/>
      </xdr:nvCxnSpPr>
      <xdr:spPr>
        <a:xfrm>
          <a:off x="11324166" y="214915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1168</xdr:row>
      <xdr:rowOff>31750</xdr:rowOff>
    </xdr:from>
    <xdr:to>
      <xdr:col>16</xdr:col>
      <xdr:colOff>21167</xdr:colOff>
      <xdr:row>1175</xdr:row>
      <xdr:rowOff>95250</xdr:rowOff>
    </xdr:to>
    <xdr:cxnSp macro="">
      <xdr:nvCxnSpPr>
        <xdr:cNvPr id="4191" name="Straight Arrow Connector 4190">
          <a:extLst>
            <a:ext uri="{FF2B5EF4-FFF2-40B4-BE49-F238E27FC236}">
              <a16:creationId xmlns:a16="http://schemas.microsoft.com/office/drawing/2014/main" id="{00000000-0008-0000-1300-00005F100000}"/>
            </a:ext>
          </a:extLst>
        </xdr:cNvPr>
        <xdr:cNvCxnSpPr/>
      </xdr:nvCxnSpPr>
      <xdr:spPr>
        <a:xfrm>
          <a:off x="11324166" y="214915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1155</xdr:row>
      <xdr:rowOff>31750</xdr:rowOff>
    </xdr:from>
    <xdr:to>
      <xdr:col>16</xdr:col>
      <xdr:colOff>42334</xdr:colOff>
      <xdr:row>1162</xdr:row>
      <xdr:rowOff>63501</xdr:rowOff>
    </xdr:to>
    <xdr:cxnSp macro="">
      <xdr:nvCxnSpPr>
        <xdr:cNvPr id="4192" name="Straight Arrow Connector 4191">
          <a:extLst>
            <a:ext uri="{FF2B5EF4-FFF2-40B4-BE49-F238E27FC236}">
              <a16:creationId xmlns:a16="http://schemas.microsoft.com/office/drawing/2014/main" id="{00000000-0008-0000-1300-000060100000}"/>
            </a:ext>
          </a:extLst>
        </xdr:cNvPr>
        <xdr:cNvCxnSpPr/>
      </xdr:nvCxnSpPr>
      <xdr:spPr>
        <a:xfrm>
          <a:off x="11281833" y="212248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1168</xdr:row>
      <xdr:rowOff>31750</xdr:rowOff>
    </xdr:from>
    <xdr:to>
      <xdr:col>16</xdr:col>
      <xdr:colOff>21167</xdr:colOff>
      <xdr:row>1175</xdr:row>
      <xdr:rowOff>95250</xdr:rowOff>
    </xdr:to>
    <xdr:cxnSp macro="">
      <xdr:nvCxnSpPr>
        <xdr:cNvPr id="4193" name="Straight Arrow Connector 4192">
          <a:extLst>
            <a:ext uri="{FF2B5EF4-FFF2-40B4-BE49-F238E27FC236}">
              <a16:creationId xmlns:a16="http://schemas.microsoft.com/office/drawing/2014/main" id="{00000000-0008-0000-1300-000061100000}"/>
            </a:ext>
          </a:extLst>
        </xdr:cNvPr>
        <xdr:cNvCxnSpPr/>
      </xdr:nvCxnSpPr>
      <xdr:spPr>
        <a:xfrm>
          <a:off x="11324166" y="214915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1155</xdr:row>
      <xdr:rowOff>31750</xdr:rowOff>
    </xdr:from>
    <xdr:to>
      <xdr:col>16</xdr:col>
      <xdr:colOff>42334</xdr:colOff>
      <xdr:row>1162</xdr:row>
      <xdr:rowOff>63501</xdr:rowOff>
    </xdr:to>
    <xdr:cxnSp macro="">
      <xdr:nvCxnSpPr>
        <xdr:cNvPr id="4194" name="Straight Arrow Connector 4193">
          <a:extLst>
            <a:ext uri="{FF2B5EF4-FFF2-40B4-BE49-F238E27FC236}">
              <a16:creationId xmlns:a16="http://schemas.microsoft.com/office/drawing/2014/main" id="{00000000-0008-0000-1300-000062100000}"/>
            </a:ext>
          </a:extLst>
        </xdr:cNvPr>
        <xdr:cNvCxnSpPr/>
      </xdr:nvCxnSpPr>
      <xdr:spPr>
        <a:xfrm>
          <a:off x="11281833" y="212248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1168</xdr:row>
      <xdr:rowOff>31750</xdr:rowOff>
    </xdr:from>
    <xdr:to>
      <xdr:col>16</xdr:col>
      <xdr:colOff>21167</xdr:colOff>
      <xdr:row>1175</xdr:row>
      <xdr:rowOff>95250</xdr:rowOff>
    </xdr:to>
    <xdr:cxnSp macro="">
      <xdr:nvCxnSpPr>
        <xdr:cNvPr id="4195" name="Straight Arrow Connector 4194">
          <a:extLst>
            <a:ext uri="{FF2B5EF4-FFF2-40B4-BE49-F238E27FC236}">
              <a16:creationId xmlns:a16="http://schemas.microsoft.com/office/drawing/2014/main" id="{00000000-0008-0000-1300-000063100000}"/>
            </a:ext>
          </a:extLst>
        </xdr:cNvPr>
        <xdr:cNvCxnSpPr/>
      </xdr:nvCxnSpPr>
      <xdr:spPr>
        <a:xfrm>
          <a:off x="11324166" y="214915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1155</xdr:row>
      <xdr:rowOff>31750</xdr:rowOff>
    </xdr:from>
    <xdr:to>
      <xdr:col>16</xdr:col>
      <xdr:colOff>42334</xdr:colOff>
      <xdr:row>1162</xdr:row>
      <xdr:rowOff>63501</xdr:rowOff>
    </xdr:to>
    <xdr:cxnSp macro="">
      <xdr:nvCxnSpPr>
        <xdr:cNvPr id="4196" name="Straight Arrow Connector 4195">
          <a:extLst>
            <a:ext uri="{FF2B5EF4-FFF2-40B4-BE49-F238E27FC236}">
              <a16:creationId xmlns:a16="http://schemas.microsoft.com/office/drawing/2014/main" id="{00000000-0008-0000-1300-000064100000}"/>
            </a:ext>
          </a:extLst>
        </xdr:cNvPr>
        <xdr:cNvCxnSpPr/>
      </xdr:nvCxnSpPr>
      <xdr:spPr>
        <a:xfrm>
          <a:off x="11281833" y="212248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1168</xdr:row>
      <xdr:rowOff>31750</xdr:rowOff>
    </xdr:from>
    <xdr:to>
      <xdr:col>16</xdr:col>
      <xdr:colOff>21167</xdr:colOff>
      <xdr:row>1175</xdr:row>
      <xdr:rowOff>95250</xdr:rowOff>
    </xdr:to>
    <xdr:cxnSp macro="">
      <xdr:nvCxnSpPr>
        <xdr:cNvPr id="4197" name="Straight Arrow Connector 4196">
          <a:extLst>
            <a:ext uri="{FF2B5EF4-FFF2-40B4-BE49-F238E27FC236}">
              <a16:creationId xmlns:a16="http://schemas.microsoft.com/office/drawing/2014/main" id="{00000000-0008-0000-1300-000065100000}"/>
            </a:ext>
          </a:extLst>
        </xdr:cNvPr>
        <xdr:cNvCxnSpPr/>
      </xdr:nvCxnSpPr>
      <xdr:spPr>
        <a:xfrm>
          <a:off x="11324166" y="214915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1155</xdr:row>
      <xdr:rowOff>31750</xdr:rowOff>
    </xdr:from>
    <xdr:to>
      <xdr:col>16</xdr:col>
      <xdr:colOff>42334</xdr:colOff>
      <xdr:row>1162</xdr:row>
      <xdr:rowOff>63501</xdr:rowOff>
    </xdr:to>
    <xdr:cxnSp macro="">
      <xdr:nvCxnSpPr>
        <xdr:cNvPr id="4198" name="Straight Arrow Connector 4197">
          <a:extLst>
            <a:ext uri="{FF2B5EF4-FFF2-40B4-BE49-F238E27FC236}">
              <a16:creationId xmlns:a16="http://schemas.microsoft.com/office/drawing/2014/main" id="{00000000-0008-0000-1300-000066100000}"/>
            </a:ext>
          </a:extLst>
        </xdr:cNvPr>
        <xdr:cNvCxnSpPr/>
      </xdr:nvCxnSpPr>
      <xdr:spPr>
        <a:xfrm>
          <a:off x="11281833" y="212248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1168</xdr:row>
      <xdr:rowOff>31750</xdr:rowOff>
    </xdr:from>
    <xdr:to>
      <xdr:col>16</xdr:col>
      <xdr:colOff>21167</xdr:colOff>
      <xdr:row>1175</xdr:row>
      <xdr:rowOff>95250</xdr:rowOff>
    </xdr:to>
    <xdr:cxnSp macro="">
      <xdr:nvCxnSpPr>
        <xdr:cNvPr id="4199" name="Straight Arrow Connector 4198">
          <a:extLst>
            <a:ext uri="{FF2B5EF4-FFF2-40B4-BE49-F238E27FC236}">
              <a16:creationId xmlns:a16="http://schemas.microsoft.com/office/drawing/2014/main" id="{00000000-0008-0000-1300-000067100000}"/>
            </a:ext>
          </a:extLst>
        </xdr:cNvPr>
        <xdr:cNvCxnSpPr/>
      </xdr:nvCxnSpPr>
      <xdr:spPr>
        <a:xfrm>
          <a:off x="11324166" y="214915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1155</xdr:row>
      <xdr:rowOff>31750</xdr:rowOff>
    </xdr:from>
    <xdr:to>
      <xdr:col>16</xdr:col>
      <xdr:colOff>42334</xdr:colOff>
      <xdr:row>1162</xdr:row>
      <xdr:rowOff>63501</xdr:rowOff>
    </xdr:to>
    <xdr:cxnSp macro="">
      <xdr:nvCxnSpPr>
        <xdr:cNvPr id="4200" name="Straight Arrow Connector 4199">
          <a:extLst>
            <a:ext uri="{FF2B5EF4-FFF2-40B4-BE49-F238E27FC236}">
              <a16:creationId xmlns:a16="http://schemas.microsoft.com/office/drawing/2014/main" id="{00000000-0008-0000-1300-000068100000}"/>
            </a:ext>
          </a:extLst>
        </xdr:cNvPr>
        <xdr:cNvCxnSpPr/>
      </xdr:nvCxnSpPr>
      <xdr:spPr>
        <a:xfrm>
          <a:off x="11281833" y="212248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1168</xdr:row>
      <xdr:rowOff>31750</xdr:rowOff>
    </xdr:from>
    <xdr:to>
      <xdr:col>16</xdr:col>
      <xdr:colOff>21167</xdr:colOff>
      <xdr:row>1175</xdr:row>
      <xdr:rowOff>95250</xdr:rowOff>
    </xdr:to>
    <xdr:cxnSp macro="">
      <xdr:nvCxnSpPr>
        <xdr:cNvPr id="4201" name="Straight Arrow Connector 4200">
          <a:extLst>
            <a:ext uri="{FF2B5EF4-FFF2-40B4-BE49-F238E27FC236}">
              <a16:creationId xmlns:a16="http://schemas.microsoft.com/office/drawing/2014/main" id="{00000000-0008-0000-1300-000069100000}"/>
            </a:ext>
          </a:extLst>
        </xdr:cNvPr>
        <xdr:cNvCxnSpPr/>
      </xdr:nvCxnSpPr>
      <xdr:spPr>
        <a:xfrm>
          <a:off x="11324166" y="214915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1155</xdr:row>
      <xdr:rowOff>31750</xdr:rowOff>
    </xdr:from>
    <xdr:to>
      <xdr:col>16</xdr:col>
      <xdr:colOff>42334</xdr:colOff>
      <xdr:row>1162</xdr:row>
      <xdr:rowOff>63501</xdr:rowOff>
    </xdr:to>
    <xdr:cxnSp macro="">
      <xdr:nvCxnSpPr>
        <xdr:cNvPr id="4202" name="Straight Arrow Connector 4201">
          <a:extLst>
            <a:ext uri="{FF2B5EF4-FFF2-40B4-BE49-F238E27FC236}">
              <a16:creationId xmlns:a16="http://schemas.microsoft.com/office/drawing/2014/main" id="{00000000-0008-0000-1300-00006A100000}"/>
            </a:ext>
          </a:extLst>
        </xdr:cNvPr>
        <xdr:cNvCxnSpPr/>
      </xdr:nvCxnSpPr>
      <xdr:spPr>
        <a:xfrm>
          <a:off x="11281833" y="212248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1168</xdr:row>
      <xdr:rowOff>31750</xdr:rowOff>
    </xdr:from>
    <xdr:to>
      <xdr:col>16</xdr:col>
      <xdr:colOff>21167</xdr:colOff>
      <xdr:row>1175</xdr:row>
      <xdr:rowOff>95250</xdr:rowOff>
    </xdr:to>
    <xdr:cxnSp macro="">
      <xdr:nvCxnSpPr>
        <xdr:cNvPr id="4203" name="Straight Arrow Connector 4202">
          <a:extLst>
            <a:ext uri="{FF2B5EF4-FFF2-40B4-BE49-F238E27FC236}">
              <a16:creationId xmlns:a16="http://schemas.microsoft.com/office/drawing/2014/main" id="{00000000-0008-0000-1300-00006B100000}"/>
            </a:ext>
          </a:extLst>
        </xdr:cNvPr>
        <xdr:cNvCxnSpPr/>
      </xdr:nvCxnSpPr>
      <xdr:spPr>
        <a:xfrm>
          <a:off x="11324166" y="214915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1168</xdr:row>
      <xdr:rowOff>31750</xdr:rowOff>
    </xdr:from>
    <xdr:to>
      <xdr:col>16</xdr:col>
      <xdr:colOff>21167</xdr:colOff>
      <xdr:row>1175</xdr:row>
      <xdr:rowOff>95250</xdr:rowOff>
    </xdr:to>
    <xdr:cxnSp macro="">
      <xdr:nvCxnSpPr>
        <xdr:cNvPr id="4204" name="Straight Arrow Connector 4203">
          <a:extLst>
            <a:ext uri="{FF2B5EF4-FFF2-40B4-BE49-F238E27FC236}">
              <a16:creationId xmlns:a16="http://schemas.microsoft.com/office/drawing/2014/main" id="{00000000-0008-0000-1300-00006C100000}"/>
            </a:ext>
          </a:extLst>
        </xdr:cNvPr>
        <xdr:cNvCxnSpPr/>
      </xdr:nvCxnSpPr>
      <xdr:spPr>
        <a:xfrm>
          <a:off x="11324166" y="214915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1168</xdr:row>
      <xdr:rowOff>31750</xdr:rowOff>
    </xdr:from>
    <xdr:to>
      <xdr:col>16</xdr:col>
      <xdr:colOff>21167</xdr:colOff>
      <xdr:row>1175</xdr:row>
      <xdr:rowOff>95250</xdr:rowOff>
    </xdr:to>
    <xdr:cxnSp macro="">
      <xdr:nvCxnSpPr>
        <xdr:cNvPr id="4205" name="Straight Arrow Connector 4204">
          <a:extLst>
            <a:ext uri="{FF2B5EF4-FFF2-40B4-BE49-F238E27FC236}">
              <a16:creationId xmlns:a16="http://schemas.microsoft.com/office/drawing/2014/main" id="{00000000-0008-0000-1300-00006D100000}"/>
            </a:ext>
          </a:extLst>
        </xdr:cNvPr>
        <xdr:cNvCxnSpPr/>
      </xdr:nvCxnSpPr>
      <xdr:spPr>
        <a:xfrm>
          <a:off x="11324166" y="214915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1168</xdr:row>
      <xdr:rowOff>31750</xdr:rowOff>
    </xdr:from>
    <xdr:to>
      <xdr:col>16</xdr:col>
      <xdr:colOff>21167</xdr:colOff>
      <xdr:row>1175</xdr:row>
      <xdr:rowOff>95250</xdr:rowOff>
    </xdr:to>
    <xdr:cxnSp macro="">
      <xdr:nvCxnSpPr>
        <xdr:cNvPr id="4206" name="Straight Arrow Connector 4205">
          <a:extLst>
            <a:ext uri="{FF2B5EF4-FFF2-40B4-BE49-F238E27FC236}">
              <a16:creationId xmlns:a16="http://schemas.microsoft.com/office/drawing/2014/main" id="{00000000-0008-0000-1300-00006E100000}"/>
            </a:ext>
          </a:extLst>
        </xdr:cNvPr>
        <xdr:cNvCxnSpPr/>
      </xdr:nvCxnSpPr>
      <xdr:spPr>
        <a:xfrm>
          <a:off x="11324166" y="214915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1168</xdr:row>
      <xdr:rowOff>31750</xdr:rowOff>
    </xdr:from>
    <xdr:to>
      <xdr:col>16</xdr:col>
      <xdr:colOff>21167</xdr:colOff>
      <xdr:row>1175</xdr:row>
      <xdr:rowOff>95250</xdr:rowOff>
    </xdr:to>
    <xdr:cxnSp macro="">
      <xdr:nvCxnSpPr>
        <xdr:cNvPr id="4207" name="Straight Arrow Connector 4206">
          <a:extLst>
            <a:ext uri="{FF2B5EF4-FFF2-40B4-BE49-F238E27FC236}">
              <a16:creationId xmlns:a16="http://schemas.microsoft.com/office/drawing/2014/main" id="{00000000-0008-0000-1300-00006F100000}"/>
            </a:ext>
          </a:extLst>
        </xdr:cNvPr>
        <xdr:cNvCxnSpPr/>
      </xdr:nvCxnSpPr>
      <xdr:spPr>
        <a:xfrm>
          <a:off x="11324166" y="214915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1155</xdr:row>
      <xdr:rowOff>31750</xdr:rowOff>
    </xdr:from>
    <xdr:to>
      <xdr:col>16</xdr:col>
      <xdr:colOff>42334</xdr:colOff>
      <xdr:row>1162</xdr:row>
      <xdr:rowOff>63501</xdr:rowOff>
    </xdr:to>
    <xdr:cxnSp macro="">
      <xdr:nvCxnSpPr>
        <xdr:cNvPr id="4208" name="Straight Arrow Connector 4207">
          <a:extLst>
            <a:ext uri="{FF2B5EF4-FFF2-40B4-BE49-F238E27FC236}">
              <a16:creationId xmlns:a16="http://schemas.microsoft.com/office/drawing/2014/main" id="{00000000-0008-0000-1300-000070100000}"/>
            </a:ext>
          </a:extLst>
        </xdr:cNvPr>
        <xdr:cNvCxnSpPr/>
      </xdr:nvCxnSpPr>
      <xdr:spPr>
        <a:xfrm>
          <a:off x="11281833" y="212248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1168</xdr:row>
      <xdr:rowOff>31750</xdr:rowOff>
    </xdr:from>
    <xdr:to>
      <xdr:col>16</xdr:col>
      <xdr:colOff>21167</xdr:colOff>
      <xdr:row>1175</xdr:row>
      <xdr:rowOff>95250</xdr:rowOff>
    </xdr:to>
    <xdr:cxnSp macro="">
      <xdr:nvCxnSpPr>
        <xdr:cNvPr id="4209" name="Straight Arrow Connector 4208">
          <a:extLst>
            <a:ext uri="{FF2B5EF4-FFF2-40B4-BE49-F238E27FC236}">
              <a16:creationId xmlns:a16="http://schemas.microsoft.com/office/drawing/2014/main" id="{00000000-0008-0000-1300-000071100000}"/>
            </a:ext>
          </a:extLst>
        </xdr:cNvPr>
        <xdr:cNvCxnSpPr/>
      </xdr:nvCxnSpPr>
      <xdr:spPr>
        <a:xfrm>
          <a:off x="11324166" y="214915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1155</xdr:row>
      <xdr:rowOff>31750</xdr:rowOff>
    </xdr:from>
    <xdr:to>
      <xdr:col>16</xdr:col>
      <xdr:colOff>42334</xdr:colOff>
      <xdr:row>1162</xdr:row>
      <xdr:rowOff>63501</xdr:rowOff>
    </xdr:to>
    <xdr:cxnSp macro="">
      <xdr:nvCxnSpPr>
        <xdr:cNvPr id="4210" name="Straight Arrow Connector 4209">
          <a:extLst>
            <a:ext uri="{FF2B5EF4-FFF2-40B4-BE49-F238E27FC236}">
              <a16:creationId xmlns:a16="http://schemas.microsoft.com/office/drawing/2014/main" id="{00000000-0008-0000-1300-000072100000}"/>
            </a:ext>
          </a:extLst>
        </xdr:cNvPr>
        <xdr:cNvCxnSpPr/>
      </xdr:nvCxnSpPr>
      <xdr:spPr>
        <a:xfrm>
          <a:off x="11281833" y="212248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1168</xdr:row>
      <xdr:rowOff>31750</xdr:rowOff>
    </xdr:from>
    <xdr:to>
      <xdr:col>16</xdr:col>
      <xdr:colOff>21167</xdr:colOff>
      <xdr:row>1175</xdr:row>
      <xdr:rowOff>95250</xdr:rowOff>
    </xdr:to>
    <xdr:cxnSp macro="">
      <xdr:nvCxnSpPr>
        <xdr:cNvPr id="4211" name="Straight Arrow Connector 4210">
          <a:extLst>
            <a:ext uri="{FF2B5EF4-FFF2-40B4-BE49-F238E27FC236}">
              <a16:creationId xmlns:a16="http://schemas.microsoft.com/office/drawing/2014/main" id="{00000000-0008-0000-1300-000073100000}"/>
            </a:ext>
          </a:extLst>
        </xdr:cNvPr>
        <xdr:cNvCxnSpPr/>
      </xdr:nvCxnSpPr>
      <xdr:spPr>
        <a:xfrm>
          <a:off x="11324166" y="214915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1155</xdr:row>
      <xdr:rowOff>31750</xdr:rowOff>
    </xdr:from>
    <xdr:to>
      <xdr:col>16</xdr:col>
      <xdr:colOff>42334</xdr:colOff>
      <xdr:row>1162</xdr:row>
      <xdr:rowOff>63501</xdr:rowOff>
    </xdr:to>
    <xdr:cxnSp macro="">
      <xdr:nvCxnSpPr>
        <xdr:cNvPr id="4212" name="Straight Arrow Connector 4211">
          <a:extLst>
            <a:ext uri="{FF2B5EF4-FFF2-40B4-BE49-F238E27FC236}">
              <a16:creationId xmlns:a16="http://schemas.microsoft.com/office/drawing/2014/main" id="{00000000-0008-0000-1300-000074100000}"/>
            </a:ext>
          </a:extLst>
        </xdr:cNvPr>
        <xdr:cNvCxnSpPr/>
      </xdr:nvCxnSpPr>
      <xdr:spPr>
        <a:xfrm>
          <a:off x="11281833" y="212248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1168</xdr:row>
      <xdr:rowOff>31750</xdr:rowOff>
    </xdr:from>
    <xdr:to>
      <xdr:col>16</xdr:col>
      <xdr:colOff>21167</xdr:colOff>
      <xdr:row>1175</xdr:row>
      <xdr:rowOff>95250</xdr:rowOff>
    </xdr:to>
    <xdr:cxnSp macro="">
      <xdr:nvCxnSpPr>
        <xdr:cNvPr id="4213" name="Straight Arrow Connector 4212">
          <a:extLst>
            <a:ext uri="{FF2B5EF4-FFF2-40B4-BE49-F238E27FC236}">
              <a16:creationId xmlns:a16="http://schemas.microsoft.com/office/drawing/2014/main" id="{00000000-0008-0000-1300-000075100000}"/>
            </a:ext>
          </a:extLst>
        </xdr:cNvPr>
        <xdr:cNvCxnSpPr/>
      </xdr:nvCxnSpPr>
      <xdr:spPr>
        <a:xfrm>
          <a:off x="11324166" y="214915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1155</xdr:row>
      <xdr:rowOff>31750</xdr:rowOff>
    </xdr:from>
    <xdr:to>
      <xdr:col>16</xdr:col>
      <xdr:colOff>42334</xdr:colOff>
      <xdr:row>1162</xdr:row>
      <xdr:rowOff>63501</xdr:rowOff>
    </xdr:to>
    <xdr:cxnSp macro="">
      <xdr:nvCxnSpPr>
        <xdr:cNvPr id="4214" name="Straight Arrow Connector 4213">
          <a:extLst>
            <a:ext uri="{FF2B5EF4-FFF2-40B4-BE49-F238E27FC236}">
              <a16:creationId xmlns:a16="http://schemas.microsoft.com/office/drawing/2014/main" id="{00000000-0008-0000-1300-000076100000}"/>
            </a:ext>
          </a:extLst>
        </xdr:cNvPr>
        <xdr:cNvCxnSpPr/>
      </xdr:nvCxnSpPr>
      <xdr:spPr>
        <a:xfrm>
          <a:off x="11281833" y="212248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1168</xdr:row>
      <xdr:rowOff>31750</xdr:rowOff>
    </xdr:from>
    <xdr:to>
      <xdr:col>16</xdr:col>
      <xdr:colOff>21167</xdr:colOff>
      <xdr:row>1175</xdr:row>
      <xdr:rowOff>95250</xdr:rowOff>
    </xdr:to>
    <xdr:cxnSp macro="">
      <xdr:nvCxnSpPr>
        <xdr:cNvPr id="4215" name="Straight Arrow Connector 4214">
          <a:extLst>
            <a:ext uri="{FF2B5EF4-FFF2-40B4-BE49-F238E27FC236}">
              <a16:creationId xmlns:a16="http://schemas.microsoft.com/office/drawing/2014/main" id="{00000000-0008-0000-1300-000077100000}"/>
            </a:ext>
          </a:extLst>
        </xdr:cNvPr>
        <xdr:cNvCxnSpPr/>
      </xdr:nvCxnSpPr>
      <xdr:spPr>
        <a:xfrm>
          <a:off x="11324166" y="214915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1155</xdr:row>
      <xdr:rowOff>31750</xdr:rowOff>
    </xdr:from>
    <xdr:to>
      <xdr:col>16</xdr:col>
      <xdr:colOff>42334</xdr:colOff>
      <xdr:row>1162</xdr:row>
      <xdr:rowOff>63501</xdr:rowOff>
    </xdr:to>
    <xdr:cxnSp macro="">
      <xdr:nvCxnSpPr>
        <xdr:cNvPr id="4216" name="Straight Arrow Connector 4215">
          <a:extLst>
            <a:ext uri="{FF2B5EF4-FFF2-40B4-BE49-F238E27FC236}">
              <a16:creationId xmlns:a16="http://schemas.microsoft.com/office/drawing/2014/main" id="{00000000-0008-0000-1300-000078100000}"/>
            </a:ext>
          </a:extLst>
        </xdr:cNvPr>
        <xdr:cNvCxnSpPr/>
      </xdr:nvCxnSpPr>
      <xdr:spPr>
        <a:xfrm>
          <a:off x="11281833" y="212248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1168</xdr:row>
      <xdr:rowOff>31750</xdr:rowOff>
    </xdr:from>
    <xdr:to>
      <xdr:col>16</xdr:col>
      <xdr:colOff>21167</xdr:colOff>
      <xdr:row>1175</xdr:row>
      <xdr:rowOff>95250</xdr:rowOff>
    </xdr:to>
    <xdr:cxnSp macro="">
      <xdr:nvCxnSpPr>
        <xdr:cNvPr id="4217" name="Straight Arrow Connector 4216">
          <a:extLst>
            <a:ext uri="{FF2B5EF4-FFF2-40B4-BE49-F238E27FC236}">
              <a16:creationId xmlns:a16="http://schemas.microsoft.com/office/drawing/2014/main" id="{00000000-0008-0000-1300-000079100000}"/>
            </a:ext>
          </a:extLst>
        </xdr:cNvPr>
        <xdr:cNvCxnSpPr/>
      </xdr:nvCxnSpPr>
      <xdr:spPr>
        <a:xfrm>
          <a:off x="11324166" y="214915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1211</xdr:row>
      <xdr:rowOff>31750</xdr:rowOff>
    </xdr:from>
    <xdr:to>
      <xdr:col>16</xdr:col>
      <xdr:colOff>42334</xdr:colOff>
      <xdr:row>1218</xdr:row>
      <xdr:rowOff>63501</xdr:rowOff>
    </xdr:to>
    <xdr:cxnSp macro="">
      <xdr:nvCxnSpPr>
        <xdr:cNvPr id="4218" name="Straight Arrow Connector 4217">
          <a:extLst>
            <a:ext uri="{FF2B5EF4-FFF2-40B4-BE49-F238E27FC236}">
              <a16:creationId xmlns:a16="http://schemas.microsoft.com/office/drawing/2014/main" id="{00000000-0008-0000-1300-00007A100000}"/>
            </a:ext>
          </a:extLst>
        </xdr:cNvPr>
        <xdr:cNvCxnSpPr/>
      </xdr:nvCxnSpPr>
      <xdr:spPr>
        <a:xfrm>
          <a:off x="11281833" y="223107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1224</xdr:row>
      <xdr:rowOff>31750</xdr:rowOff>
    </xdr:from>
    <xdr:to>
      <xdr:col>16</xdr:col>
      <xdr:colOff>21167</xdr:colOff>
      <xdr:row>1231</xdr:row>
      <xdr:rowOff>95250</xdr:rowOff>
    </xdr:to>
    <xdr:cxnSp macro="">
      <xdr:nvCxnSpPr>
        <xdr:cNvPr id="4219" name="Straight Arrow Connector 4218">
          <a:extLst>
            <a:ext uri="{FF2B5EF4-FFF2-40B4-BE49-F238E27FC236}">
              <a16:creationId xmlns:a16="http://schemas.microsoft.com/office/drawing/2014/main" id="{00000000-0008-0000-1300-00007B100000}"/>
            </a:ext>
          </a:extLst>
        </xdr:cNvPr>
        <xdr:cNvCxnSpPr/>
      </xdr:nvCxnSpPr>
      <xdr:spPr>
        <a:xfrm>
          <a:off x="11324166" y="225774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1211</xdr:row>
      <xdr:rowOff>31750</xdr:rowOff>
    </xdr:from>
    <xdr:to>
      <xdr:col>16</xdr:col>
      <xdr:colOff>42334</xdr:colOff>
      <xdr:row>1218</xdr:row>
      <xdr:rowOff>63501</xdr:rowOff>
    </xdr:to>
    <xdr:cxnSp macro="">
      <xdr:nvCxnSpPr>
        <xdr:cNvPr id="4220" name="Straight Arrow Connector 4219">
          <a:extLst>
            <a:ext uri="{FF2B5EF4-FFF2-40B4-BE49-F238E27FC236}">
              <a16:creationId xmlns:a16="http://schemas.microsoft.com/office/drawing/2014/main" id="{00000000-0008-0000-1300-00007C100000}"/>
            </a:ext>
          </a:extLst>
        </xdr:cNvPr>
        <xdr:cNvCxnSpPr/>
      </xdr:nvCxnSpPr>
      <xdr:spPr>
        <a:xfrm>
          <a:off x="11281833" y="223107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1224</xdr:row>
      <xdr:rowOff>31750</xdr:rowOff>
    </xdr:from>
    <xdr:to>
      <xdr:col>16</xdr:col>
      <xdr:colOff>21167</xdr:colOff>
      <xdr:row>1231</xdr:row>
      <xdr:rowOff>95250</xdr:rowOff>
    </xdr:to>
    <xdr:cxnSp macro="">
      <xdr:nvCxnSpPr>
        <xdr:cNvPr id="4221" name="Straight Arrow Connector 4220">
          <a:extLst>
            <a:ext uri="{FF2B5EF4-FFF2-40B4-BE49-F238E27FC236}">
              <a16:creationId xmlns:a16="http://schemas.microsoft.com/office/drawing/2014/main" id="{00000000-0008-0000-1300-00007D100000}"/>
            </a:ext>
          </a:extLst>
        </xdr:cNvPr>
        <xdr:cNvCxnSpPr/>
      </xdr:nvCxnSpPr>
      <xdr:spPr>
        <a:xfrm>
          <a:off x="11324166" y="225774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1211</xdr:row>
      <xdr:rowOff>31750</xdr:rowOff>
    </xdr:from>
    <xdr:to>
      <xdr:col>16</xdr:col>
      <xdr:colOff>42334</xdr:colOff>
      <xdr:row>1218</xdr:row>
      <xdr:rowOff>63501</xdr:rowOff>
    </xdr:to>
    <xdr:cxnSp macro="">
      <xdr:nvCxnSpPr>
        <xdr:cNvPr id="4222" name="Straight Arrow Connector 4221">
          <a:extLst>
            <a:ext uri="{FF2B5EF4-FFF2-40B4-BE49-F238E27FC236}">
              <a16:creationId xmlns:a16="http://schemas.microsoft.com/office/drawing/2014/main" id="{00000000-0008-0000-1300-00007E100000}"/>
            </a:ext>
          </a:extLst>
        </xdr:cNvPr>
        <xdr:cNvCxnSpPr/>
      </xdr:nvCxnSpPr>
      <xdr:spPr>
        <a:xfrm>
          <a:off x="11281833" y="223107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1224</xdr:row>
      <xdr:rowOff>31750</xdr:rowOff>
    </xdr:from>
    <xdr:to>
      <xdr:col>16</xdr:col>
      <xdr:colOff>21167</xdr:colOff>
      <xdr:row>1231</xdr:row>
      <xdr:rowOff>95250</xdr:rowOff>
    </xdr:to>
    <xdr:cxnSp macro="">
      <xdr:nvCxnSpPr>
        <xdr:cNvPr id="4223" name="Straight Arrow Connector 4222">
          <a:extLst>
            <a:ext uri="{FF2B5EF4-FFF2-40B4-BE49-F238E27FC236}">
              <a16:creationId xmlns:a16="http://schemas.microsoft.com/office/drawing/2014/main" id="{00000000-0008-0000-1300-00007F100000}"/>
            </a:ext>
          </a:extLst>
        </xdr:cNvPr>
        <xdr:cNvCxnSpPr/>
      </xdr:nvCxnSpPr>
      <xdr:spPr>
        <a:xfrm>
          <a:off x="11324166" y="225774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1211</xdr:row>
      <xdr:rowOff>31750</xdr:rowOff>
    </xdr:from>
    <xdr:to>
      <xdr:col>16</xdr:col>
      <xdr:colOff>42334</xdr:colOff>
      <xdr:row>1218</xdr:row>
      <xdr:rowOff>63501</xdr:rowOff>
    </xdr:to>
    <xdr:cxnSp macro="">
      <xdr:nvCxnSpPr>
        <xdr:cNvPr id="4224" name="Straight Arrow Connector 4223">
          <a:extLst>
            <a:ext uri="{FF2B5EF4-FFF2-40B4-BE49-F238E27FC236}">
              <a16:creationId xmlns:a16="http://schemas.microsoft.com/office/drawing/2014/main" id="{00000000-0008-0000-1300-000080100000}"/>
            </a:ext>
          </a:extLst>
        </xdr:cNvPr>
        <xdr:cNvCxnSpPr/>
      </xdr:nvCxnSpPr>
      <xdr:spPr>
        <a:xfrm>
          <a:off x="11281833" y="223107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1224</xdr:row>
      <xdr:rowOff>31750</xdr:rowOff>
    </xdr:from>
    <xdr:to>
      <xdr:col>16</xdr:col>
      <xdr:colOff>21167</xdr:colOff>
      <xdr:row>1231</xdr:row>
      <xdr:rowOff>95250</xdr:rowOff>
    </xdr:to>
    <xdr:cxnSp macro="">
      <xdr:nvCxnSpPr>
        <xdr:cNvPr id="4225" name="Straight Arrow Connector 4224">
          <a:extLst>
            <a:ext uri="{FF2B5EF4-FFF2-40B4-BE49-F238E27FC236}">
              <a16:creationId xmlns:a16="http://schemas.microsoft.com/office/drawing/2014/main" id="{00000000-0008-0000-1300-000081100000}"/>
            </a:ext>
          </a:extLst>
        </xdr:cNvPr>
        <xdr:cNvCxnSpPr/>
      </xdr:nvCxnSpPr>
      <xdr:spPr>
        <a:xfrm>
          <a:off x="11324166" y="225774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1224</xdr:row>
      <xdr:rowOff>31750</xdr:rowOff>
    </xdr:from>
    <xdr:to>
      <xdr:col>16</xdr:col>
      <xdr:colOff>21167</xdr:colOff>
      <xdr:row>1231</xdr:row>
      <xdr:rowOff>95250</xdr:rowOff>
    </xdr:to>
    <xdr:cxnSp macro="">
      <xdr:nvCxnSpPr>
        <xdr:cNvPr id="4226" name="Straight Arrow Connector 4225">
          <a:extLst>
            <a:ext uri="{FF2B5EF4-FFF2-40B4-BE49-F238E27FC236}">
              <a16:creationId xmlns:a16="http://schemas.microsoft.com/office/drawing/2014/main" id="{00000000-0008-0000-1300-000082100000}"/>
            </a:ext>
          </a:extLst>
        </xdr:cNvPr>
        <xdr:cNvCxnSpPr/>
      </xdr:nvCxnSpPr>
      <xdr:spPr>
        <a:xfrm>
          <a:off x="11324166" y="225774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1224</xdr:row>
      <xdr:rowOff>31750</xdr:rowOff>
    </xdr:from>
    <xdr:to>
      <xdr:col>16</xdr:col>
      <xdr:colOff>21167</xdr:colOff>
      <xdr:row>1231</xdr:row>
      <xdr:rowOff>95250</xdr:rowOff>
    </xdr:to>
    <xdr:cxnSp macro="">
      <xdr:nvCxnSpPr>
        <xdr:cNvPr id="4227" name="Straight Arrow Connector 4226">
          <a:extLst>
            <a:ext uri="{FF2B5EF4-FFF2-40B4-BE49-F238E27FC236}">
              <a16:creationId xmlns:a16="http://schemas.microsoft.com/office/drawing/2014/main" id="{00000000-0008-0000-1300-000083100000}"/>
            </a:ext>
          </a:extLst>
        </xdr:cNvPr>
        <xdr:cNvCxnSpPr/>
      </xdr:nvCxnSpPr>
      <xdr:spPr>
        <a:xfrm>
          <a:off x="11324166" y="225774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1211</xdr:row>
      <xdr:rowOff>31750</xdr:rowOff>
    </xdr:from>
    <xdr:to>
      <xdr:col>16</xdr:col>
      <xdr:colOff>42334</xdr:colOff>
      <xdr:row>1218</xdr:row>
      <xdr:rowOff>63501</xdr:rowOff>
    </xdr:to>
    <xdr:cxnSp macro="">
      <xdr:nvCxnSpPr>
        <xdr:cNvPr id="4228" name="Straight Arrow Connector 4227">
          <a:extLst>
            <a:ext uri="{FF2B5EF4-FFF2-40B4-BE49-F238E27FC236}">
              <a16:creationId xmlns:a16="http://schemas.microsoft.com/office/drawing/2014/main" id="{00000000-0008-0000-1300-000084100000}"/>
            </a:ext>
          </a:extLst>
        </xdr:cNvPr>
        <xdr:cNvCxnSpPr/>
      </xdr:nvCxnSpPr>
      <xdr:spPr>
        <a:xfrm>
          <a:off x="11281833" y="223107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1224</xdr:row>
      <xdr:rowOff>31750</xdr:rowOff>
    </xdr:from>
    <xdr:to>
      <xdr:col>16</xdr:col>
      <xdr:colOff>21167</xdr:colOff>
      <xdr:row>1231</xdr:row>
      <xdr:rowOff>95250</xdr:rowOff>
    </xdr:to>
    <xdr:cxnSp macro="">
      <xdr:nvCxnSpPr>
        <xdr:cNvPr id="4229" name="Straight Arrow Connector 4228">
          <a:extLst>
            <a:ext uri="{FF2B5EF4-FFF2-40B4-BE49-F238E27FC236}">
              <a16:creationId xmlns:a16="http://schemas.microsoft.com/office/drawing/2014/main" id="{00000000-0008-0000-1300-000085100000}"/>
            </a:ext>
          </a:extLst>
        </xdr:cNvPr>
        <xdr:cNvCxnSpPr/>
      </xdr:nvCxnSpPr>
      <xdr:spPr>
        <a:xfrm>
          <a:off x="11324166" y="225774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1224</xdr:row>
      <xdr:rowOff>31750</xdr:rowOff>
    </xdr:from>
    <xdr:to>
      <xdr:col>16</xdr:col>
      <xdr:colOff>21167</xdr:colOff>
      <xdr:row>1231</xdr:row>
      <xdr:rowOff>95250</xdr:rowOff>
    </xdr:to>
    <xdr:cxnSp macro="">
      <xdr:nvCxnSpPr>
        <xdr:cNvPr id="4230" name="Straight Arrow Connector 4229">
          <a:extLst>
            <a:ext uri="{FF2B5EF4-FFF2-40B4-BE49-F238E27FC236}">
              <a16:creationId xmlns:a16="http://schemas.microsoft.com/office/drawing/2014/main" id="{00000000-0008-0000-1300-000086100000}"/>
            </a:ext>
          </a:extLst>
        </xdr:cNvPr>
        <xdr:cNvCxnSpPr/>
      </xdr:nvCxnSpPr>
      <xdr:spPr>
        <a:xfrm>
          <a:off x="11324166" y="225774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1224</xdr:row>
      <xdr:rowOff>31750</xdr:rowOff>
    </xdr:from>
    <xdr:to>
      <xdr:col>16</xdr:col>
      <xdr:colOff>21167</xdr:colOff>
      <xdr:row>1231</xdr:row>
      <xdr:rowOff>95250</xdr:rowOff>
    </xdr:to>
    <xdr:cxnSp macro="">
      <xdr:nvCxnSpPr>
        <xdr:cNvPr id="4231" name="Straight Arrow Connector 4230">
          <a:extLst>
            <a:ext uri="{FF2B5EF4-FFF2-40B4-BE49-F238E27FC236}">
              <a16:creationId xmlns:a16="http://schemas.microsoft.com/office/drawing/2014/main" id="{00000000-0008-0000-1300-000087100000}"/>
            </a:ext>
          </a:extLst>
        </xdr:cNvPr>
        <xdr:cNvCxnSpPr/>
      </xdr:nvCxnSpPr>
      <xdr:spPr>
        <a:xfrm>
          <a:off x="11324166" y="225774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1224</xdr:row>
      <xdr:rowOff>31750</xdr:rowOff>
    </xdr:from>
    <xdr:to>
      <xdr:col>16</xdr:col>
      <xdr:colOff>21167</xdr:colOff>
      <xdr:row>1231</xdr:row>
      <xdr:rowOff>95250</xdr:rowOff>
    </xdr:to>
    <xdr:cxnSp macro="">
      <xdr:nvCxnSpPr>
        <xdr:cNvPr id="4232" name="Straight Arrow Connector 4231">
          <a:extLst>
            <a:ext uri="{FF2B5EF4-FFF2-40B4-BE49-F238E27FC236}">
              <a16:creationId xmlns:a16="http://schemas.microsoft.com/office/drawing/2014/main" id="{00000000-0008-0000-1300-000088100000}"/>
            </a:ext>
          </a:extLst>
        </xdr:cNvPr>
        <xdr:cNvCxnSpPr/>
      </xdr:nvCxnSpPr>
      <xdr:spPr>
        <a:xfrm>
          <a:off x="11324166" y="225774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1224</xdr:row>
      <xdr:rowOff>31750</xdr:rowOff>
    </xdr:from>
    <xdr:to>
      <xdr:col>16</xdr:col>
      <xdr:colOff>21167</xdr:colOff>
      <xdr:row>1231</xdr:row>
      <xdr:rowOff>95250</xdr:rowOff>
    </xdr:to>
    <xdr:cxnSp macro="">
      <xdr:nvCxnSpPr>
        <xdr:cNvPr id="4233" name="Straight Arrow Connector 4232">
          <a:extLst>
            <a:ext uri="{FF2B5EF4-FFF2-40B4-BE49-F238E27FC236}">
              <a16:creationId xmlns:a16="http://schemas.microsoft.com/office/drawing/2014/main" id="{00000000-0008-0000-1300-000089100000}"/>
            </a:ext>
          </a:extLst>
        </xdr:cNvPr>
        <xdr:cNvCxnSpPr/>
      </xdr:nvCxnSpPr>
      <xdr:spPr>
        <a:xfrm>
          <a:off x="11324166" y="225774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1224</xdr:row>
      <xdr:rowOff>31750</xdr:rowOff>
    </xdr:from>
    <xdr:to>
      <xdr:col>16</xdr:col>
      <xdr:colOff>21167</xdr:colOff>
      <xdr:row>1231</xdr:row>
      <xdr:rowOff>95250</xdr:rowOff>
    </xdr:to>
    <xdr:cxnSp macro="">
      <xdr:nvCxnSpPr>
        <xdr:cNvPr id="4234" name="Straight Arrow Connector 4233">
          <a:extLst>
            <a:ext uri="{FF2B5EF4-FFF2-40B4-BE49-F238E27FC236}">
              <a16:creationId xmlns:a16="http://schemas.microsoft.com/office/drawing/2014/main" id="{00000000-0008-0000-1300-00008A100000}"/>
            </a:ext>
          </a:extLst>
        </xdr:cNvPr>
        <xdr:cNvCxnSpPr/>
      </xdr:nvCxnSpPr>
      <xdr:spPr>
        <a:xfrm>
          <a:off x="11324166" y="225774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1211</xdr:row>
      <xdr:rowOff>31750</xdr:rowOff>
    </xdr:from>
    <xdr:to>
      <xdr:col>16</xdr:col>
      <xdr:colOff>42334</xdr:colOff>
      <xdr:row>1218</xdr:row>
      <xdr:rowOff>63501</xdr:rowOff>
    </xdr:to>
    <xdr:cxnSp macro="">
      <xdr:nvCxnSpPr>
        <xdr:cNvPr id="4235" name="Straight Arrow Connector 4234">
          <a:extLst>
            <a:ext uri="{FF2B5EF4-FFF2-40B4-BE49-F238E27FC236}">
              <a16:creationId xmlns:a16="http://schemas.microsoft.com/office/drawing/2014/main" id="{00000000-0008-0000-1300-00008B100000}"/>
            </a:ext>
          </a:extLst>
        </xdr:cNvPr>
        <xdr:cNvCxnSpPr/>
      </xdr:nvCxnSpPr>
      <xdr:spPr>
        <a:xfrm>
          <a:off x="11281833" y="223107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1224</xdr:row>
      <xdr:rowOff>31750</xdr:rowOff>
    </xdr:from>
    <xdr:to>
      <xdr:col>16</xdr:col>
      <xdr:colOff>21167</xdr:colOff>
      <xdr:row>1231</xdr:row>
      <xdr:rowOff>95250</xdr:rowOff>
    </xdr:to>
    <xdr:cxnSp macro="">
      <xdr:nvCxnSpPr>
        <xdr:cNvPr id="4236" name="Straight Arrow Connector 4235">
          <a:extLst>
            <a:ext uri="{FF2B5EF4-FFF2-40B4-BE49-F238E27FC236}">
              <a16:creationId xmlns:a16="http://schemas.microsoft.com/office/drawing/2014/main" id="{00000000-0008-0000-1300-00008C100000}"/>
            </a:ext>
          </a:extLst>
        </xdr:cNvPr>
        <xdr:cNvCxnSpPr/>
      </xdr:nvCxnSpPr>
      <xdr:spPr>
        <a:xfrm>
          <a:off x="11324166" y="225774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1211</xdr:row>
      <xdr:rowOff>31750</xdr:rowOff>
    </xdr:from>
    <xdr:to>
      <xdr:col>16</xdr:col>
      <xdr:colOff>42334</xdr:colOff>
      <xdr:row>1218</xdr:row>
      <xdr:rowOff>63501</xdr:rowOff>
    </xdr:to>
    <xdr:cxnSp macro="">
      <xdr:nvCxnSpPr>
        <xdr:cNvPr id="4237" name="Straight Arrow Connector 4236">
          <a:extLst>
            <a:ext uri="{FF2B5EF4-FFF2-40B4-BE49-F238E27FC236}">
              <a16:creationId xmlns:a16="http://schemas.microsoft.com/office/drawing/2014/main" id="{00000000-0008-0000-1300-00008D100000}"/>
            </a:ext>
          </a:extLst>
        </xdr:cNvPr>
        <xdr:cNvCxnSpPr/>
      </xdr:nvCxnSpPr>
      <xdr:spPr>
        <a:xfrm>
          <a:off x="11281833" y="223107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1224</xdr:row>
      <xdr:rowOff>31750</xdr:rowOff>
    </xdr:from>
    <xdr:to>
      <xdr:col>16</xdr:col>
      <xdr:colOff>21167</xdr:colOff>
      <xdr:row>1231</xdr:row>
      <xdr:rowOff>95250</xdr:rowOff>
    </xdr:to>
    <xdr:cxnSp macro="">
      <xdr:nvCxnSpPr>
        <xdr:cNvPr id="4238" name="Straight Arrow Connector 4237">
          <a:extLst>
            <a:ext uri="{FF2B5EF4-FFF2-40B4-BE49-F238E27FC236}">
              <a16:creationId xmlns:a16="http://schemas.microsoft.com/office/drawing/2014/main" id="{00000000-0008-0000-1300-00008E100000}"/>
            </a:ext>
          </a:extLst>
        </xdr:cNvPr>
        <xdr:cNvCxnSpPr/>
      </xdr:nvCxnSpPr>
      <xdr:spPr>
        <a:xfrm>
          <a:off x="11324166" y="225774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1211</xdr:row>
      <xdr:rowOff>31750</xdr:rowOff>
    </xdr:from>
    <xdr:to>
      <xdr:col>16</xdr:col>
      <xdr:colOff>42334</xdr:colOff>
      <xdr:row>1218</xdr:row>
      <xdr:rowOff>63501</xdr:rowOff>
    </xdr:to>
    <xdr:cxnSp macro="">
      <xdr:nvCxnSpPr>
        <xdr:cNvPr id="4239" name="Straight Arrow Connector 4238">
          <a:extLst>
            <a:ext uri="{FF2B5EF4-FFF2-40B4-BE49-F238E27FC236}">
              <a16:creationId xmlns:a16="http://schemas.microsoft.com/office/drawing/2014/main" id="{00000000-0008-0000-1300-00008F100000}"/>
            </a:ext>
          </a:extLst>
        </xdr:cNvPr>
        <xdr:cNvCxnSpPr/>
      </xdr:nvCxnSpPr>
      <xdr:spPr>
        <a:xfrm>
          <a:off x="11281833" y="223107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1224</xdr:row>
      <xdr:rowOff>31750</xdr:rowOff>
    </xdr:from>
    <xdr:to>
      <xdr:col>16</xdr:col>
      <xdr:colOff>21167</xdr:colOff>
      <xdr:row>1231</xdr:row>
      <xdr:rowOff>95250</xdr:rowOff>
    </xdr:to>
    <xdr:cxnSp macro="">
      <xdr:nvCxnSpPr>
        <xdr:cNvPr id="4240" name="Straight Arrow Connector 4239">
          <a:extLst>
            <a:ext uri="{FF2B5EF4-FFF2-40B4-BE49-F238E27FC236}">
              <a16:creationId xmlns:a16="http://schemas.microsoft.com/office/drawing/2014/main" id="{00000000-0008-0000-1300-000090100000}"/>
            </a:ext>
          </a:extLst>
        </xdr:cNvPr>
        <xdr:cNvCxnSpPr/>
      </xdr:nvCxnSpPr>
      <xdr:spPr>
        <a:xfrm>
          <a:off x="11324166" y="225774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1211</xdr:row>
      <xdr:rowOff>31750</xdr:rowOff>
    </xdr:from>
    <xdr:to>
      <xdr:col>16</xdr:col>
      <xdr:colOff>42334</xdr:colOff>
      <xdr:row>1218</xdr:row>
      <xdr:rowOff>63501</xdr:rowOff>
    </xdr:to>
    <xdr:cxnSp macro="">
      <xdr:nvCxnSpPr>
        <xdr:cNvPr id="4241" name="Straight Arrow Connector 4240">
          <a:extLst>
            <a:ext uri="{FF2B5EF4-FFF2-40B4-BE49-F238E27FC236}">
              <a16:creationId xmlns:a16="http://schemas.microsoft.com/office/drawing/2014/main" id="{00000000-0008-0000-1300-000091100000}"/>
            </a:ext>
          </a:extLst>
        </xdr:cNvPr>
        <xdr:cNvCxnSpPr/>
      </xdr:nvCxnSpPr>
      <xdr:spPr>
        <a:xfrm>
          <a:off x="11281833" y="223107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1224</xdr:row>
      <xdr:rowOff>31750</xdr:rowOff>
    </xdr:from>
    <xdr:to>
      <xdr:col>16</xdr:col>
      <xdr:colOff>21167</xdr:colOff>
      <xdr:row>1231</xdr:row>
      <xdr:rowOff>95250</xdr:rowOff>
    </xdr:to>
    <xdr:cxnSp macro="">
      <xdr:nvCxnSpPr>
        <xdr:cNvPr id="4242" name="Straight Arrow Connector 4241">
          <a:extLst>
            <a:ext uri="{FF2B5EF4-FFF2-40B4-BE49-F238E27FC236}">
              <a16:creationId xmlns:a16="http://schemas.microsoft.com/office/drawing/2014/main" id="{00000000-0008-0000-1300-000092100000}"/>
            </a:ext>
          </a:extLst>
        </xdr:cNvPr>
        <xdr:cNvCxnSpPr/>
      </xdr:nvCxnSpPr>
      <xdr:spPr>
        <a:xfrm>
          <a:off x="11324166" y="225774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1211</xdr:row>
      <xdr:rowOff>31750</xdr:rowOff>
    </xdr:from>
    <xdr:to>
      <xdr:col>16</xdr:col>
      <xdr:colOff>42334</xdr:colOff>
      <xdr:row>1218</xdr:row>
      <xdr:rowOff>63501</xdr:rowOff>
    </xdr:to>
    <xdr:cxnSp macro="">
      <xdr:nvCxnSpPr>
        <xdr:cNvPr id="4243" name="Straight Arrow Connector 4242">
          <a:extLst>
            <a:ext uri="{FF2B5EF4-FFF2-40B4-BE49-F238E27FC236}">
              <a16:creationId xmlns:a16="http://schemas.microsoft.com/office/drawing/2014/main" id="{00000000-0008-0000-1300-000093100000}"/>
            </a:ext>
          </a:extLst>
        </xdr:cNvPr>
        <xdr:cNvCxnSpPr/>
      </xdr:nvCxnSpPr>
      <xdr:spPr>
        <a:xfrm>
          <a:off x="11281833" y="223107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1224</xdr:row>
      <xdr:rowOff>31750</xdr:rowOff>
    </xdr:from>
    <xdr:to>
      <xdr:col>16</xdr:col>
      <xdr:colOff>21167</xdr:colOff>
      <xdr:row>1231</xdr:row>
      <xdr:rowOff>95250</xdr:rowOff>
    </xdr:to>
    <xdr:cxnSp macro="">
      <xdr:nvCxnSpPr>
        <xdr:cNvPr id="4244" name="Straight Arrow Connector 4243">
          <a:extLst>
            <a:ext uri="{FF2B5EF4-FFF2-40B4-BE49-F238E27FC236}">
              <a16:creationId xmlns:a16="http://schemas.microsoft.com/office/drawing/2014/main" id="{00000000-0008-0000-1300-000094100000}"/>
            </a:ext>
          </a:extLst>
        </xdr:cNvPr>
        <xdr:cNvCxnSpPr/>
      </xdr:nvCxnSpPr>
      <xdr:spPr>
        <a:xfrm>
          <a:off x="11324166" y="225774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1211</xdr:row>
      <xdr:rowOff>31750</xdr:rowOff>
    </xdr:from>
    <xdr:to>
      <xdr:col>16</xdr:col>
      <xdr:colOff>42334</xdr:colOff>
      <xdr:row>1218</xdr:row>
      <xdr:rowOff>63501</xdr:rowOff>
    </xdr:to>
    <xdr:cxnSp macro="">
      <xdr:nvCxnSpPr>
        <xdr:cNvPr id="4245" name="Straight Arrow Connector 4244">
          <a:extLst>
            <a:ext uri="{FF2B5EF4-FFF2-40B4-BE49-F238E27FC236}">
              <a16:creationId xmlns:a16="http://schemas.microsoft.com/office/drawing/2014/main" id="{00000000-0008-0000-1300-000095100000}"/>
            </a:ext>
          </a:extLst>
        </xdr:cNvPr>
        <xdr:cNvCxnSpPr/>
      </xdr:nvCxnSpPr>
      <xdr:spPr>
        <a:xfrm>
          <a:off x="11281833" y="223107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1224</xdr:row>
      <xdr:rowOff>31750</xdr:rowOff>
    </xdr:from>
    <xdr:to>
      <xdr:col>16</xdr:col>
      <xdr:colOff>21167</xdr:colOff>
      <xdr:row>1231</xdr:row>
      <xdr:rowOff>95250</xdr:rowOff>
    </xdr:to>
    <xdr:cxnSp macro="">
      <xdr:nvCxnSpPr>
        <xdr:cNvPr id="4246" name="Straight Arrow Connector 4245">
          <a:extLst>
            <a:ext uri="{FF2B5EF4-FFF2-40B4-BE49-F238E27FC236}">
              <a16:creationId xmlns:a16="http://schemas.microsoft.com/office/drawing/2014/main" id="{00000000-0008-0000-1300-000096100000}"/>
            </a:ext>
          </a:extLst>
        </xdr:cNvPr>
        <xdr:cNvCxnSpPr/>
      </xdr:nvCxnSpPr>
      <xdr:spPr>
        <a:xfrm>
          <a:off x="11324166" y="225774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1224</xdr:row>
      <xdr:rowOff>31750</xdr:rowOff>
    </xdr:from>
    <xdr:to>
      <xdr:col>16</xdr:col>
      <xdr:colOff>21167</xdr:colOff>
      <xdr:row>1231</xdr:row>
      <xdr:rowOff>95250</xdr:rowOff>
    </xdr:to>
    <xdr:cxnSp macro="">
      <xdr:nvCxnSpPr>
        <xdr:cNvPr id="4247" name="Straight Arrow Connector 4246">
          <a:extLst>
            <a:ext uri="{FF2B5EF4-FFF2-40B4-BE49-F238E27FC236}">
              <a16:creationId xmlns:a16="http://schemas.microsoft.com/office/drawing/2014/main" id="{00000000-0008-0000-1300-000097100000}"/>
            </a:ext>
          </a:extLst>
        </xdr:cNvPr>
        <xdr:cNvCxnSpPr/>
      </xdr:nvCxnSpPr>
      <xdr:spPr>
        <a:xfrm>
          <a:off x="11324166" y="225774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1224</xdr:row>
      <xdr:rowOff>31750</xdr:rowOff>
    </xdr:from>
    <xdr:to>
      <xdr:col>16</xdr:col>
      <xdr:colOff>21167</xdr:colOff>
      <xdr:row>1231</xdr:row>
      <xdr:rowOff>95250</xdr:rowOff>
    </xdr:to>
    <xdr:cxnSp macro="">
      <xdr:nvCxnSpPr>
        <xdr:cNvPr id="4248" name="Straight Arrow Connector 4247">
          <a:extLst>
            <a:ext uri="{FF2B5EF4-FFF2-40B4-BE49-F238E27FC236}">
              <a16:creationId xmlns:a16="http://schemas.microsoft.com/office/drawing/2014/main" id="{00000000-0008-0000-1300-000098100000}"/>
            </a:ext>
          </a:extLst>
        </xdr:cNvPr>
        <xdr:cNvCxnSpPr/>
      </xdr:nvCxnSpPr>
      <xdr:spPr>
        <a:xfrm>
          <a:off x="11324166" y="225774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1224</xdr:row>
      <xdr:rowOff>31750</xdr:rowOff>
    </xdr:from>
    <xdr:to>
      <xdr:col>16</xdr:col>
      <xdr:colOff>21167</xdr:colOff>
      <xdr:row>1231</xdr:row>
      <xdr:rowOff>95250</xdr:rowOff>
    </xdr:to>
    <xdr:cxnSp macro="">
      <xdr:nvCxnSpPr>
        <xdr:cNvPr id="4249" name="Straight Arrow Connector 4248">
          <a:extLst>
            <a:ext uri="{FF2B5EF4-FFF2-40B4-BE49-F238E27FC236}">
              <a16:creationId xmlns:a16="http://schemas.microsoft.com/office/drawing/2014/main" id="{00000000-0008-0000-1300-000099100000}"/>
            </a:ext>
          </a:extLst>
        </xdr:cNvPr>
        <xdr:cNvCxnSpPr/>
      </xdr:nvCxnSpPr>
      <xdr:spPr>
        <a:xfrm>
          <a:off x="11324166" y="225774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1224</xdr:row>
      <xdr:rowOff>31750</xdr:rowOff>
    </xdr:from>
    <xdr:to>
      <xdr:col>16</xdr:col>
      <xdr:colOff>21167</xdr:colOff>
      <xdr:row>1231</xdr:row>
      <xdr:rowOff>95250</xdr:rowOff>
    </xdr:to>
    <xdr:cxnSp macro="">
      <xdr:nvCxnSpPr>
        <xdr:cNvPr id="4250" name="Straight Arrow Connector 4249">
          <a:extLst>
            <a:ext uri="{FF2B5EF4-FFF2-40B4-BE49-F238E27FC236}">
              <a16:creationId xmlns:a16="http://schemas.microsoft.com/office/drawing/2014/main" id="{00000000-0008-0000-1300-00009A100000}"/>
            </a:ext>
          </a:extLst>
        </xdr:cNvPr>
        <xdr:cNvCxnSpPr/>
      </xdr:nvCxnSpPr>
      <xdr:spPr>
        <a:xfrm>
          <a:off x="11324166" y="225774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1211</xdr:row>
      <xdr:rowOff>31750</xdr:rowOff>
    </xdr:from>
    <xdr:to>
      <xdr:col>16</xdr:col>
      <xdr:colOff>42334</xdr:colOff>
      <xdr:row>1218</xdr:row>
      <xdr:rowOff>63501</xdr:rowOff>
    </xdr:to>
    <xdr:cxnSp macro="">
      <xdr:nvCxnSpPr>
        <xdr:cNvPr id="4251" name="Straight Arrow Connector 4250">
          <a:extLst>
            <a:ext uri="{FF2B5EF4-FFF2-40B4-BE49-F238E27FC236}">
              <a16:creationId xmlns:a16="http://schemas.microsoft.com/office/drawing/2014/main" id="{00000000-0008-0000-1300-00009B100000}"/>
            </a:ext>
          </a:extLst>
        </xdr:cNvPr>
        <xdr:cNvCxnSpPr/>
      </xdr:nvCxnSpPr>
      <xdr:spPr>
        <a:xfrm>
          <a:off x="11281833" y="223107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1224</xdr:row>
      <xdr:rowOff>31750</xdr:rowOff>
    </xdr:from>
    <xdr:to>
      <xdr:col>16</xdr:col>
      <xdr:colOff>21167</xdr:colOff>
      <xdr:row>1231</xdr:row>
      <xdr:rowOff>95250</xdr:rowOff>
    </xdr:to>
    <xdr:cxnSp macro="">
      <xdr:nvCxnSpPr>
        <xdr:cNvPr id="4252" name="Straight Arrow Connector 4251">
          <a:extLst>
            <a:ext uri="{FF2B5EF4-FFF2-40B4-BE49-F238E27FC236}">
              <a16:creationId xmlns:a16="http://schemas.microsoft.com/office/drawing/2014/main" id="{00000000-0008-0000-1300-00009C100000}"/>
            </a:ext>
          </a:extLst>
        </xdr:cNvPr>
        <xdr:cNvCxnSpPr/>
      </xdr:nvCxnSpPr>
      <xdr:spPr>
        <a:xfrm>
          <a:off x="11324166" y="225774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1211</xdr:row>
      <xdr:rowOff>31750</xdr:rowOff>
    </xdr:from>
    <xdr:to>
      <xdr:col>16</xdr:col>
      <xdr:colOff>42334</xdr:colOff>
      <xdr:row>1218</xdr:row>
      <xdr:rowOff>63501</xdr:rowOff>
    </xdr:to>
    <xdr:cxnSp macro="">
      <xdr:nvCxnSpPr>
        <xdr:cNvPr id="4253" name="Straight Arrow Connector 4252">
          <a:extLst>
            <a:ext uri="{FF2B5EF4-FFF2-40B4-BE49-F238E27FC236}">
              <a16:creationId xmlns:a16="http://schemas.microsoft.com/office/drawing/2014/main" id="{00000000-0008-0000-1300-00009D100000}"/>
            </a:ext>
          </a:extLst>
        </xdr:cNvPr>
        <xdr:cNvCxnSpPr/>
      </xdr:nvCxnSpPr>
      <xdr:spPr>
        <a:xfrm>
          <a:off x="11281833" y="223107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1224</xdr:row>
      <xdr:rowOff>31750</xdr:rowOff>
    </xdr:from>
    <xdr:to>
      <xdr:col>16</xdr:col>
      <xdr:colOff>21167</xdr:colOff>
      <xdr:row>1231</xdr:row>
      <xdr:rowOff>95250</xdr:rowOff>
    </xdr:to>
    <xdr:cxnSp macro="">
      <xdr:nvCxnSpPr>
        <xdr:cNvPr id="4254" name="Straight Arrow Connector 4253">
          <a:extLst>
            <a:ext uri="{FF2B5EF4-FFF2-40B4-BE49-F238E27FC236}">
              <a16:creationId xmlns:a16="http://schemas.microsoft.com/office/drawing/2014/main" id="{00000000-0008-0000-1300-00009E100000}"/>
            </a:ext>
          </a:extLst>
        </xdr:cNvPr>
        <xdr:cNvCxnSpPr/>
      </xdr:nvCxnSpPr>
      <xdr:spPr>
        <a:xfrm>
          <a:off x="11324166" y="225774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1211</xdr:row>
      <xdr:rowOff>31750</xdr:rowOff>
    </xdr:from>
    <xdr:to>
      <xdr:col>16</xdr:col>
      <xdr:colOff>42334</xdr:colOff>
      <xdr:row>1218</xdr:row>
      <xdr:rowOff>63501</xdr:rowOff>
    </xdr:to>
    <xdr:cxnSp macro="">
      <xdr:nvCxnSpPr>
        <xdr:cNvPr id="4255" name="Straight Arrow Connector 4254">
          <a:extLst>
            <a:ext uri="{FF2B5EF4-FFF2-40B4-BE49-F238E27FC236}">
              <a16:creationId xmlns:a16="http://schemas.microsoft.com/office/drawing/2014/main" id="{00000000-0008-0000-1300-00009F100000}"/>
            </a:ext>
          </a:extLst>
        </xdr:cNvPr>
        <xdr:cNvCxnSpPr/>
      </xdr:nvCxnSpPr>
      <xdr:spPr>
        <a:xfrm>
          <a:off x="11281833" y="223107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1224</xdr:row>
      <xdr:rowOff>31750</xdr:rowOff>
    </xdr:from>
    <xdr:to>
      <xdr:col>16</xdr:col>
      <xdr:colOff>21167</xdr:colOff>
      <xdr:row>1231</xdr:row>
      <xdr:rowOff>95250</xdr:rowOff>
    </xdr:to>
    <xdr:cxnSp macro="">
      <xdr:nvCxnSpPr>
        <xdr:cNvPr id="4256" name="Straight Arrow Connector 4255">
          <a:extLst>
            <a:ext uri="{FF2B5EF4-FFF2-40B4-BE49-F238E27FC236}">
              <a16:creationId xmlns:a16="http://schemas.microsoft.com/office/drawing/2014/main" id="{00000000-0008-0000-1300-0000A0100000}"/>
            </a:ext>
          </a:extLst>
        </xdr:cNvPr>
        <xdr:cNvCxnSpPr/>
      </xdr:nvCxnSpPr>
      <xdr:spPr>
        <a:xfrm>
          <a:off x="11324166" y="225774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1211</xdr:row>
      <xdr:rowOff>31750</xdr:rowOff>
    </xdr:from>
    <xdr:to>
      <xdr:col>16</xdr:col>
      <xdr:colOff>42334</xdr:colOff>
      <xdr:row>1218</xdr:row>
      <xdr:rowOff>63501</xdr:rowOff>
    </xdr:to>
    <xdr:cxnSp macro="">
      <xdr:nvCxnSpPr>
        <xdr:cNvPr id="4257" name="Straight Arrow Connector 4256">
          <a:extLst>
            <a:ext uri="{FF2B5EF4-FFF2-40B4-BE49-F238E27FC236}">
              <a16:creationId xmlns:a16="http://schemas.microsoft.com/office/drawing/2014/main" id="{00000000-0008-0000-1300-0000A1100000}"/>
            </a:ext>
          </a:extLst>
        </xdr:cNvPr>
        <xdr:cNvCxnSpPr/>
      </xdr:nvCxnSpPr>
      <xdr:spPr>
        <a:xfrm>
          <a:off x="11281833" y="223107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1224</xdr:row>
      <xdr:rowOff>31750</xdr:rowOff>
    </xdr:from>
    <xdr:to>
      <xdr:col>16</xdr:col>
      <xdr:colOff>21167</xdr:colOff>
      <xdr:row>1231</xdr:row>
      <xdr:rowOff>95250</xdr:rowOff>
    </xdr:to>
    <xdr:cxnSp macro="">
      <xdr:nvCxnSpPr>
        <xdr:cNvPr id="4258" name="Straight Arrow Connector 4257">
          <a:extLst>
            <a:ext uri="{FF2B5EF4-FFF2-40B4-BE49-F238E27FC236}">
              <a16:creationId xmlns:a16="http://schemas.microsoft.com/office/drawing/2014/main" id="{00000000-0008-0000-1300-0000A2100000}"/>
            </a:ext>
          </a:extLst>
        </xdr:cNvPr>
        <xdr:cNvCxnSpPr/>
      </xdr:nvCxnSpPr>
      <xdr:spPr>
        <a:xfrm>
          <a:off x="11324166" y="225774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1211</xdr:row>
      <xdr:rowOff>31750</xdr:rowOff>
    </xdr:from>
    <xdr:to>
      <xdr:col>16</xdr:col>
      <xdr:colOff>42334</xdr:colOff>
      <xdr:row>1218</xdr:row>
      <xdr:rowOff>63501</xdr:rowOff>
    </xdr:to>
    <xdr:cxnSp macro="">
      <xdr:nvCxnSpPr>
        <xdr:cNvPr id="4259" name="Straight Arrow Connector 4258">
          <a:extLst>
            <a:ext uri="{FF2B5EF4-FFF2-40B4-BE49-F238E27FC236}">
              <a16:creationId xmlns:a16="http://schemas.microsoft.com/office/drawing/2014/main" id="{00000000-0008-0000-1300-0000A3100000}"/>
            </a:ext>
          </a:extLst>
        </xdr:cNvPr>
        <xdr:cNvCxnSpPr/>
      </xdr:nvCxnSpPr>
      <xdr:spPr>
        <a:xfrm>
          <a:off x="11281833" y="223107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1224</xdr:row>
      <xdr:rowOff>31750</xdr:rowOff>
    </xdr:from>
    <xdr:to>
      <xdr:col>16</xdr:col>
      <xdr:colOff>21167</xdr:colOff>
      <xdr:row>1231</xdr:row>
      <xdr:rowOff>95250</xdr:rowOff>
    </xdr:to>
    <xdr:cxnSp macro="">
      <xdr:nvCxnSpPr>
        <xdr:cNvPr id="4260" name="Straight Arrow Connector 4259">
          <a:extLst>
            <a:ext uri="{FF2B5EF4-FFF2-40B4-BE49-F238E27FC236}">
              <a16:creationId xmlns:a16="http://schemas.microsoft.com/office/drawing/2014/main" id="{00000000-0008-0000-1300-0000A4100000}"/>
            </a:ext>
          </a:extLst>
        </xdr:cNvPr>
        <xdr:cNvCxnSpPr/>
      </xdr:nvCxnSpPr>
      <xdr:spPr>
        <a:xfrm>
          <a:off x="11324166" y="225774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1280</xdr:row>
      <xdr:rowOff>31750</xdr:rowOff>
    </xdr:from>
    <xdr:to>
      <xdr:col>16</xdr:col>
      <xdr:colOff>21167</xdr:colOff>
      <xdr:row>1287</xdr:row>
      <xdr:rowOff>95250</xdr:rowOff>
    </xdr:to>
    <xdr:cxnSp macro="">
      <xdr:nvCxnSpPr>
        <xdr:cNvPr id="4261" name="Straight Arrow Connector 4260">
          <a:extLst>
            <a:ext uri="{FF2B5EF4-FFF2-40B4-BE49-F238E27FC236}">
              <a16:creationId xmlns:a16="http://schemas.microsoft.com/office/drawing/2014/main" id="{00000000-0008-0000-1300-0000A5100000}"/>
            </a:ext>
          </a:extLst>
        </xdr:cNvPr>
        <xdr:cNvCxnSpPr/>
      </xdr:nvCxnSpPr>
      <xdr:spPr>
        <a:xfrm>
          <a:off x="11324166" y="236632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1280</xdr:row>
      <xdr:rowOff>31750</xdr:rowOff>
    </xdr:from>
    <xdr:to>
      <xdr:col>16</xdr:col>
      <xdr:colOff>21167</xdr:colOff>
      <xdr:row>1287</xdr:row>
      <xdr:rowOff>95250</xdr:rowOff>
    </xdr:to>
    <xdr:cxnSp macro="">
      <xdr:nvCxnSpPr>
        <xdr:cNvPr id="4262" name="Straight Arrow Connector 4261">
          <a:extLst>
            <a:ext uri="{FF2B5EF4-FFF2-40B4-BE49-F238E27FC236}">
              <a16:creationId xmlns:a16="http://schemas.microsoft.com/office/drawing/2014/main" id="{00000000-0008-0000-1300-0000A6100000}"/>
            </a:ext>
          </a:extLst>
        </xdr:cNvPr>
        <xdr:cNvCxnSpPr/>
      </xdr:nvCxnSpPr>
      <xdr:spPr>
        <a:xfrm>
          <a:off x="11324166" y="236632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1280</xdr:row>
      <xdr:rowOff>31750</xdr:rowOff>
    </xdr:from>
    <xdr:to>
      <xdr:col>16</xdr:col>
      <xdr:colOff>21167</xdr:colOff>
      <xdr:row>1287</xdr:row>
      <xdr:rowOff>95250</xdr:rowOff>
    </xdr:to>
    <xdr:cxnSp macro="">
      <xdr:nvCxnSpPr>
        <xdr:cNvPr id="4263" name="Straight Arrow Connector 4262">
          <a:extLst>
            <a:ext uri="{FF2B5EF4-FFF2-40B4-BE49-F238E27FC236}">
              <a16:creationId xmlns:a16="http://schemas.microsoft.com/office/drawing/2014/main" id="{00000000-0008-0000-1300-0000A7100000}"/>
            </a:ext>
          </a:extLst>
        </xdr:cNvPr>
        <xdr:cNvCxnSpPr/>
      </xdr:nvCxnSpPr>
      <xdr:spPr>
        <a:xfrm>
          <a:off x="11324166" y="236632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1280</xdr:row>
      <xdr:rowOff>31750</xdr:rowOff>
    </xdr:from>
    <xdr:to>
      <xdr:col>16</xdr:col>
      <xdr:colOff>21167</xdr:colOff>
      <xdr:row>1287</xdr:row>
      <xdr:rowOff>95250</xdr:rowOff>
    </xdr:to>
    <xdr:cxnSp macro="">
      <xdr:nvCxnSpPr>
        <xdr:cNvPr id="4264" name="Straight Arrow Connector 4263">
          <a:extLst>
            <a:ext uri="{FF2B5EF4-FFF2-40B4-BE49-F238E27FC236}">
              <a16:creationId xmlns:a16="http://schemas.microsoft.com/office/drawing/2014/main" id="{00000000-0008-0000-1300-0000A8100000}"/>
            </a:ext>
          </a:extLst>
        </xdr:cNvPr>
        <xdr:cNvCxnSpPr/>
      </xdr:nvCxnSpPr>
      <xdr:spPr>
        <a:xfrm>
          <a:off x="11324166" y="236632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1267</xdr:row>
      <xdr:rowOff>31750</xdr:rowOff>
    </xdr:from>
    <xdr:to>
      <xdr:col>16</xdr:col>
      <xdr:colOff>42334</xdr:colOff>
      <xdr:row>1274</xdr:row>
      <xdr:rowOff>63501</xdr:rowOff>
    </xdr:to>
    <xdr:cxnSp macro="">
      <xdr:nvCxnSpPr>
        <xdr:cNvPr id="4265" name="Straight Arrow Connector 4264">
          <a:extLst>
            <a:ext uri="{FF2B5EF4-FFF2-40B4-BE49-F238E27FC236}">
              <a16:creationId xmlns:a16="http://schemas.microsoft.com/office/drawing/2014/main" id="{00000000-0008-0000-1300-0000A9100000}"/>
            </a:ext>
          </a:extLst>
        </xdr:cNvPr>
        <xdr:cNvCxnSpPr/>
      </xdr:nvCxnSpPr>
      <xdr:spPr>
        <a:xfrm>
          <a:off x="11281833" y="233965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1280</xdr:row>
      <xdr:rowOff>31750</xdr:rowOff>
    </xdr:from>
    <xdr:to>
      <xdr:col>16</xdr:col>
      <xdr:colOff>21167</xdr:colOff>
      <xdr:row>1287</xdr:row>
      <xdr:rowOff>95250</xdr:rowOff>
    </xdr:to>
    <xdr:cxnSp macro="">
      <xdr:nvCxnSpPr>
        <xdr:cNvPr id="4266" name="Straight Arrow Connector 4265">
          <a:extLst>
            <a:ext uri="{FF2B5EF4-FFF2-40B4-BE49-F238E27FC236}">
              <a16:creationId xmlns:a16="http://schemas.microsoft.com/office/drawing/2014/main" id="{00000000-0008-0000-1300-0000AA100000}"/>
            </a:ext>
          </a:extLst>
        </xdr:cNvPr>
        <xdr:cNvCxnSpPr/>
      </xdr:nvCxnSpPr>
      <xdr:spPr>
        <a:xfrm>
          <a:off x="11324166" y="236632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1280</xdr:row>
      <xdr:rowOff>31750</xdr:rowOff>
    </xdr:from>
    <xdr:to>
      <xdr:col>16</xdr:col>
      <xdr:colOff>21167</xdr:colOff>
      <xdr:row>1287</xdr:row>
      <xdr:rowOff>95250</xdr:rowOff>
    </xdr:to>
    <xdr:cxnSp macro="">
      <xdr:nvCxnSpPr>
        <xdr:cNvPr id="4267" name="Straight Arrow Connector 4266">
          <a:extLst>
            <a:ext uri="{FF2B5EF4-FFF2-40B4-BE49-F238E27FC236}">
              <a16:creationId xmlns:a16="http://schemas.microsoft.com/office/drawing/2014/main" id="{00000000-0008-0000-1300-0000AB100000}"/>
            </a:ext>
          </a:extLst>
        </xdr:cNvPr>
        <xdr:cNvCxnSpPr/>
      </xdr:nvCxnSpPr>
      <xdr:spPr>
        <a:xfrm>
          <a:off x="11324166" y="236632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1280</xdr:row>
      <xdr:rowOff>31750</xdr:rowOff>
    </xdr:from>
    <xdr:to>
      <xdr:col>16</xdr:col>
      <xdr:colOff>21167</xdr:colOff>
      <xdr:row>1287</xdr:row>
      <xdr:rowOff>95250</xdr:rowOff>
    </xdr:to>
    <xdr:cxnSp macro="">
      <xdr:nvCxnSpPr>
        <xdr:cNvPr id="4268" name="Straight Arrow Connector 4267">
          <a:extLst>
            <a:ext uri="{FF2B5EF4-FFF2-40B4-BE49-F238E27FC236}">
              <a16:creationId xmlns:a16="http://schemas.microsoft.com/office/drawing/2014/main" id="{00000000-0008-0000-1300-0000AC100000}"/>
            </a:ext>
          </a:extLst>
        </xdr:cNvPr>
        <xdr:cNvCxnSpPr/>
      </xdr:nvCxnSpPr>
      <xdr:spPr>
        <a:xfrm>
          <a:off x="11324166" y="236632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1267</xdr:row>
      <xdr:rowOff>31750</xdr:rowOff>
    </xdr:from>
    <xdr:to>
      <xdr:col>16</xdr:col>
      <xdr:colOff>42334</xdr:colOff>
      <xdr:row>1274</xdr:row>
      <xdr:rowOff>63501</xdr:rowOff>
    </xdr:to>
    <xdr:cxnSp macro="">
      <xdr:nvCxnSpPr>
        <xdr:cNvPr id="4269" name="Straight Arrow Connector 4268">
          <a:extLst>
            <a:ext uri="{FF2B5EF4-FFF2-40B4-BE49-F238E27FC236}">
              <a16:creationId xmlns:a16="http://schemas.microsoft.com/office/drawing/2014/main" id="{00000000-0008-0000-1300-0000AD100000}"/>
            </a:ext>
          </a:extLst>
        </xdr:cNvPr>
        <xdr:cNvCxnSpPr/>
      </xdr:nvCxnSpPr>
      <xdr:spPr>
        <a:xfrm>
          <a:off x="11281833" y="233965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1280</xdr:row>
      <xdr:rowOff>31750</xdr:rowOff>
    </xdr:from>
    <xdr:to>
      <xdr:col>16</xdr:col>
      <xdr:colOff>21167</xdr:colOff>
      <xdr:row>1287</xdr:row>
      <xdr:rowOff>95250</xdr:rowOff>
    </xdr:to>
    <xdr:cxnSp macro="">
      <xdr:nvCxnSpPr>
        <xdr:cNvPr id="4270" name="Straight Arrow Connector 4269">
          <a:extLst>
            <a:ext uri="{FF2B5EF4-FFF2-40B4-BE49-F238E27FC236}">
              <a16:creationId xmlns:a16="http://schemas.microsoft.com/office/drawing/2014/main" id="{00000000-0008-0000-1300-0000AE100000}"/>
            </a:ext>
          </a:extLst>
        </xdr:cNvPr>
        <xdr:cNvCxnSpPr/>
      </xdr:nvCxnSpPr>
      <xdr:spPr>
        <a:xfrm>
          <a:off x="11324166" y="236632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1267</xdr:row>
      <xdr:rowOff>31750</xdr:rowOff>
    </xdr:from>
    <xdr:to>
      <xdr:col>16</xdr:col>
      <xdr:colOff>42334</xdr:colOff>
      <xdr:row>1274</xdr:row>
      <xdr:rowOff>63501</xdr:rowOff>
    </xdr:to>
    <xdr:cxnSp macro="">
      <xdr:nvCxnSpPr>
        <xdr:cNvPr id="4271" name="Straight Arrow Connector 4270">
          <a:extLst>
            <a:ext uri="{FF2B5EF4-FFF2-40B4-BE49-F238E27FC236}">
              <a16:creationId xmlns:a16="http://schemas.microsoft.com/office/drawing/2014/main" id="{00000000-0008-0000-1300-0000AF100000}"/>
            </a:ext>
          </a:extLst>
        </xdr:cNvPr>
        <xdr:cNvCxnSpPr/>
      </xdr:nvCxnSpPr>
      <xdr:spPr>
        <a:xfrm>
          <a:off x="11281833" y="233965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1280</xdr:row>
      <xdr:rowOff>31750</xdr:rowOff>
    </xdr:from>
    <xdr:to>
      <xdr:col>16</xdr:col>
      <xdr:colOff>21167</xdr:colOff>
      <xdr:row>1287</xdr:row>
      <xdr:rowOff>95250</xdr:rowOff>
    </xdr:to>
    <xdr:cxnSp macro="">
      <xdr:nvCxnSpPr>
        <xdr:cNvPr id="4272" name="Straight Arrow Connector 4271">
          <a:extLst>
            <a:ext uri="{FF2B5EF4-FFF2-40B4-BE49-F238E27FC236}">
              <a16:creationId xmlns:a16="http://schemas.microsoft.com/office/drawing/2014/main" id="{00000000-0008-0000-1300-0000B0100000}"/>
            </a:ext>
          </a:extLst>
        </xdr:cNvPr>
        <xdr:cNvCxnSpPr/>
      </xdr:nvCxnSpPr>
      <xdr:spPr>
        <a:xfrm>
          <a:off x="11324166" y="236632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1267</xdr:row>
      <xdr:rowOff>31750</xdr:rowOff>
    </xdr:from>
    <xdr:to>
      <xdr:col>16</xdr:col>
      <xdr:colOff>42334</xdr:colOff>
      <xdr:row>1274</xdr:row>
      <xdr:rowOff>63501</xdr:rowOff>
    </xdr:to>
    <xdr:cxnSp macro="">
      <xdr:nvCxnSpPr>
        <xdr:cNvPr id="4273" name="Straight Arrow Connector 4272">
          <a:extLst>
            <a:ext uri="{FF2B5EF4-FFF2-40B4-BE49-F238E27FC236}">
              <a16:creationId xmlns:a16="http://schemas.microsoft.com/office/drawing/2014/main" id="{00000000-0008-0000-1300-0000B1100000}"/>
            </a:ext>
          </a:extLst>
        </xdr:cNvPr>
        <xdr:cNvCxnSpPr/>
      </xdr:nvCxnSpPr>
      <xdr:spPr>
        <a:xfrm>
          <a:off x="11281833" y="233965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1280</xdr:row>
      <xdr:rowOff>31750</xdr:rowOff>
    </xdr:from>
    <xdr:to>
      <xdr:col>16</xdr:col>
      <xdr:colOff>21167</xdr:colOff>
      <xdr:row>1287</xdr:row>
      <xdr:rowOff>95250</xdr:rowOff>
    </xdr:to>
    <xdr:cxnSp macro="">
      <xdr:nvCxnSpPr>
        <xdr:cNvPr id="4274" name="Straight Arrow Connector 4273">
          <a:extLst>
            <a:ext uri="{FF2B5EF4-FFF2-40B4-BE49-F238E27FC236}">
              <a16:creationId xmlns:a16="http://schemas.microsoft.com/office/drawing/2014/main" id="{00000000-0008-0000-1300-0000B2100000}"/>
            </a:ext>
          </a:extLst>
        </xdr:cNvPr>
        <xdr:cNvCxnSpPr/>
      </xdr:nvCxnSpPr>
      <xdr:spPr>
        <a:xfrm>
          <a:off x="11324166" y="236632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1267</xdr:row>
      <xdr:rowOff>31750</xdr:rowOff>
    </xdr:from>
    <xdr:to>
      <xdr:col>16</xdr:col>
      <xdr:colOff>42334</xdr:colOff>
      <xdr:row>1274</xdr:row>
      <xdr:rowOff>63501</xdr:rowOff>
    </xdr:to>
    <xdr:cxnSp macro="">
      <xdr:nvCxnSpPr>
        <xdr:cNvPr id="4275" name="Straight Arrow Connector 4274">
          <a:extLst>
            <a:ext uri="{FF2B5EF4-FFF2-40B4-BE49-F238E27FC236}">
              <a16:creationId xmlns:a16="http://schemas.microsoft.com/office/drawing/2014/main" id="{00000000-0008-0000-1300-0000B3100000}"/>
            </a:ext>
          </a:extLst>
        </xdr:cNvPr>
        <xdr:cNvCxnSpPr/>
      </xdr:nvCxnSpPr>
      <xdr:spPr>
        <a:xfrm>
          <a:off x="11281833" y="233965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1280</xdr:row>
      <xdr:rowOff>31750</xdr:rowOff>
    </xdr:from>
    <xdr:to>
      <xdr:col>16</xdr:col>
      <xdr:colOff>21167</xdr:colOff>
      <xdr:row>1287</xdr:row>
      <xdr:rowOff>95250</xdr:rowOff>
    </xdr:to>
    <xdr:cxnSp macro="">
      <xdr:nvCxnSpPr>
        <xdr:cNvPr id="4276" name="Straight Arrow Connector 4275">
          <a:extLst>
            <a:ext uri="{FF2B5EF4-FFF2-40B4-BE49-F238E27FC236}">
              <a16:creationId xmlns:a16="http://schemas.microsoft.com/office/drawing/2014/main" id="{00000000-0008-0000-1300-0000B4100000}"/>
            </a:ext>
          </a:extLst>
        </xdr:cNvPr>
        <xdr:cNvCxnSpPr/>
      </xdr:nvCxnSpPr>
      <xdr:spPr>
        <a:xfrm>
          <a:off x="11324166" y="236632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1267</xdr:row>
      <xdr:rowOff>31750</xdr:rowOff>
    </xdr:from>
    <xdr:to>
      <xdr:col>16</xdr:col>
      <xdr:colOff>42334</xdr:colOff>
      <xdr:row>1274</xdr:row>
      <xdr:rowOff>63501</xdr:rowOff>
    </xdr:to>
    <xdr:cxnSp macro="">
      <xdr:nvCxnSpPr>
        <xdr:cNvPr id="4277" name="Straight Arrow Connector 4276">
          <a:extLst>
            <a:ext uri="{FF2B5EF4-FFF2-40B4-BE49-F238E27FC236}">
              <a16:creationId xmlns:a16="http://schemas.microsoft.com/office/drawing/2014/main" id="{00000000-0008-0000-1300-0000B5100000}"/>
            </a:ext>
          </a:extLst>
        </xdr:cNvPr>
        <xdr:cNvCxnSpPr/>
      </xdr:nvCxnSpPr>
      <xdr:spPr>
        <a:xfrm>
          <a:off x="11281833" y="233965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1280</xdr:row>
      <xdr:rowOff>31750</xdr:rowOff>
    </xdr:from>
    <xdr:to>
      <xdr:col>16</xdr:col>
      <xdr:colOff>21167</xdr:colOff>
      <xdr:row>1287</xdr:row>
      <xdr:rowOff>95250</xdr:rowOff>
    </xdr:to>
    <xdr:cxnSp macro="">
      <xdr:nvCxnSpPr>
        <xdr:cNvPr id="4278" name="Straight Arrow Connector 4277">
          <a:extLst>
            <a:ext uri="{FF2B5EF4-FFF2-40B4-BE49-F238E27FC236}">
              <a16:creationId xmlns:a16="http://schemas.microsoft.com/office/drawing/2014/main" id="{00000000-0008-0000-1300-0000B6100000}"/>
            </a:ext>
          </a:extLst>
        </xdr:cNvPr>
        <xdr:cNvCxnSpPr/>
      </xdr:nvCxnSpPr>
      <xdr:spPr>
        <a:xfrm>
          <a:off x="11324166" y="236632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1280</xdr:row>
      <xdr:rowOff>31750</xdr:rowOff>
    </xdr:from>
    <xdr:to>
      <xdr:col>16</xdr:col>
      <xdr:colOff>21167</xdr:colOff>
      <xdr:row>1287</xdr:row>
      <xdr:rowOff>95250</xdr:rowOff>
    </xdr:to>
    <xdr:cxnSp macro="">
      <xdr:nvCxnSpPr>
        <xdr:cNvPr id="4279" name="Straight Arrow Connector 4278">
          <a:extLst>
            <a:ext uri="{FF2B5EF4-FFF2-40B4-BE49-F238E27FC236}">
              <a16:creationId xmlns:a16="http://schemas.microsoft.com/office/drawing/2014/main" id="{00000000-0008-0000-1300-0000B7100000}"/>
            </a:ext>
          </a:extLst>
        </xdr:cNvPr>
        <xdr:cNvCxnSpPr/>
      </xdr:nvCxnSpPr>
      <xdr:spPr>
        <a:xfrm>
          <a:off x="11324166" y="236632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1280</xdr:row>
      <xdr:rowOff>31750</xdr:rowOff>
    </xdr:from>
    <xdr:to>
      <xdr:col>16</xdr:col>
      <xdr:colOff>21167</xdr:colOff>
      <xdr:row>1287</xdr:row>
      <xdr:rowOff>95250</xdr:rowOff>
    </xdr:to>
    <xdr:cxnSp macro="">
      <xdr:nvCxnSpPr>
        <xdr:cNvPr id="4280" name="Straight Arrow Connector 4279">
          <a:extLst>
            <a:ext uri="{FF2B5EF4-FFF2-40B4-BE49-F238E27FC236}">
              <a16:creationId xmlns:a16="http://schemas.microsoft.com/office/drawing/2014/main" id="{00000000-0008-0000-1300-0000B8100000}"/>
            </a:ext>
          </a:extLst>
        </xdr:cNvPr>
        <xdr:cNvCxnSpPr/>
      </xdr:nvCxnSpPr>
      <xdr:spPr>
        <a:xfrm>
          <a:off x="11324166" y="236632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1267</xdr:row>
      <xdr:rowOff>31750</xdr:rowOff>
    </xdr:from>
    <xdr:to>
      <xdr:col>16</xdr:col>
      <xdr:colOff>42334</xdr:colOff>
      <xdr:row>1274</xdr:row>
      <xdr:rowOff>63501</xdr:rowOff>
    </xdr:to>
    <xdr:cxnSp macro="">
      <xdr:nvCxnSpPr>
        <xdr:cNvPr id="4281" name="Straight Arrow Connector 4280">
          <a:extLst>
            <a:ext uri="{FF2B5EF4-FFF2-40B4-BE49-F238E27FC236}">
              <a16:creationId xmlns:a16="http://schemas.microsoft.com/office/drawing/2014/main" id="{00000000-0008-0000-1300-0000B9100000}"/>
            </a:ext>
          </a:extLst>
        </xdr:cNvPr>
        <xdr:cNvCxnSpPr/>
      </xdr:nvCxnSpPr>
      <xdr:spPr>
        <a:xfrm>
          <a:off x="11281833" y="233965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1280</xdr:row>
      <xdr:rowOff>31750</xdr:rowOff>
    </xdr:from>
    <xdr:to>
      <xdr:col>16</xdr:col>
      <xdr:colOff>21167</xdr:colOff>
      <xdr:row>1287</xdr:row>
      <xdr:rowOff>95250</xdr:rowOff>
    </xdr:to>
    <xdr:cxnSp macro="">
      <xdr:nvCxnSpPr>
        <xdr:cNvPr id="4282" name="Straight Arrow Connector 4281">
          <a:extLst>
            <a:ext uri="{FF2B5EF4-FFF2-40B4-BE49-F238E27FC236}">
              <a16:creationId xmlns:a16="http://schemas.microsoft.com/office/drawing/2014/main" id="{00000000-0008-0000-1300-0000BA100000}"/>
            </a:ext>
          </a:extLst>
        </xdr:cNvPr>
        <xdr:cNvCxnSpPr/>
      </xdr:nvCxnSpPr>
      <xdr:spPr>
        <a:xfrm>
          <a:off x="11324166" y="236632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1280</xdr:row>
      <xdr:rowOff>31750</xdr:rowOff>
    </xdr:from>
    <xdr:to>
      <xdr:col>16</xdr:col>
      <xdr:colOff>21167</xdr:colOff>
      <xdr:row>1287</xdr:row>
      <xdr:rowOff>95250</xdr:rowOff>
    </xdr:to>
    <xdr:cxnSp macro="">
      <xdr:nvCxnSpPr>
        <xdr:cNvPr id="4283" name="Straight Arrow Connector 4282">
          <a:extLst>
            <a:ext uri="{FF2B5EF4-FFF2-40B4-BE49-F238E27FC236}">
              <a16:creationId xmlns:a16="http://schemas.microsoft.com/office/drawing/2014/main" id="{00000000-0008-0000-1300-0000BB100000}"/>
            </a:ext>
          </a:extLst>
        </xdr:cNvPr>
        <xdr:cNvCxnSpPr/>
      </xdr:nvCxnSpPr>
      <xdr:spPr>
        <a:xfrm>
          <a:off x="11324166" y="236632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1280</xdr:row>
      <xdr:rowOff>31750</xdr:rowOff>
    </xdr:from>
    <xdr:to>
      <xdr:col>16</xdr:col>
      <xdr:colOff>21167</xdr:colOff>
      <xdr:row>1287</xdr:row>
      <xdr:rowOff>95250</xdr:rowOff>
    </xdr:to>
    <xdr:cxnSp macro="">
      <xdr:nvCxnSpPr>
        <xdr:cNvPr id="4284" name="Straight Arrow Connector 4283">
          <a:extLst>
            <a:ext uri="{FF2B5EF4-FFF2-40B4-BE49-F238E27FC236}">
              <a16:creationId xmlns:a16="http://schemas.microsoft.com/office/drawing/2014/main" id="{00000000-0008-0000-1300-0000BC100000}"/>
            </a:ext>
          </a:extLst>
        </xdr:cNvPr>
        <xdr:cNvCxnSpPr/>
      </xdr:nvCxnSpPr>
      <xdr:spPr>
        <a:xfrm>
          <a:off x="11324166" y="236632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1280</xdr:row>
      <xdr:rowOff>31750</xdr:rowOff>
    </xdr:from>
    <xdr:to>
      <xdr:col>16</xdr:col>
      <xdr:colOff>21167</xdr:colOff>
      <xdr:row>1287</xdr:row>
      <xdr:rowOff>95250</xdr:rowOff>
    </xdr:to>
    <xdr:cxnSp macro="">
      <xdr:nvCxnSpPr>
        <xdr:cNvPr id="4285" name="Straight Arrow Connector 4284">
          <a:extLst>
            <a:ext uri="{FF2B5EF4-FFF2-40B4-BE49-F238E27FC236}">
              <a16:creationId xmlns:a16="http://schemas.microsoft.com/office/drawing/2014/main" id="{00000000-0008-0000-1300-0000BD100000}"/>
            </a:ext>
          </a:extLst>
        </xdr:cNvPr>
        <xdr:cNvCxnSpPr/>
      </xdr:nvCxnSpPr>
      <xdr:spPr>
        <a:xfrm>
          <a:off x="11324166" y="236632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1280</xdr:row>
      <xdr:rowOff>31750</xdr:rowOff>
    </xdr:from>
    <xdr:to>
      <xdr:col>16</xdr:col>
      <xdr:colOff>21167</xdr:colOff>
      <xdr:row>1287</xdr:row>
      <xdr:rowOff>95250</xdr:rowOff>
    </xdr:to>
    <xdr:cxnSp macro="">
      <xdr:nvCxnSpPr>
        <xdr:cNvPr id="4286" name="Straight Arrow Connector 4285">
          <a:extLst>
            <a:ext uri="{FF2B5EF4-FFF2-40B4-BE49-F238E27FC236}">
              <a16:creationId xmlns:a16="http://schemas.microsoft.com/office/drawing/2014/main" id="{00000000-0008-0000-1300-0000BE100000}"/>
            </a:ext>
          </a:extLst>
        </xdr:cNvPr>
        <xdr:cNvCxnSpPr/>
      </xdr:nvCxnSpPr>
      <xdr:spPr>
        <a:xfrm>
          <a:off x="11324166" y="236632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1280</xdr:row>
      <xdr:rowOff>31750</xdr:rowOff>
    </xdr:from>
    <xdr:to>
      <xdr:col>16</xdr:col>
      <xdr:colOff>21167</xdr:colOff>
      <xdr:row>1287</xdr:row>
      <xdr:rowOff>95250</xdr:rowOff>
    </xdr:to>
    <xdr:cxnSp macro="">
      <xdr:nvCxnSpPr>
        <xdr:cNvPr id="4287" name="Straight Arrow Connector 4286">
          <a:extLst>
            <a:ext uri="{FF2B5EF4-FFF2-40B4-BE49-F238E27FC236}">
              <a16:creationId xmlns:a16="http://schemas.microsoft.com/office/drawing/2014/main" id="{00000000-0008-0000-1300-0000BF100000}"/>
            </a:ext>
          </a:extLst>
        </xdr:cNvPr>
        <xdr:cNvCxnSpPr/>
      </xdr:nvCxnSpPr>
      <xdr:spPr>
        <a:xfrm>
          <a:off x="11324166" y="236632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1267</xdr:row>
      <xdr:rowOff>31750</xdr:rowOff>
    </xdr:from>
    <xdr:to>
      <xdr:col>16</xdr:col>
      <xdr:colOff>42334</xdr:colOff>
      <xdr:row>1274</xdr:row>
      <xdr:rowOff>63501</xdr:rowOff>
    </xdr:to>
    <xdr:cxnSp macro="">
      <xdr:nvCxnSpPr>
        <xdr:cNvPr id="4288" name="Straight Arrow Connector 4287">
          <a:extLst>
            <a:ext uri="{FF2B5EF4-FFF2-40B4-BE49-F238E27FC236}">
              <a16:creationId xmlns:a16="http://schemas.microsoft.com/office/drawing/2014/main" id="{00000000-0008-0000-1300-0000C0100000}"/>
            </a:ext>
          </a:extLst>
        </xdr:cNvPr>
        <xdr:cNvCxnSpPr/>
      </xdr:nvCxnSpPr>
      <xdr:spPr>
        <a:xfrm>
          <a:off x="11281833" y="233965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1280</xdr:row>
      <xdr:rowOff>31750</xdr:rowOff>
    </xdr:from>
    <xdr:to>
      <xdr:col>16</xdr:col>
      <xdr:colOff>21167</xdr:colOff>
      <xdr:row>1287</xdr:row>
      <xdr:rowOff>95250</xdr:rowOff>
    </xdr:to>
    <xdr:cxnSp macro="">
      <xdr:nvCxnSpPr>
        <xdr:cNvPr id="4289" name="Straight Arrow Connector 4288">
          <a:extLst>
            <a:ext uri="{FF2B5EF4-FFF2-40B4-BE49-F238E27FC236}">
              <a16:creationId xmlns:a16="http://schemas.microsoft.com/office/drawing/2014/main" id="{00000000-0008-0000-1300-0000C1100000}"/>
            </a:ext>
          </a:extLst>
        </xdr:cNvPr>
        <xdr:cNvCxnSpPr/>
      </xdr:nvCxnSpPr>
      <xdr:spPr>
        <a:xfrm>
          <a:off x="11324166" y="236632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1267</xdr:row>
      <xdr:rowOff>31750</xdr:rowOff>
    </xdr:from>
    <xdr:to>
      <xdr:col>16</xdr:col>
      <xdr:colOff>42334</xdr:colOff>
      <xdr:row>1274</xdr:row>
      <xdr:rowOff>63501</xdr:rowOff>
    </xdr:to>
    <xdr:cxnSp macro="">
      <xdr:nvCxnSpPr>
        <xdr:cNvPr id="4290" name="Straight Arrow Connector 4289">
          <a:extLst>
            <a:ext uri="{FF2B5EF4-FFF2-40B4-BE49-F238E27FC236}">
              <a16:creationId xmlns:a16="http://schemas.microsoft.com/office/drawing/2014/main" id="{00000000-0008-0000-1300-0000C2100000}"/>
            </a:ext>
          </a:extLst>
        </xdr:cNvPr>
        <xdr:cNvCxnSpPr/>
      </xdr:nvCxnSpPr>
      <xdr:spPr>
        <a:xfrm>
          <a:off x="11281833" y="233965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1280</xdr:row>
      <xdr:rowOff>31750</xdr:rowOff>
    </xdr:from>
    <xdr:to>
      <xdr:col>16</xdr:col>
      <xdr:colOff>21167</xdr:colOff>
      <xdr:row>1287</xdr:row>
      <xdr:rowOff>95250</xdr:rowOff>
    </xdr:to>
    <xdr:cxnSp macro="">
      <xdr:nvCxnSpPr>
        <xdr:cNvPr id="4291" name="Straight Arrow Connector 4290">
          <a:extLst>
            <a:ext uri="{FF2B5EF4-FFF2-40B4-BE49-F238E27FC236}">
              <a16:creationId xmlns:a16="http://schemas.microsoft.com/office/drawing/2014/main" id="{00000000-0008-0000-1300-0000C3100000}"/>
            </a:ext>
          </a:extLst>
        </xdr:cNvPr>
        <xdr:cNvCxnSpPr/>
      </xdr:nvCxnSpPr>
      <xdr:spPr>
        <a:xfrm>
          <a:off x="11324166" y="236632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1267</xdr:row>
      <xdr:rowOff>31750</xdr:rowOff>
    </xdr:from>
    <xdr:to>
      <xdr:col>16</xdr:col>
      <xdr:colOff>42334</xdr:colOff>
      <xdr:row>1274</xdr:row>
      <xdr:rowOff>63501</xdr:rowOff>
    </xdr:to>
    <xdr:cxnSp macro="">
      <xdr:nvCxnSpPr>
        <xdr:cNvPr id="4292" name="Straight Arrow Connector 4291">
          <a:extLst>
            <a:ext uri="{FF2B5EF4-FFF2-40B4-BE49-F238E27FC236}">
              <a16:creationId xmlns:a16="http://schemas.microsoft.com/office/drawing/2014/main" id="{00000000-0008-0000-1300-0000C4100000}"/>
            </a:ext>
          </a:extLst>
        </xdr:cNvPr>
        <xdr:cNvCxnSpPr/>
      </xdr:nvCxnSpPr>
      <xdr:spPr>
        <a:xfrm>
          <a:off x="11281833" y="233965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1280</xdr:row>
      <xdr:rowOff>31750</xdr:rowOff>
    </xdr:from>
    <xdr:to>
      <xdr:col>16</xdr:col>
      <xdr:colOff>21167</xdr:colOff>
      <xdr:row>1287</xdr:row>
      <xdr:rowOff>95250</xdr:rowOff>
    </xdr:to>
    <xdr:cxnSp macro="">
      <xdr:nvCxnSpPr>
        <xdr:cNvPr id="4293" name="Straight Arrow Connector 4292">
          <a:extLst>
            <a:ext uri="{FF2B5EF4-FFF2-40B4-BE49-F238E27FC236}">
              <a16:creationId xmlns:a16="http://schemas.microsoft.com/office/drawing/2014/main" id="{00000000-0008-0000-1300-0000C5100000}"/>
            </a:ext>
          </a:extLst>
        </xdr:cNvPr>
        <xdr:cNvCxnSpPr/>
      </xdr:nvCxnSpPr>
      <xdr:spPr>
        <a:xfrm>
          <a:off x="11324166" y="236632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1267</xdr:row>
      <xdr:rowOff>31750</xdr:rowOff>
    </xdr:from>
    <xdr:to>
      <xdr:col>16</xdr:col>
      <xdr:colOff>42334</xdr:colOff>
      <xdr:row>1274</xdr:row>
      <xdr:rowOff>63501</xdr:rowOff>
    </xdr:to>
    <xdr:cxnSp macro="">
      <xdr:nvCxnSpPr>
        <xdr:cNvPr id="4294" name="Straight Arrow Connector 4293">
          <a:extLst>
            <a:ext uri="{FF2B5EF4-FFF2-40B4-BE49-F238E27FC236}">
              <a16:creationId xmlns:a16="http://schemas.microsoft.com/office/drawing/2014/main" id="{00000000-0008-0000-1300-0000C6100000}"/>
            </a:ext>
          </a:extLst>
        </xdr:cNvPr>
        <xdr:cNvCxnSpPr/>
      </xdr:nvCxnSpPr>
      <xdr:spPr>
        <a:xfrm>
          <a:off x="11281833" y="233965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1280</xdr:row>
      <xdr:rowOff>31750</xdr:rowOff>
    </xdr:from>
    <xdr:to>
      <xdr:col>16</xdr:col>
      <xdr:colOff>21167</xdr:colOff>
      <xdr:row>1287</xdr:row>
      <xdr:rowOff>95250</xdr:rowOff>
    </xdr:to>
    <xdr:cxnSp macro="">
      <xdr:nvCxnSpPr>
        <xdr:cNvPr id="4295" name="Straight Arrow Connector 4294">
          <a:extLst>
            <a:ext uri="{FF2B5EF4-FFF2-40B4-BE49-F238E27FC236}">
              <a16:creationId xmlns:a16="http://schemas.microsoft.com/office/drawing/2014/main" id="{00000000-0008-0000-1300-0000C7100000}"/>
            </a:ext>
          </a:extLst>
        </xdr:cNvPr>
        <xdr:cNvCxnSpPr/>
      </xdr:nvCxnSpPr>
      <xdr:spPr>
        <a:xfrm>
          <a:off x="11324166" y="236632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1267</xdr:row>
      <xdr:rowOff>31750</xdr:rowOff>
    </xdr:from>
    <xdr:to>
      <xdr:col>16</xdr:col>
      <xdr:colOff>42334</xdr:colOff>
      <xdr:row>1274</xdr:row>
      <xdr:rowOff>63501</xdr:rowOff>
    </xdr:to>
    <xdr:cxnSp macro="">
      <xdr:nvCxnSpPr>
        <xdr:cNvPr id="4296" name="Straight Arrow Connector 4295">
          <a:extLst>
            <a:ext uri="{FF2B5EF4-FFF2-40B4-BE49-F238E27FC236}">
              <a16:creationId xmlns:a16="http://schemas.microsoft.com/office/drawing/2014/main" id="{00000000-0008-0000-1300-0000C8100000}"/>
            </a:ext>
          </a:extLst>
        </xdr:cNvPr>
        <xdr:cNvCxnSpPr/>
      </xdr:nvCxnSpPr>
      <xdr:spPr>
        <a:xfrm>
          <a:off x="11281833" y="233965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1280</xdr:row>
      <xdr:rowOff>31750</xdr:rowOff>
    </xdr:from>
    <xdr:to>
      <xdr:col>16</xdr:col>
      <xdr:colOff>21167</xdr:colOff>
      <xdr:row>1287</xdr:row>
      <xdr:rowOff>95250</xdr:rowOff>
    </xdr:to>
    <xdr:cxnSp macro="">
      <xdr:nvCxnSpPr>
        <xdr:cNvPr id="4297" name="Straight Arrow Connector 4296">
          <a:extLst>
            <a:ext uri="{FF2B5EF4-FFF2-40B4-BE49-F238E27FC236}">
              <a16:creationId xmlns:a16="http://schemas.microsoft.com/office/drawing/2014/main" id="{00000000-0008-0000-1300-0000C9100000}"/>
            </a:ext>
          </a:extLst>
        </xdr:cNvPr>
        <xdr:cNvCxnSpPr/>
      </xdr:nvCxnSpPr>
      <xdr:spPr>
        <a:xfrm>
          <a:off x="11324166" y="236632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1267</xdr:row>
      <xdr:rowOff>31750</xdr:rowOff>
    </xdr:from>
    <xdr:to>
      <xdr:col>16</xdr:col>
      <xdr:colOff>42334</xdr:colOff>
      <xdr:row>1274</xdr:row>
      <xdr:rowOff>63501</xdr:rowOff>
    </xdr:to>
    <xdr:cxnSp macro="">
      <xdr:nvCxnSpPr>
        <xdr:cNvPr id="4298" name="Straight Arrow Connector 4297">
          <a:extLst>
            <a:ext uri="{FF2B5EF4-FFF2-40B4-BE49-F238E27FC236}">
              <a16:creationId xmlns:a16="http://schemas.microsoft.com/office/drawing/2014/main" id="{00000000-0008-0000-1300-0000CA100000}"/>
            </a:ext>
          </a:extLst>
        </xdr:cNvPr>
        <xdr:cNvCxnSpPr/>
      </xdr:nvCxnSpPr>
      <xdr:spPr>
        <a:xfrm>
          <a:off x="11281833" y="233965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1280</xdr:row>
      <xdr:rowOff>31750</xdr:rowOff>
    </xdr:from>
    <xdr:to>
      <xdr:col>16</xdr:col>
      <xdr:colOff>21167</xdr:colOff>
      <xdr:row>1287</xdr:row>
      <xdr:rowOff>95250</xdr:rowOff>
    </xdr:to>
    <xdr:cxnSp macro="">
      <xdr:nvCxnSpPr>
        <xdr:cNvPr id="4299" name="Straight Arrow Connector 4298">
          <a:extLst>
            <a:ext uri="{FF2B5EF4-FFF2-40B4-BE49-F238E27FC236}">
              <a16:creationId xmlns:a16="http://schemas.microsoft.com/office/drawing/2014/main" id="{00000000-0008-0000-1300-0000CB100000}"/>
            </a:ext>
          </a:extLst>
        </xdr:cNvPr>
        <xdr:cNvCxnSpPr/>
      </xdr:nvCxnSpPr>
      <xdr:spPr>
        <a:xfrm>
          <a:off x="11324166" y="236632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1280</xdr:row>
      <xdr:rowOff>31750</xdr:rowOff>
    </xdr:from>
    <xdr:to>
      <xdr:col>16</xdr:col>
      <xdr:colOff>21167</xdr:colOff>
      <xdr:row>1287</xdr:row>
      <xdr:rowOff>95250</xdr:rowOff>
    </xdr:to>
    <xdr:cxnSp macro="">
      <xdr:nvCxnSpPr>
        <xdr:cNvPr id="4300" name="Straight Arrow Connector 4299">
          <a:extLst>
            <a:ext uri="{FF2B5EF4-FFF2-40B4-BE49-F238E27FC236}">
              <a16:creationId xmlns:a16="http://schemas.microsoft.com/office/drawing/2014/main" id="{00000000-0008-0000-1300-0000CC100000}"/>
            </a:ext>
          </a:extLst>
        </xdr:cNvPr>
        <xdr:cNvCxnSpPr/>
      </xdr:nvCxnSpPr>
      <xdr:spPr>
        <a:xfrm>
          <a:off x="11324166" y="236632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1280</xdr:row>
      <xdr:rowOff>31750</xdr:rowOff>
    </xdr:from>
    <xdr:to>
      <xdr:col>16</xdr:col>
      <xdr:colOff>21167</xdr:colOff>
      <xdr:row>1287</xdr:row>
      <xdr:rowOff>95250</xdr:rowOff>
    </xdr:to>
    <xdr:cxnSp macro="">
      <xdr:nvCxnSpPr>
        <xdr:cNvPr id="4301" name="Straight Arrow Connector 4300">
          <a:extLst>
            <a:ext uri="{FF2B5EF4-FFF2-40B4-BE49-F238E27FC236}">
              <a16:creationId xmlns:a16="http://schemas.microsoft.com/office/drawing/2014/main" id="{00000000-0008-0000-1300-0000CD100000}"/>
            </a:ext>
          </a:extLst>
        </xdr:cNvPr>
        <xdr:cNvCxnSpPr/>
      </xdr:nvCxnSpPr>
      <xdr:spPr>
        <a:xfrm>
          <a:off x="11324166" y="236632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1280</xdr:row>
      <xdr:rowOff>31750</xdr:rowOff>
    </xdr:from>
    <xdr:to>
      <xdr:col>16</xdr:col>
      <xdr:colOff>21167</xdr:colOff>
      <xdr:row>1287</xdr:row>
      <xdr:rowOff>95250</xdr:rowOff>
    </xdr:to>
    <xdr:cxnSp macro="">
      <xdr:nvCxnSpPr>
        <xdr:cNvPr id="4302" name="Straight Arrow Connector 4301">
          <a:extLst>
            <a:ext uri="{FF2B5EF4-FFF2-40B4-BE49-F238E27FC236}">
              <a16:creationId xmlns:a16="http://schemas.microsoft.com/office/drawing/2014/main" id="{00000000-0008-0000-1300-0000CE100000}"/>
            </a:ext>
          </a:extLst>
        </xdr:cNvPr>
        <xdr:cNvCxnSpPr/>
      </xdr:nvCxnSpPr>
      <xdr:spPr>
        <a:xfrm>
          <a:off x="11324166" y="236632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1280</xdr:row>
      <xdr:rowOff>31750</xdr:rowOff>
    </xdr:from>
    <xdr:to>
      <xdr:col>16</xdr:col>
      <xdr:colOff>21167</xdr:colOff>
      <xdr:row>1287</xdr:row>
      <xdr:rowOff>95250</xdr:rowOff>
    </xdr:to>
    <xdr:cxnSp macro="">
      <xdr:nvCxnSpPr>
        <xdr:cNvPr id="4303" name="Straight Arrow Connector 4302">
          <a:extLst>
            <a:ext uri="{FF2B5EF4-FFF2-40B4-BE49-F238E27FC236}">
              <a16:creationId xmlns:a16="http://schemas.microsoft.com/office/drawing/2014/main" id="{00000000-0008-0000-1300-0000CF100000}"/>
            </a:ext>
          </a:extLst>
        </xdr:cNvPr>
        <xdr:cNvCxnSpPr/>
      </xdr:nvCxnSpPr>
      <xdr:spPr>
        <a:xfrm>
          <a:off x="11324166" y="236632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1267</xdr:row>
      <xdr:rowOff>31750</xdr:rowOff>
    </xdr:from>
    <xdr:to>
      <xdr:col>16</xdr:col>
      <xdr:colOff>42334</xdr:colOff>
      <xdr:row>1274</xdr:row>
      <xdr:rowOff>63501</xdr:rowOff>
    </xdr:to>
    <xdr:cxnSp macro="">
      <xdr:nvCxnSpPr>
        <xdr:cNvPr id="4304" name="Straight Arrow Connector 4303">
          <a:extLst>
            <a:ext uri="{FF2B5EF4-FFF2-40B4-BE49-F238E27FC236}">
              <a16:creationId xmlns:a16="http://schemas.microsoft.com/office/drawing/2014/main" id="{00000000-0008-0000-1300-0000D0100000}"/>
            </a:ext>
          </a:extLst>
        </xdr:cNvPr>
        <xdr:cNvCxnSpPr/>
      </xdr:nvCxnSpPr>
      <xdr:spPr>
        <a:xfrm>
          <a:off x="11281833" y="233965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1280</xdr:row>
      <xdr:rowOff>31750</xdr:rowOff>
    </xdr:from>
    <xdr:to>
      <xdr:col>16</xdr:col>
      <xdr:colOff>21167</xdr:colOff>
      <xdr:row>1287</xdr:row>
      <xdr:rowOff>95250</xdr:rowOff>
    </xdr:to>
    <xdr:cxnSp macro="">
      <xdr:nvCxnSpPr>
        <xdr:cNvPr id="4305" name="Straight Arrow Connector 4304">
          <a:extLst>
            <a:ext uri="{FF2B5EF4-FFF2-40B4-BE49-F238E27FC236}">
              <a16:creationId xmlns:a16="http://schemas.microsoft.com/office/drawing/2014/main" id="{00000000-0008-0000-1300-0000D1100000}"/>
            </a:ext>
          </a:extLst>
        </xdr:cNvPr>
        <xdr:cNvCxnSpPr/>
      </xdr:nvCxnSpPr>
      <xdr:spPr>
        <a:xfrm>
          <a:off x="11324166" y="236632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1267</xdr:row>
      <xdr:rowOff>31750</xdr:rowOff>
    </xdr:from>
    <xdr:to>
      <xdr:col>16</xdr:col>
      <xdr:colOff>42334</xdr:colOff>
      <xdr:row>1274</xdr:row>
      <xdr:rowOff>63501</xdr:rowOff>
    </xdr:to>
    <xdr:cxnSp macro="">
      <xdr:nvCxnSpPr>
        <xdr:cNvPr id="4306" name="Straight Arrow Connector 4305">
          <a:extLst>
            <a:ext uri="{FF2B5EF4-FFF2-40B4-BE49-F238E27FC236}">
              <a16:creationId xmlns:a16="http://schemas.microsoft.com/office/drawing/2014/main" id="{00000000-0008-0000-1300-0000D2100000}"/>
            </a:ext>
          </a:extLst>
        </xdr:cNvPr>
        <xdr:cNvCxnSpPr/>
      </xdr:nvCxnSpPr>
      <xdr:spPr>
        <a:xfrm>
          <a:off x="11281833" y="233965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1280</xdr:row>
      <xdr:rowOff>31750</xdr:rowOff>
    </xdr:from>
    <xdr:to>
      <xdr:col>16</xdr:col>
      <xdr:colOff>21167</xdr:colOff>
      <xdr:row>1287</xdr:row>
      <xdr:rowOff>95250</xdr:rowOff>
    </xdr:to>
    <xdr:cxnSp macro="">
      <xdr:nvCxnSpPr>
        <xdr:cNvPr id="4307" name="Straight Arrow Connector 4306">
          <a:extLst>
            <a:ext uri="{FF2B5EF4-FFF2-40B4-BE49-F238E27FC236}">
              <a16:creationId xmlns:a16="http://schemas.microsoft.com/office/drawing/2014/main" id="{00000000-0008-0000-1300-0000D3100000}"/>
            </a:ext>
          </a:extLst>
        </xdr:cNvPr>
        <xdr:cNvCxnSpPr/>
      </xdr:nvCxnSpPr>
      <xdr:spPr>
        <a:xfrm>
          <a:off x="11324166" y="236632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1267</xdr:row>
      <xdr:rowOff>31750</xdr:rowOff>
    </xdr:from>
    <xdr:to>
      <xdr:col>16</xdr:col>
      <xdr:colOff>42334</xdr:colOff>
      <xdr:row>1274</xdr:row>
      <xdr:rowOff>63501</xdr:rowOff>
    </xdr:to>
    <xdr:cxnSp macro="">
      <xdr:nvCxnSpPr>
        <xdr:cNvPr id="4308" name="Straight Arrow Connector 4307">
          <a:extLst>
            <a:ext uri="{FF2B5EF4-FFF2-40B4-BE49-F238E27FC236}">
              <a16:creationId xmlns:a16="http://schemas.microsoft.com/office/drawing/2014/main" id="{00000000-0008-0000-1300-0000D4100000}"/>
            </a:ext>
          </a:extLst>
        </xdr:cNvPr>
        <xdr:cNvCxnSpPr/>
      </xdr:nvCxnSpPr>
      <xdr:spPr>
        <a:xfrm>
          <a:off x="11281833" y="233965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1280</xdr:row>
      <xdr:rowOff>31750</xdr:rowOff>
    </xdr:from>
    <xdr:to>
      <xdr:col>16</xdr:col>
      <xdr:colOff>21167</xdr:colOff>
      <xdr:row>1287</xdr:row>
      <xdr:rowOff>95250</xdr:rowOff>
    </xdr:to>
    <xdr:cxnSp macro="">
      <xdr:nvCxnSpPr>
        <xdr:cNvPr id="4309" name="Straight Arrow Connector 4308">
          <a:extLst>
            <a:ext uri="{FF2B5EF4-FFF2-40B4-BE49-F238E27FC236}">
              <a16:creationId xmlns:a16="http://schemas.microsoft.com/office/drawing/2014/main" id="{00000000-0008-0000-1300-0000D5100000}"/>
            </a:ext>
          </a:extLst>
        </xdr:cNvPr>
        <xdr:cNvCxnSpPr/>
      </xdr:nvCxnSpPr>
      <xdr:spPr>
        <a:xfrm>
          <a:off x="11324166" y="236632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1267</xdr:row>
      <xdr:rowOff>31750</xdr:rowOff>
    </xdr:from>
    <xdr:to>
      <xdr:col>16</xdr:col>
      <xdr:colOff>42334</xdr:colOff>
      <xdr:row>1274</xdr:row>
      <xdr:rowOff>63501</xdr:rowOff>
    </xdr:to>
    <xdr:cxnSp macro="">
      <xdr:nvCxnSpPr>
        <xdr:cNvPr id="4310" name="Straight Arrow Connector 4309">
          <a:extLst>
            <a:ext uri="{FF2B5EF4-FFF2-40B4-BE49-F238E27FC236}">
              <a16:creationId xmlns:a16="http://schemas.microsoft.com/office/drawing/2014/main" id="{00000000-0008-0000-1300-0000D6100000}"/>
            </a:ext>
          </a:extLst>
        </xdr:cNvPr>
        <xdr:cNvCxnSpPr/>
      </xdr:nvCxnSpPr>
      <xdr:spPr>
        <a:xfrm>
          <a:off x="11281833" y="233965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1280</xdr:row>
      <xdr:rowOff>31750</xdr:rowOff>
    </xdr:from>
    <xdr:to>
      <xdr:col>16</xdr:col>
      <xdr:colOff>21167</xdr:colOff>
      <xdr:row>1287</xdr:row>
      <xdr:rowOff>95250</xdr:rowOff>
    </xdr:to>
    <xdr:cxnSp macro="">
      <xdr:nvCxnSpPr>
        <xdr:cNvPr id="4311" name="Straight Arrow Connector 4310">
          <a:extLst>
            <a:ext uri="{FF2B5EF4-FFF2-40B4-BE49-F238E27FC236}">
              <a16:creationId xmlns:a16="http://schemas.microsoft.com/office/drawing/2014/main" id="{00000000-0008-0000-1300-0000D7100000}"/>
            </a:ext>
          </a:extLst>
        </xdr:cNvPr>
        <xdr:cNvCxnSpPr/>
      </xdr:nvCxnSpPr>
      <xdr:spPr>
        <a:xfrm>
          <a:off x="11324166" y="236632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1267</xdr:row>
      <xdr:rowOff>31750</xdr:rowOff>
    </xdr:from>
    <xdr:to>
      <xdr:col>16</xdr:col>
      <xdr:colOff>42334</xdr:colOff>
      <xdr:row>1274</xdr:row>
      <xdr:rowOff>63501</xdr:rowOff>
    </xdr:to>
    <xdr:cxnSp macro="">
      <xdr:nvCxnSpPr>
        <xdr:cNvPr id="4312" name="Straight Arrow Connector 4311">
          <a:extLst>
            <a:ext uri="{FF2B5EF4-FFF2-40B4-BE49-F238E27FC236}">
              <a16:creationId xmlns:a16="http://schemas.microsoft.com/office/drawing/2014/main" id="{00000000-0008-0000-1300-0000D8100000}"/>
            </a:ext>
          </a:extLst>
        </xdr:cNvPr>
        <xdr:cNvCxnSpPr/>
      </xdr:nvCxnSpPr>
      <xdr:spPr>
        <a:xfrm>
          <a:off x="11281833" y="233965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1280</xdr:row>
      <xdr:rowOff>31750</xdr:rowOff>
    </xdr:from>
    <xdr:to>
      <xdr:col>16</xdr:col>
      <xdr:colOff>21167</xdr:colOff>
      <xdr:row>1287</xdr:row>
      <xdr:rowOff>95250</xdr:rowOff>
    </xdr:to>
    <xdr:cxnSp macro="">
      <xdr:nvCxnSpPr>
        <xdr:cNvPr id="4313" name="Straight Arrow Connector 4312">
          <a:extLst>
            <a:ext uri="{FF2B5EF4-FFF2-40B4-BE49-F238E27FC236}">
              <a16:creationId xmlns:a16="http://schemas.microsoft.com/office/drawing/2014/main" id="{00000000-0008-0000-1300-0000D9100000}"/>
            </a:ext>
          </a:extLst>
        </xdr:cNvPr>
        <xdr:cNvCxnSpPr/>
      </xdr:nvCxnSpPr>
      <xdr:spPr>
        <a:xfrm>
          <a:off x="11324166" y="236632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1323</xdr:row>
      <xdr:rowOff>31750</xdr:rowOff>
    </xdr:from>
    <xdr:to>
      <xdr:col>16</xdr:col>
      <xdr:colOff>42334</xdr:colOff>
      <xdr:row>1330</xdr:row>
      <xdr:rowOff>63501</xdr:rowOff>
    </xdr:to>
    <xdr:cxnSp macro="">
      <xdr:nvCxnSpPr>
        <xdr:cNvPr id="4314" name="Straight Arrow Connector 4313">
          <a:extLst>
            <a:ext uri="{FF2B5EF4-FFF2-40B4-BE49-F238E27FC236}">
              <a16:creationId xmlns:a16="http://schemas.microsoft.com/office/drawing/2014/main" id="{00000000-0008-0000-1300-0000DA100000}"/>
            </a:ext>
          </a:extLst>
        </xdr:cNvPr>
        <xdr:cNvCxnSpPr/>
      </xdr:nvCxnSpPr>
      <xdr:spPr>
        <a:xfrm>
          <a:off x="11281833" y="244824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1336</xdr:row>
      <xdr:rowOff>31750</xdr:rowOff>
    </xdr:from>
    <xdr:to>
      <xdr:col>16</xdr:col>
      <xdr:colOff>21167</xdr:colOff>
      <xdr:row>1343</xdr:row>
      <xdr:rowOff>95250</xdr:rowOff>
    </xdr:to>
    <xdr:cxnSp macro="">
      <xdr:nvCxnSpPr>
        <xdr:cNvPr id="4315" name="Straight Arrow Connector 4314">
          <a:extLst>
            <a:ext uri="{FF2B5EF4-FFF2-40B4-BE49-F238E27FC236}">
              <a16:creationId xmlns:a16="http://schemas.microsoft.com/office/drawing/2014/main" id="{00000000-0008-0000-1300-0000DB100000}"/>
            </a:ext>
          </a:extLst>
        </xdr:cNvPr>
        <xdr:cNvCxnSpPr/>
      </xdr:nvCxnSpPr>
      <xdr:spPr>
        <a:xfrm>
          <a:off x="11324166" y="24749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1323</xdr:row>
      <xdr:rowOff>31750</xdr:rowOff>
    </xdr:from>
    <xdr:to>
      <xdr:col>16</xdr:col>
      <xdr:colOff>42334</xdr:colOff>
      <xdr:row>1330</xdr:row>
      <xdr:rowOff>63501</xdr:rowOff>
    </xdr:to>
    <xdr:cxnSp macro="">
      <xdr:nvCxnSpPr>
        <xdr:cNvPr id="4316" name="Straight Arrow Connector 4315">
          <a:extLst>
            <a:ext uri="{FF2B5EF4-FFF2-40B4-BE49-F238E27FC236}">
              <a16:creationId xmlns:a16="http://schemas.microsoft.com/office/drawing/2014/main" id="{00000000-0008-0000-1300-0000DC100000}"/>
            </a:ext>
          </a:extLst>
        </xdr:cNvPr>
        <xdr:cNvCxnSpPr/>
      </xdr:nvCxnSpPr>
      <xdr:spPr>
        <a:xfrm>
          <a:off x="11281833" y="244824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1336</xdr:row>
      <xdr:rowOff>31750</xdr:rowOff>
    </xdr:from>
    <xdr:to>
      <xdr:col>16</xdr:col>
      <xdr:colOff>21167</xdr:colOff>
      <xdr:row>1343</xdr:row>
      <xdr:rowOff>95250</xdr:rowOff>
    </xdr:to>
    <xdr:cxnSp macro="">
      <xdr:nvCxnSpPr>
        <xdr:cNvPr id="4317" name="Straight Arrow Connector 4316">
          <a:extLst>
            <a:ext uri="{FF2B5EF4-FFF2-40B4-BE49-F238E27FC236}">
              <a16:creationId xmlns:a16="http://schemas.microsoft.com/office/drawing/2014/main" id="{00000000-0008-0000-1300-0000DD100000}"/>
            </a:ext>
          </a:extLst>
        </xdr:cNvPr>
        <xdr:cNvCxnSpPr/>
      </xdr:nvCxnSpPr>
      <xdr:spPr>
        <a:xfrm>
          <a:off x="11324166" y="24749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1323</xdr:row>
      <xdr:rowOff>31750</xdr:rowOff>
    </xdr:from>
    <xdr:to>
      <xdr:col>16</xdr:col>
      <xdr:colOff>42334</xdr:colOff>
      <xdr:row>1330</xdr:row>
      <xdr:rowOff>63501</xdr:rowOff>
    </xdr:to>
    <xdr:cxnSp macro="">
      <xdr:nvCxnSpPr>
        <xdr:cNvPr id="4318" name="Straight Arrow Connector 4317">
          <a:extLst>
            <a:ext uri="{FF2B5EF4-FFF2-40B4-BE49-F238E27FC236}">
              <a16:creationId xmlns:a16="http://schemas.microsoft.com/office/drawing/2014/main" id="{00000000-0008-0000-1300-0000DE100000}"/>
            </a:ext>
          </a:extLst>
        </xdr:cNvPr>
        <xdr:cNvCxnSpPr/>
      </xdr:nvCxnSpPr>
      <xdr:spPr>
        <a:xfrm>
          <a:off x="11281833" y="244824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1336</xdr:row>
      <xdr:rowOff>31750</xdr:rowOff>
    </xdr:from>
    <xdr:to>
      <xdr:col>16</xdr:col>
      <xdr:colOff>21167</xdr:colOff>
      <xdr:row>1343</xdr:row>
      <xdr:rowOff>95250</xdr:rowOff>
    </xdr:to>
    <xdr:cxnSp macro="">
      <xdr:nvCxnSpPr>
        <xdr:cNvPr id="4319" name="Straight Arrow Connector 4318">
          <a:extLst>
            <a:ext uri="{FF2B5EF4-FFF2-40B4-BE49-F238E27FC236}">
              <a16:creationId xmlns:a16="http://schemas.microsoft.com/office/drawing/2014/main" id="{00000000-0008-0000-1300-0000DF100000}"/>
            </a:ext>
          </a:extLst>
        </xdr:cNvPr>
        <xdr:cNvCxnSpPr/>
      </xdr:nvCxnSpPr>
      <xdr:spPr>
        <a:xfrm>
          <a:off x="11324166" y="24749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1323</xdr:row>
      <xdr:rowOff>31750</xdr:rowOff>
    </xdr:from>
    <xdr:to>
      <xdr:col>16</xdr:col>
      <xdr:colOff>42334</xdr:colOff>
      <xdr:row>1330</xdr:row>
      <xdr:rowOff>63501</xdr:rowOff>
    </xdr:to>
    <xdr:cxnSp macro="">
      <xdr:nvCxnSpPr>
        <xdr:cNvPr id="4320" name="Straight Arrow Connector 4319">
          <a:extLst>
            <a:ext uri="{FF2B5EF4-FFF2-40B4-BE49-F238E27FC236}">
              <a16:creationId xmlns:a16="http://schemas.microsoft.com/office/drawing/2014/main" id="{00000000-0008-0000-1300-0000E0100000}"/>
            </a:ext>
          </a:extLst>
        </xdr:cNvPr>
        <xdr:cNvCxnSpPr/>
      </xdr:nvCxnSpPr>
      <xdr:spPr>
        <a:xfrm>
          <a:off x="11281833" y="244824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1336</xdr:row>
      <xdr:rowOff>31750</xdr:rowOff>
    </xdr:from>
    <xdr:to>
      <xdr:col>16</xdr:col>
      <xdr:colOff>21167</xdr:colOff>
      <xdr:row>1343</xdr:row>
      <xdr:rowOff>95250</xdr:rowOff>
    </xdr:to>
    <xdr:cxnSp macro="">
      <xdr:nvCxnSpPr>
        <xdr:cNvPr id="4321" name="Straight Arrow Connector 4320">
          <a:extLst>
            <a:ext uri="{FF2B5EF4-FFF2-40B4-BE49-F238E27FC236}">
              <a16:creationId xmlns:a16="http://schemas.microsoft.com/office/drawing/2014/main" id="{00000000-0008-0000-1300-0000E1100000}"/>
            </a:ext>
          </a:extLst>
        </xdr:cNvPr>
        <xdr:cNvCxnSpPr/>
      </xdr:nvCxnSpPr>
      <xdr:spPr>
        <a:xfrm>
          <a:off x="11324166" y="24749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1323</xdr:row>
      <xdr:rowOff>31750</xdr:rowOff>
    </xdr:from>
    <xdr:to>
      <xdr:col>16</xdr:col>
      <xdr:colOff>42334</xdr:colOff>
      <xdr:row>1330</xdr:row>
      <xdr:rowOff>63501</xdr:rowOff>
    </xdr:to>
    <xdr:cxnSp macro="">
      <xdr:nvCxnSpPr>
        <xdr:cNvPr id="4322" name="Straight Arrow Connector 4321">
          <a:extLst>
            <a:ext uri="{FF2B5EF4-FFF2-40B4-BE49-F238E27FC236}">
              <a16:creationId xmlns:a16="http://schemas.microsoft.com/office/drawing/2014/main" id="{00000000-0008-0000-1300-0000E2100000}"/>
            </a:ext>
          </a:extLst>
        </xdr:cNvPr>
        <xdr:cNvCxnSpPr/>
      </xdr:nvCxnSpPr>
      <xdr:spPr>
        <a:xfrm>
          <a:off x="11281833" y="244824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1336</xdr:row>
      <xdr:rowOff>31750</xdr:rowOff>
    </xdr:from>
    <xdr:to>
      <xdr:col>16</xdr:col>
      <xdr:colOff>21167</xdr:colOff>
      <xdr:row>1343</xdr:row>
      <xdr:rowOff>95250</xdr:rowOff>
    </xdr:to>
    <xdr:cxnSp macro="">
      <xdr:nvCxnSpPr>
        <xdr:cNvPr id="4323" name="Straight Arrow Connector 4322">
          <a:extLst>
            <a:ext uri="{FF2B5EF4-FFF2-40B4-BE49-F238E27FC236}">
              <a16:creationId xmlns:a16="http://schemas.microsoft.com/office/drawing/2014/main" id="{00000000-0008-0000-1300-0000E3100000}"/>
            </a:ext>
          </a:extLst>
        </xdr:cNvPr>
        <xdr:cNvCxnSpPr/>
      </xdr:nvCxnSpPr>
      <xdr:spPr>
        <a:xfrm>
          <a:off x="11324166" y="24749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1336</xdr:row>
      <xdr:rowOff>31750</xdr:rowOff>
    </xdr:from>
    <xdr:to>
      <xdr:col>16</xdr:col>
      <xdr:colOff>21167</xdr:colOff>
      <xdr:row>1343</xdr:row>
      <xdr:rowOff>95250</xdr:rowOff>
    </xdr:to>
    <xdr:cxnSp macro="">
      <xdr:nvCxnSpPr>
        <xdr:cNvPr id="4324" name="Straight Arrow Connector 4323">
          <a:extLst>
            <a:ext uri="{FF2B5EF4-FFF2-40B4-BE49-F238E27FC236}">
              <a16:creationId xmlns:a16="http://schemas.microsoft.com/office/drawing/2014/main" id="{00000000-0008-0000-1300-0000E4100000}"/>
            </a:ext>
          </a:extLst>
        </xdr:cNvPr>
        <xdr:cNvCxnSpPr/>
      </xdr:nvCxnSpPr>
      <xdr:spPr>
        <a:xfrm>
          <a:off x="11324166" y="24749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1336</xdr:row>
      <xdr:rowOff>31750</xdr:rowOff>
    </xdr:from>
    <xdr:to>
      <xdr:col>16</xdr:col>
      <xdr:colOff>21167</xdr:colOff>
      <xdr:row>1343</xdr:row>
      <xdr:rowOff>95250</xdr:rowOff>
    </xdr:to>
    <xdr:cxnSp macro="">
      <xdr:nvCxnSpPr>
        <xdr:cNvPr id="4325" name="Straight Arrow Connector 4324">
          <a:extLst>
            <a:ext uri="{FF2B5EF4-FFF2-40B4-BE49-F238E27FC236}">
              <a16:creationId xmlns:a16="http://schemas.microsoft.com/office/drawing/2014/main" id="{00000000-0008-0000-1300-0000E5100000}"/>
            </a:ext>
          </a:extLst>
        </xdr:cNvPr>
        <xdr:cNvCxnSpPr/>
      </xdr:nvCxnSpPr>
      <xdr:spPr>
        <a:xfrm>
          <a:off x="11324166" y="24749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1323</xdr:row>
      <xdr:rowOff>31750</xdr:rowOff>
    </xdr:from>
    <xdr:to>
      <xdr:col>16</xdr:col>
      <xdr:colOff>42334</xdr:colOff>
      <xdr:row>1330</xdr:row>
      <xdr:rowOff>63501</xdr:rowOff>
    </xdr:to>
    <xdr:cxnSp macro="">
      <xdr:nvCxnSpPr>
        <xdr:cNvPr id="4326" name="Straight Arrow Connector 4325">
          <a:extLst>
            <a:ext uri="{FF2B5EF4-FFF2-40B4-BE49-F238E27FC236}">
              <a16:creationId xmlns:a16="http://schemas.microsoft.com/office/drawing/2014/main" id="{00000000-0008-0000-1300-0000E6100000}"/>
            </a:ext>
          </a:extLst>
        </xdr:cNvPr>
        <xdr:cNvCxnSpPr/>
      </xdr:nvCxnSpPr>
      <xdr:spPr>
        <a:xfrm>
          <a:off x="11281833" y="244824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1336</xdr:row>
      <xdr:rowOff>31750</xdr:rowOff>
    </xdr:from>
    <xdr:to>
      <xdr:col>16</xdr:col>
      <xdr:colOff>21167</xdr:colOff>
      <xdr:row>1343</xdr:row>
      <xdr:rowOff>95250</xdr:rowOff>
    </xdr:to>
    <xdr:cxnSp macro="">
      <xdr:nvCxnSpPr>
        <xdr:cNvPr id="4327" name="Straight Arrow Connector 4326">
          <a:extLst>
            <a:ext uri="{FF2B5EF4-FFF2-40B4-BE49-F238E27FC236}">
              <a16:creationId xmlns:a16="http://schemas.microsoft.com/office/drawing/2014/main" id="{00000000-0008-0000-1300-0000E7100000}"/>
            </a:ext>
          </a:extLst>
        </xdr:cNvPr>
        <xdr:cNvCxnSpPr/>
      </xdr:nvCxnSpPr>
      <xdr:spPr>
        <a:xfrm>
          <a:off x="11324166" y="24749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1336</xdr:row>
      <xdr:rowOff>31750</xdr:rowOff>
    </xdr:from>
    <xdr:to>
      <xdr:col>16</xdr:col>
      <xdr:colOff>21167</xdr:colOff>
      <xdr:row>1343</xdr:row>
      <xdr:rowOff>95250</xdr:rowOff>
    </xdr:to>
    <xdr:cxnSp macro="">
      <xdr:nvCxnSpPr>
        <xdr:cNvPr id="4328" name="Straight Arrow Connector 4327">
          <a:extLst>
            <a:ext uri="{FF2B5EF4-FFF2-40B4-BE49-F238E27FC236}">
              <a16:creationId xmlns:a16="http://schemas.microsoft.com/office/drawing/2014/main" id="{00000000-0008-0000-1300-0000E8100000}"/>
            </a:ext>
          </a:extLst>
        </xdr:cNvPr>
        <xdr:cNvCxnSpPr/>
      </xdr:nvCxnSpPr>
      <xdr:spPr>
        <a:xfrm>
          <a:off x="11324166" y="24749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1336</xdr:row>
      <xdr:rowOff>31750</xdr:rowOff>
    </xdr:from>
    <xdr:to>
      <xdr:col>16</xdr:col>
      <xdr:colOff>21167</xdr:colOff>
      <xdr:row>1343</xdr:row>
      <xdr:rowOff>95250</xdr:rowOff>
    </xdr:to>
    <xdr:cxnSp macro="">
      <xdr:nvCxnSpPr>
        <xdr:cNvPr id="4329" name="Straight Arrow Connector 4328">
          <a:extLst>
            <a:ext uri="{FF2B5EF4-FFF2-40B4-BE49-F238E27FC236}">
              <a16:creationId xmlns:a16="http://schemas.microsoft.com/office/drawing/2014/main" id="{00000000-0008-0000-1300-0000E9100000}"/>
            </a:ext>
          </a:extLst>
        </xdr:cNvPr>
        <xdr:cNvCxnSpPr/>
      </xdr:nvCxnSpPr>
      <xdr:spPr>
        <a:xfrm>
          <a:off x="11324166" y="24749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1336</xdr:row>
      <xdr:rowOff>31750</xdr:rowOff>
    </xdr:from>
    <xdr:to>
      <xdr:col>16</xdr:col>
      <xdr:colOff>21167</xdr:colOff>
      <xdr:row>1343</xdr:row>
      <xdr:rowOff>95250</xdr:rowOff>
    </xdr:to>
    <xdr:cxnSp macro="">
      <xdr:nvCxnSpPr>
        <xdr:cNvPr id="4330" name="Straight Arrow Connector 4329">
          <a:extLst>
            <a:ext uri="{FF2B5EF4-FFF2-40B4-BE49-F238E27FC236}">
              <a16:creationId xmlns:a16="http://schemas.microsoft.com/office/drawing/2014/main" id="{00000000-0008-0000-1300-0000EA100000}"/>
            </a:ext>
          </a:extLst>
        </xdr:cNvPr>
        <xdr:cNvCxnSpPr/>
      </xdr:nvCxnSpPr>
      <xdr:spPr>
        <a:xfrm>
          <a:off x="11324166" y="24749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1336</xdr:row>
      <xdr:rowOff>31750</xdr:rowOff>
    </xdr:from>
    <xdr:to>
      <xdr:col>16</xdr:col>
      <xdr:colOff>21167</xdr:colOff>
      <xdr:row>1343</xdr:row>
      <xdr:rowOff>95250</xdr:rowOff>
    </xdr:to>
    <xdr:cxnSp macro="">
      <xdr:nvCxnSpPr>
        <xdr:cNvPr id="4331" name="Straight Arrow Connector 4330">
          <a:extLst>
            <a:ext uri="{FF2B5EF4-FFF2-40B4-BE49-F238E27FC236}">
              <a16:creationId xmlns:a16="http://schemas.microsoft.com/office/drawing/2014/main" id="{00000000-0008-0000-1300-0000EB100000}"/>
            </a:ext>
          </a:extLst>
        </xdr:cNvPr>
        <xdr:cNvCxnSpPr/>
      </xdr:nvCxnSpPr>
      <xdr:spPr>
        <a:xfrm>
          <a:off x="11324166" y="24749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1323</xdr:row>
      <xdr:rowOff>31750</xdr:rowOff>
    </xdr:from>
    <xdr:to>
      <xdr:col>16</xdr:col>
      <xdr:colOff>42334</xdr:colOff>
      <xdr:row>1330</xdr:row>
      <xdr:rowOff>63501</xdr:rowOff>
    </xdr:to>
    <xdr:cxnSp macro="">
      <xdr:nvCxnSpPr>
        <xdr:cNvPr id="4332" name="Straight Arrow Connector 4331">
          <a:extLst>
            <a:ext uri="{FF2B5EF4-FFF2-40B4-BE49-F238E27FC236}">
              <a16:creationId xmlns:a16="http://schemas.microsoft.com/office/drawing/2014/main" id="{00000000-0008-0000-1300-0000EC100000}"/>
            </a:ext>
          </a:extLst>
        </xdr:cNvPr>
        <xdr:cNvCxnSpPr/>
      </xdr:nvCxnSpPr>
      <xdr:spPr>
        <a:xfrm>
          <a:off x="11281833" y="244824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1336</xdr:row>
      <xdr:rowOff>31750</xdr:rowOff>
    </xdr:from>
    <xdr:to>
      <xdr:col>16</xdr:col>
      <xdr:colOff>21167</xdr:colOff>
      <xdr:row>1343</xdr:row>
      <xdr:rowOff>95250</xdr:rowOff>
    </xdr:to>
    <xdr:cxnSp macro="">
      <xdr:nvCxnSpPr>
        <xdr:cNvPr id="4333" name="Straight Arrow Connector 4332">
          <a:extLst>
            <a:ext uri="{FF2B5EF4-FFF2-40B4-BE49-F238E27FC236}">
              <a16:creationId xmlns:a16="http://schemas.microsoft.com/office/drawing/2014/main" id="{00000000-0008-0000-1300-0000ED100000}"/>
            </a:ext>
          </a:extLst>
        </xdr:cNvPr>
        <xdr:cNvCxnSpPr/>
      </xdr:nvCxnSpPr>
      <xdr:spPr>
        <a:xfrm>
          <a:off x="11324166" y="24749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1336</xdr:row>
      <xdr:rowOff>31750</xdr:rowOff>
    </xdr:from>
    <xdr:to>
      <xdr:col>16</xdr:col>
      <xdr:colOff>21167</xdr:colOff>
      <xdr:row>1343</xdr:row>
      <xdr:rowOff>95250</xdr:rowOff>
    </xdr:to>
    <xdr:cxnSp macro="">
      <xdr:nvCxnSpPr>
        <xdr:cNvPr id="4334" name="Straight Arrow Connector 4333">
          <a:extLst>
            <a:ext uri="{FF2B5EF4-FFF2-40B4-BE49-F238E27FC236}">
              <a16:creationId xmlns:a16="http://schemas.microsoft.com/office/drawing/2014/main" id="{00000000-0008-0000-1300-0000EE100000}"/>
            </a:ext>
          </a:extLst>
        </xdr:cNvPr>
        <xdr:cNvCxnSpPr/>
      </xdr:nvCxnSpPr>
      <xdr:spPr>
        <a:xfrm>
          <a:off x="11324166" y="24749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1336</xdr:row>
      <xdr:rowOff>31750</xdr:rowOff>
    </xdr:from>
    <xdr:to>
      <xdr:col>16</xdr:col>
      <xdr:colOff>21167</xdr:colOff>
      <xdr:row>1343</xdr:row>
      <xdr:rowOff>95250</xdr:rowOff>
    </xdr:to>
    <xdr:cxnSp macro="">
      <xdr:nvCxnSpPr>
        <xdr:cNvPr id="4335" name="Straight Arrow Connector 4334">
          <a:extLst>
            <a:ext uri="{FF2B5EF4-FFF2-40B4-BE49-F238E27FC236}">
              <a16:creationId xmlns:a16="http://schemas.microsoft.com/office/drawing/2014/main" id="{00000000-0008-0000-1300-0000EF100000}"/>
            </a:ext>
          </a:extLst>
        </xdr:cNvPr>
        <xdr:cNvCxnSpPr/>
      </xdr:nvCxnSpPr>
      <xdr:spPr>
        <a:xfrm>
          <a:off x="11324166" y="24749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1323</xdr:row>
      <xdr:rowOff>31750</xdr:rowOff>
    </xdr:from>
    <xdr:to>
      <xdr:col>16</xdr:col>
      <xdr:colOff>42334</xdr:colOff>
      <xdr:row>1330</xdr:row>
      <xdr:rowOff>63501</xdr:rowOff>
    </xdr:to>
    <xdr:cxnSp macro="">
      <xdr:nvCxnSpPr>
        <xdr:cNvPr id="4336" name="Straight Arrow Connector 4335">
          <a:extLst>
            <a:ext uri="{FF2B5EF4-FFF2-40B4-BE49-F238E27FC236}">
              <a16:creationId xmlns:a16="http://schemas.microsoft.com/office/drawing/2014/main" id="{00000000-0008-0000-1300-0000F0100000}"/>
            </a:ext>
          </a:extLst>
        </xdr:cNvPr>
        <xdr:cNvCxnSpPr/>
      </xdr:nvCxnSpPr>
      <xdr:spPr>
        <a:xfrm>
          <a:off x="11281833" y="244824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1336</xdr:row>
      <xdr:rowOff>31750</xdr:rowOff>
    </xdr:from>
    <xdr:to>
      <xdr:col>16</xdr:col>
      <xdr:colOff>21167</xdr:colOff>
      <xdr:row>1343</xdr:row>
      <xdr:rowOff>95250</xdr:rowOff>
    </xdr:to>
    <xdr:cxnSp macro="">
      <xdr:nvCxnSpPr>
        <xdr:cNvPr id="4337" name="Straight Arrow Connector 4336">
          <a:extLst>
            <a:ext uri="{FF2B5EF4-FFF2-40B4-BE49-F238E27FC236}">
              <a16:creationId xmlns:a16="http://schemas.microsoft.com/office/drawing/2014/main" id="{00000000-0008-0000-1300-0000F1100000}"/>
            </a:ext>
          </a:extLst>
        </xdr:cNvPr>
        <xdr:cNvCxnSpPr/>
      </xdr:nvCxnSpPr>
      <xdr:spPr>
        <a:xfrm>
          <a:off x="11324166" y="24749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1323</xdr:row>
      <xdr:rowOff>31750</xdr:rowOff>
    </xdr:from>
    <xdr:to>
      <xdr:col>16</xdr:col>
      <xdr:colOff>42334</xdr:colOff>
      <xdr:row>1330</xdr:row>
      <xdr:rowOff>63501</xdr:rowOff>
    </xdr:to>
    <xdr:cxnSp macro="">
      <xdr:nvCxnSpPr>
        <xdr:cNvPr id="4338" name="Straight Arrow Connector 4337">
          <a:extLst>
            <a:ext uri="{FF2B5EF4-FFF2-40B4-BE49-F238E27FC236}">
              <a16:creationId xmlns:a16="http://schemas.microsoft.com/office/drawing/2014/main" id="{00000000-0008-0000-1300-0000F2100000}"/>
            </a:ext>
          </a:extLst>
        </xdr:cNvPr>
        <xdr:cNvCxnSpPr/>
      </xdr:nvCxnSpPr>
      <xdr:spPr>
        <a:xfrm>
          <a:off x="11281833" y="244824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1336</xdr:row>
      <xdr:rowOff>31750</xdr:rowOff>
    </xdr:from>
    <xdr:to>
      <xdr:col>16</xdr:col>
      <xdr:colOff>21167</xdr:colOff>
      <xdr:row>1343</xdr:row>
      <xdr:rowOff>95250</xdr:rowOff>
    </xdr:to>
    <xdr:cxnSp macro="">
      <xdr:nvCxnSpPr>
        <xdr:cNvPr id="4339" name="Straight Arrow Connector 4338">
          <a:extLst>
            <a:ext uri="{FF2B5EF4-FFF2-40B4-BE49-F238E27FC236}">
              <a16:creationId xmlns:a16="http://schemas.microsoft.com/office/drawing/2014/main" id="{00000000-0008-0000-1300-0000F3100000}"/>
            </a:ext>
          </a:extLst>
        </xdr:cNvPr>
        <xdr:cNvCxnSpPr/>
      </xdr:nvCxnSpPr>
      <xdr:spPr>
        <a:xfrm>
          <a:off x="11324166" y="24749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1323</xdr:row>
      <xdr:rowOff>31750</xdr:rowOff>
    </xdr:from>
    <xdr:to>
      <xdr:col>16</xdr:col>
      <xdr:colOff>42334</xdr:colOff>
      <xdr:row>1330</xdr:row>
      <xdr:rowOff>63501</xdr:rowOff>
    </xdr:to>
    <xdr:cxnSp macro="">
      <xdr:nvCxnSpPr>
        <xdr:cNvPr id="4340" name="Straight Arrow Connector 4339">
          <a:extLst>
            <a:ext uri="{FF2B5EF4-FFF2-40B4-BE49-F238E27FC236}">
              <a16:creationId xmlns:a16="http://schemas.microsoft.com/office/drawing/2014/main" id="{00000000-0008-0000-1300-0000F4100000}"/>
            </a:ext>
          </a:extLst>
        </xdr:cNvPr>
        <xdr:cNvCxnSpPr/>
      </xdr:nvCxnSpPr>
      <xdr:spPr>
        <a:xfrm>
          <a:off x="11281833" y="244824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1336</xdr:row>
      <xdr:rowOff>31750</xdr:rowOff>
    </xdr:from>
    <xdr:to>
      <xdr:col>16</xdr:col>
      <xdr:colOff>21167</xdr:colOff>
      <xdr:row>1343</xdr:row>
      <xdr:rowOff>95250</xdr:rowOff>
    </xdr:to>
    <xdr:cxnSp macro="">
      <xdr:nvCxnSpPr>
        <xdr:cNvPr id="4341" name="Straight Arrow Connector 4340">
          <a:extLst>
            <a:ext uri="{FF2B5EF4-FFF2-40B4-BE49-F238E27FC236}">
              <a16:creationId xmlns:a16="http://schemas.microsoft.com/office/drawing/2014/main" id="{00000000-0008-0000-1300-0000F5100000}"/>
            </a:ext>
          </a:extLst>
        </xdr:cNvPr>
        <xdr:cNvCxnSpPr/>
      </xdr:nvCxnSpPr>
      <xdr:spPr>
        <a:xfrm>
          <a:off x="11324166" y="24749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1323</xdr:row>
      <xdr:rowOff>31750</xdr:rowOff>
    </xdr:from>
    <xdr:to>
      <xdr:col>16</xdr:col>
      <xdr:colOff>42334</xdr:colOff>
      <xdr:row>1330</xdr:row>
      <xdr:rowOff>63501</xdr:rowOff>
    </xdr:to>
    <xdr:cxnSp macro="">
      <xdr:nvCxnSpPr>
        <xdr:cNvPr id="4342" name="Straight Arrow Connector 4341">
          <a:extLst>
            <a:ext uri="{FF2B5EF4-FFF2-40B4-BE49-F238E27FC236}">
              <a16:creationId xmlns:a16="http://schemas.microsoft.com/office/drawing/2014/main" id="{00000000-0008-0000-1300-0000F6100000}"/>
            </a:ext>
          </a:extLst>
        </xdr:cNvPr>
        <xdr:cNvCxnSpPr/>
      </xdr:nvCxnSpPr>
      <xdr:spPr>
        <a:xfrm>
          <a:off x="11281833" y="244824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1336</xdr:row>
      <xdr:rowOff>31750</xdr:rowOff>
    </xdr:from>
    <xdr:to>
      <xdr:col>16</xdr:col>
      <xdr:colOff>21167</xdr:colOff>
      <xdr:row>1343</xdr:row>
      <xdr:rowOff>95250</xdr:rowOff>
    </xdr:to>
    <xdr:cxnSp macro="">
      <xdr:nvCxnSpPr>
        <xdr:cNvPr id="4343" name="Straight Arrow Connector 4342">
          <a:extLst>
            <a:ext uri="{FF2B5EF4-FFF2-40B4-BE49-F238E27FC236}">
              <a16:creationId xmlns:a16="http://schemas.microsoft.com/office/drawing/2014/main" id="{00000000-0008-0000-1300-0000F7100000}"/>
            </a:ext>
          </a:extLst>
        </xdr:cNvPr>
        <xdr:cNvCxnSpPr/>
      </xdr:nvCxnSpPr>
      <xdr:spPr>
        <a:xfrm>
          <a:off x="11324166" y="24749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1323</xdr:row>
      <xdr:rowOff>31750</xdr:rowOff>
    </xdr:from>
    <xdr:to>
      <xdr:col>16</xdr:col>
      <xdr:colOff>42334</xdr:colOff>
      <xdr:row>1330</xdr:row>
      <xdr:rowOff>63501</xdr:rowOff>
    </xdr:to>
    <xdr:cxnSp macro="">
      <xdr:nvCxnSpPr>
        <xdr:cNvPr id="4344" name="Straight Arrow Connector 4343">
          <a:extLst>
            <a:ext uri="{FF2B5EF4-FFF2-40B4-BE49-F238E27FC236}">
              <a16:creationId xmlns:a16="http://schemas.microsoft.com/office/drawing/2014/main" id="{00000000-0008-0000-1300-0000F8100000}"/>
            </a:ext>
          </a:extLst>
        </xdr:cNvPr>
        <xdr:cNvCxnSpPr/>
      </xdr:nvCxnSpPr>
      <xdr:spPr>
        <a:xfrm>
          <a:off x="11281833" y="244824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1336</xdr:row>
      <xdr:rowOff>31750</xdr:rowOff>
    </xdr:from>
    <xdr:to>
      <xdr:col>16</xdr:col>
      <xdr:colOff>21167</xdr:colOff>
      <xdr:row>1343</xdr:row>
      <xdr:rowOff>95250</xdr:rowOff>
    </xdr:to>
    <xdr:cxnSp macro="">
      <xdr:nvCxnSpPr>
        <xdr:cNvPr id="4345" name="Straight Arrow Connector 4344">
          <a:extLst>
            <a:ext uri="{FF2B5EF4-FFF2-40B4-BE49-F238E27FC236}">
              <a16:creationId xmlns:a16="http://schemas.microsoft.com/office/drawing/2014/main" id="{00000000-0008-0000-1300-0000F9100000}"/>
            </a:ext>
          </a:extLst>
        </xdr:cNvPr>
        <xdr:cNvCxnSpPr/>
      </xdr:nvCxnSpPr>
      <xdr:spPr>
        <a:xfrm>
          <a:off x="11324166" y="24749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1336</xdr:row>
      <xdr:rowOff>31750</xdr:rowOff>
    </xdr:from>
    <xdr:to>
      <xdr:col>16</xdr:col>
      <xdr:colOff>21167</xdr:colOff>
      <xdr:row>1343</xdr:row>
      <xdr:rowOff>95250</xdr:rowOff>
    </xdr:to>
    <xdr:cxnSp macro="">
      <xdr:nvCxnSpPr>
        <xdr:cNvPr id="4346" name="Straight Arrow Connector 4345">
          <a:extLst>
            <a:ext uri="{FF2B5EF4-FFF2-40B4-BE49-F238E27FC236}">
              <a16:creationId xmlns:a16="http://schemas.microsoft.com/office/drawing/2014/main" id="{00000000-0008-0000-1300-0000FA100000}"/>
            </a:ext>
          </a:extLst>
        </xdr:cNvPr>
        <xdr:cNvCxnSpPr/>
      </xdr:nvCxnSpPr>
      <xdr:spPr>
        <a:xfrm>
          <a:off x="11324166" y="24749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1336</xdr:row>
      <xdr:rowOff>31750</xdr:rowOff>
    </xdr:from>
    <xdr:to>
      <xdr:col>16</xdr:col>
      <xdr:colOff>21167</xdr:colOff>
      <xdr:row>1343</xdr:row>
      <xdr:rowOff>95250</xdr:rowOff>
    </xdr:to>
    <xdr:cxnSp macro="">
      <xdr:nvCxnSpPr>
        <xdr:cNvPr id="4347" name="Straight Arrow Connector 4346">
          <a:extLst>
            <a:ext uri="{FF2B5EF4-FFF2-40B4-BE49-F238E27FC236}">
              <a16:creationId xmlns:a16="http://schemas.microsoft.com/office/drawing/2014/main" id="{00000000-0008-0000-1300-0000FB100000}"/>
            </a:ext>
          </a:extLst>
        </xdr:cNvPr>
        <xdr:cNvCxnSpPr/>
      </xdr:nvCxnSpPr>
      <xdr:spPr>
        <a:xfrm>
          <a:off x="11324166" y="24749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1323</xdr:row>
      <xdr:rowOff>31750</xdr:rowOff>
    </xdr:from>
    <xdr:to>
      <xdr:col>16</xdr:col>
      <xdr:colOff>42334</xdr:colOff>
      <xdr:row>1330</xdr:row>
      <xdr:rowOff>63501</xdr:rowOff>
    </xdr:to>
    <xdr:cxnSp macro="">
      <xdr:nvCxnSpPr>
        <xdr:cNvPr id="4348" name="Straight Arrow Connector 4347">
          <a:extLst>
            <a:ext uri="{FF2B5EF4-FFF2-40B4-BE49-F238E27FC236}">
              <a16:creationId xmlns:a16="http://schemas.microsoft.com/office/drawing/2014/main" id="{00000000-0008-0000-1300-0000FC100000}"/>
            </a:ext>
          </a:extLst>
        </xdr:cNvPr>
        <xdr:cNvCxnSpPr/>
      </xdr:nvCxnSpPr>
      <xdr:spPr>
        <a:xfrm>
          <a:off x="11281833" y="244824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1336</xdr:row>
      <xdr:rowOff>31750</xdr:rowOff>
    </xdr:from>
    <xdr:to>
      <xdr:col>16</xdr:col>
      <xdr:colOff>21167</xdr:colOff>
      <xdr:row>1343</xdr:row>
      <xdr:rowOff>95250</xdr:rowOff>
    </xdr:to>
    <xdr:cxnSp macro="">
      <xdr:nvCxnSpPr>
        <xdr:cNvPr id="4349" name="Straight Arrow Connector 4348">
          <a:extLst>
            <a:ext uri="{FF2B5EF4-FFF2-40B4-BE49-F238E27FC236}">
              <a16:creationId xmlns:a16="http://schemas.microsoft.com/office/drawing/2014/main" id="{00000000-0008-0000-1300-0000FD100000}"/>
            </a:ext>
          </a:extLst>
        </xdr:cNvPr>
        <xdr:cNvCxnSpPr/>
      </xdr:nvCxnSpPr>
      <xdr:spPr>
        <a:xfrm>
          <a:off x="11324166" y="24749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1336</xdr:row>
      <xdr:rowOff>31750</xdr:rowOff>
    </xdr:from>
    <xdr:to>
      <xdr:col>16</xdr:col>
      <xdr:colOff>21167</xdr:colOff>
      <xdr:row>1343</xdr:row>
      <xdr:rowOff>95250</xdr:rowOff>
    </xdr:to>
    <xdr:cxnSp macro="">
      <xdr:nvCxnSpPr>
        <xdr:cNvPr id="4350" name="Straight Arrow Connector 4349">
          <a:extLst>
            <a:ext uri="{FF2B5EF4-FFF2-40B4-BE49-F238E27FC236}">
              <a16:creationId xmlns:a16="http://schemas.microsoft.com/office/drawing/2014/main" id="{00000000-0008-0000-1300-0000FE100000}"/>
            </a:ext>
          </a:extLst>
        </xdr:cNvPr>
        <xdr:cNvCxnSpPr/>
      </xdr:nvCxnSpPr>
      <xdr:spPr>
        <a:xfrm>
          <a:off x="11324166" y="24749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1336</xdr:row>
      <xdr:rowOff>31750</xdr:rowOff>
    </xdr:from>
    <xdr:to>
      <xdr:col>16</xdr:col>
      <xdr:colOff>21167</xdr:colOff>
      <xdr:row>1343</xdr:row>
      <xdr:rowOff>95250</xdr:rowOff>
    </xdr:to>
    <xdr:cxnSp macro="">
      <xdr:nvCxnSpPr>
        <xdr:cNvPr id="4351" name="Straight Arrow Connector 4350">
          <a:extLst>
            <a:ext uri="{FF2B5EF4-FFF2-40B4-BE49-F238E27FC236}">
              <a16:creationId xmlns:a16="http://schemas.microsoft.com/office/drawing/2014/main" id="{00000000-0008-0000-1300-0000FF100000}"/>
            </a:ext>
          </a:extLst>
        </xdr:cNvPr>
        <xdr:cNvCxnSpPr/>
      </xdr:nvCxnSpPr>
      <xdr:spPr>
        <a:xfrm>
          <a:off x="11324166" y="24749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1336</xdr:row>
      <xdr:rowOff>31750</xdr:rowOff>
    </xdr:from>
    <xdr:to>
      <xdr:col>16</xdr:col>
      <xdr:colOff>21167</xdr:colOff>
      <xdr:row>1343</xdr:row>
      <xdr:rowOff>95250</xdr:rowOff>
    </xdr:to>
    <xdr:cxnSp macro="">
      <xdr:nvCxnSpPr>
        <xdr:cNvPr id="4352" name="Straight Arrow Connector 4351">
          <a:extLst>
            <a:ext uri="{FF2B5EF4-FFF2-40B4-BE49-F238E27FC236}">
              <a16:creationId xmlns:a16="http://schemas.microsoft.com/office/drawing/2014/main" id="{00000000-0008-0000-1300-000000110000}"/>
            </a:ext>
          </a:extLst>
        </xdr:cNvPr>
        <xdr:cNvCxnSpPr/>
      </xdr:nvCxnSpPr>
      <xdr:spPr>
        <a:xfrm>
          <a:off x="11324166" y="24749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1336</xdr:row>
      <xdr:rowOff>31750</xdr:rowOff>
    </xdr:from>
    <xdr:to>
      <xdr:col>16</xdr:col>
      <xdr:colOff>21167</xdr:colOff>
      <xdr:row>1343</xdr:row>
      <xdr:rowOff>95250</xdr:rowOff>
    </xdr:to>
    <xdr:cxnSp macro="">
      <xdr:nvCxnSpPr>
        <xdr:cNvPr id="4353" name="Straight Arrow Connector 4352">
          <a:extLst>
            <a:ext uri="{FF2B5EF4-FFF2-40B4-BE49-F238E27FC236}">
              <a16:creationId xmlns:a16="http://schemas.microsoft.com/office/drawing/2014/main" id="{00000000-0008-0000-1300-000001110000}"/>
            </a:ext>
          </a:extLst>
        </xdr:cNvPr>
        <xdr:cNvCxnSpPr/>
      </xdr:nvCxnSpPr>
      <xdr:spPr>
        <a:xfrm>
          <a:off x="11324166" y="24749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1336</xdr:row>
      <xdr:rowOff>31750</xdr:rowOff>
    </xdr:from>
    <xdr:to>
      <xdr:col>16</xdr:col>
      <xdr:colOff>21167</xdr:colOff>
      <xdr:row>1343</xdr:row>
      <xdr:rowOff>95250</xdr:rowOff>
    </xdr:to>
    <xdr:cxnSp macro="">
      <xdr:nvCxnSpPr>
        <xdr:cNvPr id="4354" name="Straight Arrow Connector 4353">
          <a:extLst>
            <a:ext uri="{FF2B5EF4-FFF2-40B4-BE49-F238E27FC236}">
              <a16:creationId xmlns:a16="http://schemas.microsoft.com/office/drawing/2014/main" id="{00000000-0008-0000-1300-000002110000}"/>
            </a:ext>
          </a:extLst>
        </xdr:cNvPr>
        <xdr:cNvCxnSpPr/>
      </xdr:nvCxnSpPr>
      <xdr:spPr>
        <a:xfrm>
          <a:off x="11324166" y="24749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1323</xdr:row>
      <xdr:rowOff>31750</xdr:rowOff>
    </xdr:from>
    <xdr:to>
      <xdr:col>16</xdr:col>
      <xdr:colOff>42334</xdr:colOff>
      <xdr:row>1330</xdr:row>
      <xdr:rowOff>63501</xdr:rowOff>
    </xdr:to>
    <xdr:cxnSp macro="">
      <xdr:nvCxnSpPr>
        <xdr:cNvPr id="4355" name="Straight Arrow Connector 4354">
          <a:extLst>
            <a:ext uri="{FF2B5EF4-FFF2-40B4-BE49-F238E27FC236}">
              <a16:creationId xmlns:a16="http://schemas.microsoft.com/office/drawing/2014/main" id="{00000000-0008-0000-1300-000003110000}"/>
            </a:ext>
          </a:extLst>
        </xdr:cNvPr>
        <xdr:cNvCxnSpPr/>
      </xdr:nvCxnSpPr>
      <xdr:spPr>
        <a:xfrm>
          <a:off x="11281833" y="244824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1336</xdr:row>
      <xdr:rowOff>31750</xdr:rowOff>
    </xdr:from>
    <xdr:to>
      <xdr:col>16</xdr:col>
      <xdr:colOff>21167</xdr:colOff>
      <xdr:row>1343</xdr:row>
      <xdr:rowOff>95250</xdr:rowOff>
    </xdr:to>
    <xdr:cxnSp macro="">
      <xdr:nvCxnSpPr>
        <xdr:cNvPr id="4356" name="Straight Arrow Connector 4355">
          <a:extLst>
            <a:ext uri="{FF2B5EF4-FFF2-40B4-BE49-F238E27FC236}">
              <a16:creationId xmlns:a16="http://schemas.microsoft.com/office/drawing/2014/main" id="{00000000-0008-0000-1300-000004110000}"/>
            </a:ext>
          </a:extLst>
        </xdr:cNvPr>
        <xdr:cNvCxnSpPr/>
      </xdr:nvCxnSpPr>
      <xdr:spPr>
        <a:xfrm>
          <a:off x="11324166" y="24749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1323</xdr:row>
      <xdr:rowOff>31750</xdr:rowOff>
    </xdr:from>
    <xdr:to>
      <xdr:col>16</xdr:col>
      <xdr:colOff>42334</xdr:colOff>
      <xdr:row>1330</xdr:row>
      <xdr:rowOff>63501</xdr:rowOff>
    </xdr:to>
    <xdr:cxnSp macro="">
      <xdr:nvCxnSpPr>
        <xdr:cNvPr id="4357" name="Straight Arrow Connector 4356">
          <a:extLst>
            <a:ext uri="{FF2B5EF4-FFF2-40B4-BE49-F238E27FC236}">
              <a16:creationId xmlns:a16="http://schemas.microsoft.com/office/drawing/2014/main" id="{00000000-0008-0000-1300-000005110000}"/>
            </a:ext>
          </a:extLst>
        </xdr:cNvPr>
        <xdr:cNvCxnSpPr/>
      </xdr:nvCxnSpPr>
      <xdr:spPr>
        <a:xfrm>
          <a:off x="11281833" y="244824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1336</xdr:row>
      <xdr:rowOff>31750</xdr:rowOff>
    </xdr:from>
    <xdr:to>
      <xdr:col>16</xdr:col>
      <xdr:colOff>21167</xdr:colOff>
      <xdr:row>1343</xdr:row>
      <xdr:rowOff>95250</xdr:rowOff>
    </xdr:to>
    <xdr:cxnSp macro="">
      <xdr:nvCxnSpPr>
        <xdr:cNvPr id="4358" name="Straight Arrow Connector 4357">
          <a:extLst>
            <a:ext uri="{FF2B5EF4-FFF2-40B4-BE49-F238E27FC236}">
              <a16:creationId xmlns:a16="http://schemas.microsoft.com/office/drawing/2014/main" id="{00000000-0008-0000-1300-000006110000}"/>
            </a:ext>
          </a:extLst>
        </xdr:cNvPr>
        <xdr:cNvCxnSpPr/>
      </xdr:nvCxnSpPr>
      <xdr:spPr>
        <a:xfrm>
          <a:off x="11324166" y="24749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1323</xdr:row>
      <xdr:rowOff>31750</xdr:rowOff>
    </xdr:from>
    <xdr:to>
      <xdr:col>16</xdr:col>
      <xdr:colOff>42334</xdr:colOff>
      <xdr:row>1330</xdr:row>
      <xdr:rowOff>63501</xdr:rowOff>
    </xdr:to>
    <xdr:cxnSp macro="">
      <xdr:nvCxnSpPr>
        <xdr:cNvPr id="4359" name="Straight Arrow Connector 4358">
          <a:extLst>
            <a:ext uri="{FF2B5EF4-FFF2-40B4-BE49-F238E27FC236}">
              <a16:creationId xmlns:a16="http://schemas.microsoft.com/office/drawing/2014/main" id="{00000000-0008-0000-1300-000007110000}"/>
            </a:ext>
          </a:extLst>
        </xdr:cNvPr>
        <xdr:cNvCxnSpPr/>
      </xdr:nvCxnSpPr>
      <xdr:spPr>
        <a:xfrm>
          <a:off x="11281833" y="244824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1336</xdr:row>
      <xdr:rowOff>31750</xdr:rowOff>
    </xdr:from>
    <xdr:to>
      <xdr:col>16</xdr:col>
      <xdr:colOff>21167</xdr:colOff>
      <xdr:row>1343</xdr:row>
      <xdr:rowOff>95250</xdr:rowOff>
    </xdr:to>
    <xdr:cxnSp macro="">
      <xdr:nvCxnSpPr>
        <xdr:cNvPr id="4360" name="Straight Arrow Connector 4359">
          <a:extLst>
            <a:ext uri="{FF2B5EF4-FFF2-40B4-BE49-F238E27FC236}">
              <a16:creationId xmlns:a16="http://schemas.microsoft.com/office/drawing/2014/main" id="{00000000-0008-0000-1300-000008110000}"/>
            </a:ext>
          </a:extLst>
        </xdr:cNvPr>
        <xdr:cNvCxnSpPr/>
      </xdr:nvCxnSpPr>
      <xdr:spPr>
        <a:xfrm>
          <a:off x="11324166" y="24749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1323</xdr:row>
      <xdr:rowOff>31750</xdr:rowOff>
    </xdr:from>
    <xdr:to>
      <xdr:col>16</xdr:col>
      <xdr:colOff>42334</xdr:colOff>
      <xdr:row>1330</xdr:row>
      <xdr:rowOff>63501</xdr:rowOff>
    </xdr:to>
    <xdr:cxnSp macro="">
      <xdr:nvCxnSpPr>
        <xdr:cNvPr id="4361" name="Straight Arrow Connector 4360">
          <a:extLst>
            <a:ext uri="{FF2B5EF4-FFF2-40B4-BE49-F238E27FC236}">
              <a16:creationId xmlns:a16="http://schemas.microsoft.com/office/drawing/2014/main" id="{00000000-0008-0000-1300-000009110000}"/>
            </a:ext>
          </a:extLst>
        </xdr:cNvPr>
        <xdr:cNvCxnSpPr/>
      </xdr:nvCxnSpPr>
      <xdr:spPr>
        <a:xfrm>
          <a:off x="11281833" y="244824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1336</xdr:row>
      <xdr:rowOff>31750</xdr:rowOff>
    </xdr:from>
    <xdr:to>
      <xdr:col>16</xdr:col>
      <xdr:colOff>21167</xdr:colOff>
      <xdr:row>1343</xdr:row>
      <xdr:rowOff>95250</xdr:rowOff>
    </xdr:to>
    <xdr:cxnSp macro="">
      <xdr:nvCxnSpPr>
        <xdr:cNvPr id="4362" name="Straight Arrow Connector 4361">
          <a:extLst>
            <a:ext uri="{FF2B5EF4-FFF2-40B4-BE49-F238E27FC236}">
              <a16:creationId xmlns:a16="http://schemas.microsoft.com/office/drawing/2014/main" id="{00000000-0008-0000-1300-00000A110000}"/>
            </a:ext>
          </a:extLst>
        </xdr:cNvPr>
        <xdr:cNvCxnSpPr/>
      </xdr:nvCxnSpPr>
      <xdr:spPr>
        <a:xfrm>
          <a:off x="11324166" y="24749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1323</xdr:row>
      <xdr:rowOff>31750</xdr:rowOff>
    </xdr:from>
    <xdr:to>
      <xdr:col>16</xdr:col>
      <xdr:colOff>42334</xdr:colOff>
      <xdr:row>1330</xdr:row>
      <xdr:rowOff>63501</xdr:rowOff>
    </xdr:to>
    <xdr:cxnSp macro="">
      <xdr:nvCxnSpPr>
        <xdr:cNvPr id="4363" name="Straight Arrow Connector 4362">
          <a:extLst>
            <a:ext uri="{FF2B5EF4-FFF2-40B4-BE49-F238E27FC236}">
              <a16:creationId xmlns:a16="http://schemas.microsoft.com/office/drawing/2014/main" id="{00000000-0008-0000-1300-00000B110000}"/>
            </a:ext>
          </a:extLst>
        </xdr:cNvPr>
        <xdr:cNvCxnSpPr/>
      </xdr:nvCxnSpPr>
      <xdr:spPr>
        <a:xfrm>
          <a:off x="11281833" y="244824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1336</xdr:row>
      <xdr:rowOff>31750</xdr:rowOff>
    </xdr:from>
    <xdr:to>
      <xdr:col>16</xdr:col>
      <xdr:colOff>21167</xdr:colOff>
      <xdr:row>1343</xdr:row>
      <xdr:rowOff>95250</xdr:rowOff>
    </xdr:to>
    <xdr:cxnSp macro="">
      <xdr:nvCxnSpPr>
        <xdr:cNvPr id="4364" name="Straight Arrow Connector 4363">
          <a:extLst>
            <a:ext uri="{FF2B5EF4-FFF2-40B4-BE49-F238E27FC236}">
              <a16:creationId xmlns:a16="http://schemas.microsoft.com/office/drawing/2014/main" id="{00000000-0008-0000-1300-00000C110000}"/>
            </a:ext>
          </a:extLst>
        </xdr:cNvPr>
        <xdr:cNvCxnSpPr/>
      </xdr:nvCxnSpPr>
      <xdr:spPr>
        <a:xfrm>
          <a:off x="11324166" y="24749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1323</xdr:row>
      <xdr:rowOff>31750</xdr:rowOff>
    </xdr:from>
    <xdr:to>
      <xdr:col>16</xdr:col>
      <xdr:colOff>42334</xdr:colOff>
      <xdr:row>1330</xdr:row>
      <xdr:rowOff>63501</xdr:rowOff>
    </xdr:to>
    <xdr:cxnSp macro="">
      <xdr:nvCxnSpPr>
        <xdr:cNvPr id="4365" name="Straight Arrow Connector 4364">
          <a:extLst>
            <a:ext uri="{FF2B5EF4-FFF2-40B4-BE49-F238E27FC236}">
              <a16:creationId xmlns:a16="http://schemas.microsoft.com/office/drawing/2014/main" id="{00000000-0008-0000-1300-00000D110000}"/>
            </a:ext>
          </a:extLst>
        </xdr:cNvPr>
        <xdr:cNvCxnSpPr/>
      </xdr:nvCxnSpPr>
      <xdr:spPr>
        <a:xfrm>
          <a:off x="11281833" y="244824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1336</xdr:row>
      <xdr:rowOff>31750</xdr:rowOff>
    </xdr:from>
    <xdr:to>
      <xdr:col>16</xdr:col>
      <xdr:colOff>21167</xdr:colOff>
      <xdr:row>1343</xdr:row>
      <xdr:rowOff>95250</xdr:rowOff>
    </xdr:to>
    <xdr:cxnSp macro="">
      <xdr:nvCxnSpPr>
        <xdr:cNvPr id="4366" name="Straight Arrow Connector 4365">
          <a:extLst>
            <a:ext uri="{FF2B5EF4-FFF2-40B4-BE49-F238E27FC236}">
              <a16:creationId xmlns:a16="http://schemas.microsoft.com/office/drawing/2014/main" id="{00000000-0008-0000-1300-00000E110000}"/>
            </a:ext>
          </a:extLst>
        </xdr:cNvPr>
        <xdr:cNvCxnSpPr/>
      </xdr:nvCxnSpPr>
      <xdr:spPr>
        <a:xfrm>
          <a:off x="11324166" y="24749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1336</xdr:row>
      <xdr:rowOff>31750</xdr:rowOff>
    </xdr:from>
    <xdr:to>
      <xdr:col>16</xdr:col>
      <xdr:colOff>21167</xdr:colOff>
      <xdr:row>1343</xdr:row>
      <xdr:rowOff>95250</xdr:rowOff>
    </xdr:to>
    <xdr:cxnSp macro="">
      <xdr:nvCxnSpPr>
        <xdr:cNvPr id="4367" name="Straight Arrow Connector 4366">
          <a:extLst>
            <a:ext uri="{FF2B5EF4-FFF2-40B4-BE49-F238E27FC236}">
              <a16:creationId xmlns:a16="http://schemas.microsoft.com/office/drawing/2014/main" id="{00000000-0008-0000-1300-00000F110000}"/>
            </a:ext>
          </a:extLst>
        </xdr:cNvPr>
        <xdr:cNvCxnSpPr/>
      </xdr:nvCxnSpPr>
      <xdr:spPr>
        <a:xfrm>
          <a:off x="11324166" y="24749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1336</xdr:row>
      <xdr:rowOff>31750</xdr:rowOff>
    </xdr:from>
    <xdr:to>
      <xdr:col>16</xdr:col>
      <xdr:colOff>21167</xdr:colOff>
      <xdr:row>1343</xdr:row>
      <xdr:rowOff>95250</xdr:rowOff>
    </xdr:to>
    <xdr:cxnSp macro="">
      <xdr:nvCxnSpPr>
        <xdr:cNvPr id="4368" name="Straight Arrow Connector 4367">
          <a:extLst>
            <a:ext uri="{FF2B5EF4-FFF2-40B4-BE49-F238E27FC236}">
              <a16:creationId xmlns:a16="http://schemas.microsoft.com/office/drawing/2014/main" id="{00000000-0008-0000-1300-000010110000}"/>
            </a:ext>
          </a:extLst>
        </xdr:cNvPr>
        <xdr:cNvCxnSpPr/>
      </xdr:nvCxnSpPr>
      <xdr:spPr>
        <a:xfrm>
          <a:off x="11324166" y="24749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1336</xdr:row>
      <xdr:rowOff>31750</xdr:rowOff>
    </xdr:from>
    <xdr:to>
      <xdr:col>16</xdr:col>
      <xdr:colOff>21167</xdr:colOff>
      <xdr:row>1343</xdr:row>
      <xdr:rowOff>95250</xdr:rowOff>
    </xdr:to>
    <xdr:cxnSp macro="">
      <xdr:nvCxnSpPr>
        <xdr:cNvPr id="4369" name="Straight Arrow Connector 4368">
          <a:extLst>
            <a:ext uri="{FF2B5EF4-FFF2-40B4-BE49-F238E27FC236}">
              <a16:creationId xmlns:a16="http://schemas.microsoft.com/office/drawing/2014/main" id="{00000000-0008-0000-1300-000011110000}"/>
            </a:ext>
          </a:extLst>
        </xdr:cNvPr>
        <xdr:cNvCxnSpPr/>
      </xdr:nvCxnSpPr>
      <xdr:spPr>
        <a:xfrm>
          <a:off x="11324166" y="24749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1336</xdr:row>
      <xdr:rowOff>31750</xdr:rowOff>
    </xdr:from>
    <xdr:to>
      <xdr:col>16</xdr:col>
      <xdr:colOff>21167</xdr:colOff>
      <xdr:row>1343</xdr:row>
      <xdr:rowOff>95250</xdr:rowOff>
    </xdr:to>
    <xdr:cxnSp macro="">
      <xdr:nvCxnSpPr>
        <xdr:cNvPr id="4370" name="Straight Arrow Connector 4369">
          <a:extLst>
            <a:ext uri="{FF2B5EF4-FFF2-40B4-BE49-F238E27FC236}">
              <a16:creationId xmlns:a16="http://schemas.microsoft.com/office/drawing/2014/main" id="{00000000-0008-0000-1300-000012110000}"/>
            </a:ext>
          </a:extLst>
        </xdr:cNvPr>
        <xdr:cNvCxnSpPr/>
      </xdr:nvCxnSpPr>
      <xdr:spPr>
        <a:xfrm>
          <a:off x="11324166" y="24749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1323</xdr:row>
      <xdr:rowOff>31750</xdr:rowOff>
    </xdr:from>
    <xdr:to>
      <xdr:col>16</xdr:col>
      <xdr:colOff>42334</xdr:colOff>
      <xdr:row>1330</xdr:row>
      <xdr:rowOff>63501</xdr:rowOff>
    </xdr:to>
    <xdr:cxnSp macro="">
      <xdr:nvCxnSpPr>
        <xdr:cNvPr id="4371" name="Straight Arrow Connector 4370">
          <a:extLst>
            <a:ext uri="{FF2B5EF4-FFF2-40B4-BE49-F238E27FC236}">
              <a16:creationId xmlns:a16="http://schemas.microsoft.com/office/drawing/2014/main" id="{00000000-0008-0000-1300-000013110000}"/>
            </a:ext>
          </a:extLst>
        </xdr:cNvPr>
        <xdr:cNvCxnSpPr/>
      </xdr:nvCxnSpPr>
      <xdr:spPr>
        <a:xfrm>
          <a:off x="11281833" y="244824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1336</xdr:row>
      <xdr:rowOff>31750</xdr:rowOff>
    </xdr:from>
    <xdr:to>
      <xdr:col>16</xdr:col>
      <xdr:colOff>21167</xdr:colOff>
      <xdr:row>1343</xdr:row>
      <xdr:rowOff>95250</xdr:rowOff>
    </xdr:to>
    <xdr:cxnSp macro="">
      <xdr:nvCxnSpPr>
        <xdr:cNvPr id="4372" name="Straight Arrow Connector 4371">
          <a:extLst>
            <a:ext uri="{FF2B5EF4-FFF2-40B4-BE49-F238E27FC236}">
              <a16:creationId xmlns:a16="http://schemas.microsoft.com/office/drawing/2014/main" id="{00000000-0008-0000-1300-000014110000}"/>
            </a:ext>
          </a:extLst>
        </xdr:cNvPr>
        <xdr:cNvCxnSpPr/>
      </xdr:nvCxnSpPr>
      <xdr:spPr>
        <a:xfrm>
          <a:off x="11324166" y="24749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1323</xdr:row>
      <xdr:rowOff>31750</xdr:rowOff>
    </xdr:from>
    <xdr:to>
      <xdr:col>16</xdr:col>
      <xdr:colOff>42334</xdr:colOff>
      <xdr:row>1330</xdr:row>
      <xdr:rowOff>63501</xdr:rowOff>
    </xdr:to>
    <xdr:cxnSp macro="">
      <xdr:nvCxnSpPr>
        <xdr:cNvPr id="4373" name="Straight Arrow Connector 4372">
          <a:extLst>
            <a:ext uri="{FF2B5EF4-FFF2-40B4-BE49-F238E27FC236}">
              <a16:creationId xmlns:a16="http://schemas.microsoft.com/office/drawing/2014/main" id="{00000000-0008-0000-1300-000015110000}"/>
            </a:ext>
          </a:extLst>
        </xdr:cNvPr>
        <xdr:cNvCxnSpPr/>
      </xdr:nvCxnSpPr>
      <xdr:spPr>
        <a:xfrm>
          <a:off x="11281833" y="244824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1336</xdr:row>
      <xdr:rowOff>31750</xdr:rowOff>
    </xdr:from>
    <xdr:to>
      <xdr:col>16</xdr:col>
      <xdr:colOff>21167</xdr:colOff>
      <xdr:row>1343</xdr:row>
      <xdr:rowOff>95250</xdr:rowOff>
    </xdr:to>
    <xdr:cxnSp macro="">
      <xdr:nvCxnSpPr>
        <xdr:cNvPr id="4374" name="Straight Arrow Connector 4373">
          <a:extLst>
            <a:ext uri="{FF2B5EF4-FFF2-40B4-BE49-F238E27FC236}">
              <a16:creationId xmlns:a16="http://schemas.microsoft.com/office/drawing/2014/main" id="{00000000-0008-0000-1300-000016110000}"/>
            </a:ext>
          </a:extLst>
        </xdr:cNvPr>
        <xdr:cNvCxnSpPr/>
      </xdr:nvCxnSpPr>
      <xdr:spPr>
        <a:xfrm>
          <a:off x="11324166" y="24749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1323</xdr:row>
      <xdr:rowOff>31750</xdr:rowOff>
    </xdr:from>
    <xdr:to>
      <xdr:col>16</xdr:col>
      <xdr:colOff>42334</xdr:colOff>
      <xdr:row>1330</xdr:row>
      <xdr:rowOff>63501</xdr:rowOff>
    </xdr:to>
    <xdr:cxnSp macro="">
      <xdr:nvCxnSpPr>
        <xdr:cNvPr id="4375" name="Straight Arrow Connector 4374">
          <a:extLst>
            <a:ext uri="{FF2B5EF4-FFF2-40B4-BE49-F238E27FC236}">
              <a16:creationId xmlns:a16="http://schemas.microsoft.com/office/drawing/2014/main" id="{00000000-0008-0000-1300-000017110000}"/>
            </a:ext>
          </a:extLst>
        </xdr:cNvPr>
        <xdr:cNvCxnSpPr/>
      </xdr:nvCxnSpPr>
      <xdr:spPr>
        <a:xfrm>
          <a:off x="11281833" y="244824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1336</xdr:row>
      <xdr:rowOff>31750</xdr:rowOff>
    </xdr:from>
    <xdr:to>
      <xdr:col>16</xdr:col>
      <xdr:colOff>21167</xdr:colOff>
      <xdr:row>1343</xdr:row>
      <xdr:rowOff>95250</xdr:rowOff>
    </xdr:to>
    <xdr:cxnSp macro="">
      <xdr:nvCxnSpPr>
        <xdr:cNvPr id="4376" name="Straight Arrow Connector 4375">
          <a:extLst>
            <a:ext uri="{FF2B5EF4-FFF2-40B4-BE49-F238E27FC236}">
              <a16:creationId xmlns:a16="http://schemas.microsoft.com/office/drawing/2014/main" id="{00000000-0008-0000-1300-000018110000}"/>
            </a:ext>
          </a:extLst>
        </xdr:cNvPr>
        <xdr:cNvCxnSpPr/>
      </xdr:nvCxnSpPr>
      <xdr:spPr>
        <a:xfrm>
          <a:off x="11324166" y="24749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1323</xdr:row>
      <xdr:rowOff>31750</xdr:rowOff>
    </xdr:from>
    <xdr:to>
      <xdr:col>16</xdr:col>
      <xdr:colOff>42334</xdr:colOff>
      <xdr:row>1330</xdr:row>
      <xdr:rowOff>63501</xdr:rowOff>
    </xdr:to>
    <xdr:cxnSp macro="">
      <xdr:nvCxnSpPr>
        <xdr:cNvPr id="4377" name="Straight Arrow Connector 4376">
          <a:extLst>
            <a:ext uri="{FF2B5EF4-FFF2-40B4-BE49-F238E27FC236}">
              <a16:creationId xmlns:a16="http://schemas.microsoft.com/office/drawing/2014/main" id="{00000000-0008-0000-1300-000019110000}"/>
            </a:ext>
          </a:extLst>
        </xdr:cNvPr>
        <xdr:cNvCxnSpPr/>
      </xdr:nvCxnSpPr>
      <xdr:spPr>
        <a:xfrm>
          <a:off x="11281833" y="244824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1336</xdr:row>
      <xdr:rowOff>31750</xdr:rowOff>
    </xdr:from>
    <xdr:to>
      <xdr:col>16</xdr:col>
      <xdr:colOff>21167</xdr:colOff>
      <xdr:row>1343</xdr:row>
      <xdr:rowOff>95250</xdr:rowOff>
    </xdr:to>
    <xdr:cxnSp macro="">
      <xdr:nvCxnSpPr>
        <xdr:cNvPr id="4378" name="Straight Arrow Connector 4377">
          <a:extLst>
            <a:ext uri="{FF2B5EF4-FFF2-40B4-BE49-F238E27FC236}">
              <a16:creationId xmlns:a16="http://schemas.microsoft.com/office/drawing/2014/main" id="{00000000-0008-0000-1300-00001A110000}"/>
            </a:ext>
          </a:extLst>
        </xdr:cNvPr>
        <xdr:cNvCxnSpPr/>
      </xdr:nvCxnSpPr>
      <xdr:spPr>
        <a:xfrm>
          <a:off x="11324166" y="24749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1323</xdr:row>
      <xdr:rowOff>31750</xdr:rowOff>
    </xdr:from>
    <xdr:to>
      <xdr:col>16</xdr:col>
      <xdr:colOff>42334</xdr:colOff>
      <xdr:row>1330</xdr:row>
      <xdr:rowOff>63501</xdr:rowOff>
    </xdr:to>
    <xdr:cxnSp macro="">
      <xdr:nvCxnSpPr>
        <xdr:cNvPr id="4379" name="Straight Arrow Connector 4378">
          <a:extLst>
            <a:ext uri="{FF2B5EF4-FFF2-40B4-BE49-F238E27FC236}">
              <a16:creationId xmlns:a16="http://schemas.microsoft.com/office/drawing/2014/main" id="{00000000-0008-0000-1300-00001B110000}"/>
            </a:ext>
          </a:extLst>
        </xdr:cNvPr>
        <xdr:cNvCxnSpPr/>
      </xdr:nvCxnSpPr>
      <xdr:spPr>
        <a:xfrm>
          <a:off x="11281833" y="244824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1336</xdr:row>
      <xdr:rowOff>31750</xdr:rowOff>
    </xdr:from>
    <xdr:to>
      <xdr:col>16</xdr:col>
      <xdr:colOff>21167</xdr:colOff>
      <xdr:row>1343</xdr:row>
      <xdr:rowOff>95250</xdr:rowOff>
    </xdr:to>
    <xdr:cxnSp macro="">
      <xdr:nvCxnSpPr>
        <xdr:cNvPr id="4380" name="Straight Arrow Connector 4379">
          <a:extLst>
            <a:ext uri="{FF2B5EF4-FFF2-40B4-BE49-F238E27FC236}">
              <a16:creationId xmlns:a16="http://schemas.microsoft.com/office/drawing/2014/main" id="{00000000-0008-0000-1300-00001C110000}"/>
            </a:ext>
          </a:extLst>
        </xdr:cNvPr>
        <xdr:cNvCxnSpPr/>
      </xdr:nvCxnSpPr>
      <xdr:spPr>
        <a:xfrm>
          <a:off x="11324166" y="24749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1439</xdr:row>
      <xdr:rowOff>31750</xdr:rowOff>
    </xdr:from>
    <xdr:to>
      <xdr:col>16</xdr:col>
      <xdr:colOff>42334</xdr:colOff>
      <xdr:row>1446</xdr:row>
      <xdr:rowOff>63501</xdr:rowOff>
    </xdr:to>
    <xdr:cxnSp macro="">
      <xdr:nvCxnSpPr>
        <xdr:cNvPr id="4381" name="Straight Arrow Connector 4380">
          <a:extLst>
            <a:ext uri="{FF2B5EF4-FFF2-40B4-BE49-F238E27FC236}">
              <a16:creationId xmlns:a16="http://schemas.microsoft.com/office/drawing/2014/main" id="{00000000-0008-0000-1300-00001D110000}"/>
            </a:ext>
          </a:extLst>
        </xdr:cNvPr>
        <xdr:cNvCxnSpPr/>
      </xdr:nvCxnSpPr>
      <xdr:spPr>
        <a:xfrm>
          <a:off x="11281833" y="267112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1452</xdr:row>
      <xdr:rowOff>31750</xdr:rowOff>
    </xdr:from>
    <xdr:to>
      <xdr:col>16</xdr:col>
      <xdr:colOff>21167</xdr:colOff>
      <xdr:row>1459</xdr:row>
      <xdr:rowOff>95250</xdr:rowOff>
    </xdr:to>
    <xdr:cxnSp macro="">
      <xdr:nvCxnSpPr>
        <xdr:cNvPr id="4382" name="Straight Arrow Connector 4381">
          <a:extLst>
            <a:ext uri="{FF2B5EF4-FFF2-40B4-BE49-F238E27FC236}">
              <a16:creationId xmlns:a16="http://schemas.microsoft.com/office/drawing/2014/main" id="{00000000-0008-0000-1300-00001E110000}"/>
            </a:ext>
          </a:extLst>
        </xdr:cNvPr>
        <xdr:cNvCxnSpPr/>
      </xdr:nvCxnSpPr>
      <xdr:spPr>
        <a:xfrm>
          <a:off x="11324166" y="269779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1439</xdr:row>
      <xdr:rowOff>31750</xdr:rowOff>
    </xdr:from>
    <xdr:to>
      <xdr:col>16</xdr:col>
      <xdr:colOff>42334</xdr:colOff>
      <xdr:row>1446</xdr:row>
      <xdr:rowOff>63501</xdr:rowOff>
    </xdr:to>
    <xdr:cxnSp macro="">
      <xdr:nvCxnSpPr>
        <xdr:cNvPr id="4383" name="Straight Arrow Connector 4382">
          <a:extLst>
            <a:ext uri="{FF2B5EF4-FFF2-40B4-BE49-F238E27FC236}">
              <a16:creationId xmlns:a16="http://schemas.microsoft.com/office/drawing/2014/main" id="{00000000-0008-0000-1300-00001F110000}"/>
            </a:ext>
          </a:extLst>
        </xdr:cNvPr>
        <xdr:cNvCxnSpPr/>
      </xdr:nvCxnSpPr>
      <xdr:spPr>
        <a:xfrm>
          <a:off x="11281833" y="267112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1452</xdr:row>
      <xdr:rowOff>31750</xdr:rowOff>
    </xdr:from>
    <xdr:to>
      <xdr:col>16</xdr:col>
      <xdr:colOff>21167</xdr:colOff>
      <xdr:row>1459</xdr:row>
      <xdr:rowOff>95250</xdr:rowOff>
    </xdr:to>
    <xdr:cxnSp macro="">
      <xdr:nvCxnSpPr>
        <xdr:cNvPr id="4384" name="Straight Arrow Connector 4383">
          <a:extLst>
            <a:ext uri="{FF2B5EF4-FFF2-40B4-BE49-F238E27FC236}">
              <a16:creationId xmlns:a16="http://schemas.microsoft.com/office/drawing/2014/main" id="{00000000-0008-0000-1300-000020110000}"/>
            </a:ext>
          </a:extLst>
        </xdr:cNvPr>
        <xdr:cNvCxnSpPr/>
      </xdr:nvCxnSpPr>
      <xdr:spPr>
        <a:xfrm>
          <a:off x="11324166" y="269779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1439</xdr:row>
      <xdr:rowOff>31750</xdr:rowOff>
    </xdr:from>
    <xdr:to>
      <xdr:col>16</xdr:col>
      <xdr:colOff>42334</xdr:colOff>
      <xdr:row>1446</xdr:row>
      <xdr:rowOff>63501</xdr:rowOff>
    </xdr:to>
    <xdr:cxnSp macro="">
      <xdr:nvCxnSpPr>
        <xdr:cNvPr id="4385" name="Straight Arrow Connector 4384">
          <a:extLst>
            <a:ext uri="{FF2B5EF4-FFF2-40B4-BE49-F238E27FC236}">
              <a16:creationId xmlns:a16="http://schemas.microsoft.com/office/drawing/2014/main" id="{00000000-0008-0000-1300-000021110000}"/>
            </a:ext>
          </a:extLst>
        </xdr:cNvPr>
        <xdr:cNvCxnSpPr/>
      </xdr:nvCxnSpPr>
      <xdr:spPr>
        <a:xfrm>
          <a:off x="11281833" y="267112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1452</xdr:row>
      <xdr:rowOff>31750</xdr:rowOff>
    </xdr:from>
    <xdr:to>
      <xdr:col>16</xdr:col>
      <xdr:colOff>21167</xdr:colOff>
      <xdr:row>1459</xdr:row>
      <xdr:rowOff>95250</xdr:rowOff>
    </xdr:to>
    <xdr:cxnSp macro="">
      <xdr:nvCxnSpPr>
        <xdr:cNvPr id="4386" name="Straight Arrow Connector 4385">
          <a:extLst>
            <a:ext uri="{FF2B5EF4-FFF2-40B4-BE49-F238E27FC236}">
              <a16:creationId xmlns:a16="http://schemas.microsoft.com/office/drawing/2014/main" id="{00000000-0008-0000-1300-000022110000}"/>
            </a:ext>
          </a:extLst>
        </xdr:cNvPr>
        <xdr:cNvCxnSpPr/>
      </xdr:nvCxnSpPr>
      <xdr:spPr>
        <a:xfrm>
          <a:off x="11324166" y="269779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1439</xdr:row>
      <xdr:rowOff>31750</xdr:rowOff>
    </xdr:from>
    <xdr:to>
      <xdr:col>16</xdr:col>
      <xdr:colOff>42334</xdr:colOff>
      <xdr:row>1446</xdr:row>
      <xdr:rowOff>63501</xdr:rowOff>
    </xdr:to>
    <xdr:cxnSp macro="">
      <xdr:nvCxnSpPr>
        <xdr:cNvPr id="4387" name="Straight Arrow Connector 4386">
          <a:extLst>
            <a:ext uri="{FF2B5EF4-FFF2-40B4-BE49-F238E27FC236}">
              <a16:creationId xmlns:a16="http://schemas.microsoft.com/office/drawing/2014/main" id="{00000000-0008-0000-1300-000023110000}"/>
            </a:ext>
          </a:extLst>
        </xdr:cNvPr>
        <xdr:cNvCxnSpPr/>
      </xdr:nvCxnSpPr>
      <xdr:spPr>
        <a:xfrm>
          <a:off x="11281833" y="267112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1452</xdr:row>
      <xdr:rowOff>31750</xdr:rowOff>
    </xdr:from>
    <xdr:to>
      <xdr:col>16</xdr:col>
      <xdr:colOff>21167</xdr:colOff>
      <xdr:row>1459</xdr:row>
      <xdr:rowOff>95250</xdr:rowOff>
    </xdr:to>
    <xdr:cxnSp macro="">
      <xdr:nvCxnSpPr>
        <xdr:cNvPr id="4388" name="Straight Arrow Connector 4387">
          <a:extLst>
            <a:ext uri="{FF2B5EF4-FFF2-40B4-BE49-F238E27FC236}">
              <a16:creationId xmlns:a16="http://schemas.microsoft.com/office/drawing/2014/main" id="{00000000-0008-0000-1300-000024110000}"/>
            </a:ext>
          </a:extLst>
        </xdr:cNvPr>
        <xdr:cNvCxnSpPr/>
      </xdr:nvCxnSpPr>
      <xdr:spPr>
        <a:xfrm>
          <a:off x="11324166" y="269779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1439</xdr:row>
      <xdr:rowOff>31750</xdr:rowOff>
    </xdr:from>
    <xdr:to>
      <xdr:col>16</xdr:col>
      <xdr:colOff>42334</xdr:colOff>
      <xdr:row>1446</xdr:row>
      <xdr:rowOff>63501</xdr:rowOff>
    </xdr:to>
    <xdr:cxnSp macro="">
      <xdr:nvCxnSpPr>
        <xdr:cNvPr id="4389" name="Straight Arrow Connector 4388">
          <a:extLst>
            <a:ext uri="{FF2B5EF4-FFF2-40B4-BE49-F238E27FC236}">
              <a16:creationId xmlns:a16="http://schemas.microsoft.com/office/drawing/2014/main" id="{00000000-0008-0000-1300-000025110000}"/>
            </a:ext>
          </a:extLst>
        </xdr:cNvPr>
        <xdr:cNvCxnSpPr/>
      </xdr:nvCxnSpPr>
      <xdr:spPr>
        <a:xfrm>
          <a:off x="11281833" y="267112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1452</xdr:row>
      <xdr:rowOff>31750</xdr:rowOff>
    </xdr:from>
    <xdr:to>
      <xdr:col>16</xdr:col>
      <xdr:colOff>21167</xdr:colOff>
      <xdr:row>1459</xdr:row>
      <xdr:rowOff>95250</xdr:rowOff>
    </xdr:to>
    <xdr:cxnSp macro="">
      <xdr:nvCxnSpPr>
        <xdr:cNvPr id="4390" name="Straight Arrow Connector 4389">
          <a:extLst>
            <a:ext uri="{FF2B5EF4-FFF2-40B4-BE49-F238E27FC236}">
              <a16:creationId xmlns:a16="http://schemas.microsoft.com/office/drawing/2014/main" id="{00000000-0008-0000-1300-000026110000}"/>
            </a:ext>
          </a:extLst>
        </xdr:cNvPr>
        <xdr:cNvCxnSpPr/>
      </xdr:nvCxnSpPr>
      <xdr:spPr>
        <a:xfrm>
          <a:off x="11324166" y="269779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1439</xdr:row>
      <xdr:rowOff>31750</xdr:rowOff>
    </xdr:from>
    <xdr:to>
      <xdr:col>16</xdr:col>
      <xdr:colOff>42334</xdr:colOff>
      <xdr:row>1446</xdr:row>
      <xdr:rowOff>63501</xdr:rowOff>
    </xdr:to>
    <xdr:cxnSp macro="">
      <xdr:nvCxnSpPr>
        <xdr:cNvPr id="4391" name="Straight Arrow Connector 4390">
          <a:extLst>
            <a:ext uri="{FF2B5EF4-FFF2-40B4-BE49-F238E27FC236}">
              <a16:creationId xmlns:a16="http://schemas.microsoft.com/office/drawing/2014/main" id="{00000000-0008-0000-1300-000027110000}"/>
            </a:ext>
          </a:extLst>
        </xdr:cNvPr>
        <xdr:cNvCxnSpPr/>
      </xdr:nvCxnSpPr>
      <xdr:spPr>
        <a:xfrm>
          <a:off x="11281833" y="267112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1452</xdr:row>
      <xdr:rowOff>31750</xdr:rowOff>
    </xdr:from>
    <xdr:to>
      <xdr:col>16</xdr:col>
      <xdr:colOff>21167</xdr:colOff>
      <xdr:row>1459</xdr:row>
      <xdr:rowOff>95250</xdr:rowOff>
    </xdr:to>
    <xdr:cxnSp macro="">
      <xdr:nvCxnSpPr>
        <xdr:cNvPr id="4392" name="Straight Arrow Connector 4391">
          <a:extLst>
            <a:ext uri="{FF2B5EF4-FFF2-40B4-BE49-F238E27FC236}">
              <a16:creationId xmlns:a16="http://schemas.microsoft.com/office/drawing/2014/main" id="{00000000-0008-0000-1300-000028110000}"/>
            </a:ext>
          </a:extLst>
        </xdr:cNvPr>
        <xdr:cNvCxnSpPr/>
      </xdr:nvCxnSpPr>
      <xdr:spPr>
        <a:xfrm>
          <a:off x="11324166" y="269779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1439</xdr:row>
      <xdr:rowOff>31750</xdr:rowOff>
    </xdr:from>
    <xdr:to>
      <xdr:col>16</xdr:col>
      <xdr:colOff>42334</xdr:colOff>
      <xdr:row>1446</xdr:row>
      <xdr:rowOff>63501</xdr:rowOff>
    </xdr:to>
    <xdr:cxnSp macro="">
      <xdr:nvCxnSpPr>
        <xdr:cNvPr id="4393" name="Straight Arrow Connector 4392">
          <a:extLst>
            <a:ext uri="{FF2B5EF4-FFF2-40B4-BE49-F238E27FC236}">
              <a16:creationId xmlns:a16="http://schemas.microsoft.com/office/drawing/2014/main" id="{00000000-0008-0000-1300-000029110000}"/>
            </a:ext>
          </a:extLst>
        </xdr:cNvPr>
        <xdr:cNvCxnSpPr/>
      </xdr:nvCxnSpPr>
      <xdr:spPr>
        <a:xfrm>
          <a:off x="11281833" y="267112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1452</xdr:row>
      <xdr:rowOff>31750</xdr:rowOff>
    </xdr:from>
    <xdr:to>
      <xdr:col>16</xdr:col>
      <xdr:colOff>21167</xdr:colOff>
      <xdr:row>1459</xdr:row>
      <xdr:rowOff>95250</xdr:rowOff>
    </xdr:to>
    <xdr:cxnSp macro="">
      <xdr:nvCxnSpPr>
        <xdr:cNvPr id="4394" name="Straight Arrow Connector 4393">
          <a:extLst>
            <a:ext uri="{FF2B5EF4-FFF2-40B4-BE49-F238E27FC236}">
              <a16:creationId xmlns:a16="http://schemas.microsoft.com/office/drawing/2014/main" id="{00000000-0008-0000-1300-00002A110000}"/>
            </a:ext>
          </a:extLst>
        </xdr:cNvPr>
        <xdr:cNvCxnSpPr/>
      </xdr:nvCxnSpPr>
      <xdr:spPr>
        <a:xfrm>
          <a:off x="11324166" y="269779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1508</xdr:row>
      <xdr:rowOff>31750</xdr:rowOff>
    </xdr:from>
    <xdr:to>
      <xdr:col>16</xdr:col>
      <xdr:colOff>21167</xdr:colOff>
      <xdr:row>1515</xdr:row>
      <xdr:rowOff>95250</xdr:rowOff>
    </xdr:to>
    <xdr:cxnSp macro="">
      <xdr:nvCxnSpPr>
        <xdr:cNvPr id="4397" name="Straight Arrow Connector 4396">
          <a:extLst>
            <a:ext uri="{FF2B5EF4-FFF2-40B4-BE49-F238E27FC236}">
              <a16:creationId xmlns:a16="http://schemas.microsoft.com/office/drawing/2014/main" id="{00000000-0008-0000-1300-00002D110000}"/>
            </a:ext>
          </a:extLst>
        </xdr:cNvPr>
        <xdr:cNvCxnSpPr/>
      </xdr:nvCxnSpPr>
      <xdr:spPr>
        <a:xfrm>
          <a:off x="11324166" y="280638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1508</xdr:row>
      <xdr:rowOff>31750</xdr:rowOff>
    </xdr:from>
    <xdr:to>
      <xdr:col>16</xdr:col>
      <xdr:colOff>21167</xdr:colOff>
      <xdr:row>1515</xdr:row>
      <xdr:rowOff>95250</xdr:rowOff>
    </xdr:to>
    <xdr:cxnSp macro="">
      <xdr:nvCxnSpPr>
        <xdr:cNvPr id="4398" name="Straight Arrow Connector 4397">
          <a:extLst>
            <a:ext uri="{FF2B5EF4-FFF2-40B4-BE49-F238E27FC236}">
              <a16:creationId xmlns:a16="http://schemas.microsoft.com/office/drawing/2014/main" id="{00000000-0008-0000-1300-00002E110000}"/>
            </a:ext>
          </a:extLst>
        </xdr:cNvPr>
        <xdr:cNvCxnSpPr/>
      </xdr:nvCxnSpPr>
      <xdr:spPr>
        <a:xfrm>
          <a:off x="11324166" y="280638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1508</xdr:row>
      <xdr:rowOff>31750</xdr:rowOff>
    </xdr:from>
    <xdr:to>
      <xdr:col>16</xdr:col>
      <xdr:colOff>21167</xdr:colOff>
      <xdr:row>1515</xdr:row>
      <xdr:rowOff>95250</xdr:rowOff>
    </xdr:to>
    <xdr:cxnSp macro="">
      <xdr:nvCxnSpPr>
        <xdr:cNvPr id="4399" name="Straight Arrow Connector 4398">
          <a:extLst>
            <a:ext uri="{FF2B5EF4-FFF2-40B4-BE49-F238E27FC236}">
              <a16:creationId xmlns:a16="http://schemas.microsoft.com/office/drawing/2014/main" id="{00000000-0008-0000-1300-00002F110000}"/>
            </a:ext>
          </a:extLst>
        </xdr:cNvPr>
        <xdr:cNvCxnSpPr/>
      </xdr:nvCxnSpPr>
      <xdr:spPr>
        <a:xfrm>
          <a:off x="11324166" y="280638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1508</xdr:row>
      <xdr:rowOff>31750</xdr:rowOff>
    </xdr:from>
    <xdr:to>
      <xdr:col>16</xdr:col>
      <xdr:colOff>21167</xdr:colOff>
      <xdr:row>1515</xdr:row>
      <xdr:rowOff>95250</xdr:rowOff>
    </xdr:to>
    <xdr:cxnSp macro="">
      <xdr:nvCxnSpPr>
        <xdr:cNvPr id="4400" name="Straight Arrow Connector 4399">
          <a:extLst>
            <a:ext uri="{FF2B5EF4-FFF2-40B4-BE49-F238E27FC236}">
              <a16:creationId xmlns:a16="http://schemas.microsoft.com/office/drawing/2014/main" id="{00000000-0008-0000-1300-000030110000}"/>
            </a:ext>
          </a:extLst>
        </xdr:cNvPr>
        <xdr:cNvCxnSpPr/>
      </xdr:nvCxnSpPr>
      <xdr:spPr>
        <a:xfrm>
          <a:off x="11324166" y="280638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1508</xdr:row>
      <xdr:rowOff>31750</xdr:rowOff>
    </xdr:from>
    <xdr:to>
      <xdr:col>16</xdr:col>
      <xdr:colOff>21167</xdr:colOff>
      <xdr:row>1515</xdr:row>
      <xdr:rowOff>95250</xdr:rowOff>
    </xdr:to>
    <xdr:cxnSp macro="">
      <xdr:nvCxnSpPr>
        <xdr:cNvPr id="4401" name="Straight Arrow Connector 4400">
          <a:extLst>
            <a:ext uri="{FF2B5EF4-FFF2-40B4-BE49-F238E27FC236}">
              <a16:creationId xmlns:a16="http://schemas.microsoft.com/office/drawing/2014/main" id="{00000000-0008-0000-1300-000031110000}"/>
            </a:ext>
          </a:extLst>
        </xdr:cNvPr>
        <xdr:cNvCxnSpPr/>
      </xdr:nvCxnSpPr>
      <xdr:spPr>
        <a:xfrm>
          <a:off x="11324166" y="280638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1508</xdr:row>
      <xdr:rowOff>31750</xdr:rowOff>
    </xdr:from>
    <xdr:to>
      <xdr:col>16</xdr:col>
      <xdr:colOff>21167</xdr:colOff>
      <xdr:row>1515</xdr:row>
      <xdr:rowOff>95250</xdr:rowOff>
    </xdr:to>
    <xdr:cxnSp macro="">
      <xdr:nvCxnSpPr>
        <xdr:cNvPr id="4402" name="Straight Arrow Connector 4401">
          <a:extLst>
            <a:ext uri="{FF2B5EF4-FFF2-40B4-BE49-F238E27FC236}">
              <a16:creationId xmlns:a16="http://schemas.microsoft.com/office/drawing/2014/main" id="{00000000-0008-0000-1300-000032110000}"/>
            </a:ext>
          </a:extLst>
        </xdr:cNvPr>
        <xdr:cNvCxnSpPr/>
      </xdr:nvCxnSpPr>
      <xdr:spPr>
        <a:xfrm>
          <a:off x="11324166" y="280638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1508</xdr:row>
      <xdr:rowOff>31750</xdr:rowOff>
    </xdr:from>
    <xdr:to>
      <xdr:col>16</xdr:col>
      <xdr:colOff>21167</xdr:colOff>
      <xdr:row>1515</xdr:row>
      <xdr:rowOff>95250</xdr:rowOff>
    </xdr:to>
    <xdr:cxnSp macro="">
      <xdr:nvCxnSpPr>
        <xdr:cNvPr id="4403" name="Straight Arrow Connector 4402">
          <a:extLst>
            <a:ext uri="{FF2B5EF4-FFF2-40B4-BE49-F238E27FC236}">
              <a16:creationId xmlns:a16="http://schemas.microsoft.com/office/drawing/2014/main" id="{00000000-0008-0000-1300-000033110000}"/>
            </a:ext>
          </a:extLst>
        </xdr:cNvPr>
        <xdr:cNvCxnSpPr/>
      </xdr:nvCxnSpPr>
      <xdr:spPr>
        <a:xfrm>
          <a:off x="11324166" y="280638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1495</xdr:row>
      <xdr:rowOff>31750</xdr:rowOff>
    </xdr:from>
    <xdr:to>
      <xdr:col>16</xdr:col>
      <xdr:colOff>42334</xdr:colOff>
      <xdr:row>1502</xdr:row>
      <xdr:rowOff>63501</xdr:rowOff>
    </xdr:to>
    <xdr:cxnSp macro="">
      <xdr:nvCxnSpPr>
        <xdr:cNvPr id="4404" name="Straight Arrow Connector 4403">
          <a:extLst>
            <a:ext uri="{FF2B5EF4-FFF2-40B4-BE49-F238E27FC236}">
              <a16:creationId xmlns:a16="http://schemas.microsoft.com/office/drawing/2014/main" id="{00000000-0008-0000-1300-000034110000}"/>
            </a:ext>
          </a:extLst>
        </xdr:cNvPr>
        <xdr:cNvCxnSpPr/>
      </xdr:nvCxnSpPr>
      <xdr:spPr>
        <a:xfrm>
          <a:off x="11281833" y="277971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1508</xdr:row>
      <xdr:rowOff>31750</xdr:rowOff>
    </xdr:from>
    <xdr:to>
      <xdr:col>16</xdr:col>
      <xdr:colOff>21167</xdr:colOff>
      <xdr:row>1515</xdr:row>
      <xdr:rowOff>95250</xdr:rowOff>
    </xdr:to>
    <xdr:cxnSp macro="">
      <xdr:nvCxnSpPr>
        <xdr:cNvPr id="4405" name="Straight Arrow Connector 4404">
          <a:extLst>
            <a:ext uri="{FF2B5EF4-FFF2-40B4-BE49-F238E27FC236}">
              <a16:creationId xmlns:a16="http://schemas.microsoft.com/office/drawing/2014/main" id="{00000000-0008-0000-1300-000035110000}"/>
            </a:ext>
          </a:extLst>
        </xdr:cNvPr>
        <xdr:cNvCxnSpPr/>
      </xdr:nvCxnSpPr>
      <xdr:spPr>
        <a:xfrm>
          <a:off x="11324166" y="280638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1495</xdr:row>
      <xdr:rowOff>31750</xdr:rowOff>
    </xdr:from>
    <xdr:to>
      <xdr:col>16</xdr:col>
      <xdr:colOff>42334</xdr:colOff>
      <xdr:row>1502</xdr:row>
      <xdr:rowOff>63501</xdr:rowOff>
    </xdr:to>
    <xdr:cxnSp macro="">
      <xdr:nvCxnSpPr>
        <xdr:cNvPr id="4406" name="Straight Arrow Connector 4405">
          <a:extLst>
            <a:ext uri="{FF2B5EF4-FFF2-40B4-BE49-F238E27FC236}">
              <a16:creationId xmlns:a16="http://schemas.microsoft.com/office/drawing/2014/main" id="{00000000-0008-0000-1300-000036110000}"/>
            </a:ext>
          </a:extLst>
        </xdr:cNvPr>
        <xdr:cNvCxnSpPr/>
      </xdr:nvCxnSpPr>
      <xdr:spPr>
        <a:xfrm>
          <a:off x="11281833" y="277971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1508</xdr:row>
      <xdr:rowOff>31750</xdr:rowOff>
    </xdr:from>
    <xdr:to>
      <xdr:col>16</xdr:col>
      <xdr:colOff>21167</xdr:colOff>
      <xdr:row>1515</xdr:row>
      <xdr:rowOff>95250</xdr:rowOff>
    </xdr:to>
    <xdr:cxnSp macro="">
      <xdr:nvCxnSpPr>
        <xdr:cNvPr id="4407" name="Straight Arrow Connector 4406">
          <a:extLst>
            <a:ext uri="{FF2B5EF4-FFF2-40B4-BE49-F238E27FC236}">
              <a16:creationId xmlns:a16="http://schemas.microsoft.com/office/drawing/2014/main" id="{00000000-0008-0000-1300-000037110000}"/>
            </a:ext>
          </a:extLst>
        </xdr:cNvPr>
        <xdr:cNvCxnSpPr/>
      </xdr:nvCxnSpPr>
      <xdr:spPr>
        <a:xfrm>
          <a:off x="11324166" y="280638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1495</xdr:row>
      <xdr:rowOff>31750</xdr:rowOff>
    </xdr:from>
    <xdr:to>
      <xdr:col>16</xdr:col>
      <xdr:colOff>42334</xdr:colOff>
      <xdr:row>1502</xdr:row>
      <xdr:rowOff>63501</xdr:rowOff>
    </xdr:to>
    <xdr:cxnSp macro="">
      <xdr:nvCxnSpPr>
        <xdr:cNvPr id="4408" name="Straight Arrow Connector 4407">
          <a:extLst>
            <a:ext uri="{FF2B5EF4-FFF2-40B4-BE49-F238E27FC236}">
              <a16:creationId xmlns:a16="http://schemas.microsoft.com/office/drawing/2014/main" id="{00000000-0008-0000-1300-000038110000}"/>
            </a:ext>
          </a:extLst>
        </xdr:cNvPr>
        <xdr:cNvCxnSpPr/>
      </xdr:nvCxnSpPr>
      <xdr:spPr>
        <a:xfrm>
          <a:off x="11281833" y="277971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1508</xdr:row>
      <xdr:rowOff>31750</xdr:rowOff>
    </xdr:from>
    <xdr:to>
      <xdr:col>16</xdr:col>
      <xdr:colOff>21167</xdr:colOff>
      <xdr:row>1515</xdr:row>
      <xdr:rowOff>95250</xdr:rowOff>
    </xdr:to>
    <xdr:cxnSp macro="">
      <xdr:nvCxnSpPr>
        <xdr:cNvPr id="4409" name="Straight Arrow Connector 4408">
          <a:extLst>
            <a:ext uri="{FF2B5EF4-FFF2-40B4-BE49-F238E27FC236}">
              <a16:creationId xmlns:a16="http://schemas.microsoft.com/office/drawing/2014/main" id="{00000000-0008-0000-1300-000039110000}"/>
            </a:ext>
          </a:extLst>
        </xdr:cNvPr>
        <xdr:cNvCxnSpPr/>
      </xdr:nvCxnSpPr>
      <xdr:spPr>
        <a:xfrm>
          <a:off x="11324166" y="280638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1521</xdr:row>
      <xdr:rowOff>31750</xdr:rowOff>
    </xdr:from>
    <xdr:to>
      <xdr:col>16</xdr:col>
      <xdr:colOff>42334</xdr:colOff>
      <xdr:row>1528</xdr:row>
      <xdr:rowOff>63501</xdr:rowOff>
    </xdr:to>
    <xdr:cxnSp macro="">
      <xdr:nvCxnSpPr>
        <xdr:cNvPr id="4410" name="Straight Arrow Connector 4409">
          <a:extLst>
            <a:ext uri="{FF2B5EF4-FFF2-40B4-BE49-F238E27FC236}">
              <a16:creationId xmlns:a16="http://schemas.microsoft.com/office/drawing/2014/main" id="{00000000-0008-0000-1300-00003A110000}"/>
            </a:ext>
          </a:extLst>
        </xdr:cNvPr>
        <xdr:cNvCxnSpPr/>
      </xdr:nvCxnSpPr>
      <xdr:spPr>
        <a:xfrm>
          <a:off x="11281833" y="283114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1521</xdr:row>
      <xdr:rowOff>31750</xdr:rowOff>
    </xdr:from>
    <xdr:to>
      <xdr:col>16</xdr:col>
      <xdr:colOff>42334</xdr:colOff>
      <xdr:row>1528</xdr:row>
      <xdr:rowOff>63501</xdr:rowOff>
    </xdr:to>
    <xdr:cxnSp macro="">
      <xdr:nvCxnSpPr>
        <xdr:cNvPr id="4411" name="Straight Arrow Connector 4410">
          <a:extLst>
            <a:ext uri="{FF2B5EF4-FFF2-40B4-BE49-F238E27FC236}">
              <a16:creationId xmlns:a16="http://schemas.microsoft.com/office/drawing/2014/main" id="{00000000-0008-0000-1300-00003B110000}"/>
            </a:ext>
          </a:extLst>
        </xdr:cNvPr>
        <xdr:cNvCxnSpPr/>
      </xdr:nvCxnSpPr>
      <xdr:spPr>
        <a:xfrm>
          <a:off x="11281833" y="283114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1495</xdr:row>
      <xdr:rowOff>31750</xdr:rowOff>
    </xdr:from>
    <xdr:to>
      <xdr:col>16</xdr:col>
      <xdr:colOff>42334</xdr:colOff>
      <xdr:row>1502</xdr:row>
      <xdr:rowOff>63501</xdr:rowOff>
    </xdr:to>
    <xdr:cxnSp macro="">
      <xdr:nvCxnSpPr>
        <xdr:cNvPr id="4412" name="Straight Arrow Connector 4411">
          <a:extLst>
            <a:ext uri="{FF2B5EF4-FFF2-40B4-BE49-F238E27FC236}">
              <a16:creationId xmlns:a16="http://schemas.microsoft.com/office/drawing/2014/main" id="{00000000-0008-0000-1300-00003C110000}"/>
            </a:ext>
          </a:extLst>
        </xdr:cNvPr>
        <xdr:cNvCxnSpPr/>
      </xdr:nvCxnSpPr>
      <xdr:spPr>
        <a:xfrm>
          <a:off x="11281833" y="277971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1508</xdr:row>
      <xdr:rowOff>31750</xdr:rowOff>
    </xdr:from>
    <xdr:to>
      <xdr:col>16</xdr:col>
      <xdr:colOff>21167</xdr:colOff>
      <xdr:row>1515</xdr:row>
      <xdr:rowOff>95250</xdr:rowOff>
    </xdr:to>
    <xdr:cxnSp macro="">
      <xdr:nvCxnSpPr>
        <xdr:cNvPr id="4413" name="Straight Arrow Connector 4412">
          <a:extLst>
            <a:ext uri="{FF2B5EF4-FFF2-40B4-BE49-F238E27FC236}">
              <a16:creationId xmlns:a16="http://schemas.microsoft.com/office/drawing/2014/main" id="{00000000-0008-0000-1300-00003D110000}"/>
            </a:ext>
          </a:extLst>
        </xdr:cNvPr>
        <xdr:cNvCxnSpPr/>
      </xdr:nvCxnSpPr>
      <xdr:spPr>
        <a:xfrm>
          <a:off x="11324166" y="280638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1495</xdr:row>
      <xdr:rowOff>31750</xdr:rowOff>
    </xdr:from>
    <xdr:to>
      <xdr:col>16</xdr:col>
      <xdr:colOff>42334</xdr:colOff>
      <xdr:row>1502</xdr:row>
      <xdr:rowOff>63501</xdr:rowOff>
    </xdr:to>
    <xdr:cxnSp macro="">
      <xdr:nvCxnSpPr>
        <xdr:cNvPr id="4414" name="Straight Arrow Connector 4413">
          <a:extLst>
            <a:ext uri="{FF2B5EF4-FFF2-40B4-BE49-F238E27FC236}">
              <a16:creationId xmlns:a16="http://schemas.microsoft.com/office/drawing/2014/main" id="{00000000-0008-0000-1300-00003E110000}"/>
            </a:ext>
          </a:extLst>
        </xdr:cNvPr>
        <xdr:cNvCxnSpPr/>
      </xdr:nvCxnSpPr>
      <xdr:spPr>
        <a:xfrm>
          <a:off x="11281833" y="277971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1508</xdr:row>
      <xdr:rowOff>31750</xdr:rowOff>
    </xdr:from>
    <xdr:to>
      <xdr:col>16</xdr:col>
      <xdr:colOff>21167</xdr:colOff>
      <xdr:row>1515</xdr:row>
      <xdr:rowOff>95250</xdr:rowOff>
    </xdr:to>
    <xdr:cxnSp macro="">
      <xdr:nvCxnSpPr>
        <xdr:cNvPr id="4415" name="Straight Arrow Connector 4414">
          <a:extLst>
            <a:ext uri="{FF2B5EF4-FFF2-40B4-BE49-F238E27FC236}">
              <a16:creationId xmlns:a16="http://schemas.microsoft.com/office/drawing/2014/main" id="{00000000-0008-0000-1300-00003F110000}"/>
            </a:ext>
          </a:extLst>
        </xdr:cNvPr>
        <xdr:cNvCxnSpPr/>
      </xdr:nvCxnSpPr>
      <xdr:spPr>
        <a:xfrm>
          <a:off x="11324166" y="280638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1495</xdr:row>
      <xdr:rowOff>31750</xdr:rowOff>
    </xdr:from>
    <xdr:to>
      <xdr:col>16</xdr:col>
      <xdr:colOff>42334</xdr:colOff>
      <xdr:row>1502</xdr:row>
      <xdr:rowOff>63501</xdr:rowOff>
    </xdr:to>
    <xdr:cxnSp macro="">
      <xdr:nvCxnSpPr>
        <xdr:cNvPr id="4416" name="Straight Arrow Connector 4415">
          <a:extLst>
            <a:ext uri="{FF2B5EF4-FFF2-40B4-BE49-F238E27FC236}">
              <a16:creationId xmlns:a16="http://schemas.microsoft.com/office/drawing/2014/main" id="{00000000-0008-0000-1300-000040110000}"/>
            </a:ext>
          </a:extLst>
        </xdr:cNvPr>
        <xdr:cNvCxnSpPr/>
      </xdr:nvCxnSpPr>
      <xdr:spPr>
        <a:xfrm>
          <a:off x="11281833" y="277971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1508</xdr:row>
      <xdr:rowOff>31750</xdr:rowOff>
    </xdr:from>
    <xdr:to>
      <xdr:col>16</xdr:col>
      <xdr:colOff>21167</xdr:colOff>
      <xdr:row>1515</xdr:row>
      <xdr:rowOff>95250</xdr:rowOff>
    </xdr:to>
    <xdr:cxnSp macro="">
      <xdr:nvCxnSpPr>
        <xdr:cNvPr id="4417" name="Straight Arrow Connector 4416">
          <a:extLst>
            <a:ext uri="{FF2B5EF4-FFF2-40B4-BE49-F238E27FC236}">
              <a16:creationId xmlns:a16="http://schemas.microsoft.com/office/drawing/2014/main" id="{00000000-0008-0000-1300-000041110000}"/>
            </a:ext>
          </a:extLst>
        </xdr:cNvPr>
        <xdr:cNvCxnSpPr/>
      </xdr:nvCxnSpPr>
      <xdr:spPr>
        <a:xfrm>
          <a:off x="11324166" y="280638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1495</xdr:row>
      <xdr:rowOff>31750</xdr:rowOff>
    </xdr:from>
    <xdr:to>
      <xdr:col>16</xdr:col>
      <xdr:colOff>42334</xdr:colOff>
      <xdr:row>1502</xdr:row>
      <xdr:rowOff>63501</xdr:rowOff>
    </xdr:to>
    <xdr:cxnSp macro="">
      <xdr:nvCxnSpPr>
        <xdr:cNvPr id="4418" name="Straight Arrow Connector 4417">
          <a:extLst>
            <a:ext uri="{FF2B5EF4-FFF2-40B4-BE49-F238E27FC236}">
              <a16:creationId xmlns:a16="http://schemas.microsoft.com/office/drawing/2014/main" id="{00000000-0008-0000-1300-000042110000}"/>
            </a:ext>
          </a:extLst>
        </xdr:cNvPr>
        <xdr:cNvCxnSpPr/>
      </xdr:nvCxnSpPr>
      <xdr:spPr>
        <a:xfrm>
          <a:off x="11281833" y="277971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1508</xdr:row>
      <xdr:rowOff>31750</xdr:rowOff>
    </xdr:from>
    <xdr:to>
      <xdr:col>16</xdr:col>
      <xdr:colOff>21167</xdr:colOff>
      <xdr:row>1515</xdr:row>
      <xdr:rowOff>95250</xdr:rowOff>
    </xdr:to>
    <xdr:cxnSp macro="">
      <xdr:nvCxnSpPr>
        <xdr:cNvPr id="4419" name="Straight Arrow Connector 4418">
          <a:extLst>
            <a:ext uri="{FF2B5EF4-FFF2-40B4-BE49-F238E27FC236}">
              <a16:creationId xmlns:a16="http://schemas.microsoft.com/office/drawing/2014/main" id="{00000000-0008-0000-1300-000043110000}"/>
            </a:ext>
          </a:extLst>
        </xdr:cNvPr>
        <xdr:cNvCxnSpPr/>
      </xdr:nvCxnSpPr>
      <xdr:spPr>
        <a:xfrm>
          <a:off x="11324166" y="280638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1495</xdr:row>
      <xdr:rowOff>31750</xdr:rowOff>
    </xdr:from>
    <xdr:to>
      <xdr:col>16</xdr:col>
      <xdr:colOff>42334</xdr:colOff>
      <xdr:row>1502</xdr:row>
      <xdr:rowOff>63501</xdr:rowOff>
    </xdr:to>
    <xdr:cxnSp macro="">
      <xdr:nvCxnSpPr>
        <xdr:cNvPr id="4420" name="Straight Arrow Connector 4419">
          <a:extLst>
            <a:ext uri="{FF2B5EF4-FFF2-40B4-BE49-F238E27FC236}">
              <a16:creationId xmlns:a16="http://schemas.microsoft.com/office/drawing/2014/main" id="{00000000-0008-0000-1300-000044110000}"/>
            </a:ext>
          </a:extLst>
        </xdr:cNvPr>
        <xdr:cNvCxnSpPr/>
      </xdr:nvCxnSpPr>
      <xdr:spPr>
        <a:xfrm>
          <a:off x="11281833" y="277971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1508</xdr:row>
      <xdr:rowOff>31750</xdr:rowOff>
    </xdr:from>
    <xdr:to>
      <xdr:col>16</xdr:col>
      <xdr:colOff>21167</xdr:colOff>
      <xdr:row>1515</xdr:row>
      <xdr:rowOff>95250</xdr:rowOff>
    </xdr:to>
    <xdr:cxnSp macro="">
      <xdr:nvCxnSpPr>
        <xdr:cNvPr id="4421" name="Straight Arrow Connector 4420">
          <a:extLst>
            <a:ext uri="{FF2B5EF4-FFF2-40B4-BE49-F238E27FC236}">
              <a16:creationId xmlns:a16="http://schemas.microsoft.com/office/drawing/2014/main" id="{00000000-0008-0000-1300-000045110000}"/>
            </a:ext>
          </a:extLst>
        </xdr:cNvPr>
        <xdr:cNvCxnSpPr/>
      </xdr:nvCxnSpPr>
      <xdr:spPr>
        <a:xfrm>
          <a:off x="11324166" y="280638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1495</xdr:row>
      <xdr:rowOff>31750</xdr:rowOff>
    </xdr:from>
    <xdr:to>
      <xdr:col>16</xdr:col>
      <xdr:colOff>42334</xdr:colOff>
      <xdr:row>1502</xdr:row>
      <xdr:rowOff>63501</xdr:rowOff>
    </xdr:to>
    <xdr:cxnSp macro="">
      <xdr:nvCxnSpPr>
        <xdr:cNvPr id="4422" name="Straight Arrow Connector 4421">
          <a:extLst>
            <a:ext uri="{FF2B5EF4-FFF2-40B4-BE49-F238E27FC236}">
              <a16:creationId xmlns:a16="http://schemas.microsoft.com/office/drawing/2014/main" id="{00000000-0008-0000-1300-000046110000}"/>
            </a:ext>
          </a:extLst>
        </xdr:cNvPr>
        <xdr:cNvCxnSpPr/>
      </xdr:nvCxnSpPr>
      <xdr:spPr>
        <a:xfrm>
          <a:off x="11281833" y="277971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1508</xdr:row>
      <xdr:rowOff>31750</xdr:rowOff>
    </xdr:from>
    <xdr:to>
      <xdr:col>16</xdr:col>
      <xdr:colOff>21167</xdr:colOff>
      <xdr:row>1515</xdr:row>
      <xdr:rowOff>95250</xdr:rowOff>
    </xdr:to>
    <xdr:cxnSp macro="">
      <xdr:nvCxnSpPr>
        <xdr:cNvPr id="4423" name="Straight Arrow Connector 4422">
          <a:extLst>
            <a:ext uri="{FF2B5EF4-FFF2-40B4-BE49-F238E27FC236}">
              <a16:creationId xmlns:a16="http://schemas.microsoft.com/office/drawing/2014/main" id="{00000000-0008-0000-1300-000047110000}"/>
            </a:ext>
          </a:extLst>
        </xdr:cNvPr>
        <xdr:cNvCxnSpPr/>
      </xdr:nvCxnSpPr>
      <xdr:spPr>
        <a:xfrm>
          <a:off x="11324166" y="280638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1495</xdr:row>
      <xdr:rowOff>31750</xdr:rowOff>
    </xdr:from>
    <xdr:to>
      <xdr:col>16</xdr:col>
      <xdr:colOff>42334</xdr:colOff>
      <xdr:row>1502</xdr:row>
      <xdr:rowOff>63501</xdr:rowOff>
    </xdr:to>
    <xdr:cxnSp macro="">
      <xdr:nvCxnSpPr>
        <xdr:cNvPr id="4424" name="Straight Arrow Connector 4423">
          <a:extLst>
            <a:ext uri="{FF2B5EF4-FFF2-40B4-BE49-F238E27FC236}">
              <a16:creationId xmlns:a16="http://schemas.microsoft.com/office/drawing/2014/main" id="{00000000-0008-0000-1300-000048110000}"/>
            </a:ext>
          </a:extLst>
        </xdr:cNvPr>
        <xdr:cNvCxnSpPr/>
      </xdr:nvCxnSpPr>
      <xdr:spPr>
        <a:xfrm>
          <a:off x="11281833" y="277971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1508</xdr:row>
      <xdr:rowOff>31750</xdr:rowOff>
    </xdr:from>
    <xdr:to>
      <xdr:col>16</xdr:col>
      <xdr:colOff>21167</xdr:colOff>
      <xdr:row>1515</xdr:row>
      <xdr:rowOff>95250</xdr:rowOff>
    </xdr:to>
    <xdr:cxnSp macro="">
      <xdr:nvCxnSpPr>
        <xdr:cNvPr id="4425" name="Straight Arrow Connector 4424">
          <a:extLst>
            <a:ext uri="{FF2B5EF4-FFF2-40B4-BE49-F238E27FC236}">
              <a16:creationId xmlns:a16="http://schemas.microsoft.com/office/drawing/2014/main" id="{00000000-0008-0000-1300-000049110000}"/>
            </a:ext>
          </a:extLst>
        </xdr:cNvPr>
        <xdr:cNvCxnSpPr/>
      </xdr:nvCxnSpPr>
      <xdr:spPr>
        <a:xfrm>
          <a:off x="11324166" y="280638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1521</xdr:row>
      <xdr:rowOff>31750</xdr:rowOff>
    </xdr:from>
    <xdr:to>
      <xdr:col>16</xdr:col>
      <xdr:colOff>42334</xdr:colOff>
      <xdr:row>1528</xdr:row>
      <xdr:rowOff>63501</xdr:rowOff>
    </xdr:to>
    <xdr:cxnSp macro="">
      <xdr:nvCxnSpPr>
        <xdr:cNvPr id="4426" name="Straight Arrow Connector 4425">
          <a:extLst>
            <a:ext uri="{FF2B5EF4-FFF2-40B4-BE49-F238E27FC236}">
              <a16:creationId xmlns:a16="http://schemas.microsoft.com/office/drawing/2014/main" id="{00000000-0008-0000-1300-00004A110000}"/>
            </a:ext>
          </a:extLst>
        </xdr:cNvPr>
        <xdr:cNvCxnSpPr/>
      </xdr:nvCxnSpPr>
      <xdr:spPr>
        <a:xfrm>
          <a:off x="11281833" y="283114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1521</xdr:row>
      <xdr:rowOff>31750</xdr:rowOff>
    </xdr:from>
    <xdr:to>
      <xdr:col>16</xdr:col>
      <xdr:colOff>42334</xdr:colOff>
      <xdr:row>1528</xdr:row>
      <xdr:rowOff>63501</xdr:rowOff>
    </xdr:to>
    <xdr:cxnSp macro="">
      <xdr:nvCxnSpPr>
        <xdr:cNvPr id="4427" name="Straight Arrow Connector 4426">
          <a:extLst>
            <a:ext uri="{FF2B5EF4-FFF2-40B4-BE49-F238E27FC236}">
              <a16:creationId xmlns:a16="http://schemas.microsoft.com/office/drawing/2014/main" id="{00000000-0008-0000-1300-00004B110000}"/>
            </a:ext>
          </a:extLst>
        </xdr:cNvPr>
        <xdr:cNvCxnSpPr/>
      </xdr:nvCxnSpPr>
      <xdr:spPr>
        <a:xfrm>
          <a:off x="11281833" y="283114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1551</xdr:row>
      <xdr:rowOff>31750</xdr:rowOff>
    </xdr:from>
    <xdr:to>
      <xdr:col>16</xdr:col>
      <xdr:colOff>42334</xdr:colOff>
      <xdr:row>1558</xdr:row>
      <xdr:rowOff>63501</xdr:rowOff>
    </xdr:to>
    <xdr:cxnSp macro="">
      <xdr:nvCxnSpPr>
        <xdr:cNvPr id="4428" name="Straight Arrow Connector 4427">
          <a:extLst>
            <a:ext uri="{FF2B5EF4-FFF2-40B4-BE49-F238E27FC236}">
              <a16:creationId xmlns:a16="http://schemas.microsoft.com/office/drawing/2014/main" id="{00000000-0008-0000-1300-00004C110000}"/>
            </a:ext>
          </a:extLst>
        </xdr:cNvPr>
        <xdr:cNvCxnSpPr/>
      </xdr:nvCxnSpPr>
      <xdr:spPr>
        <a:xfrm>
          <a:off x="11281833" y="288829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1564</xdr:row>
      <xdr:rowOff>31750</xdr:rowOff>
    </xdr:from>
    <xdr:to>
      <xdr:col>16</xdr:col>
      <xdr:colOff>21167</xdr:colOff>
      <xdr:row>1571</xdr:row>
      <xdr:rowOff>95250</xdr:rowOff>
    </xdr:to>
    <xdr:cxnSp macro="">
      <xdr:nvCxnSpPr>
        <xdr:cNvPr id="4429" name="Straight Arrow Connector 4428">
          <a:extLst>
            <a:ext uri="{FF2B5EF4-FFF2-40B4-BE49-F238E27FC236}">
              <a16:creationId xmlns:a16="http://schemas.microsoft.com/office/drawing/2014/main" id="{00000000-0008-0000-1300-00004D110000}"/>
            </a:ext>
          </a:extLst>
        </xdr:cNvPr>
        <xdr:cNvCxnSpPr/>
      </xdr:nvCxnSpPr>
      <xdr:spPr>
        <a:xfrm>
          <a:off x="11324166" y="291496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1551</xdr:row>
      <xdr:rowOff>31750</xdr:rowOff>
    </xdr:from>
    <xdr:to>
      <xdr:col>16</xdr:col>
      <xdr:colOff>42334</xdr:colOff>
      <xdr:row>1558</xdr:row>
      <xdr:rowOff>63501</xdr:rowOff>
    </xdr:to>
    <xdr:cxnSp macro="">
      <xdr:nvCxnSpPr>
        <xdr:cNvPr id="4430" name="Straight Arrow Connector 4429">
          <a:extLst>
            <a:ext uri="{FF2B5EF4-FFF2-40B4-BE49-F238E27FC236}">
              <a16:creationId xmlns:a16="http://schemas.microsoft.com/office/drawing/2014/main" id="{00000000-0008-0000-1300-00004E110000}"/>
            </a:ext>
          </a:extLst>
        </xdr:cNvPr>
        <xdr:cNvCxnSpPr/>
      </xdr:nvCxnSpPr>
      <xdr:spPr>
        <a:xfrm>
          <a:off x="11281833" y="288829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1564</xdr:row>
      <xdr:rowOff>31750</xdr:rowOff>
    </xdr:from>
    <xdr:to>
      <xdr:col>16</xdr:col>
      <xdr:colOff>21167</xdr:colOff>
      <xdr:row>1571</xdr:row>
      <xdr:rowOff>95250</xdr:rowOff>
    </xdr:to>
    <xdr:cxnSp macro="">
      <xdr:nvCxnSpPr>
        <xdr:cNvPr id="4431" name="Straight Arrow Connector 4430">
          <a:extLst>
            <a:ext uri="{FF2B5EF4-FFF2-40B4-BE49-F238E27FC236}">
              <a16:creationId xmlns:a16="http://schemas.microsoft.com/office/drawing/2014/main" id="{00000000-0008-0000-1300-00004F110000}"/>
            </a:ext>
          </a:extLst>
        </xdr:cNvPr>
        <xdr:cNvCxnSpPr/>
      </xdr:nvCxnSpPr>
      <xdr:spPr>
        <a:xfrm>
          <a:off x="11324166" y="291496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1551</xdr:row>
      <xdr:rowOff>31750</xdr:rowOff>
    </xdr:from>
    <xdr:to>
      <xdr:col>16</xdr:col>
      <xdr:colOff>42334</xdr:colOff>
      <xdr:row>1558</xdr:row>
      <xdr:rowOff>63501</xdr:rowOff>
    </xdr:to>
    <xdr:cxnSp macro="">
      <xdr:nvCxnSpPr>
        <xdr:cNvPr id="4432" name="Straight Arrow Connector 4431">
          <a:extLst>
            <a:ext uri="{FF2B5EF4-FFF2-40B4-BE49-F238E27FC236}">
              <a16:creationId xmlns:a16="http://schemas.microsoft.com/office/drawing/2014/main" id="{00000000-0008-0000-1300-000050110000}"/>
            </a:ext>
          </a:extLst>
        </xdr:cNvPr>
        <xdr:cNvCxnSpPr/>
      </xdr:nvCxnSpPr>
      <xdr:spPr>
        <a:xfrm>
          <a:off x="11281833" y="288829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1564</xdr:row>
      <xdr:rowOff>31750</xdr:rowOff>
    </xdr:from>
    <xdr:to>
      <xdr:col>16</xdr:col>
      <xdr:colOff>21167</xdr:colOff>
      <xdr:row>1571</xdr:row>
      <xdr:rowOff>95250</xdr:rowOff>
    </xdr:to>
    <xdr:cxnSp macro="">
      <xdr:nvCxnSpPr>
        <xdr:cNvPr id="4433" name="Straight Arrow Connector 4432">
          <a:extLst>
            <a:ext uri="{FF2B5EF4-FFF2-40B4-BE49-F238E27FC236}">
              <a16:creationId xmlns:a16="http://schemas.microsoft.com/office/drawing/2014/main" id="{00000000-0008-0000-1300-000051110000}"/>
            </a:ext>
          </a:extLst>
        </xdr:cNvPr>
        <xdr:cNvCxnSpPr/>
      </xdr:nvCxnSpPr>
      <xdr:spPr>
        <a:xfrm>
          <a:off x="11324166" y="291496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1551</xdr:row>
      <xdr:rowOff>31750</xdr:rowOff>
    </xdr:from>
    <xdr:to>
      <xdr:col>16</xdr:col>
      <xdr:colOff>42334</xdr:colOff>
      <xdr:row>1558</xdr:row>
      <xdr:rowOff>63501</xdr:rowOff>
    </xdr:to>
    <xdr:cxnSp macro="">
      <xdr:nvCxnSpPr>
        <xdr:cNvPr id="4434" name="Straight Arrow Connector 4433">
          <a:extLst>
            <a:ext uri="{FF2B5EF4-FFF2-40B4-BE49-F238E27FC236}">
              <a16:creationId xmlns:a16="http://schemas.microsoft.com/office/drawing/2014/main" id="{00000000-0008-0000-1300-000052110000}"/>
            </a:ext>
          </a:extLst>
        </xdr:cNvPr>
        <xdr:cNvCxnSpPr/>
      </xdr:nvCxnSpPr>
      <xdr:spPr>
        <a:xfrm>
          <a:off x="11281833" y="288829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1564</xdr:row>
      <xdr:rowOff>31750</xdr:rowOff>
    </xdr:from>
    <xdr:to>
      <xdr:col>16</xdr:col>
      <xdr:colOff>21167</xdr:colOff>
      <xdr:row>1571</xdr:row>
      <xdr:rowOff>95250</xdr:rowOff>
    </xdr:to>
    <xdr:cxnSp macro="">
      <xdr:nvCxnSpPr>
        <xdr:cNvPr id="4435" name="Straight Arrow Connector 4434">
          <a:extLst>
            <a:ext uri="{FF2B5EF4-FFF2-40B4-BE49-F238E27FC236}">
              <a16:creationId xmlns:a16="http://schemas.microsoft.com/office/drawing/2014/main" id="{00000000-0008-0000-1300-000053110000}"/>
            </a:ext>
          </a:extLst>
        </xdr:cNvPr>
        <xdr:cNvCxnSpPr/>
      </xdr:nvCxnSpPr>
      <xdr:spPr>
        <a:xfrm>
          <a:off x="11324166" y="291496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1551</xdr:row>
      <xdr:rowOff>31750</xdr:rowOff>
    </xdr:from>
    <xdr:to>
      <xdr:col>16</xdr:col>
      <xdr:colOff>42334</xdr:colOff>
      <xdr:row>1558</xdr:row>
      <xdr:rowOff>63501</xdr:rowOff>
    </xdr:to>
    <xdr:cxnSp macro="">
      <xdr:nvCxnSpPr>
        <xdr:cNvPr id="4436" name="Straight Arrow Connector 4435">
          <a:extLst>
            <a:ext uri="{FF2B5EF4-FFF2-40B4-BE49-F238E27FC236}">
              <a16:creationId xmlns:a16="http://schemas.microsoft.com/office/drawing/2014/main" id="{00000000-0008-0000-1300-000054110000}"/>
            </a:ext>
          </a:extLst>
        </xdr:cNvPr>
        <xdr:cNvCxnSpPr/>
      </xdr:nvCxnSpPr>
      <xdr:spPr>
        <a:xfrm>
          <a:off x="11281833" y="288829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1564</xdr:row>
      <xdr:rowOff>31750</xdr:rowOff>
    </xdr:from>
    <xdr:to>
      <xdr:col>16</xdr:col>
      <xdr:colOff>21167</xdr:colOff>
      <xdr:row>1571</xdr:row>
      <xdr:rowOff>95250</xdr:rowOff>
    </xdr:to>
    <xdr:cxnSp macro="">
      <xdr:nvCxnSpPr>
        <xdr:cNvPr id="4437" name="Straight Arrow Connector 4436">
          <a:extLst>
            <a:ext uri="{FF2B5EF4-FFF2-40B4-BE49-F238E27FC236}">
              <a16:creationId xmlns:a16="http://schemas.microsoft.com/office/drawing/2014/main" id="{00000000-0008-0000-1300-000055110000}"/>
            </a:ext>
          </a:extLst>
        </xdr:cNvPr>
        <xdr:cNvCxnSpPr/>
      </xdr:nvCxnSpPr>
      <xdr:spPr>
        <a:xfrm>
          <a:off x="11324166" y="291496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1551</xdr:row>
      <xdr:rowOff>31750</xdr:rowOff>
    </xdr:from>
    <xdr:to>
      <xdr:col>16</xdr:col>
      <xdr:colOff>42334</xdr:colOff>
      <xdr:row>1558</xdr:row>
      <xdr:rowOff>63501</xdr:rowOff>
    </xdr:to>
    <xdr:cxnSp macro="">
      <xdr:nvCxnSpPr>
        <xdr:cNvPr id="4438" name="Straight Arrow Connector 4437">
          <a:extLst>
            <a:ext uri="{FF2B5EF4-FFF2-40B4-BE49-F238E27FC236}">
              <a16:creationId xmlns:a16="http://schemas.microsoft.com/office/drawing/2014/main" id="{00000000-0008-0000-1300-000056110000}"/>
            </a:ext>
          </a:extLst>
        </xdr:cNvPr>
        <xdr:cNvCxnSpPr/>
      </xdr:nvCxnSpPr>
      <xdr:spPr>
        <a:xfrm>
          <a:off x="11281833" y="288829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1564</xdr:row>
      <xdr:rowOff>31750</xdr:rowOff>
    </xdr:from>
    <xdr:to>
      <xdr:col>16</xdr:col>
      <xdr:colOff>21167</xdr:colOff>
      <xdr:row>1571</xdr:row>
      <xdr:rowOff>95250</xdr:rowOff>
    </xdr:to>
    <xdr:cxnSp macro="">
      <xdr:nvCxnSpPr>
        <xdr:cNvPr id="4439" name="Straight Arrow Connector 4438">
          <a:extLst>
            <a:ext uri="{FF2B5EF4-FFF2-40B4-BE49-F238E27FC236}">
              <a16:creationId xmlns:a16="http://schemas.microsoft.com/office/drawing/2014/main" id="{00000000-0008-0000-1300-000057110000}"/>
            </a:ext>
          </a:extLst>
        </xdr:cNvPr>
        <xdr:cNvCxnSpPr/>
      </xdr:nvCxnSpPr>
      <xdr:spPr>
        <a:xfrm>
          <a:off x="11324166" y="291496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1551</xdr:row>
      <xdr:rowOff>31750</xdr:rowOff>
    </xdr:from>
    <xdr:to>
      <xdr:col>16</xdr:col>
      <xdr:colOff>42334</xdr:colOff>
      <xdr:row>1558</xdr:row>
      <xdr:rowOff>63501</xdr:rowOff>
    </xdr:to>
    <xdr:cxnSp macro="">
      <xdr:nvCxnSpPr>
        <xdr:cNvPr id="4440" name="Straight Arrow Connector 4439">
          <a:extLst>
            <a:ext uri="{FF2B5EF4-FFF2-40B4-BE49-F238E27FC236}">
              <a16:creationId xmlns:a16="http://schemas.microsoft.com/office/drawing/2014/main" id="{00000000-0008-0000-1300-000058110000}"/>
            </a:ext>
          </a:extLst>
        </xdr:cNvPr>
        <xdr:cNvCxnSpPr/>
      </xdr:nvCxnSpPr>
      <xdr:spPr>
        <a:xfrm>
          <a:off x="11281833" y="288829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1564</xdr:row>
      <xdr:rowOff>31750</xdr:rowOff>
    </xdr:from>
    <xdr:to>
      <xdr:col>16</xdr:col>
      <xdr:colOff>21167</xdr:colOff>
      <xdr:row>1571</xdr:row>
      <xdr:rowOff>95250</xdr:rowOff>
    </xdr:to>
    <xdr:cxnSp macro="">
      <xdr:nvCxnSpPr>
        <xdr:cNvPr id="4441" name="Straight Arrow Connector 4440">
          <a:extLst>
            <a:ext uri="{FF2B5EF4-FFF2-40B4-BE49-F238E27FC236}">
              <a16:creationId xmlns:a16="http://schemas.microsoft.com/office/drawing/2014/main" id="{00000000-0008-0000-1300-000059110000}"/>
            </a:ext>
          </a:extLst>
        </xdr:cNvPr>
        <xdr:cNvCxnSpPr/>
      </xdr:nvCxnSpPr>
      <xdr:spPr>
        <a:xfrm>
          <a:off x="11324166" y="291496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1551</xdr:row>
      <xdr:rowOff>31750</xdr:rowOff>
    </xdr:from>
    <xdr:to>
      <xdr:col>16</xdr:col>
      <xdr:colOff>42334</xdr:colOff>
      <xdr:row>1558</xdr:row>
      <xdr:rowOff>63501</xdr:rowOff>
    </xdr:to>
    <xdr:cxnSp macro="">
      <xdr:nvCxnSpPr>
        <xdr:cNvPr id="4442" name="Straight Arrow Connector 4441">
          <a:extLst>
            <a:ext uri="{FF2B5EF4-FFF2-40B4-BE49-F238E27FC236}">
              <a16:creationId xmlns:a16="http://schemas.microsoft.com/office/drawing/2014/main" id="{00000000-0008-0000-1300-00005A110000}"/>
            </a:ext>
          </a:extLst>
        </xdr:cNvPr>
        <xdr:cNvCxnSpPr/>
      </xdr:nvCxnSpPr>
      <xdr:spPr>
        <a:xfrm>
          <a:off x="11281833" y="288829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1564</xdr:row>
      <xdr:rowOff>31750</xdr:rowOff>
    </xdr:from>
    <xdr:to>
      <xdr:col>16</xdr:col>
      <xdr:colOff>21167</xdr:colOff>
      <xdr:row>1571</xdr:row>
      <xdr:rowOff>95250</xdr:rowOff>
    </xdr:to>
    <xdr:cxnSp macro="">
      <xdr:nvCxnSpPr>
        <xdr:cNvPr id="4443" name="Straight Arrow Connector 4442">
          <a:extLst>
            <a:ext uri="{FF2B5EF4-FFF2-40B4-BE49-F238E27FC236}">
              <a16:creationId xmlns:a16="http://schemas.microsoft.com/office/drawing/2014/main" id="{00000000-0008-0000-1300-00005B110000}"/>
            </a:ext>
          </a:extLst>
        </xdr:cNvPr>
        <xdr:cNvCxnSpPr/>
      </xdr:nvCxnSpPr>
      <xdr:spPr>
        <a:xfrm>
          <a:off x="11324166" y="291496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1564</xdr:row>
      <xdr:rowOff>31750</xdr:rowOff>
    </xdr:from>
    <xdr:to>
      <xdr:col>16</xdr:col>
      <xdr:colOff>21167</xdr:colOff>
      <xdr:row>1571</xdr:row>
      <xdr:rowOff>95250</xdr:rowOff>
    </xdr:to>
    <xdr:cxnSp macro="">
      <xdr:nvCxnSpPr>
        <xdr:cNvPr id="4444" name="Straight Arrow Connector 4443">
          <a:extLst>
            <a:ext uri="{FF2B5EF4-FFF2-40B4-BE49-F238E27FC236}">
              <a16:creationId xmlns:a16="http://schemas.microsoft.com/office/drawing/2014/main" id="{00000000-0008-0000-1300-00005C110000}"/>
            </a:ext>
          </a:extLst>
        </xdr:cNvPr>
        <xdr:cNvCxnSpPr/>
      </xdr:nvCxnSpPr>
      <xdr:spPr>
        <a:xfrm>
          <a:off x="11324166" y="291496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1564</xdr:row>
      <xdr:rowOff>31750</xdr:rowOff>
    </xdr:from>
    <xdr:to>
      <xdr:col>16</xdr:col>
      <xdr:colOff>21167</xdr:colOff>
      <xdr:row>1571</xdr:row>
      <xdr:rowOff>95250</xdr:rowOff>
    </xdr:to>
    <xdr:cxnSp macro="">
      <xdr:nvCxnSpPr>
        <xdr:cNvPr id="4445" name="Straight Arrow Connector 4444">
          <a:extLst>
            <a:ext uri="{FF2B5EF4-FFF2-40B4-BE49-F238E27FC236}">
              <a16:creationId xmlns:a16="http://schemas.microsoft.com/office/drawing/2014/main" id="{00000000-0008-0000-1300-00005D110000}"/>
            </a:ext>
          </a:extLst>
        </xdr:cNvPr>
        <xdr:cNvCxnSpPr/>
      </xdr:nvCxnSpPr>
      <xdr:spPr>
        <a:xfrm>
          <a:off x="11324166" y="291496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1551</xdr:row>
      <xdr:rowOff>31750</xdr:rowOff>
    </xdr:from>
    <xdr:to>
      <xdr:col>16</xdr:col>
      <xdr:colOff>42334</xdr:colOff>
      <xdr:row>1558</xdr:row>
      <xdr:rowOff>63501</xdr:rowOff>
    </xdr:to>
    <xdr:cxnSp macro="">
      <xdr:nvCxnSpPr>
        <xdr:cNvPr id="4446" name="Straight Arrow Connector 4445">
          <a:extLst>
            <a:ext uri="{FF2B5EF4-FFF2-40B4-BE49-F238E27FC236}">
              <a16:creationId xmlns:a16="http://schemas.microsoft.com/office/drawing/2014/main" id="{00000000-0008-0000-1300-00005E110000}"/>
            </a:ext>
          </a:extLst>
        </xdr:cNvPr>
        <xdr:cNvCxnSpPr/>
      </xdr:nvCxnSpPr>
      <xdr:spPr>
        <a:xfrm>
          <a:off x="11281833" y="288829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1564</xdr:row>
      <xdr:rowOff>31750</xdr:rowOff>
    </xdr:from>
    <xdr:to>
      <xdr:col>16</xdr:col>
      <xdr:colOff>21167</xdr:colOff>
      <xdr:row>1571</xdr:row>
      <xdr:rowOff>95250</xdr:rowOff>
    </xdr:to>
    <xdr:cxnSp macro="">
      <xdr:nvCxnSpPr>
        <xdr:cNvPr id="4447" name="Straight Arrow Connector 4446">
          <a:extLst>
            <a:ext uri="{FF2B5EF4-FFF2-40B4-BE49-F238E27FC236}">
              <a16:creationId xmlns:a16="http://schemas.microsoft.com/office/drawing/2014/main" id="{00000000-0008-0000-1300-00005F110000}"/>
            </a:ext>
          </a:extLst>
        </xdr:cNvPr>
        <xdr:cNvCxnSpPr/>
      </xdr:nvCxnSpPr>
      <xdr:spPr>
        <a:xfrm>
          <a:off x="11324166" y="291496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1551</xdr:row>
      <xdr:rowOff>31750</xdr:rowOff>
    </xdr:from>
    <xdr:to>
      <xdr:col>16</xdr:col>
      <xdr:colOff>42334</xdr:colOff>
      <xdr:row>1558</xdr:row>
      <xdr:rowOff>63501</xdr:rowOff>
    </xdr:to>
    <xdr:cxnSp macro="">
      <xdr:nvCxnSpPr>
        <xdr:cNvPr id="4448" name="Straight Arrow Connector 4447">
          <a:extLst>
            <a:ext uri="{FF2B5EF4-FFF2-40B4-BE49-F238E27FC236}">
              <a16:creationId xmlns:a16="http://schemas.microsoft.com/office/drawing/2014/main" id="{00000000-0008-0000-1300-000060110000}"/>
            </a:ext>
          </a:extLst>
        </xdr:cNvPr>
        <xdr:cNvCxnSpPr/>
      </xdr:nvCxnSpPr>
      <xdr:spPr>
        <a:xfrm>
          <a:off x="11281833" y="288829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1564</xdr:row>
      <xdr:rowOff>31750</xdr:rowOff>
    </xdr:from>
    <xdr:to>
      <xdr:col>16</xdr:col>
      <xdr:colOff>21167</xdr:colOff>
      <xdr:row>1571</xdr:row>
      <xdr:rowOff>95250</xdr:rowOff>
    </xdr:to>
    <xdr:cxnSp macro="">
      <xdr:nvCxnSpPr>
        <xdr:cNvPr id="4449" name="Straight Arrow Connector 4448">
          <a:extLst>
            <a:ext uri="{FF2B5EF4-FFF2-40B4-BE49-F238E27FC236}">
              <a16:creationId xmlns:a16="http://schemas.microsoft.com/office/drawing/2014/main" id="{00000000-0008-0000-1300-000061110000}"/>
            </a:ext>
          </a:extLst>
        </xdr:cNvPr>
        <xdr:cNvCxnSpPr/>
      </xdr:nvCxnSpPr>
      <xdr:spPr>
        <a:xfrm>
          <a:off x="11324166" y="291496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1551</xdr:row>
      <xdr:rowOff>31750</xdr:rowOff>
    </xdr:from>
    <xdr:to>
      <xdr:col>16</xdr:col>
      <xdr:colOff>42334</xdr:colOff>
      <xdr:row>1558</xdr:row>
      <xdr:rowOff>63501</xdr:rowOff>
    </xdr:to>
    <xdr:cxnSp macro="">
      <xdr:nvCxnSpPr>
        <xdr:cNvPr id="4450" name="Straight Arrow Connector 4449">
          <a:extLst>
            <a:ext uri="{FF2B5EF4-FFF2-40B4-BE49-F238E27FC236}">
              <a16:creationId xmlns:a16="http://schemas.microsoft.com/office/drawing/2014/main" id="{00000000-0008-0000-1300-000062110000}"/>
            </a:ext>
          </a:extLst>
        </xdr:cNvPr>
        <xdr:cNvCxnSpPr/>
      </xdr:nvCxnSpPr>
      <xdr:spPr>
        <a:xfrm>
          <a:off x="11281833" y="288829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1564</xdr:row>
      <xdr:rowOff>31750</xdr:rowOff>
    </xdr:from>
    <xdr:to>
      <xdr:col>16</xdr:col>
      <xdr:colOff>21167</xdr:colOff>
      <xdr:row>1571</xdr:row>
      <xdr:rowOff>95250</xdr:rowOff>
    </xdr:to>
    <xdr:cxnSp macro="">
      <xdr:nvCxnSpPr>
        <xdr:cNvPr id="4451" name="Straight Arrow Connector 4450">
          <a:extLst>
            <a:ext uri="{FF2B5EF4-FFF2-40B4-BE49-F238E27FC236}">
              <a16:creationId xmlns:a16="http://schemas.microsoft.com/office/drawing/2014/main" id="{00000000-0008-0000-1300-000063110000}"/>
            </a:ext>
          </a:extLst>
        </xdr:cNvPr>
        <xdr:cNvCxnSpPr/>
      </xdr:nvCxnSpPr>
      <xdr:spPr>
        <a:xfrm>
          <a:off x="11324166" y="291496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1577</xdr:row>
      <xdr:rowOff>31750</xdr:rowOff>
    </xdr:from>
    <xdr:to>
      <xdr:col>16</xdr:col>
      <xdr:colOff>42334</xdr:colOff>
      <xdr:row>1584</xdr:row>
      <xdr:rowOff>63501</xdr:rowOff>
    </xdr:to>
    <xdr:cxnSp macro="">
      <xdr:nvCxnSpPr>
        <xdr:cNvPr id="4452" name="Straight Arrow Connector 4451">
          <a:extLst>
            <a:ext uri="{FF2B5EF4-FFF2-40B4-BE49-F238E27FC236}">
              <a16:creationId xmlns:a16="http://schemas.microsoft.com/office/drawing/2014/main" id="{00000000-0008-0000-1300-000064110000}"/>
            </a:ext>
          </a:extLst>
        </xdr:cNvPr>
        <xdr:cNvCxnSpPr/>
      </xdr:nvCxnSpPr>
      <xdr:spPr>
        <a:xfrm>
          <a:off x="11281833" y="293973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1577</xdr:row>
      <xdr:rowOff>31750</xdr:rowOff>
    </xdr:from>
    <xdr:to>
      <xdr:col>16</xdr:col>
      <xdr:colOff>42334</xdr:colOff>
      <xdr:row>1584</xdr:row>
      <xdr:rowOff>63501</xdr:rowOff>
    </xdr:to>
    <xdr:cxnSp macro="">
      <xdr:nvCxnSpPr>
        <xdr:cNvPr id="4453" name="Straight Arrow Connector 4452">
          <a:extLst>
            <a:ext uri="{FF2B5EF4-FFF2-40B4-BE49-F238E27FC236}">
              <a16:creationId xmlns:a16="http://schemas.microsoft.com/office/drawing/2014/main" id="{00000000-0008-0000-1300-000065110000}"/>
            </a:ext>
          </a:extLst>
        </xdr:cNvPr>
        <xdr:cNvCxnSpPr/>
      </xdr:nvCxnSpPr>
      <xdr:spPr>
        <a:xfrm>
          <a:off x="11281833" y="293973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1564</xdr:row>
      <xdr:rowOff>31750</xdr:rowOff>
    </xdr:from>
    <xdr:to>
      <xdr:col>16</xdr:col>
      <xdr:colOff>21167</xdr:colOff>
      <xdr:row>1571</xdr:row>
      <xdr:rowOff>95250</xdr:rowOff>
    </xdr:to>
    <xdr:cxnSp macro="">
      <xdr:nvCxnSpPr>
        <xdr:cNvPr id="4454" name="Straight Arrow Connector 4453">
          <a:extLst>
            <a:ext uri="{FF2B5EF4-FFF2-40B4-BE49-F238E27FC236}">
              <a16:creationId xmlns:a16="http://schemas.microsoft.com/office/drawing/2014/main" id="{00000000-0008-0000-1300-000066110000}"/>
            </a:ext>
          </a:extLst>
        </xdr:cNvPr>
        <xdr:cNvCxnSpPr/>
      </xdr:nvCxnSpPr>
      <xdr:spPr>
        <a:xfrm>
          <a:off x="11324166" y="291496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1564</xdr:row>
      <xdr:rowOff>31750</xdr:rowOff>
    </xdr:from>
    <xdr:to>
      <xdr:col>16</xdr:col>
      <xdr:colOff>21167</xdr:colOff>
      <xdr:row>1571</xdr:row>
      <xdr:rowOff>95250</xdr:rowOff>
    </xdr:to>
    <xdr:cxnSp macro="">
      <xdr:nvCxnSpPr>
        <xdr:cNvPr id="4455" name="Straight Arrow Connector 4454">
          <a:extLst>
            <a:ext uri="{FF2B5EF4-FFF2-40B4-BE49-F238E27FC236}">
              <a16:creationId xmlns:a16="http://schemas.microsoft.com/office/drawing/2014/main" id="{00000000-0008-0000-1300-000067110000}"/>
            </a:ext>
          </a:extLst>
        </xdr:cNvPr>
        <xdr:cNvCxnSpPr/>
      </xdr:nvCxnSpPr>
      <xdr:spPr>
        <a:xfrm>
          <a:off x="11324166" y="291496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1564</xdr:row>
      <xdr:rowOff>31750</xdr:rowOff>
    </xdr:from>
    <xdr:to>
      <xdr:col>16</xdr:col>
      <xdr:colOff>21167</xdr:colOff>
      <xdr:row>1571</xdr:row>
      <xdr:rowOff>95250</xdr:rowOff>
    </xdr:to>
    <xdr:cxnSp macro="">
      <xdr:nvCxnSpPr>
        <xdr:cNvPr id="4456" name="Straight Arrow Connector 4455">
          <a:extLst>
            <a:ext uri="{FF2B5EF4-FFF2-40B4-BE49-F238E27FC236}">
              <a16:creationId xmlns:a16="http://schemas.microsoft.com/office/drawing/2014/main" id="{00000000-0008-0000-1300-000068110000}"/>
            </a:ext>
          </a:extLst>
        </xdr:cNvPr>
        <xdr:cNvCxnSpPr/>
      </xdr:nvCxnSpPr>
      <xdr:spPr>
        <a:xfrm>
          <a:off x="11324166" y="291496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1564</xdr:row>
      <xdr:rowOff>31750</xdr:rowOff>
    </xdr:from>
    <xdr:to>
      <xdr:col>16</xdr:col>
      <xdr:colOff>21167</xdr:colOff>
      <xdr:row>1571</xdr:row>
      <xdr:rowOff>95250</xdr:rowOff>
    </xdr:to>
    <xdr:cxnSp macro="">
      <xdr:nvCxnSpPr>
        <xdr:cNvPr id="4457" name="Straight Arrow Connector 4456">
          <a:extLst>
            <a:ext uri="{FF2B5EF4-FFF2-40B4-BE49-F238E27FC236}">
              <a16:creationId xmlns:a16="http://schemas.microsoft.com/office/drawing/2014/main" id="{00000000-0008-0000-1300-000069110000}"/>
            </a:ext>
          </a:extLst>
        </xdr:cNvPr>
        <xdr:cNvCxnSpPr/>
      </xdr:nvCxnSpPr>
      <xdr:spPr>
        <a:xfrm>
          <a:off x="11324166" y="291496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1564</xdr:row>
      <xdr:rowOff>31750</xdr:rowOff>
    </xdr:from>
    <xdr:to>
      <xdr:col>16</xdr:col>
      <xdr:colOff>21167</xdr:colOff>
      <xdr:row>1571</xdr:row>
      <xdr:rowOff>95250</xdr:rowOff>
    </xdr:to>
    <xdr:cxnSp macro="">
      <xdr:nvCxnSpPr>
        <xdr:cNvPr id="4458" name="Straight Arrow Connector 4457">
          <a:extLst>
            <a:ext uri="{FF2B5EF4-FFF2-40B4-BE49-F238E27FC236}">
              <a16:creationId xmlns:a16="http://schemas.microsoft.com/office/drawing/2014/main" id="{00000000-0008-0000-1300-00006A110000}"/>
            </a:ext>
          </a:extLst>
        </xdr:cNvPr>
        <xdr:cNvCxnSpPr/>
      </xdr:nvCxnSpPr>
      <xdr:spPr>
        <a:xfrm>
          <a:off x="11324166" y="291496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1564</xdr:row>
      <xdr:rowOff>31750</xdr:rowOff>
    </xdr:from>
    <xdr:to>
      <xdr:col>16</xdr:col>
      <xdr:colOff>21167</xdr:colOff>
      <xdr:row>1571</xdr:row>
      <xdr:rowOff>95250</xdr:rowOff>
    </xdr:to>
    <xdr:cxnSp macro="">
      <xdr:nvCxnSpPr>
        <xdr:cNvPr id="4459" name="Straight Arrow Connector 4458">
          <a:extLst>
            <a:ext uri="{FF2B5EF4-FFF2-40B4-BE49-F238E27FC236}">
              <a16:creationId xmlns:a16="http://schemas.microsoft.com/office/drawing/2014/main" id="{00000000-0008-0000-1300-00006B110000}"/>
            </a:ext>
          </a:extLst>
        </xdr:cNvPr>
        <xdr:cNvCxnSpPr/>
      </xdr:nvCxnSpPr>
      <xdr:spPr>
        <a:xfrm>
          <a:off x="11324166" y="291496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1564</xdr:row>
      <xdr:rowOff>31750</xdr:rowOff>
    </xdr:from>
    <xdr:to>
      <xdr:col>16</xdr:col>
      <xdr:colOff>21167</xdr:colOff>
      <xdr:row>1571</xdr:row>
      <xdr:rowOff>95250</xdr:rowOff>
    </xdr:to>
    <xdr:cxnSp macro="">
      <xdr:nvCxnSpPr>
        <xdr:cNvPr id="4460" name="Straight Arrow Connector 4459">
          <a:extLst>
            <a:ext uri="{FF2B5EF4-FFF2-40B4-BE49-F238E27FC236}">
              <a16:creationId xmlns:a16="http://schemas.microsoft.com/office/drawing/2014/main" id="{00000000-0008-0000-1300-00006C110000}"/>
            </a:ext>
          </a:extLst>
        </xdr:cNvPr>
        <xdr:cNvCxnSpPr/>
      </xdr:nvCxnSpPr>
      <xdr:spPr>
        <a:xfrm>
          <a:off x="11324166" y="291496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1551</xdr:row>
      <xdr:rowOff>31750</xdr:rowOff>
    </xdr:from>
    <xdr:to>
      <xdr:col>16</xdr:col>
      <xdr:colOff>42334</xdr:colOff>
      <xdr:row>1558</xdr:row>
      <xdr:rowOff>63501</xdr:rowOff>
    </xdr:to>
    <xdr:cxnSp macro="">
      <xdr:nvCxnSpPr>
        <xdr:cNvPr id="4461" name="Straight Arrow Connector 4460">
          <a:extLst>
            <a:ext uri="{FF2B5EF4-FFF2-40B4-BE49-F238E27FC236}">
              <a16:creationId xmlns:a16="http://schemas.microsoft.com/office/drawing/2014/main" id="{00000000-0008-0000-1300-00006D110000}"/>
            </a:ext>
          </a:extLst>
        </xdr:cNvPr>
        <xdr:cNvCxnSpPr/>
      </xdr:nvCxnSpPr>
      <xdr:spPr>
        <a:xfrm>
          <a:off x="11281833" y="288829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1564</xdr:row>
      <xdr:rowOff>31750</xdr:rowOff>
    </xdr:from>
    <xdr:to>
      <xdr:col>16</xdr:col>
      <xdr:colOff>21167</xdr:colOff>
      <xdr:row>1571</xdr:row>
      <xdr:rowOff>95250</xdr:rowOff>
    </xdr:to>
    <xdr:cxnSp macro="">
      <xdr:nvCxnSpPr>
        <xdr:cNvPr id="4462" name="Straight Arrow Connector 4461">
          <a:extLst>
            <a:ext uri="{FF2B5EF4-FFF2-40B4-BE49-F238E27FC236}">
              <a16:creationId xmlns:a16="http://schemas.microsoft.com/office/drawing/2014/main" id="{00000000-0008-0000-1300-00006E110000}"/>
            </a:ext>
          </a:extLst>
        </xdr:cNvPr>
        <xdr:cNvCxnSpPr/>
      </xdr:nvCxnSpPr>
      <xdr:spPr>
        <a:xfrm>
          <a:off x="11324166" y="291496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1551</xdr:row>
      <xdr:rowOff>31750</xdr:rowOff>
    </xdr:from>
    <xdr:to>
      <xdr:col>16</xdr:col>
      <xdr:colOff>42334</xdr:colOff>
      <xdr:row>1558</xdr:row>
      <xdr:rowOff>63501</xdr:rowOff>
    </xdr:to>
    <xdr:cxnSp macro="">
      <xdr:nvCxnSpPr>
        <xdr:cNvPr id="4463" name="Straight Arrow Connector 4462">
          <a:extLst>
            <a:ext uri="{FF2B5EF4-FFF2-40B4-BE49-F238E27FC236}">
              <a16:creationId xmlns:a16="http://schemas.microsoft.com/office/drawing/2014/main" id="{00000000-0008-0000-1300-00006F110000}"/>
            </a:ext>
          </a:extLst>
        </xdr:cNvPr>
        <xdr:cNvCxnSpPr/>
      </xdr:nvCxnSpPr>
      <xdr:spPr>
        <a:xfrm>
          <a:off x="11281833" y="288829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1564</xdr:row>
      <xdr:rowOff>31750</xdr:rowOff>
    </xdr:from>
    <xdr:to>
      <xdr:col>16</xdr:col>
      <xdr:colOff>21167</xdr:colOff>
      <xdr:row>1571</xdr:row>
      <xdr:rowOff>95250</xdr:rowOff>
    </xdr:to>
    <xdr:cxnSp macro="">
      <xdr:nvCxnSpPr>
        <xdr:cNvPr id="4464" name="Straight Arrow Connector 4463">
          <a:extLst>
            <a:ext uri="{FF2B5EF4-FFF2-40B4-BE49-F238E27FC236}">
              <a16:creationId xmlns:a16="http://schemas.microsoft.com/office/drawing/2014/main" id="{00000000-0008-0000-1300-000070110000}"/>
            </a:ext>
          </a:extLst>
        </xdr:cNvPr>
        <xdr:cNvCxnSpPr/>
      </xdr:nvCxnSpPr>
      <xdr:spPr>
        <a:xfrm>
          <a:off x="11324166" y="291496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1551</xdr:row>
      <xdr:rowOff>31750</xdr:rowOff>
    </xdr:from>
    <xdr:to>
      <xdr:col>16</xdr:col>
      <xdr:colOff>42334</xdr:colOff>
      <xdr:row>1558</xdr:row>
      <xdr:rowOff>63501</xdr:rowOff>
    </xdr:to>
    <xdr:cxnSp macro="">
      <xdr:nvCxnSpPr>
        <xdr:cNvPr id="4465" name="Straight Arrow Connector 4464">
          <a:extLst>
            <a:ext uri="{FF2B5EF4-FFF2-40B4-BE49-F238E27FC236}">
              <a16:creationId xmlns:a16="http://schemas.microsoft.com/office/drawing/2014/main" id="{00000000-0008-0000-1300-000071110000}"/>
            </a:ext>
          </a:extLst>
        </xdr:cNvPr>
        <xdr:cNvCxnSpPr/>
      </xdr:nvCxnSpPr>
      <xdr:spPr>
        <a:xfrm>
          <a:off x="11281833" y="288829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1564</xdr:row>
      <xdr:rowOff>31750</xdr:rowOff>
    </xdr:from>
    <xdr:to>
      <xdr:col>16</xdr:col>
      <xdr:colOff>21167</xdr:colOff>
      <xdr:row>1571</xdr:row>
      <xdr:rowOff>95250</xdr:rowOff>
    </xdr:to>
    <xdr:cxnSp macro="">
      <xdr:nvCxnSpPr>
        <xdr:cNvPr id="4466" name="Straight Arrow Connector 4465">
          <a:extLst>
            <a:ext uri="{FF2B5EF4-FFF2-40B4-BE49-F238E27FC236}">
              <a16:creationId xmlns:a16="http://schemas.microsoft.com/office/drawing/2014/main" id="{00000000-0008-0000-1300-000072110000}"/>
            </a:ext>
          </a:extLst>
        </xdr:cNvPr>
        <xdr:cNvCxnSpPr/>
      </xdr:nvCxnSpPr>
      <xdr:spPr>
        <a:xfrm>
          <a:off x="11324166" y="291496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1577</xdr:row>
      <xdr:rowOff>31750</xdr:rowOff>
    </xdr:from>
    <xdr:to>
      <xdr:col>16</xdr:col>
      <xdr:colOff>42334</xdr:colOff>
      <xdr:row>1584</xdr:row>
      <xdr:rowOff>63501</xdr:rowOff>
    </xdr:to>
    <xdr:cxnSp macro="">
      <xdr:nvCxnSpPr>
        <xdr:cNvPr id="4467" name="Straight Arrow Connector 4466">
          <a:extLst>
            <a:ext uri="{FF2B5EF4-FFF2-40B4-BE49-F238E27FC236}">
              <a16:creationId xmlns:a16="http://schemas.microsoft.com/office/drawing/2014/main" id="{00000000-0008-0000-1300-000073110000}"/>
            </a:ext>
          </a:extLst>
        </xdr:cNvPr>
        <xdr:cNvCxnSpPr/>
      </xdr:nvCxnSpPr>
      <xdr:spPr>
        <a:xfrm>
          <a:off x="11281833" y="293973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1577</xdr:row>
      <xdr:rowOff>31750</xdr:rowOff>
    </xdr:from>
    <xdr:to>
      <xdr:col>16</xdr:col>
      <xdr:colOff>42334</xdr:colOff>
      <xdr:row>1584</xdr:row>
      <xdr:rowOff>63501</xdr:rowOff>
    </xdr:to>
    <xdr:cxnSp macro="">
      <xdr:nvCxnSpPr>
        <xdr:cNvPr id="4468" name="Straight Arrow Connector 4467">
          <a:extLst>
            <a:ext uri="{FF2B5EF4-FFF2-40B4-BE49-F238E27FC236}">
              <a16:creationId xmlns:a16="http://schemas.microsoft.com/office/drawing/2014/main" id="{00000000-0008-0000-1300-000074110000}"/>
            </a:ext>
          </a:extLst>
        </xdr:cNvPr>
        <xdr:cNvCxnSpPr/>
      </xdr:nvCxnSpPr>
      <xdr:spPr>
        <a:xfrm>
          <a:off x="11281833" y="293973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1551</xdr:row>
      <xdr:rowOff>31750</xdr:rowOff>
    </xdr:from>
    <xdr:to>
      <xdr:col>16</xdr:col>
      <xdr:colOff>42334</xdr:colOff>
      <xdr:row>1558</xdr:row>
      <xdr:rowOff>63501</xdr:rowOff>
    </xdr:to>
    <xdr:cxnSp macro="">
      <xdr:nvCxnSpPr>
        <xdr:cNvPr id="4469" name="Straight Arrow Connector 4468">
          <a:extLst>
            <a:ext uri="{FF2B5EF4-FFF2-40B4-BE49-F238E27FC236}">
              <a16:creationId xmlns:a16="http://schemas.microsoft.com/office/drawing/2014/main" id="{00000000-0008-0000-1300-000075110000}"/>
            </a:ext>
          </a:extLst>
        </xdr:cNvPr>
        <xdr:cNvCxnSpPr/>
      </xdr:nvCxnSpPr>
      <xdr:spPr>
        <a:xfrm>
          <a:off x="11281833" y="288829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1564</xdr:row>
      <xdr:rowOff>31750</xdr:rowOff>
    </xdr:from>
    <xdr:to>
      <xdr:col>16</xdr:col>
      <xdr:colOff>21167</xdr:colOff>
      <xdr:row>1571</xdr:row>
      <xdr:rowOff>95250</xdr:rowOff>
    </xdr:to>
    <xdr:cxnSp macro="">
      <xdr:nvCxnSpPr>
        <xdr:cNvPr id="4470" name="Straight Arrow Connector 4469">
          <a:extLst>
            <a:ext uri="{FF2B5EF4-FFF2-40B4-BE49-F238E27FC236}">
              <a16:creationId xmlns:a16="http://schemas.microsoft.com/office/drawing/2014/main" id="{00000000-0008-0000-1300-000076110000}"/>
            </a:ext>
          </a:extLst>
        </xdr:cNvPr>
        <xdr:cNvCxnSpPr/>
      </xdr:nvCxnSpPr>
      <xdr:spPr>
        <a:xfrm>
          <a:off x="11324166" y="291496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1551</xdr:row>
      <xdr:rowOff>31750</xdr:rowOff>
    </xdr:from>
    <xdr:to>
      <xdr:col>16</xdr:col>
      <xdr:colOff>42334</xdr:colOff>
      <xdr:row>1558</xdr:row>
      <xdr:rowOff>63501</xdr:rowOff>
    </xdr:to>
    <xdr:cxnSp macro="">
      <xdr:nvCxnSpPr>
        <xdr:cNvPr id="4471" name="Straight Arrow Connector 4470">
          <a:extLst>
            <a:ext uri="{FF2B5EF4-FFF2-40B4-BE49-F238E27FC236}">
              <a16:creationId xmlns:a16="http://schemas.microsoft.com/office/drawing/2014/main" id="{00000000-0008-0000-1300-000077110000}"/>
            </a:ext>
          </a:extLst>
        </xdr:cNvPr>
        <xdr:cNvCxnSpPr/>
      </xdr:nvCxnSpPr>
      <xdr:spPr>
        <a:xfrm>
          <a:off x="11281833" y="288829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1564</xdr:row>
      <xdr:rowOff>31750</xdr:rowOff>
    </xdr:from>
    <xdr:to>
      <xdr:col>16</xdr:col>
      <xdr:colOff>21167</xdr:colOff>
      <xdr:row>1571</xdr:row>
      <xdr:rowOff>95250</xdr:rowOff>
    </xdr:to>
    <xdr:cxnSp macro="">
      <xdr:nvCxnSpPr>
        <xdr:cNvPr id="4472" name="Straight Arrow Connector 4471">
          <a:extLst>
            <a:ext uri="{FF2B5EF4-FFF2-40B4-BE49-F238E27FC236}">
              <a16:creationId xmlns:a16="http://schemas.microsoft.com/office/drawing/2014/main" id="{00000000-0008-0000-1300-000078110000}"/>
            </a:ext>
          </a:extLst>
        </xdr:cNvPr>
        <xdr:cNvCxnSpPr/>
      </xdr:nvCxnSpPr>
      <xdr:spPr>
        <a:xfrm>
          <a:off x="11324166" y="291496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1551</xdr:row>
      <xdr:rowOff>31750</xdr:rowOff>
    </xdr:from>
    <xdr:to>
      <xdr:col>16</xdr:col>
      <xdr:colOff>42334</xdr:colOff>
      <xdr:row>1558</xdr:row>
      <xdr:rowOff>63501</xdr:rowOff>
    </xdr:to>
    <xdr:cxnSp macro="">
      <xdr:nvCxnSpPr>
        <xdr:cNvPr id="4473" name="Straight Arrow Connector 4472">
          <a:extLst>
            <a:ext uri="{FF2B5EF4-FFF2-40B4-BE49-F238E27FC236}">
              <a16:creationId xmlns:a16="http://schemas.microsoft.com/office/drawing/2014/main" id="{00000000-0008-0000-1300-000079110000}"/>
            </a:ext>
          </a:extLst>
        </xdr:cNvPr>
        <xdr:cNvCxnSpPr/>
      </xdr:nvCxnSpPr>
      <xdr:spPr>
        <a:xfrm>
          <a:off x="11281833" y="288829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1564</xdr:row>
      <xdr:rowOff>31750</xdr:rowOff>
    </xdr:from>
    <xdr:to>
      <xdr:col>16</xdr:col>
      <xdr:colOff>21167</xdr:colOff>
      <xdr:row>1571</xdr:row>
      <xdr:rowOff>95250</xdr:rowOff>
    </xdr:to>
    <xdr:cxnSp macro="">
      <xdr:nvCxnSpPr>
        <xdr:cNvPr id="4474" name="Straight Arrow Connector 4473">
          <a:extLst>
            <a:ext uri="{FF2B5EF4-FFF2-40B4-BE49-F238E27FC236}">
              <a16:creationId xmlns:a16="http://schemas.microsoft.com/office/drawing/2014/main" id="{00000000-0008-0000-1300-00007A110000}"/>
            </a:ext>
          </a:extLst>
        </xdr:cNvPr>
        <xdr:cNvCxnSpPr/>
      </xdr:nvCxnSpPr>
      <xdr:spPr>
        <a:xfrm>
          <a:off x="11324166" y="291496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1551</xdr:row>
      <xdr:rowOff>31750</xdr:rowOff>
    </xdr:from>
    <xdr:to>
      <xdr:col>16</xdr:col>
      <xdr:colOff>42334</xdr:colOff>
      <xdr:row>1558</xdr:row>
      <xdr:rowOff>63501</xdr:rowOff>
    </xdr:to>
    <xdr:cxnSp macro="">
      <xdr:nvCxnSpPr>
        <xdr:cNvPr id="4475" name="Straight Arrow Connector 4474">
          <a:extLst>
            <a:ext uri="{FF2B5EF4-FFF2-40B4-BE49-F238E27FC236}">
              <a16:creationId xmlns:a16="http://schemas.microsoft.com/office/drawing/2014/main" id="{00000000-0008-0000-1300-00007B110000}"/>
            </a:ext>
          </a:extLst>
        </xdr:cNvPr>
        <xdr:cNvCxnSpPr/>
      </xdr:nvCxnSpPr>
      <xdr:spPr>
        <a:xfrm>
          <a:off x="11281833" y="288829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1564</xdr:row>
      <xdr:rowOff>31750</xdr:rowOff>
    </xdr:from>
    <xdr:to>
      <xdr:col>16</xdr:col>
      <xdr:colOff>21167</xdr:colOff>
      <xdr:row>1571</xdr:row>
      <xdr:rowOff>95250</xdr:rowOff>
    </xdr:to>
    <xdr:cxnSp macro="">
      <xdr:nvCxnSpPr>
        <xdr:cNvPr id="4476" name="Straight Arrow Connector 4475">
          <a:extLst>
            <a:ext uri="{FF2B5EF4-FFF2-40B4-BE49-F238E27FC236}">
              <a16:creationId xmlns:a16="http://schemas.microsoft.com/office/drawing/2014/main" id="{00000000-0008-0000-1300-00007C110000}"/>
            </a:ext>
          </a:extLst>
        </xdr:cNvPr>
        <xdr:cNvCxnSpPr/>
      </xdr:nvCxnSpPr>
      <xdr:spPr>
        <a:xfrm>
          <a:off x="11324166" y="291496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1551</xdr:row>
      <xdr:rowOff>31750</xdr:rowOff>
    </xdr:from>
    <xdr:to>
      <xdr:col>16</xdr:col>
      <xdr:colOff>42334</xdr:colOff>
      <xdr:row>1558</xdr:row>
      <xdr:rowOff>63501</xdr:rowOff>
    </xdr:to>
    <xdr:cxnSp macro="">
      <xdr:nvCxnSpPr>
        <xdr:cNvPr id="4477" name="Straight Arrow Connector 4476">
          <a:extLst>
            <a:ext uri="{FF2B5EF4-FFF2-40B4-BE49-F238E27FC236}">
              <a16:creationId xmlns:a16="http://schemas.microsoft.com/office/drawing/2014/main" id="{00000000-0008-0000-1300-00007D110000}"/>
            </a:ext>
          </a:extLst>
        </xdr:cNvPr>
        <xdr:cNvCxnSpPr/>
      </xdr:nvCxnSpPr>
      <xdr:spPr>
        <a:xfrm>
          <a:off x="11281833" y="288829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1564</xdr:row>
      <xdr:rowOff>31750</xdr:rowOff>
    </xdr:from>
    <xdr:to>
      <xdr:col>16</xdr:col>
      <xdr:colOff>21167</xdr:colOff>
      <xdr:row>1571</xdr:row>
      <xdr:rowOff>95250</xdr:rowOff>
    </xdr:to>
    <xdr:cxnSp macro="">
      <xdr:nvCxnSpPr>
        <xdr:cNvPr id="4478" name="Straight Arrow Connector 4477">
          <a:extLst>
            <a:ext uri="{FF2B5EF4-FFF2-40B4-BE49-F238E27FC236}">
              <a16:creationId xmlns:a16="http://schemas.microsoft.com/office/drawing/2014/main" id="{00000000-0008-0000-1300-00007E110000}"/>
            </a:ext>
          </a:extLst>
        </xdr:cNvPr>
        <xdr:cNvCxnSpPr/>
      </xdr:nvCxnSpPr>
      <xdr:spPr>
        <a:xfrm>
          <a:off x="11324166" y="291496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1551</xdr:row>
      <xdr:rowOff>31750</xdr:rowOff>
    </xdr:from>
    <xdr:to>
      <xdr:col>16</xdr:col>
      <xdr:colOff>42334</xdr:colOff>
      <xdr:row>1558</xdr:row>
      <xdr:rowOff>63501</xdr:rowOff>
    </xdr:to>
    <xdr:cxnSp macro="">
      <xdr:nvCxnSpPr>
        <xdr:cNvPr id="4479" name="Straight Arrow Connector 4478">
          <a:extLst>
            <a:ext uri="{FF2B5EF4-FFF2-40B4-BE49-F238E27FC236}">
              <a16:creationId xmlns:a16="http://schemas.microsoft.com/office/drawing/2014/main" id="{00000000-0008-0000-1300-00007F110000}"/>
            </a:ext>
          </a:extLst>
        </xdr:cNvPr>
        <xdr:cNvCxnSpPr/>
      </xdr:nvCxnSpPr>
      <xdr:spPr>
        <a:xfrm>
          <a:off x="11281833" y="288829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1564</xdr:row>
      <xdr:rowOff>31750</xdr:rowOff>
    </xdr:from>
    <xdr:to>
      <xdr:col>16</xdr:col>
      <xdr:colOff>21167</xdr:colOff>
      <xdr:row>1571</xdr:row>
      <xdr:rowOff>95250</xdr:rowOff>
    </xdr:to>
    <xdr:cxnSp macro="">
      <xdr:nvCxnSpPr>
        <xdr:cNvPr id="4480" name="Straight Arrow Connector 4479">
          <a:extLst>
            <a:ext uri="{FF2B5EF4-FFF2-40B4-BE49-F238E27FC236}">
              <a16:creationId xmlns:a16="http://schemas.microsoft.com/office/drawing/2014/main" id="{00000000-0008-0000-1300-000080110000}"/>
            </a:ext>
          </a:extLst>
        </xdr:cNvPr>
        <xdr:cNvCxnSpPr/>
      </xdr:nvCxnSpPr>
      <xdr:spPr>
        <a:xfrm>
          <a:off x="11324166" y="291496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1551</xdr:row>
      <xdr:rowOff>31750</xdr:rowOff>
    </xdr:from>
    <xdr:to>
      <xdr:col>16</xdr:col>
      <xdr:colOff>42334</xdr:colOff>
      <xdr:row>1558</xdr:row>
      <xdr:rowOff>63501</xdr:rowOff>
    </xdr:to>
    <xdr:cxnSp macro="">
      <xdr:nvCxnSpPr>
        <xdr:cNvPr id="4481" name="Straight Arrow Connector 4480">
          <a:extLst>
            <a:ext uri="{FF2B5EF4-FFF2-40B4-BE49-F238E27FC236}">
              <a16:creationId xmlns:a16="http://schemas.microsoft.com/office/drawing/2014/main" id="{00000000-0008-0000-1300-000081110000}"/>
            </a:ext>
          </a:extLst>
        </xdr:cNvPr>
        <xdr:cNvCxnSpPr/>
      </xdr:nvCxnSpPr>
      <xdr:spPr>
        <a:xfrm>
          <a:off x="11281833" y="288829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1564</xdr:row>
      <xdr:rowOff>31750</xdr:rowOff>
    </xdr:from>
    <xdr:to>
      <xdr:col>16</xdr:col>
      <xdr:colOff>21167</xdr:colOff>
      <xdr:row>1571</xdr:row>
      <xdr:rowOff>95250</xdr:rowOff>
    </xdr:to>
    <xdr:cxnSp macro="">
      <xdr:nvCxnSpPr>
        <xdr:cNvPr id="4482" name="Straight Arrow Connector 4481">
          <a:extLst>
            <a:ext uri="{FF2B5EF4-FFF2-40B4-BE49-F238E27FC236}">
              <a16:creationId xmlns:a16="http://schemas.microsoft.com/office/drawing/2014/main" id="{00000000-0008-0000-1300-000082110000}"/>
            </a:ext>
          </a:extLst>
        </xdr:cNvPr>
        <xdr:cNvCxnSpPr/>
      </xdr:nvCxnSpPr>
      <xdr:spPr>
        <a:xfrm>
          <a:off x="11324166" y="291496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1577</xdr:row>
      <xdr:rowOff>31750</xdr:rowOff>
    </xdr:from>
    <xdr:to>
      <xdr:col>16</xdr:col>
      <xdr:colOff>42334</xdr:colOff>
      <xdr:row>1584</xdr:row>
      <xdr:rowOff>63501</xdr:rowOff>
    </xdr:to>
    <xdr:cxnSp macro="">
      <xdr:nvCxnSpPr>
        <xdr:cNvPr id="4483" name="Straight Arrow Connector 4482">
          <a:extLst>
            <a:ext uri="{FF2B5EF4-FFF2-40B4-BE49-F238E27FC236}">
              <a16:creationId xmlns:a16="http://schemas.microsoft.com/office/drawing/2014/main" id="{00000000-0008-0000-1300-000083110000}"/>
            </a:ext>
          </a:extLst>
        </xdr:cNvPr>
        <xdr:cNvCxnSpPr/>
      </xdr:nvCxnSpPr>
      <xdr:spPr>
        <a:xfrm>
          <a:off x="11281833" y="293973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1577</xdr:row>
      <xdr:rowOff>31750</xdr:rowOff>
    </xdr:from>
    <xdr:to>
      <xdr:col>16</xdr:col>
      <xdr:colOff>42334</xdr:colOff>
      <xdr:row>1584</xdr:row>
      <xdr:rowOff>63501</xdr:rowOff>
    </xdr:to>
    <xdr:cxnSp macro="">
      <xdr:nvCxnSpPr>
        <xdr:cNvPr id="4484" name="Straight Arrow Connector 4483">
          <a:extLst>
            <a:ext uri="{FF2B5EF4-FFF2-40B4-BE49-F238E27FC236}">
              <a16:creationId xmlns:a16="http://schemas.microsoft.com/office/drawing/2014/main" id="{00000000-0008-0000-1300-000084110000}"/>
            </a:ext>
          </a:extLst>
        </xdr:cNvPr>
        <xdr:cNvCxnSpPr/>
      </xdr:nvCxnSpPr>
      <xdr:spPr>
        <a:xfrm>
          <a:off x="11281833" y="293973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1620</xdr:row>
      <xdr:rowOff>31750</xdr:rowOff>
    </xdr:from>
    <xdr:to>
      <xdr:col>16</xdr:col>
      <xdr:colOff>21167</xdr:colOff>
      <xdr:row>1627</xdr:row>
      <xdr:rowOff>95250</xdr:rowOff>
    </xdr:to>
    <xdr:cxnSp macro="">
      <xdr:nvCxnSpPr>
        <xdr:cNvPr id="4485" name="Straight Arrow Connector 4484">
          <a:extLst>
            <a:ext uri="{FF2B5EF4-FFF2-40B4-BE49-F238E27FC236}">
              <a16:creationId xmlns:a16="http://schemas.microsoft.com/office/drawing/2014/main" id="{00000000-0008-0000-1300-000085110000}"/>
            </a:ext>
          </a:extLst>
        </xdr:cNvPr>
        <xdr:cNvCxnSpPr/>
      </xdr:nvCxnSpPr>
      <xdr:spPr>
        <a:xfrm>
          <a:off x="11324166" y="302355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1620</xdr:row>
      <xdr:rowOff>31750</xdr:rowOff>
    </xdr:from>
    <xdr:to>
      <xdr:col>16</xdr:col>
      <xdr:colOff>21167</xdr:colOff>
      <xdr:row>1627</xdr:row>
      <xdr:rowOff>95250</xdr:rowOff>
    </xdr:to>
    <xdr:cxnSp macro="">
      <xdr:nvCxnSpPr>
        <xdr:cNvPr id="4486" name="Straight Arrow Connector 4485">
          <a:extLst>
            <a:ext uri="{FF2B5EF4-FFF2-40B4-BE49-F238E27FC236}">
              <a16:creationId xmlns:a16="http://schemas.microsoft.com/office/drawing/2014/main" id="{00000000-0008-0000-1300-000086110000}"/>
            </a:ext>
          </a:extLst>
        </xdr:cNvPr>
        <xdr:cNvCxnSpPr/>
      </xdr:nvCxnSpPr>
      <xdr:spPr>
        <a:xfrm>
          <a:off x="11324166" y="302355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1620</xdr:row>
      <xdr:rowOff>31750</xdr:rowOff>
    </xdr:from>
    <xdr:to>
      <xdr:col>16</xdr:col>
      <xdr:colOff>21167</xdr:colOff>
      <xdr:row>1627</xdr:row>
      <xdr:rowOff>95250</xdr:rowOff>
    </xdr:to>
    <xdr:cxnSp macro="">
      <xdr:nvCxnSpPr>
        <xdr:cNvPr id="4487" name="Straight Arrow Connector 4486">
          <a:extLst>
            <a:ext uri="{FF2B5EF4-FFF2-40B4-BE49-F238E27FC236}">
              <a16:creationId xmlns:a16="http://schemas.microsoft.com/office/drawing/2014/main" id="{00000000-0008-0000-1300-000087110000}"/>
            </a:ext>
          </a:extLst>
        </xdr:cNvPr>
        <xdr:cNvCxnSpPr/>
      </xdr:nvCxnSpPr>
      <xdr:spPr>
        <a:xfrm>
          <a:off x="11324166" y="302355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1620</xdr:row>
      <xdr:rowOff>31750</xdr:rowOff>
    </xdr:from>
    <xdr:to>
      <xdr:col>16</xdr:col>
      <xdr:colOff>21167</xdr:colOff>
      <xdr:row>1627</xdr:row>
      <xdr:rowOff>95250</xdr:rowOff>
    </xdr:to>
    <xdr:cxnSp macro="">
      <xdr:nvCxnSpPr>
        <xdr:cNvPr id="4488" name="Straight Arrow Connector 4487">
          <a:extLst>
            <a:ext uri="{FF2B5EF4-FFF2-40B4-BE49-F238E27FC236}">
              <a16:creationId xmlns:a16="http://schemas.microsoft.com/office/drawing/2014/main" id="{00000000-0008-0000-1300-000088110000}"/>
            </a:ext>
          </a:extLst>
        </xdr:cNvPr>
        <xdr:cNvCxnSpPr/>
      </xdr:nvCxnSpPr>
      <xdr:spPr>
        <a:xfrm>
          <a:off x="11324166" y="302355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1620</xdr:row>
      <xdr:rowOff>31750</xdr:rowOff>
    </xdr:from>
    <xdr:to>
      <xdr:col>16</xdr:col>
      <xdr:colOff>21167</xdr:colOff>
      <xdr:row>1627</xdr:row>
      <xdr:rowOff>95250</xdr:rowOff>
    </xdr:to>
    <xdr:cxnSp macro="">
      <xdr:nvCxnSpPr>
        <xdr:cNvPr id="4489" name="Straight Arrow Connector 4488">
          <a:extLst>
            <a:ext uri="{FF2B5EF4-FFF2-40B4-BE49-F238E27FC236}">
              <a16:creationId xmlns:a16="http://schemas.microsoft.com/office/drawing/2014/main" id="{00000000-0008-0000-1300-000089110000}"/>
            </a:ext>
          </a:extLst>
        </xdr:cNvPr>
        <xdr:cNvCxnSpPr/>
      </xdr:nvCxnSpPr>
      <xdr:spPr>
        <a:xfrm>
          <a:off x="11324166" y="302355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1620</xdr:row>
      <xdr:rowOff>31750</xdr:rowOff>
    </xdr:from>
    <xdr:to>
      <xdr:col>16</xdr:col>
      <xdr:colOff>21167</xdr:colOff>
      <xdr:row>1627</xdr:row>
      <xdr:rowOff>95250</xdr:rowOff>
    </xdr:to>
    <xdr:cxnSp macro="">
      <xdr:nvCxnSpPr>
        <xdr:cNvPr id="4490" name="Straight Arrow Connector 4489">
          <a:extLst>
            <a:ext uri="{FF2B5EF4-FFF2-40B4-BE49-F238E27FC236}">
              <a16:creationId xmlns:a16="http://schemas.microsoft.com/office/drawing/2014/main" id="{00000000-0008-0000-1300-00008A110000}"/>
            </a:ext>
          </a:extLst>
        </xdr:cNvPr>
        <xdr:cNvCxnSpPr/>
      </xdr:nvCxnSpPr>
      <xdr:spPr>
        <a:xfrm>
          <a:off x="11324166" y="302355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1620</xdr:row>
      <xdr:rowOff>31750</xdr:rowOff>
    </xdr:from>
    <xdr:to>
      <xdr:col>16</xdr:col>
      <xdr:colOff>21167</xdr:colOff>
      <xdr:row>1627</xdr:row>
      <xdr:rowOff>95250</xdr:rowOff>
    </xdr:to>
    <xdr:cxnSp macro="">
      <xdr:nvCxnSpPr>
        <xdr:cNvPr id="4491" name="Straight Arrow Connector 4490">
          <a:extLst>
            <a:ext uri="{FF2B5EF4-FFF2-40B4-BE49-F238E27FC236}">
              <a16:creationId xmlns:a16="http://schemas.microsoft.com/office/drawing/2014/main" id="{00000000-0008-0000-1300-00008B110000}"/>
            </a:ext>
          </a:extLst>
        </xdr:cNvPr>
        <xdr:cNvCxnSpPr/>
      </xdr:nvCxnSpPr>
      <xdr:spPr>
        <a:xfrm>
          <a:off x="11324166" y="302355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1620</xdr:row>
      <xdr:rowOff>31750</xdr:rowOff>
    </xdr:from>
    <xdr:to>
      <xdr:col>16</xdr:col>
      <xdr:colOff>21167</xdr:colOff>
      <xdr:row>1627</xdr:row>
      <xdr:rowOff>95250</xdr:rowOff>
    </xdr:to>
    <xdr:cxnSp macro="">
      <xdr:nvCxnSpPr>
        <xdr:cNvPr id="4492" name="Straight Arrow Connector 4491">
          <a:extLst>
            <a:ext uri="{FF2B5EF4-FFF2-40B4-BE49-F238E27FC236}">
              <a16:creationId xmlns:a16="http://schemas.microsoft.com/office/drawing/2014/main" id="{00000000-0008-0000-1300-00008C110000}"/>
            </a:ext>
          </a:extLst>
        </xdr:cNvPr>
        <xdr:cNvCxnSpPr/>
      </xdr:nvCxnSpPr>
      <xdr:spPr>
        <a:xfrm>
          <a:off x="11324166" y="302355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1607</xdr:row>
      <xdr:rowOff>31750</xdr:rowOff>
    </xdr:from>
    <xdr:to>
      <xdr:col>16</xdr:col>
      <xdr:colOff>42334</xdr:colOff>
      <xdr:row>1614</xdr:row>
      <xdr:rowOff>63501</xdr:rowOff>
    </xdr:to>
    <xdr:cxnSp macro="">
      <xdr:nvCxnSpPr>
        <xdr:cNvPr id="4493" name="Straight Arrow Connector 4492">
          <a:extLst>
            <a:ext uri="{FF2B5EF4-FFF2-40B4-BE49-F238E27FC236}">
              <a16:creationId xmlns:a16="http://schemas.microsoft.com/office/drawing/2014/main" id="{00000000-0008-0000-1300-00008D110000}"/>
            </a:ext>
          </a:extLst>
        </xdr:cNvPr>
        <xdr:cNvCxnSpPr/>
      </xdr:nvCxnSpPr>
      <xdr:spPr>
        <a:xfrm>
          <a:off x="11281833" y="299688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1620</xdr:row>
      <xdr:rowOff>31750</xdr:rowOff>
    </xdr:from>
    <xdr:to>
      <xdr:col>16</xdr:col>
      <xdr:colOff>21167</xdr:colOff>
      <xdr:row>1627</xdr:row>
      <xdr:rowOff>95250</xdr:rowOff>
    </xdr:to>
    <xdr:cxnSp macro="">
      <xdr:nvCxnSpPr>
        <xdr:cNvPr id="4494" name="Straight Arrow Connector 4493">
          <a:extLst>
            <a:ext uri="{FF2B5EF4-FFF2-40B4-BE49-F238E27FC236}">
              <a16:creationId xmlns:a16="http://schemas.microsoft.com/office/drawing/2014/main" id="{00000000-0008-0000-1300-00008E110000}"/>
            </a:ext>
          </a:extLst>
        </xdr:cNvPr>
        <xdr:cNvCxnSpPr/>
      </xdr:nvCxnSpPr>
      <xdr:spPr>
        <a:xfrm>
          <a:off x="11324166" y="302355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1607</xdr:row>
      <xdr:rowOff>31750</xdr:rowOff>
    </xdr:from>
    <xdr:to>
      <xdr:col>16</xdr:col>
      <xdr:colOff>42334</xdr:colOff>
      <xdr:row>1614</xdr:row>
      <xdr:rowOff>63501</xdr:rowOff>
    </xdr:to>
    <xdr:cxnSp macro="">
      <xdr:nvCxnSpPr>
        <xdr:cNvPr id="4495" name="Straight Arrow Connector 4494">
          <a:extLst>
            <a:ext uri="{FF2B5EF4-FFF2-40B4-BE49-F238E27FC236}">
              <a16:creationId xmlns:a16="http://schemas.microsoft.com/office/drawing/2014/main" id="{00000000-0008-0000-1300-00008F110000}"/>
            </a:ext>
          </a:extLst>
        </xdr:cNvPr>
        <xdr:cNvCxnSpPr/>
      </xdr:nvCxnSpPr>
      <xdr:spPr>
        <a:xfrm>
          <a:off x="11281833" y="299688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1620</xdr:row>
      <xdr:rowOff>31750</xdr:rowOff>
    </xdr:from>
    <xdr:to>
      <xdr:col>16</xdr:col>
      <xdr:colOff>21167</xdr:colOff>
      <xdr:row>1627</xdr:row>
      <xdr:rowOff>95250</xdr:rowOff>
    </xdr:to>
    <xdr:cxnSp macro="">
      <xdr:nvCxnSpPr>
        <xdr:cNvPr id="4496" name="Straight Arrow Connector 4495">
          <a:extLst>
            <a:ext uri="{FF2B5EF4-FFF2-40B4-BE49-F238E27FC236}">
              <a16:creationId xmlns:a16="http://schemas.microsoft.com/office/drawing/2014/main" id="{00000000-0008-0000-1300-000090110000}"/>
            </a:ext>
          </a:extLst>
        </xdr:cNvPr>
        <xdr:cNvCxnSpPr/>
      </xdr:nvCxnSpPr>
      <xdr:spPr>
        <a:xfrm>
          <a:off x="11324166" y="302355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1607</xdr:row>
      <xdr:rowOff>31750</xdr:rowOff>
    </xdr:from>
    <xdr:to>
      <xdr:col>16</xdr:col>
      <xdr:colOff>42334</xdr:colOff>
      <xdr:row>1614</xdr:row>
      <xdr:rowOff>63501</xdr:rowOff>
    </xdr:to>
    <xdr:cxnSp macro="">
      <xdr:nvCxnSpPr>
        <xdr:cNvPr id="4497" name="Straight Arrow Connector 4496">
          <a:extLst>
            <a:ext uri="{FF2B5EF4-FFF2-40B4-BE49-F238E27FC236}">
              <a16:creationId xmlns:a16="http://schemas.microsoft.com/office/drawing/2014/main" id="{00000000-0008-0000-1300-000091110000}"/>
            </a:ext>
          </a:extLst>
        </xdr:cNvPr>
        <xdr:cNvCxnSpPr/>
      </xdr:nvCxnSpPr>
      <xdr:spPr>
        <a:xfrm>
          <a:off x="11281833" y="299688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1620</xdr:row>
      <xdr:rowOff>31750</xdr:rowOff>
    </xdr:from>
    <xdr:to>
      <xdr:col>16</xdr:col>
      <xdr:colOff>21167</xdr:colOff>
      <xdr:row>1627</xdr:row>
      <xdr:rowOff>95250</xdr:rowOff>
    </xdr:to>
    <xdr:cxnSp macro="">
      <xdr:nvCxnSpPr>
        <xdr:cNvPr id="4498" name="Straight Arrow Connector 4497">
          <a:extLst>
            <a:ext uri="{FF2B5EF4-FFF2-40B4-BE49-F238E27FC236}">
              <a16:creationId xmlns:a16="http://schemas.microsoft.com/office/drawing/2014/main" id="{00000000-0008-0000-1300-000092110000}"/>
            </a:ext>
          </a:extLst>
        </xdr:cNvPr>
        <xdr:cNvCxnSpPr/>
      </xdr:nvCxnSpPr>
      <xdr:spPr>
        <a:xfrm>
          <a:off x="11324166" y="302355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1607</xdr:row>
      <xdr:rowOff>31750</xdr:rowOff>
    </xdr:from>
    <xdr:to>
      <xdr:col>16</xdr:col>
      <xdr:colOff>42334</xdr:colOff>
      <xdr:row>1614</xdr:row>
      <xdr:rowOff>63501</xdr:rowOff>
    </xdr:to>
    <xdr:cxnSp macro="">
      <xdr:nvCxnSpPr>
        <xdr:cNvPr id="4499" name="Straight Arrow Connector 4498">
          <a:extLst>
            <a:ext uri="{FF2B5EF4-FFF2-40B4-BE49-F238E27FC236}">
              <a16:creationId xmlns:a16="http://schemas.microsoft.com/office/drawing/2014/main" id="{00000000-0008-0000-1300-000093110000}"/>
            </a:ext>
          </a:extLst>
        </xdr:cNvPr>
        <xdr:cNvCxnSpPr/>
      </xdr:nvCxnSpPr>
      <xdr:spPr>
        <a:xfrm>
          <a:off x="11281833" y="299688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1620</xdr:row>
      <xdr:rowOff>31750</xdr:rowOff>
    </xdr:from>
    <xdr:to>
      <xdr:col>16</xdr:col>
      <xdr:colOff>21167</xdr:colOff>
      <xdr:row>1627</xdr:row>
      <xdr:rowOff>95250</xdr:rowOff>
    </xdr:to>
    <xdr:cxnSp macro="">
      <xdr:nvCxnSpPr>
        <xdr:cNvPr id="4500" name="Straight Arrow Connector 4499">
          <a:extLst>
            <a:ext uri="{FF2B5EF4-FFF2-40B4-BE49-F238E27FC236}">
              <a16:creationId xmlns:a16="http://schemas.microsoft.com/office/drawing/2014/main" id="{00000000-0008-0000-1300-000094110000}"/>
            </a:ext>
          </a:extLst>
        </xdr:cNvPr>
        <xdr:cNvCxnSpPr/>
      </xdr:nvCxnSpPr>
      <xdr:spPr>
        <a:xfrm>
          <a:off x="11324166" y="302355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1620</xdr:row>
      <xdr:rowOff>31750</xdr:rowOff>
    </xdr:from>
    <xdr:to>
      <xdr:col>16</xdr:col>
      <xdr:colOff>21167</xdr:colOff>
      <xdr:row>1627</xdr:row>
      <xdr:rowOff>95250</xdr:rowOff>
    </xdr:to>
    <xdr:cxnSp macro="">
      <xdr:nvCxnSpPr>
        <xdr:cNvPr id="4501" name="Straight Arrow Connector 4500">
          <a:extLst>
            <a:ext uri="{FF2B5EF4-FFF2-40B4-BE49-F238E27FC236}">
              <a16:creationId xmlns:a16="http://schemas.microsoft.com/office/drawing/2014/main" id="{00000000-0008-0000-1300-000095110000}"/>
            </a:ext>
          </a:extLst>
        </xdr:cNvPr>
        <xdr:cNvCxnSpPr/>
      </xdr:nvCxnSpPr>
      <xdr:spPr>
        <a:xfrm>
          <a:off x="11324166" y="302355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1620</xdr:row>
      <xdr:rowOff>31750</xdr:rowOff>
    </xdr:from>
    <xdr:to>
      <xdr:col>16</xdr:col>
      <xdr:colOff>21167</xdr:colOff>
      <xdr:row>1627</xdr:row>
      <xdr:rowOff>95250</xdr:rowOff>
    </xdr:to>
    <xdr:cxnSp macro="">
      <xdr:nvCxnSpPr>
        <xdr:cNvPr id="4502" name="Straight Arrow Connector 4501">
          <a:extLst>
            <a:ext uri="{FF2B5EF4-FFF2-40B4-BE49-F238E27FC236}">
              <a16:creationId xmlns:a16="http://schemas.microsoft.com/office/drawing/2014/main" id="{00000000-0008-0000-1300-000096110000}"/>
            </a:ext>
          </a:extLst>
        </xdr:cNvPr>
        <xdr:cNvCxnSpPr/>
      </xdr:nvCxnSpPr>
      <xdr:spPr>
        <a:xfrm>
          <a:off x="11324166" y="302355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1607</xdr:row>
      <xdr:rowOff>31750</xdr:rowOff>
    </xdr:from>
    <xdr:to>
      <xdr:col>16</xdr:col>
      <xdr:colOff>42334</xdr:colOff>
      <xdr:row>1614</xdr:row>
      <xdr:rowOff>63501</xdr:rowOff>
    </xdr:to>
    <xdr:cxnSp macro="">
      <xdr:nvCxnSpPr>
        <xdr:cNvPr id="4503" name="Straight Arrow Connector 4502">
          <a:extLst>
            <a:ext uri="{FF2B5EF4-FFF2-40B4-BE49-F238E27FC236}">
              <a16:creationId xmlns:a16="http://schemas.microsoft.com/office/drawing/2014/main" id="{00000000-0008-0000-1300-000097110000}"/>
            </a:ext>
          </a:extLst>
        </xdr:cNvPr>
        <xdr:cNvCxnSpPr/>
      </xdr:nvCxnSpPr>
      <xdr:spPr>
        <a:xfrm>
          <a:off x="11281833" y="299688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1620</xdr:row>
      <xdr:rowOff>31750</xdr:rowOff>
    </xdr:from>
    <xdr:to>
      <xdr:col>16</xdr:col>
      <xdr:colOff>21167</xdr:colOff>
      <xdr:row>1627</xdr:row>
      <xdr:rowOff>95250</xdr:rowOff>
    </xdr:to>
    <xdr:cxnSp macro="">
      <xdr:nvCxnSpPr>
        <xdr:cNvPr id="4504" name="Straight Arrow Connector 4503">
          <a:extLst>
            <a:ext uri="{FF2B5EF4-FFF2-40B4-BE49-F238E27FC236}">
              <a16:creationId xmlns:a16="http://schemas.microsoft.com/office/drawing/2014/main" id="{00000000-0008-0000-1300-000098110000}"/>
            </a:ext>
          </a:extLst>
        </xdr:cNvPr>
        <xdr:cNvCxnSpPr/>
      </xdr:nvCxnSpPr>
      <xdr:spPr>
        <a:xfrm>
          <a:off x="11324166" y="302355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1607</xdr:row>
      <xdr:rowOff>31750</xdr:rowOff>
    </xdr:from>
    <xdr:to>
      <xdr:col>16</xdr:col>
      <xdr:colOff>42334</xdr:colOff>
      <xdr:row>1614</xdr:row>
      <xdr:rowOff>63501</xdr:rowOff>
    </xdr:to>
    <xdr:cxnSp macro="">
      <xdr:nvCxnSpPr>
        <xdr:cNvPr id="4505" name="Straight Arrow Connector 4504">
          <a:extLst>
            <a:ext uri="{FF2B5EF4-FFF2-40B4-BE49-F238E27FC236}">
              <a16:creationId xmlns:a16="http://schemas.microsoft.com/office/drawing/2014/main" id="{00000000-0008-0000-1300-000099110000}"/>
            </a:ext>
          </a:extLst>
        </xdr:cNvPr>
        <xdr:cNvCxnSpPr/>
      </xdr:nvCxnSpPr>
      <xdr:spPr>
        <a:xfrm>
          <a:off x="11281833" y="299688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1620</xdr:row>
      <xdr:rowOff>31750</xdr:rowOff>
    </xdr:from>
    <xdr:to>
      <xdr:col>16</xdr:col>
      <xdr:colOff>21167</xdr:colOff>
      <xdr:row>1627</xdr:row>
      <xdr:rowOff>95250</xdr:rowOff>
    </xdr:to>
    <xdr:cxnSp macro="">
      <xdr:nvCxnSpPr>
        <xdr:cNvPr id="4506" name="Straight Arrow Connector 4505">
          <a:extLst>
            <a:ext uri="{FF2B5EF4-FFF2-40B4-BE49-F238E27FC236}">
              <a16:creationId xmlns:a16="http://schemas.microsoft.com/office/drawing/2014/main" id="{00000000-0008-0000-1300-00009A110000}"/>
            </a:ext>
          </a:extLst>
        </xdr:cNvPr>
        <xdr:cNvCxnSpPr/>
      </xdr:nvCxnSpPr>
      <xdr:spPr>
        <a:xfrm>
          <a:off x="11324166" y="302355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1607</xdr:row>
      <xdr:rowOff>31750</xdr:rowOff>
    </xdr:from>
    <xdr:to>
      <xdr:col>16</xdr:col>
      <xdr:colOff>42334</xdr:colOff>
      <xdr:row>1614</xdr:row>
      <xdr:rowOff>63501</xdr:rowOff>
    </xdr:to>
    <xdr:cxnSp macro="">
      <xdr:nvCxnSpPr>
        <xdr:cNvPr id="4507" name="Straight Arrow Connector 4506">
          <a:extLst>
            <a:ext uri="{FF2B5EF4-FFF2-40B4-BE49-F238E27FC236}">
              <a16:creationId xmlns:a16="http://schemas.microsoft.com/office/drawing/2014/main" id="{00000000-0008-0000-1300-00009B110000}"/>
            </a:ext>
          </a:extLst>
        </xdr:cNvPr>
        <xdr:cNvCxnSpPr/>
      </xdr:nvCxnSpPr>
      <xdr:spPr>
        <a:xfrm>
          <a:off x="11281833" y="299688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1620</xdr:row>
      <xdr:rowOff>31750</xdr:rowOff>
    </xdr:from>
    <xdr:to>
      <xdr:col>16</xdr:col>
      <xdr:colOff>21167</xdr:colOff>
      <xdr:row>1627</xdr:row>
      <xdr:rowOff>95250</xdr:rowOff>
    </xdr:to>
    <xdr:cxnSp macro="">
      <xdr:nvCxnSpPr>
        <xdr:cNvPr id="4508" name="Straight Arrow Connector 4507">
          <a:extLst>
            <a:ext uri="{FF2B5EF4-FFF2-40B4-BE49-F238E27FC236}">
              <a16:creationId xmlns:a16="http://schemas.microsoft.com/office/drawing/2014/main" id="{00000000-0008-0000-1300-00009C110000}"/>
            </a:ext>
          </a:extLst>
        </xdr:cNvPr>
        <xdr:cNvCxnSpPr/>
      </xdr:nvCxnSpPr>
      <xdr:spPr>
        <a:xfrm>
          <a:off x="11324166" y="302355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1633</xdr:row>
      <xdr:rowOff>31750</xdr:rowOff>
    </xdr:from>
    <xdr:to>
      <xdr:col>16</xdr:col>
      <xdr:colOff>42334</xdr:colOff>
      <xdr:row>1640</xdr:row>
      <xdr:rowOff>63501</xdr:rowOff>
    </xdr:to>
    <xdr:cxnSp macro="">
      <xdr:nvCxnSpPr>
        <xdr:cNvPr id="4509" name="Straight Arrow Connector 4508">
          <a:extLst>
            <a:ext uri="{FF2B5EF4-FFF2-40B4-BE49-F238E27FC236}">
              <a16:creationId xmlns:a16="http://schemas.microsoft.com/office/drawing/2014/main" id="{00000000-0008-0000-1300-00009D110000}"/>
            </a:ext>
          </a:extLst>
        </xdr:cNvPr>
        <xdr:cNvCxnSpPr/>
      </xdr:nvCxnSpPr>
      <xdr:spPr>
        <a:xfrm>
          <a:off x="11281833" y="304831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1633</xdr:row>
      <xdr:rowOff>31750</xdr:rowOff>
    </xdr:from>
    <xdr:to>
      <xdr:col>16</xdr:col>
      <xdr:colOff>42334</xdr:colOff>
      <xdr:row>1640</xdr:row>
      <xdr:rowOff>63501</xdr:rowOff>
    </xdr:to>
    <xdr:cxnSp macro="">
      <xdr:nvCxnSpPr>
        <xdr:cNvPr id="4510" name="Straight Arrow Connector 4509">
          <a:extLst>
            <a:ext uri="{FF2B5EF4-FFF2-40B4-BE49-F238E27FC236}">
              <a16:creationId xmlns:a16="http://schemas.microsoft.com/office/drawing/2014/main" id="{00000000-0008-0000-1300-00009E110000}"/>
            </a:ext>
          </a:extLst>
        </xdr:cNvPr>
        <xdr:cNvCxnSpPr/>
      </xdr:nvCxnSpPr>
      <xdr:spPr>
        <a:xfrm>
          <a:off x="11281833" y="304831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1607</xdr:row>
      <xdr:rowOff>31750</xdr:rowOff>
    </xdr:from>
    <xdr:to>
      <xdr:col>16</xdr:col>
      <xdr:colOff>42334</xdr:colOff>
      <xdr:row>1614</xdr:row>
      <xdr:rowOff>63501</xdr:rowOff>
    </xdr:to>
    <xdr:cxnSp macro="">
      <xdr:nvCxnSpPr>
        <xdr:cNvPr id="4511" name="Straight Arrow Connector 4510">
          <a:extLst>
            <a:ext uri="{FF2B5EF4-FFF2-40B4-BE49-F238E27FC236}">
              <a16:creationId xmlns:a16="http://schemas.microsoft.com/office/drawing/2014/main" id="{00000000-0008-0000-1300-00009F110000}"/>
            </a:ext>
          </a:extLst>
        </xdr:cNvPr>
        <xdr:cNvCxnSpPr/>
      </xdr:nvCxnSpPr>
      <xdr:spPr>
        <a:xfrm>
          <a:off x="11281833" y="299688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1620</xdr:row>
      <xdr:rowOff>31750</xdr:rowOff>
    </xdr:from>
    <xdr:to>
      <xdr:col>16</xdr:col>
      <xdr:colOff>21167</xdr:colOff>
      <xdr:row>1627</xdr:row>
      <xdr:rowOff>95250</xdr:rowOff>
    </xdr:to>
    <xdr:cxnSp macro="">
      <xdr:nvCxnSpPr>
        <xdr:cNvPr id="4512" name="Straight Arrow Connector 4511">
          <a:extLst>
            <a:ext uri="{FF2B5EF4-FFF2-40B4-BE49-F238E27FC236}">
              <a16:creationId xmlns:a16="http://schemas.microsoft.com/office/drawing/2014/main" id="{00000000-0008-0000-1300-0000A0110000}"/>
            </a:ext>
          </a:extLst>
        </xdr:cNvPr>
        <xdr:cNvCxnSpPr/>
      </xdr:nvCxnSpPr>
      <xdr:spPr>
        <a:xfrm>
          <a:off x="11324166" y="302355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1607</xdr:row>
      <xdr:rowOff>31750</xdr:rowOff>
    </xdr:from>
    <xdr:to>
      <xdr:col>16</xdr:col>
      <xdr:colOff>42334</xdr:colOff>
      <xdr:row>1614</xdr:row>
      <xdr:rowOff>63501</xdr:rowOff>
    </xdr:to>
    <xdr:cxnSp macro="">
      <xdr:nvCxnSpPr>
        <xdr:cNvPr id="4513" name="Straight Arrow Connector 4512">
          <a:extLst>
            <a:ext uri="{FF2B5EF4-FFF2-40B4-BE49-F238E27FC236}">
              <a16:creationId xmlns:a16="http://schemas.microsoft.com/office/drawing/2014/main" id="{00000000-0008-0000-1300-0000A1110000}"/>
            </a:ext>
          </a:extLst>
        </xdr:cNvPr>
        <xdr:cNvCxnSpPr/>
      </xdr:nvCxnSpPr>
      <xdr:spPr>
        <a:xfrm>
          <a:off x="11281833" y="299688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1620</xdr:row>
      <xdr:rowOff>31750</xdr:rowOff>
    </xdr:from>
    <xdr:to>
      <xdr:col>16</xdr:col>
      <xdr:colOff>21167</xdr:colOff>
      <xdr:row>1627</xdr:row>
      <xdr:rowOff>95250</xdr:rowOff>
    </xdr:to>
    <xdr:cxnSp macro="">
      <xdr:nvCxnSpPr>
        <xdr:cNvPr id="4514" name="Straight Arrow Connector 4513">
          <a:extLst>
            <a:ext uri="{FF2B5EF4-FFF2-40B4-BE49-F238E27FC236}">
              <a16:creationId xmlns:a16="http://schemas.microsoft.com/office/drawing/2014/main" id="{00000000-0008-0000-1300-0000A2110000}"/>
            </a:ext>
          </a:extLst>
        </xdr:cNvPr>
        <xdr:cNvCxnSpPr/>
      </xdr:nvCxnSpPr>
      <xdr:spPr>
        <a:xfrm>
          <a:off x="11324166" y="302355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1607</xdr:row>
      <xdr:rowOff>31750</xdr:rowOff>
    </xdr:from>
    <xdr:to>
      <xdr:col>16</xdr:col>
      <xdr:colOff>42334</xdr:colOff>
      <xdr:row>1614</xdr:row>
      <xdr:rowOff>63501</xdr:rowOff>
    </xdr:to>
    <xdr:cxnSp macro="">
      <xdr:nvCxnSpPr>
        <xdr:cNvPr id="4515" name="Straight Arrow Connector 4514">
          <a:extLst>
            <a:ext uri="{FF2B5EF4-FFF2-40B4-BE49-F238E27FC236}">
              <a16:creationId xmlns:a16="http://schemas.microsoft.com/office/drawing/2014/main" id="{00000000-0008-0000-1300-0000A3110000}"/>
            </a:ext>
          </a:extLst>
        </xdr:cNvPr>
        <xdr:cNvCxnSpPr/>
      </xdr:nvCxnSpPr>
      <xdr:spPr>
        <a:xfrm>
          <a:off x="11281833" y="299688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1620</xdr:row>
      <xdr:rowOff>31750</xdr:rowOff>
    </xdr:from>
    <xdr:to>
      <xdr:col>16</xdr:col>
      <xdr:colOff>21167</xdr:colOff>
      <xdr:row>1627</xdr:row>
      <xdr:rowOff>95250</xdr:rowOff>
    </xdr:to>
    <xdr:cxnSp macro="">
      <xdr:nvCxnSpPr>
        <xdr:cNvPr id="4516" name="Straight Arrow Connector 4515">
          <a:extLst>
            <a:ext uri="{FF2B5EF4-FFF2-40B4-BE49-F238E27FC236}">
              <a16:creationId xmlns:a16="http://schemas.microsoft.com/office/drawing/2014/main" id="{00000000-0008-0000-1300-0000A4110000}"/>
            </a:ext>
          </a:extLst>
        </xdr:cNvPr>
        <xdr:cNvCxnSpPr/>
      </xdr:nvCxnSpPr>
      <xdr:spPr>
        <a:xfrm>
          <a:off x="11324166" y="302355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1607</xdr:row>
      <xdr:rowOff>31750</xdr:rowOff>
    </xdr:from>
    <xdr:to>
      <xdr:col>16</xdr:col>
      <xdr:colOff>42334</xdr:colOff>
      <xdr:row>1614</xdr:row>
      <xdr:rowOff>63501</xdr:rowOff>
    </xdr:to>
    <xdr:cxnSp macro="">
      <xdr:nvCxnSpPr>
        <xdr:cNvPr id="4517" name="Straight Arrow Connector 4516">
          <a:extLst>
            <a:ext uri="{FF2B5EF4-FFF2-40B4-BE49-F238E27FC236}">
              <a16:creationId xmlns:a16="http://schemas.microsoft.com/office/drawing/2014/main" id="{00000000-0008-0000-1300-0000A5110000}"/>
            </a:ext>
          </a:extLst>
        </xdr:cNvPr>
        <xdr:cNvCxnSpPr/>
      </xdr:nvCxnSpPr>
      <xdr:spPr>
        <a:xfrm>
          <a:off x="11281833" y="299688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1620</xdr:row>
      <xdr:rowOff>31750</xdr:rowOff>
    </xdr:from>
    <xdr:to>
      <xdr:col>16</xdr:col>
      <xdr:colOff>21167</xdr:colOff>
      <xdr:row>1627</xdr:row>
      <xdr:rowOff>95250</xdr:rowOff>
    </xdr:to>
    <xdr:cxnSp macro="">
      <xdr:nvCxnSpPr>
        <xdr:cNvPr id="4518" name="Straight Arrow Connector 4517">
          <a:extLst>
            <a:ext uri="{FF2B5EF4-FFF2-40B4-BE49-F238E27FC236}">
              <a16:creationId xmlns:a16="http://schemas.microsoft.com/office/drawing/2014/main" id="{00000000-0008-0000-1300-0000A6110000}"/>
            </a:ext>
          </a:extLst>
        </xdr:cNvPr>
        <xdr:cNvCxnSpPr/>
      </xdr:nvCxnSpPr>
      <xdr:spPr>
        <a:xfrm>
          <a:off x="11324166" y="302355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1607</xdr:row>
      <xdr:rowOff>31750</xdr:rowOff>
    </xdr:from>
    <xdr:to>
      <xdr:col>16</xdr:col>
      <xdr:colOff>42334</xdr:colOff>
      <xdr:row>1614</xdr:row>
      <xdr:rowOff>63501</xdr:rowOff>
    </xdr:to>
    <xdr:cxnSp macro="">
      <xdr:nvCxnSpPr>
        <xdr:cNvPr id="4519" name="Straight Arrow Connector 4518">
          <a:extLst>
            <a:ext uri="{FF2B5EF4-FFF2-40B4-BE49-F238E27FC236}">
              <a16:creationId xmlns:a16="http://schemas.microsoft.com/office/drawing/2014/main" id="{00000000-0008-0000-1300-0000A7110000}"/>
            </a:ext>
          </a:extLst>
        </xdr:cNvPr>
        <xdr:cNvCxnSpPr/>
      </xdr:nvCxnSpPr>
      <xdr:spPr>
        <a:xfrm>
          <a:off x="11281833" y="299688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1620</xdr:row>
      <xdr:rowOff>31750</xdr:rowOff>
    </xdr:from>
    <xdr:to>
      <xdr:col>16</xdr:col>
      <xdr:colOff>21167</xdr:colOff>
      <xdr:row>1627</xdr:row>
      <xdr:rowOff>95250</xdr:rowOff>
    </xdr:to>
    <xdr:cxnSp macro="">
      <xdr:nvCxnSpPr>
        <xdr:cNvPr id="4520" name="Straight Arrow Connector 4519">
          <a:extLst>
            <a:ext uri="{FF2B5EF4-FFF2-40B4-BE49-F238E27FC236}">
              <a16:creationId xmlns:a16="http://schemas.microsoft.com/office/drawing/2014/main" id="{00000000-0008-0000-1300-0000A8110000}"/>
            </a:ext>
          </a:extLst>
        </xdr:cNvPr>
        <xdr:cNvCxnSpPr/>
      </xdr:nvCxnSpPr>
      <xdr:spPr>
        <a:xfrm>
          <a:off x="11324166" y="302355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1607</xdr:row>
      <xdr:rowOff>31750</xdr:rowOff>
    </xdr:from>
    <xdr:to>
      <xdr:col>16</xdr:col>
      <xdr:colOff>42334</xdr:colOff>
      <xdr:row>1614</xdr:row>
      <xdr:rowOff>63501</xdr:rowOff>
    </xdr:to>
    <xdr:cxnSp macro="">
      <xdr:nvCxnSpPr>
        <xdr:cNvPr id="4521" name="Straight Arrow Connector 4520">
          <a:extLst>
            <a:ext uri="{FF2B5EF4-FFF2-40B4-BE49-F238E27FC236}">
              <a16:creationId xmlns:a16="http://schemas.microsoft.com/office/drawing/2014/main" id="{00000000-0008-0000-1300-0000A9110000}"/>
            </a:ext>
          </a:extLst>
        </xdr:cNvPr>
        <xdr:cNvCxnSpPr/>
      </xdr:nvCxnSpPr>
      <xdr:spPr>
        <a:xfrm>
          <a:off x="11281833" y="299688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1620</xdr:row>
      <xdr:rowOff>31750</xdr:rowOff>
    </xdr:from>
    <xdr:to>
      <xdr:col>16</xdr:col>
      <xdr:colOff>21167</xdr:colOff>
      <xdr:row>1627</xdr:row>
      <xdr:rowOff>95250</xdr:rowOff>
    </xdr:to>
    <xdr:cxnSp macro="">
      <xdr:nvCxnSpPr>
        <xdr:cNvPr id="4522" name="Straight Arrow Connector 4521">
          <a:extLst>
            <a:ext uri="{FF2B5EF4-FFF2-40B4-BE49-F238E27FC236}">
              <a16:creationId xmlns:a16="http://schemas.microsoft.com/office/drawing/2014/main" id="{00000000-0008-0000-1300-0000AA110000}"/>
            </a:ext>
          </a:extLst>
        </xdr:cNvPr>
        <xdr:cNvCxnSpPr/>
      </xdr:nvCxnSpPr>
      <xdr:spPr>
        <a:xfrm>
          <a:off x="11324166" y="302355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1607</xdr:row>
      <xdr:rowOff>31750</xdr:rowOff>
    </xdr:from>
    <xdr:to>
      <xdr:col>16</xdr:col>
      <xdr:colOff>42334</xdr:colOff>
      <xdr:row>1614</xdr:row>
      <xdr:rowOff>63501</xdr:rowOff>
    </xdr:to>
    <xdr:cxnSp macro="">
      <xdr:nvCxnSpPr>
        <xdr:cNvPr id="4523" name="Straight Arrow Connector 4522">
          <a:extLst>
            <a:ext uri="{FF2B5EF4-FFF2-40B4-BE49-F238E27FC236}">
              <a16:creationId xmlns:a16="http://schemas.microsoft.com/office/drawing/2014/main" id="{00000000-0008-0000-1300-0000AB110000}"/>
            </a:ext>
          </a:extLst>
        </xdr:cNvPr>
        <xdr:cNvCxnSpPr/>
      </xdr:nvCxnSpPr>
      <xdr:spPr>
        <a:xfrm>
          <a:off x="11281833" y="299688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1620</xdr:row>
      <xdr:rowOff>31750</xdr:rowOff>
    </xdr:from>
    <xdr:to>
      <xdr:col>16</xdr:col>
      <xdr:colOff>21167</xdr:colOff>
      <xdr:row>1627</xdr:row>
      <xdr:rowOff>95250</xdr:rowOff>
    </xdr:to>
    <xdr:cxnSp macro="">
      <xdr:nvCxnSpPr>
        <xdr:cNvPr id="4524" name="Straight Arrow Connector 4523">
          <a:extLst>
            <a:ext uri="{FF2B5EF4-FFF2-40B4-BE49-F238E27FC236}">
              <a16:creationId xmlns:a16="http://schemas.microsoft.com/office/drawing/2014/main" id="{00000000-0008-0000-1300-0000AC110000}"/>
            </a:ext>
          </a:extLst>
        </xdr:cNvPr>
        <xdr:cNvCxnSpPr/>
      </xdr:nvCxnSpPr>
      <xdr:spPr>
        <a:xfrm>
          <a:off x="11324166" y="302355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1607</xdr:row>
      <xdr:rowOff>31750</xdr:rowOff>
    </xdr:from>
    <xdr:to>
      <xdr:col>16</xdr:col>
      <xdr:colOff>42334</xdr:colOff>
      <xdr:row>1614</xdr:row>
      <xdr:rowOff>63501</xdr:rowOff>
    </xdr:to>
    <xdr:cxnSp macro="">
      <xdr:nvCxnSpPr>
        <xdr:cNvPr id="4525" name="Straight Arrow Connector 4524">
          <a:extLst>
            <a:ext uri="{FF2B5EF4-FFF2-40B4-BE49-F238E27FC236}">
              <a16:creationId xmlns:a16="http://schemas.microsoft.com/office/drawing/2014/main" id="{00000000-0008-0000-1300-0000AD110000}"/>
            </a:ext>
          </a:extLst>
        </xdr:cNvPr>
        <xdr:cNvCxnSpPr/>
      </xdr:nvCxnSpPr>
      <xdr:spPr>
        <a:xfrm>
          <a:off x="11281833" y="299688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1620</xdr:row>
      <xdr:rowOff>31750</xdr:rowOff>
    </xdr:from>
    <xdr:to>
      <xdr:col>16</xdr:col>
      <xdr:colOff>21167</xdr:colOff>
      <xdr:row>1627</xdr:row>
      <xdr:rowOff>95250</xdr:rowOff>
    </xdr:to>
    <xdr:cxnSp macro="">
      <xdr:nvCxnSpPr>
        <xdr:cNvPr id="4526" name="Straight Arrow Connector 4525">
          <a:extLst>
            <a:ext uri="{FF2B5EF4-FFF2-40B4-BE49-F238E27FC236}">
              <a16:creationId xmlns:a16="http://schemas.microsoft.com/office/drawing/2014/main" id="{00000000-0008-0000-1300-0000AE110000}"/>
            </a:ext>
          </a:extLst>
        </xdr:cNvPr>
        <xdr:cNvCxnSpPr/>
      </xdr:nvCxnSpPr>
      <xdr:spPr>
        <a:xfrm>
          <a:off x="11324166" y="302355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1620</xdr:row>
      <xdr:rowOff>31750</xdr:rowOff>
    </xdr:from>
    <xdr:to>
      <xdr:col>16</xdr:col>
      <xdr:colOff>21167</xdr:colOff>
      <xdr:row>1627</xdr:row>
      <xdr:rowOff>95250</xdr:rowOff>
    </xdr:to>
    <xdr:cxnSp macro="">
      <xdr:nvCxnSpPr>
        <xdr:cNvPr id="4527" name="Straight Arrow Connector 4526">
          <a:extLst>
            <a:ext uri="{FF2B5EF4-FFF2-40B4-BE49-F238E27FC236}">
              <a16:creationId xmlns:a16="http://schemas.microsoft.com/office/drawing/2014/main" id="{00000000-0008-0000-1300-0000AF110000}"/>
            </a:ext>
          </a:extLst>
        </xdr:cNvPr>
        <xdr:cNvCxnSpPr/>
      </xdr:nvCxnSpPr>
      <xdr:spPr>
        <a:xfrm>
          <a:off x="11324166" y="302355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1620</xdr:row>
      <xdr:rowOff>31750</xdr:rowOff>
    </xdr:from>
    <xdr:to>
      <xdr:col>16</xdr:col>
      <xdr:colOff>21167</xdr:colOff>
      <xdr:row>1627</xdr:row>
      <xdr:rowOff>95250</xdr:rowOff>
    </xdr:to>
    <xdr:cxnSp macro="">
      <xdr:nvCxnSpPr>
        <xdr:cNvPr id="4528" name="Straight Arrow Connector 4527">
          <a:extLst>
            <a:ext uri="{FF2B5EF4-FFF2-40B4-BE49-F238E27FC236}">
              <a16:creationId xmlns:a16="http://schemas.microsoft.com/office/drawing/2014/main" id="{00000000-0008-0000-1300-0000B0110000}"/>
            </a:ext>
          </a:extLst>
        </xdr:cNvPr>
        <xdr:cNvCxnSpPr/>
      </xdr:nvCxnSpPr>
      <xdr:spPr>
        <a:xfrm>
          <a:off x="11324166" y="302355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1607</xdr:row>
      <xdr:rowOff>31750</xdr:rowOff>
    </xdr:from>
    <xdr:to>
      <xdr:col>16</xdr:col>
      <xdr:colOff>42334</xdr:colOff>
      <xdr:row>1614</xdr:row>
      <xdr:rowOff>63501</xdr:rowOff>
    </xdr:to>
    <xdr:cxnSp macro="">
      <xdr:nvCxnSpPr>
        <xdr:cNvPr id="4529" name="Straight Arrow Connector 4528">
          <a:extLst>
            <a:ext uri="{FF2B5EF4-FFF2-40B4-BE49-F238E27FC236}">
              <a16:creationId xmlns:a16="http://schemas.microsoft.com/office/drawing/2014/main" id="{00000000-0008-0000-1300-0000B1110000}"/>
            </a:ext>
          </a:extLst>
        </xdr:cNvPr>
        <xdr:cNvCxnSpPr/>
      </xdr:nvCxnSpPr>
      <xdr:spPr>
        <a:xfrm>
          <a:off x="11281833" y="299688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1620</xdr:row>
      <xdr:rowOff>31750</xdr:rowOff>
    </xdr:from>
    <xdr:to>
      <xdr:col>16</xdr:col>
      <xdr:colOff>21167</xdr:colOff>
      <xdr:row>1627</xdr:row>
      <xdr:rowOff>95250</xdr:rowOff>
    </xdr:to>
    <xdr:cxnSp macro="">
      <xdr:nvCxnSpPr>
        <xdr:cNvPr id="4530" name="Straight Arrow Connector 4529">
          <a:extLst>
            <a:ext uri="{FF2B5EF4-FFF2-40B4-BE49-F238E27FC236}">
              <a16:creationId xmlns:a16="http://schemas.microsoft.com/office/drawing/2014/main" id="{00000000-0008-0000-1300-0000B2110000}"/>
            </a:ext>
          </a:extLst>
        </xdr:cNvPr>
        <xdr:cNvCxnSpPr/>
      </xdr:nvCxnSpPr>
      <xdr:spPr>
        <a:xfrm>
          <a:off x="11324166" y="302355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1607</xdr:row>
      <xdr:rowOff>31750</xdr:rowOff>
    </xdr:from>
    <xdr:to>
      <xdr:col>16</xdr:col>
      <xdr:colOff>42334</xdr:colOff>
      <xdr:row>1614</xdr:row>
      <xdr:rowOff>63501</xdr:rowOff>
    </xdr:to>
    <xdr:cxnSp macro="">
      <xdr:nvCxnSpPr>
        <xdr:cNvPr id="4531" name="Straight Arrow Connector 4530">
          <a:extLst>
            <a:ext uri="{FF2B5EF4-FFF2-40B4-BE49-F238E27FC236}">
              <a16:creationId xmlns:a16="http://schemas.microsoft.com/office/drawing/2014/main" id="{00000000-0008-0000-1300-0000B3110000}"/>
            </a:ext>
          </a:extLst>
        </xdr:cNvPr>
        <xdr:cNvCxnSpPr/>
      </xdr:nvCxnSpPr>
      <xdr:spPr>
        <a:xfrm>
          <a:off x="11281833" y="299688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1620</xdr:row>
      <xdr:rowOff>31750</xdr:rowOff>
    </xdr:from>
    <xdr:to>
      <xdr:col>16</xdr:col>
      <xdr:colOff>21167</xdr:colOff>
      <xdr:row>1627</xdr:row>
      <xdr:rowOff>95250</xdr:rowOff>
    </xdr:to>
    <xdr:cxnSp macro="">
      <xdr:nvCxnSpPr>
        <xdr:cNvPr id="4532" name="Straight Arrow Connector 4531">
          <a:extLst>
            <a:ext uri="{FF2B5EF4-FFF2-40B4-BE49-F238E27FC236}">
              <a16:creationId xmlns:a16="http://schemas.microsoft.com/office/drawing/2014/main" id="{00000000-0008-0000-1300-0000B4110000}"/>
            </a:ext>
          </a:extLst>
        </xdr:cNvPr>
        <xdr:cNvCxnSpPr/>
      </xdr:nvCxnSpPr>
      <xdr:spPr>
        <a:xfrm>
          <a:off x="11324166" y="302355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1607</xdr:row>
      <xdr:rowOff>31750</xdr:rowOff>
    </xdr:from>
    <xdr:to>
      <xdr:col>16</xdr:col>
      <xdr:colOff>42334</xdr:colOff>
      <xdr:row>1614</xdr:row>
      <xdr:rowOff>63501</xdr:rowOff>
    </xdr:to>
    <xdr:cxnSp macro="">
      <xdr:nvCxnSpPr>
        <xdr:cNvPr id="4533" name="Straight Arrow Connector 4532">
          <a:extLst>
            <a:ext uri="{FF2B5EF4-FFF2-40B4-BE49-F238E27FC236}">
              <a16:creationId xmlns:a16="http://schemas.microsoft.com/office/drawing/2014/main" id="{00000000-0008-0000-1300-0000B5110000}"/>
            </a:ext>
          </a:extLst>
        </xdr:cNvPr>
        <xdr:cNvCxnSpPr/>
      </xdr:nvCxnSpPr>
      <xdr:spPr>
        <a:xfrm>
          <a:off x="11281833" y="299688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1620</xdr:row>
      <xdr:rowOff>31750</xdr:rowOff>
    </xdr:from>
    <xdr:to>
      <xdr:col>16</xdr:col>
      <xdr:colOff>21167</xdr:colOff>
      <xdr:row>1627</xdr:row>
      <xdr:rowOff>95250</xdr:rowOff>
    </xdr:to>
    <xdr:cxnSp macro="">
      <xdr:nvCxnSpPr>
        <xdr:cNvPr id="4534" name="Straight Arrow Connector 4533">
          <a:extLst>
            <a:ext uri="{FF2B5EF4-FFF2-40B4-BE49-F238E27FC236}">
              <a16:creationId xmlns:a16="http://schemas.microsoft.com/office/drawing/2014/main" id="{00000000-0008-0000-1300-0000B6110000}"/>
            </a:ext>
          </a:extLst>
        </xdr:cNvPr>
        <xdr:cNvCxnSpPr/>
      </xdr:nvCxnSpPr>
      <xdr:spPr>
        <a:xfrm>
          <a:off x="11324166" y="302355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1633</xdr:row>
      <xdr:rowOff>31750</xdr:rowOff>
    </xdr:from>
    <xdr:to>
      <xdr:col>16</xdr:col>
      <xdr:colOff>42334</xdr:colOff>
      <xdr:row>1640</xdr:row>
      <xdr:rowOff>63501</xdr:rowOff>
    </xdr:to>
    <xdr:cxnSp macro="">
      <xdr:nvCxnSpPr>
        <xdr:cNvPr id="4535" name="Straight Arrow Connector 4534">
          <a:extLst>
            <a:ext uri="{FF2B5EF4-FFF2-40B4-BE49-F238E27FC236}">
              <a16:creationId xmlns:a16="http://schemas.microsoft.com/office/drawing/2014/main" id="{00000000-0008-0000-1300-0000B7110000}"/>
            </a:ext>
          </a:extLst>
        </xdr:cNvPr>
        <xdr:cNvCxnSpPr/>
      </xdr:nvCxnSpPr>
      <xdr:spPr>
        <a:xfrm>
          <a:off x="11281833" y="304831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1633</xdr:row>
      <xdr:rowOff>31750</xdr:rowOff>
    </xdr:from>
    <xdr:to>
      <xdr:col>16</xdr:col>
      <xdr:colOff>42334</xdr:colOff>
      <xdr:row>1640</xdr:row>
      <xdr:rowOff>63501</xdr:rowOff>
    </xdr:to>
    <xdr:cxnSp macro="">
      <xdr:nvCxnSpPr>
        <xdr:cNvPr id="4536" name="Straight Arrow Connector 4535">
          <a:extLst>
            <a:ext uri="{FF2B5EF4-FFF2-40B4-BE49-F238E27FC236}">
              <a16:creationId xmlns:a16="http://schemas.microsoft.com/office/drawing/2014/main" id="{00000000-0008-0000-1300-0000B8110000}"/>
            </a:ext>
          </a:extLst>
        </xdr:cNvPr>
        <xdr:cNvCxnSpPr/>
      </xdr:nvCxnSpPr>
      <xdr:spPr>
        <a:xfrm>
          <a:off x="11281833" y="304831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1620</xdr:row>
      <xdr:rowOff>31750</xdr:rowOff>
    </xdr:from>
    <xdr:to>
      <xdr:col>16</xdr:col>
      <xdr:colOff>21167</xdr:colOff>
      <xdr:row>1627</xdr:row>
      <xdr:rowOff>95250</xdr:rowOff>
    </xdr:to>
    <xdr:cxnSp macro="">
      <xdr:nvCxnSpPr>
        <xdr:cNvPr id="4537" name="Straight Arrow Connector 4536">
          <a:extLst>
            <a:ext uri="{FF2B5EF4-FFF2-40B4-BE49-F238E27FC236}">
              <a16:creationId xmlns:a16="http://schemas.microsoft.com/office/drawing/2014/main" id="{00000000-0008-0000-1300-0000B9110000}"/>
            </a:ext>
          </a:extLst>
        </xdr:cNvPr>
        <xdr:cNvCxnSpPr/>
      </xdr:nvCxnSpPr>
      <xdr:spPr>
        <a:xfrm>
          <a:off x="11324166" y="302355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1620</xdr:row>
      <xdr:rowOff>31750</xdr:rowOff>
    </xdr:from>
    <xdr:to>
      <xdr:col>16</xdr:col>
      <xdr:colOff>21167</xdr:colOff>
      <xdr:row>1627</xdr:row>
      <xdr:rowOff>95250</xdr:rowOff>
    </xdr:to>
    <xdr:cxnSp macro="">
      <xdr:nvCxnSpPr>
        <xdr:cNvPr id="4538" name="Straight Arrow Connector 4537">
          <a:extLst>
            <a:ext uri="{FF2B5EF4-FFF2-40B4-BE49-F238E27FC236}">
              <a16:creationId xmlns:a16="http://schemas.microsoft.com/office/drawing/2014/main" id="{00000000-0008-0000-1300-0000BA110000}"/>
            </a:ext>
          </a:extLst>
        </xdr:cNvPr>
        <xdr:cNvCxnSpPr/>
      </xdr:nvCxnSpPr>
      <xdr:spPr>
        <a:xfrm>
          <a:off x="11324166" y="302355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1620</xdr:row>
      <xdr:rowOff>31750</xdr:rowOff>
    </xdr:from>
    <xdr:to>
      <xdr:col>16</xdr:col>
      <xdr:colOff>21167</xdr:colOff>
      <xdr:row>1627</xdr:row>
      <xdr:rowOff>95250</xdr:rowOff>
    </xdr:to>
    <xdr:cxnSp macro="">
      <xdr:nvCxnSpPr>
        <xdr:cNvPr id="4539" name="Straight Arrow Connector 4538">
          <a:extLst>
            <a:ext uri="{FF2B5EF4-FFF2-40B4-BE49-F238E27FC236}">
              <a16:creationId xmlns:a16="http://schemas.microsoft.com/office/drawing/2014/main" id="{00000000-0008-0000-1300-0000BB110000}"/>
            </a:ext>
          </a:extLst>
        </xdr:cNvPr>
        <xdr:cNvCxnSpPr/>
      </xdr:nvCxnSpPr>
      <xdr:spPr>
        <a:xfrm>
          <a:off x="11324166" y="302355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1620</xdr:row>
      <xdr:rowOff>31750</xdr:rowOff>
    </xdr:from>
    <xdr:to>
      <xdr:col>16</xdr:col>
      <xdr:colOff>21167</xdr:colOff>
      <xdr:row>1627</xdr:row>
      <xdr:rowOff>95250</xdr:rowOff>
    </xdr:to>
    <xdr:cxnSp macro="">
      <xdr:nvCxnSpPr>
        <xdr:cNvPr id="4540" name="Straight Arrow Connector 4539">
          <a:extLst>
            <a:ext uri="{FF2B5EF4-FFF2-40B4-BE49-F238E27FC236}">
              <a16:creationId xmlns:a16="http://schemas.microsoft.com/office/drawing/2014/main" id="{00000000-0008-0000-1300-0000BC110000}"/>
            </a:ext>
          </a:extLst>
        </xdr:cNvPr>
        <xdr:cNvCxnSpPr/>
      </xdr:nvCxnSpPr>
      <xdr:spPr>
        <a:xfrm>
          <a:off x="11324166" y="302355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1620</xdr:row>
      <xdr:rowOff>31750</xdr:rowOff>
    </xdr:from>
    <xdr:to>
      <xdr:col>16</xdr:col>
      <xdr:colOff>21167</xdr:colOff>
      <xdr:row>1627</xdr:row>
      <xdr:rowOff>95250</xdr:rowOff>
    </xdr:to>
    <xdr:cxnSp macro="">
      <xdr:nvCxnSpPr>
        <xdr:cNvPr id="4541" name="Straight Arrow Connector 4540">
          <a:extLst>
            <a:ext uri="{FF2B5EF4-FFF2-40B4-BE49-F238E27FC236}">
              <a16:creationId xmlns:a16="http://schemas.microsoft.com/office/drawing/2014/main" id="{00000000-0008-0000-1300-0000BD110000}"/>
            </a:ext>
          </a:extLst>
        </xdr:cNvPr>
        <xdr:cNvCxnSpPr/>
      </xdr:nvCxnSpPr>
      <xdr:spPr>
        <a:xfrm>
          <a:off x="11324166" y="302355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1620</xdr:row>
      <xdr:rowOff>31750</xdr:rowOff>
    </xdr:from>
    <xdr:to>
      <xdr:col>16</xdr:col>
      <xdr:colOff>21167</xdr:colOff>
      <xdr:row>1627</xdr:row>
      <xdr:rowOff>95250</xdr:rowOff>
    </xdr:to>
    <xdr:cxnSp macro="">
      <xdr:nvCxnSpPr>
        <xdr:cNvPr id="4542" name="Straight Arrow Connector 4541">
          <a:extLst>
            <a:ext uri="{FF2B5EF4-FFF2-40B4-BE49-F238E27FC236}">
              <a16:creationId xmlns:a16="http://schemas.microsoft.com/office/drawing/2014/main" id="{00000000-0008-0000-1300-0000BE110000}"/>
            </a:ext>
          </a:extLst>
        </xdr:cNvPr>
        <xdr:cNvCxnSpPr/>
      </xdr:nvCxnSpPr>
      <xdr:spPr>
        <a:xfrm>
          <a:off x="11324166" y="302355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1620</xdr:row>
      <xdr:rowOff>31750</xdr:rowOff>
    </xdr:from>
    <xdr:to>
      <xdr:col>16</xdr:col>
      <xdr:colOff>21167</xdr:colOff>
      <xdr:row>1627</xdr:row>
      <xdr:rowOff>95250</xdr:rowOff>
    </xdr:to>
    <xdr:cxnSp macro="">
      <xdr:nvCxnSpPr>
        <xdr:cNvPr id="4543" name="Straight Arrow Connector 4542">
          <a:extLst>
            <a:ext uri="{FF2B5EF4-FFF2-40B4-BE49-F238E27FC236}">
              <a16:creationId xmlns:a16="http://schemas.microsoft.com/office/drawing/2014/main" id="{00000000-0008-0000-1300-0000BF110000}"/>
            </a:ext>
          </a:extLst>
        </xdr:cNvPr>
        <xdr:cNvCxnSpPr/>
      </xdr:nvCxnSpPr>
      <xdr:spPr>
        <a:xfrm>
          <a:off x="11324166" y="302355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1607</xdr:row>
      <xdr:rowOff>31750</xdr:rowOff>
    </xdr:from>
    <xdr:to>
      <xdr:col>16</xdr:col>
      <xdr:colOff>42334</xdr:colOff>
      <xdr:row>1614</xdr:row>
      <xdr:rowOff>63501</xdr:rowOff>
    </xdr:to>
    <xdr:cxnSp macro="">
      <xdr:nvCxnSpPr>
        <xdr:cNvPr id="4544" name="Straight Arrow Connector 4543">
          <a:extLst>
            <a:ext uri="{FF2B5EF4-FFF2-40B4-BE49-F238E27FC236}">
              <a16:creationId xmlns:a16="http://schemas.microsoft.com/office/drawing/2014/main" id="{00000000-0008-0000-1300-0000C0110000}"/>
            </a:ext>
          </a:extLst>
        </xdr:cNvPr>
        <xdr:cNvCxnSpPr/>
      </xdr:nvCxnSpPr>
      <xdr:spPr>
        <a:xfrm>
          <a:off x="11281833" y="299688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1620</xdr:row>
      <xdr:rowOff>31750</xdr:rowOff>
    </xdr:from>
    <xdr:to>
      <xdr:col>16</xdr:col>
      <xdr:colOff>21167</xdr:colOff>
      <xdr:row>1627</xdr:row>
      <xdr:rowOff>95250</xdr:rowOff>
    </xdr:to>
    <xdr:cxnSp macro="">
      <xdr:nvCxnSpPr>
        <xdr:cNvPr id="4545" name="Straight Arrow Connector 4544">
          <a:extLst>
            <a:ext uri="{FF2B5EF4-FFF2-40B4-BE49-F238E27FC236}">
              <a16:creationId xmlns:a16="http://schemas.microsoft.com/office/drawing/2014/main" id="{00000000-0008-0000-1300-0000C1110000}"/>
            </a:ext>
          </a:extLst>
        </xdr:cNvPr>
        <xdr:cNvCxnSpPr/>
      </xdr:nvCxnSpPr>
      <xdr:spPr>
        <a:xfrm>
          <a:off x="11324166" y="302355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1607</xdr:row>
      <xdr:rowOff>31750</xdr:rowOff>
    </xdr:from>
    <xdr:to>
      <xdr:col>16</xdr:col>
      <xdr:colOff>42334</xdr:colOff>
      <xdr:row>1614</xdr:row>
      <xdr:rowOff>63501</xdr:rowOff>
    </xdr:to>
    <xdr:cxnSp macro="">
      <xdr:nvCxnSpPr>
        <xdr:cNvPr id="4546" name="Straight Arrow Connector 4545">
          <a:extLst>
            <a:ext uri="{FF2B5EF4-FFF2-40B4-BE49-F238E27FC236}">
              <a16:creationId xmlns:a16="http://schemas.microsoft.com/office/drawing/2014/main" id="{00000000-0008-0000-1300-0000C2110000}"/>
            </a:ext>
          </a:extLst>
        </xdr:cNvPr>
        <xdr:cNvCxnSpPr/>
      </xdr:nvCxnSpPr>
      <xdr:spPr>
        <a:xfrm>
          <a:off x="11281833" y="299688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1620</xdr:row>
      <xdr:rowOff>31750</xdr:rowOff>
    </xdr:from>
    <xdr:to>
      <xdr:col>16</xdr:col>
      <xdr:colOff>21167</xdr:colOff>
      <xdr:row>1627</xdr:row>
      <xdr:rowOff>95250</xdr:rowOff>
    </xdr:to>
    <xdr:cxnSp macro="">
      <xdr:nvCxnSpPr>
        <xdr:cNvPr id="4547" name="Straight Arrow Connector 4546">
          <a:extLst>
            <a:ext uri="{FF2B5EF4-FFF2-40B4-BE49-F238E27FC236}">
              <a16:creationId xmlns:a16="http://schemas.microsoft.com/office/drawing/2014/main" id="{00000000-0008-0000-1300-0000C3110000}"/>
            </a:ext>
          </a:extLst>
        </xdr:cNvPr>
        <xdr:cNvCxnSpPr/>
      </xdr:nvCxnSpPr>
      <xdr:spPr>
        <a:xfrm>
          <a:off x="11324166" y="302355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1607</xdr:row>
      <xdr:rowOff>31750</xdr:rowOff>
    </xdr:from>
    <xdr:to>
      <xdr:col>16</xdr:col>
      <xdr:colOff>42334</xdr:colOff>
      <xdr:row>1614</xdr:row>
      <xdr:rowOff>63501</xdr:rowOff>
    </xdr:to>
    <xdr:cxnSp macro="">
      <xdr:nvCxnSpPr>
        <xdr:cNvPr id="4548" name="Straight Arrow Connector 4547">
          <a:extLst>
            <a:ext uri="{FF2B5EF4-FFF2-40B4-BE49-F238E27FC236}">
              <a16:creationId xmlns:a16="http://schemas.microsoft.com/office/drawing/2014/main" id="{00000000-0008-0000-1300-0000C4110000}"/>
            </a:ext>
          </a:extLst>
        </xdr:cNvPr>
        <xdr:cNvCxnSpPr/>
      </xdr:nvCxnSpPr>
      <xdr:spPr>
        <a:xfrm>
          <a:off x="11281833" y="299688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1620</xdr:row>
      <xdr:rowOff>31750</xdr:rowOff>
    </xdr:from>
    <xdr:to>
      <xdr:col>16</xdr:col>
      <xdr:colOff>21167</xdr:colOff>
      <xdr:row>1627</xdr:row>
      <xdr:rowOff>95250</xdr:rowOff>
    </xdr:to>
    <xdr:cxnSp macro="">
      <xdr:nvCxnSpPr>
        <xdr:cNvPr id="4549" name="Straight Arrow Connector 4548">
          <a:extLst>
            <a:ext uri="{FF2B5EF4-FFF2-40B4-BE49-F238E27FC236}">
              <a16:creationId xmlns:a16="http://schemas.microsoft.com/office/drawing/2014/main" id="{00000000-0008-0000-1300-0000C5110000}"/>
            </a:ext>
          </a:extLst>
        </xdr:cNvPr>
        <xdr:cNvCxnSpPr/>
      </xdr:nvCxnSpPr>
      <xdr:spPr>
        <a:xfrm>
          <a:off x="11324166" y="302355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1633</xdr:row>
      <xdr:rowOff>31750</xdr:rowOff>
    </xdr:from>
    <xdr:to>
      <xdr:col>16</xdr:col>
      <xdr:colOff>42334</xdr:colOff>
      <xdr:row>1640</xdr:row>
      <xdr:rowOff>63501</xdr:rowOff>
    </xdr:to>
    <xdr:cxnSp macro="">
      <xdr:nvCxnSpPr>
        <xdr:cNvPr id="4550" name="Straight Arrow Connector 4549">
          <a:extLst>
            <a:ext uri="{FF2B5EF4-FFF2-40B4-BE49-F238E27FC236}">
              <a16:creationId xmlns:a16="http://schemas.microsoft.com/office/drawing/2014/main" id="{00000000-0008-0000-1300-0000C6110000}"/>
            </a:ext>
          </a:extLst>
        </xdr:cNvPr>
        <xdr:cNvCxnSpPr/>
      </xdr:nvCxnSpPr>
      <xdr:spPr>
        <a:xfrm>
          <a:off x="11281833" y="304831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1633</xdr:row>
      <xdr:rowOff>31750</xdr:rowOff>
    </xdr:from>
    <xdr:to>
      <xdr:col>16</xdr:col>
      <xdr:colOff>42334</xdr:colOff>
      <xdr:row>1640</xdr:row>
      <xdr:rowOff>63501</xdr:rowOff>
    </xdr:to>
    <xdr:cxnSp macro="">
      <xdr:nvCxnSpPr>
        <xdr:cNvPr id="4551" name="Straight Arrow Connector 4550">
          <a:extLst>
            <a:ext uri="{FF2B5EF4-FFF2-40B4-BE49-F238E27FC236}">
              <a16:creationId xmlns:a16="http://schemas.microsoft.com/office/drawing/2014/main" id="{00000000-0008-0000-1300-0000C7110000}"/>
            </a:ext>
          </a:extLst>
        </xdr:cNvPr>
        <xdr:cNvCxnSpPr/>
      </xdr:nvCxnSpPr>
      <xdr:spPr>
        <a:xfrm>
          <a:off x="11281833" y="304831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1607</xdr:row>
      <xdr:rowOff>31750</xdr:rowOff>
    </xdr:from>
    <xdr:to>
      <xdr:col>16</xdr:col>
      <xdr:colOff>42334</xdr:colOff>
      <xdr:row>1614</xdr:row>
      <xdr:rowOff>63501</xdr:rowOff>
    </xdr:to>
    <xdr:cxnSp macro="">
      <xdr:nvCxnSpPr>
        <xdr:cNvPr id="4552" name="Straight Arrow Connector 4551">
          <a:extLst>
            <a:ext uri="{FF2B5EF4-FFF2-40B4-BE49-F238E27FC236}">
              <a16:creationId xmlns:a16="http://schemas.microsoft.com/office/drawing/2014/main" id="{00000000-0008-0000-1300-0000C8110000}"/>
            </a:ext>
          </a:extLst>
        </xdr:cNvPr>
        <xdr:cNvCxnSpPr/>
      </xdr:nvCxnSpPr>
      <xdr:spPr>
        <a:xfrm>
          <a:off x="11281833" y="299688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1620</xdr:row>
      <xdr:rowOff>31750</xdr:rowOff>
    </xdr:from>
    <xdr:to>
      <xdr:col>16</xdr:col>
      <xdr:colOff>21167</xdr:colOff>
      <xdr:row>1627</xdr:row>
      <xdr:rowOff>95250</xdr:rowOff>
    </xdr:to>
    <xdr:cxnSp macro="">
      <xdr:nvCxnSpPr>
        <xdr:cNvPr id="4553" name="Straight Arrow Connector 4552">
          <a:extLst>
            <a:ext uri="{FF2B5EF4-FFF2-40B4-BE49-F238E27FC236}">
              <a16:creationId xmlns:a16="http://schemas.microsoft.com/office/drawing/2014/main" id="{00000000-0008-0000-1300-0000C9110000}"/>
            </a:ext>
          </a:extLst>
        </xdr:cNvPr>
        <xdr:cNvCxnSpPr/>
      </xdr:nvCxnSpPr>
      <xdr:spPr>
        <a:xfrm>
          <a:off x="11324166" y="302355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1607</xdr:row>
      <xdr:rowOff>31750</xdr:rowOff>
    </xdr:from>
    <xdr:to>
      <xdr:col>16</xdr:col>
      <xdr:colOff>42334</xdr:colOff>
      <xdr:row>1614</xdr:row>
      <xdr:rowOff>63501</xdr:rowOff>
    </xdr:to>
    <xdr:cxnSp macro="">
      <xdr:nvCxnSpPr>
        <xdr:cNvPr id="4554" name="Straight Arrow Connector 4553">
          <a:extLst>
            <a:ext uri="{FF2B5EF4-FFF2-40B4-BE49-F238E27FC236}">
              <a16:creationId xmlns:a16="http://schemas.microsoft.com/office/drawing/2014/main" id="{00000000-0008-0000-1300-0000CA110000}"/>
            </a:ext>
          </a:extLst>
        </xdr:cNvPr>
        <xdr:cNvCxnSpPr/>
      </xdr:nvCxnSpPr>
      <xdr:spPr>
        <a:xfrm>
          <a:off x="11281833" y="299688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1620</xdr:row>
      <xdr:rowOff>31750</xdr:rowOff>
    </xdr:from>
    <xdr:to>
      <xdr:col>16</xdr:col>
      <xdr:colOff>21167</xdr:colOff>
      <xdr:row>1627</xdr:row>
      <xdr:rowOff>95250</xdr:rowOff>
    </xdr:to>
    <xdr:cxnSp macro="">
      <xdr:nvCxnSpPr>
        <xdr:cNvPr id="4555" name="Straight Arrow Connector 4554">
          <a:extLst>
            <a:ext uri="{FF2B5EF4-FFF2-40B4-BE49-F238E27FC236}">
              <a16:creationId xmlns:a16="http://schemas.microsoft.com/office/drawing/2014/main" id="{00000000-0008-0000-1300-0000CB110000}"/>
            </a:ext>
          </a:extLst>
        </xdr:cNvPr>
        <xdr:cNvCxnSpPr/>
      </xdr:nvCxnSpPr>
      <xdr:spPr>
        <a:xfrm>
          <a:off x="11324166" y="302355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1607</xdr:row>
      <xdr:rowOff>31750</xdr:rowOff>
    </xdr:from>
    <xdr:to>
      <xdr:col>16</xdr:col>
      <xdr:colOff>42334</xdr:colOff>
      <xdr:row>1614</xdr:row>
      <xdr:rowOff>63501</xdr:rowOff>
    </xdr:to>
    <xdr:cxnSp macro="">
      <xdr:nvCxnSpPr>
        <xdr:cNvPr id="4556" name="Straight Arrow Connector 4555">
          <a:extLst>
            <a:ext uri="{FF2B5EF4-FFF2-40B4-BE49-F238E27FC236}">
              <a16:creationId xmlns:a16="http://schemas.microsoft.com/office/drawing/2014/main" id="{00000000-0008-0000-1300-0000CC110000}"/>
            </a:ext>
          </a:extLst>
        </xdr:cNvPr>
        <xdr:cNvCxnSpPr/>
      </xdr:nvCxnSpPr>
      <xdr:spPr>
        <a:xfrm>
          <a:off x="11281833" y="299688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1620</xdr:row>
      <xdr:rowOff>31750</xdr:rowOff>
    </xdr:from>
    <xdr:to>
      <xdr:col>16</xdr:col>
      <xdr:colOff>21167</xdr:colOff>
      <xdr:row>1627</xdr:row>
      <xdr:rowOff>95250</xdr:rowOff>
    </xdr:to>
    <xdr:cxnSp macro="">
      <xdr:nvCxnSpPr>
        <xdr:cNvPr id="4557" name="Straight Arrow Connector 4556">
          <a:extLst>
            <a:ext uri="{FF2B5EF4-FFF2-40B4-BE49-F238E27FC236}">
              <a16:creationId xmlns:a16="http://schemas.microsoft.com/office/drawing/2014/main" id="{00000000-0008-0000-1300-0000CD110000}"/>
            </a:ext>
          </a:extLst>
        </xdr:cNvPr>
        <xdr:cNvCxnSpPr/>
      </xdr:nvCxnSpPr>
      <xdr:spPr>
        <a:xfrm>
          <a:off x="11324166" y="302355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1607</xdr:row>
      <xdr:rowOff>31750</xdr:rowOff>
    </xdr:from>
    <xdr:to>
      <xdr:col>16</xdr:col>
      <xdr:colOff>42334</xdr:colOff>
      <xdr:row>1614</xdr:row>
      <xdr:rowOff>63501</xdr:rowOff>
    </xdr:to>
    <xdr:cxnSp macro="">
      <xdr:nvCxnSpPr>
        <xdr:cNvPr id="4558" name="Straight Arrow Connector 4557">
          <a:extLst>
            <a:ext uri="{FF2B5EF4-FFF2-40B4-BE49-F238E27FC236}">
              <a16:creationId xmlns:a16="http://schemas.microsoft.com/office/drawing/2014/main" id="{00000000-0008-0000-1300-0000CE110000}"/>
            </a:ext>
          </a:extLst>
        </xdr:cNvPr>
        <xdr:cNvCxnSpPr/>
      </xdr:nvCxnSpPr>
      <xdr:spPr>
        <a:xfrm>
          <a:off x="11281833" y="299688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1620</xdr:row>
      <xdr:rowOff>31750</xdr:rowOff>
    </xdr:from>
    <xdr:to>
      <xdr:col>16</xdr:col>
      <xdr:colOff>21167</xdr:colOff>
      <xdr:row>1627</xdr:row>
      <xdr:rowOff>95250</xdr:rowOff>
    </xdr:to>
    <xdr:cxnSp macro="">
      <xdr:nvCxnSpPr>
        <xdr:cNvPr id="4559" name="Straight Arrow Connector 4558">
          <a:extLst>
            <a:ext uri="{FF2B5EF4-FFF2-40B4-BE49-F238E27FC236}">
              <a16:creationId xmlns:a16="http://schemas.microsoft.com/office/drawing/2014/main" id="{00000000-0008-0000-1300-0000CF110000}"/>
            </a:ext>
          </a:extLst>
        </xdr:cNvPr>
        <xdr:cNvCxnSpPr/>
      </xdr:nvCxnSpPr>
      <xdr:spPr>
        <a:xfrm>
          <a:off x="11324166" y="302355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1607</xdr:row>
      <xdr:rowOff>31750</xdr:rowOff>
    </xdr:from>
    <xdr:to>
      <xdr:col>16</xdr:col>
      <xdr:colOff>42334</xdr:colOff>
      <xdr:row>1614</xdr:row>
      <xdr:rowOff>63501</xdr:rowOff>
    </xdr:to>
    <xdr:cxnSp macro="">
      <xdr:nvCxnSpPr>
        <xdr:cNvPr id="4560" name="Straight Arrow Connector 4559">
          <a:extLst>
            <a:ext uri="{FF2B5EF4-FFF2-40B4-BE49-F238E27FC236}">
              <a16:creationId xmlns:a16="http://schemas.microsoft.com/office/drawing/2014/main" id="{00000000-0008-0000-1300-0000D0110000}"/>
            </a:ext>
          </a:extLst>
        </xdr:cNvPr>
        <xdr:cNvCxnSpPr/>
      </xdr:nvCxnSpPr>
      <xdr:spPr>
        <a:xfrm>
          <a:off x="11281833" y="299688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1620</xdr:row>
      <xdr:rowOff>31750</xdr:rowOff>
    </xdr:from>
    <xdr:to>
      <xdr:col>16</xdr:col>
      <xdr:colOff>21167</xdr:colOff>
      <xdr:row>1627</xdr:row>
      <xdr:rowOff>95250</xdr:rowOff>
    </xdr:to>
    <xdr:cxnSp macro="">
      <xdr:nvCxnSpPr>
        <xdr:cNvPr id="4561" name="Straight Arrow Connector 4560">
          <a:extLst>
            <a:ext uri="{FF2B5EF4-FFF2-40B4-BE49-F238E27FC236}">
              <a16:creationId xmlns:a16="http://schemas.microsoft.com/office/drawing/2014/main" id="{00000000-0008-0000-1300-0000D1110000}"/>
            </a:ext>
          </a:extLst>
        </xdr:cNvPr>
        <xdr:cNvCxnSpPr/>
      </xdr:nvCxnSpPr>
      <xdr:spPr>
        <a:xfrm>
          <a:off x="11324166" y="302355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1607</xdr:row>
      <xdr:rowOff>31750</xdr:rowOff>
    </xdr:from>
    <xdr:to>
      <xdr:col>16</xdr:col>
      <xdr:colOff>42334</xdr:colOff>
      <xdr:row>1614</xdr:row>
      <xdr:rowOff>63501</xdr:rowOff>
    </xdr:to>
    <xdr:cxnSp macro="">
      <xdr:nvCxnSpPr>
        <xdr:cNvPr id="4562" name="Straight Arrow Connector 4561">
          <a:extLst>
            <a:ext uri="{FF2B5EF4-FFF2-40B4-BE49-F238E27FC236}">
              <a16:creationId xmlns:a16="http://schemas.microsoft.com/office/drawing/2014/main" id="{00000000-0008-0000-1300-0000D2110000}"/>
            </a:ext>
          </a:extLst>
        </xdr:cNvPr>
        <xdr:cNvCxnSpPr/>
      </xdr:nvCxnSpPr>
      <xdr:spPr>
        <a:xfrm>
          <a:off x="11281833" y="299688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1620</xdr:row>
      <xdr:rowOff>31750</xdr:rowOff>
    </xdr:from>
    <xdr:to>
      <xdr:col>16</xdr:col>
      <xdr:colOff>21167</xdr:colOff>
      <xdr:row>1627</xdr:row>
      <xdr:rowOff>95250</xdr:rowOff>
    </xdr:to>
    <xdr:cxnSp macro="">
      <xdr:nvCxnSpPr>
        <xdr:cNvPr id="4563" name="Straight Arrow Connector 4562">
          <a:extLst>
            <a:ext uri="{FF2B5EF4-FFF2-40B4-BE49-F238E27FC236}">
              <a16:creationId xmlns:a16="http://schemas.microsoft.com/office/drawing/2014/main" id="{00000000-0008-0000-1300-0000D3110000}"/>
            </a:ext>
          </a:extLst>
        </xdr:cNvPr>
        <xdr:cNvCxnSpPr/>
      </xdr:nvCxnSpPr>
      <xdr:spPr>
        <a:xfrm>
          <a:off x="11324166" y="302355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1607</xdr:row>
      <xdr:rowOff>31750</xdr:rowOff>
    </xdr:from>
    <xdr:to>
      <xdr:col>16</xdr:col>
      <xdr:colOff>42334</xdr:colOff>
      <xdr:row>1614</xdr:row>
      <xdr:rowOff>63501</xdr:rowOff>
    </xdr:to>
    <xdr:cxnSp macro="">
      <xdr:nvCxnSpPr>
        <xdr:cNvPr id="4564" name="Straight Arrow Connector 4563">
          <a:extLst>
            <a:ext uri="{FF2B5EF4-FFF2-40B4-BE49-F238E27FC236}">
              <a16:creationId xmlns:a16="http://schemas.microsoft.com/office/drawing/2014/main" id="{00000000-0008-0000-1300-0000D4110000}"/>
            </a:ext>
          </a:extLst>
        </xdr:cNvPr>
        <xdr:cNvCxnSpPr/>
      </xdr:nvCxnSpPr>
      <xdr:spPr>
        <a:xfrm>
          <a:off x="11281833" y="299688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1620</xdr:row>
      <xdr:rowOff>31750</xdr:rowOff>
    </xdr:from>
    <xdr:to>
      <xdr:col>16</xdr:col>
      <xdr:colOff>21167</xdr:colOff>
      <xdr:row>1627</xdr:row>
      <xdr:rowOff>95250</xdr:rowOff>
    </xdr:to>
    <xdr:cxnSp macro="">
      <xdr:nvCxnSpPr>
        <xdr:cNvPr id="4565" name="Straight Arrow Connector 4564">
          <a:extLst>
            <a:ext uri="{FF2B5EF4-FFF2-40B4-BE49-F238E27FC236}">
              <a16:creationId xmlns:a16="http://schemas.microsoft.com/office/drawing/2014/main" id="{00000000-0008-0000-1300-0000D5110000}"/>
            </a:ext>
          </a:extLst>
        </xdr:cNvPr>
        <xdr:cNvCxnSpPr/>
      </xdr:nvCxnSpPr>
      <xdr:spPr>
        <a:xfrm>
          <a:off x="11324166" y="302355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1633</xdr:row>
      <xdr:rowOff>31750</xdr:rowOff>
    </xdr:from>
    <xdr:to>
      <xdr:col>16</xdr:col>
      <xdr:colOff>42334</xdr:colOff>
      <xdr:row>1640</xdr:row>
      <xdr:rowOff>63501</xdr:rowOff>
    </xdr:to>
    <xdr:cxnSp macro="">
      <xdr:nvCxnSpPr>
        <xdr:cNvPr id="4566" name="Straight Arrow Connector 4565">
          <a:extLst>
            <a:ext uri="{FF2B5EF4-FFF2-40B4-BE49-F238E27FC236}">
              <a16:creationId xmlns:a16="http://schemas.microsoft.com/office/drawing/2014/main" id="{00000000-0008-0000-1300-0000D6110000}"/>
            </a:ext>
          </a:extLst>
        </xdr:cNvPr>
        <xdr:cNvCxnSpPr/>
      </xdr:nvCxnSpPr>
      <xdr:spPr>
        <a:xfrm>
          <a:off x="11281833" y="304831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1633</xdr:row>
      <xdr:rowOff>31750</xdr:rowOff>
    </xdr:from>
    <xdr:to>
      <xdr:col>16</xdr:col>
      <xdr:colOff>42334</xdr:colOff>
      <xdr:row>1640</xdr:row>
      <xdr:rowOff>63501</xdr:rowOff>
    </xdr:to>
    <xdr:cxnSp macro="">
      <xdr:nvCxnSpPr>
        <xdr:cNvPr id="4567" name="Straight Arrow Connector 4566">
          <a:extLst>
            <a:ext uri="{FF2B5EF4-FFF2-40B4-BE49-F238E27FC236}">
              <a16:creationId xmlns:a16="http://schemas.microsoft.com/office/drawing/2014/main" id="{00000000-0008-0000-1300-0000D7110000}"/>
            </a:ext>
          </a:extLst>
        </xdr:cNvPr>
        <xdr:cNvCxnSpPr/>
      </xdr:nvCxnSpPr>
      <xdr:spPr>
        <a:xfrm>
          <a:off x="11281833" y="304831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1663</xdr:row>
      <xdr:rowOff>31750</xdr:rowOff>
    </xdr:from>
    <xdr:to>
      <xdr:col>16</xdr:col>
      <xdr:colOff>42334</xdr:colOff>
      <xdr:row>1670</xdr:row>
      <xdr:rowOff>63501</xdr:rowOff>
    </xdr:to>
    <xdr:cxnSp macro="">
      <xdr:nvCxnSpPr>
        <xdr:cNvPr id="4568" name="Straight Arrow Connector 4567">
          <a:extLst>
            <a:ext uri="{FF2B5EF4-FFF2-40B4-BE49-F238E27FC236}">
              <a16:creationId xmlns:a16="http://schemas.microsoft.com/office/drawing/2014/main" id="{00000000-0008-0000-1300-0000D8110000}"/>
            </a:ext>
          </a:extLst>
        </xdr:cNvPr>
        <xdr:cNvCxnSpPr/>
      </xdr:nvCxnSpPr>
      <xdr:spPr>
        <a:xfrm>
          <a:off x="11281833" y="310546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569" name="Straight Arrow Connector 4568">
          <a:extLst>
            <a:ext uri="{FF2B5EF4-FFF2-40B4-BE49-F238E27FC236}">
              <a16:creationId xmlns:a16="http://schemas.microsoft.com/office/drawing/2014/main" id="{00000000-0008-0000-1300-0000D9110000}"/>
            </a:ext>
          </a:extLst>
        </xdr:cNvPr>
        <xdr:cNvCxnSpPr/>
      </xdr:nvCxnSpPr>
      <xdr:spPr>
        <a:xfrm>
          <a:off x="11324166" y="313213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1663</xdr:row>
      <xdr:rowOff>31750</xdr:rowOff>
    </xdr:from>
    <xdr:to>
      <xdr:col>16</xdr:col>
      <xdr:colOff>42334</xdr:colOff>
      <xdr:row>1670</xdr:row>
      <xdr:rowOff>63501</xdr:rowOff>
    </xdr:to>
    <xdr:cxnSp macro="">
      <xdr:nvCxnSpPr>
        <xdr:cNvPr id="4570" name="Straight Arrow Connector 4569">
          <a:extLst>
            <a:ext uri="{FF2B5EF4-FFF2-40B4-BE49-F238E27FC236}">
              <a16:creationId xmlns:a16="http://schemas.microsoft.com/office/drawing/2014/main" id="{00000000-0008-0000-1300-0000DA110000}"/>
            </a:ext>
          </a:extLst>
        </xdr:cNvPr>
        <xdr:cNvCxnSpPr/>
      </xdr:nvCxnSpPr>
      <xdr:spPr>
        <a:xfrm>
          <a:off x="11281833" y="310546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571" name="Straight Arrow Connector 4570">
          <a:extLst>
            <a:ext uri="{FF2B5EF4-FFF2-40B4-BE49-F238E27FC236}">
              <a16:creationId xmlns:a16="http://schemas.microsoft.com/office/drawing/2014/main" id="{00000000-0008-0000-1300-0000DB110000}"/>
            </a:ext>
          </a:extLst>
        </xdr:cNvPr>
        <xdr:cNvCxnSpPr/>
      </xdr:nvCxnSpPr>
      <xdr:spPr>
        <a:xfrm>
          <a:off x="11324166" y="313213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1663</xdr:row>
      <xdr:rowOff>31750</xdr:rowOff>
    </xdr:from>
    <xdr:to>
      <xdr:col>16</xdr:col>
      <xdr:colOff>42334</xdr:colOff>
      <xdr:row>1670</xdr:row>
      <xdr:rowOff>63501</xdr:rowOff>
    </xdr:to>
    <xdr:cxnSp macro="">
      <xdr:nvCxnSpPr>
        <xdr:cNvPr id="4572" name="Straight Arrow Connector 4571">
          <a:extLst>
            <a:ext uri="{FF2B5EF4-FFF2-40B4-BE49-F238E27FC236}">
              <a16:creationId xmlns:a16="http://schemas.microsoft.com/office/drawing/2014/main" id="{00000000-0008-0000-1300-0000DC110000}"/>
            </a:ext>
          </a:extLst>
        </xdr:cNvPr>
        <xdr:cNvCxnSpPr/>
      </xdr:nvCxnSpPr>
      <xdr:spPr>
        <a:xfrm>
          <a:off x="11281833" y="310546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573" name="Straight Arrow Connector 4572">
          <a:extLst>
            <a:ext uri="{FF2B5EF4-FFF2-40B4-BE49-F238E27FC236}">
              <a16:creationId xmlns:a16="http://schemas.microsoft.com/office/drawing/2014/main" id="{00000000-0008-0000-1300-0000DD110000}"/>
            </a:ext>
          </a:extLst>
        </xdr:cNvPr>
        <xdr:cNvCxnSpPr/>
      </xdr:nvCxnSpPr>
      <xdr:spPr>
        <a:xfrm>
          <a:off x="11324166" y="313213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1663</xdr:row>
      <xdr:rowOff>31750</xdr:rowOff>
    </xdr:from>
    <xdr:to>
      <xdr:col>16</xdr:col>
      <xdr:colOff>42334</xdr:colOff>
      <xdr:row>1670</xdr:row>
      <xdr:rowOff>63501</xdr:rowOff>
    </xdr:to>
    <xdr:cxnSp macro="">
      <xdr:nvCxnSpPr>
        <xdr:cNvPr id="4574" name="Straight Arrow Connector 4573">
          <a:extLst>
            <a:ext uri="{FF2B5EF4-FFF2-40B4-BE49-F238E27FC236}">
              <a16:creationId xmlns:a16="http://schemas.microsoft.com/office/drawing/2014/main" id="{00000000-0008-0000-1300-0000DE110000}"/>
            </a:ext>
          </a:extLst>
        </xdr:cNvPr>
        <xdr:cNvCxnSpPr/>
      </xdr:nvCxnSpPr>
      <xdr:spPr>
        <a:xfrm>
          <a:off x="11281833" y="310546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575" name="Straight Arrow Connector 4574">
          <a:extLst>
            <a:ext uri="{FF2B5EF4-FFF2-40B4-BE49-F238E27FC236}">
              <a16:creationId xmlns:a16="http://schemas.microsoft.com/office/drawing/2014/main" id="{00000000-0008-0000-1300-0000DF110000}"/>
            </a:ext>
          </a:extLst>
        </xdr:cNvPr>
        <xdr:cNvCxnSpPr/>
      </xdr:nvCxnSpPr>
      <xdr:spPr>
        <a:xfrm>
          <a:off x="11324166" y="313213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1663</xdr:row>
      <xdr:rowOff>31750</xdr:rowOff>
    </xdr:from>
    <xdr:to>
      <xdr:col>16</xdr:col>
      <xdr:colOff>42334</xdr:colOff>
      <xdr:row>1670</xdr:row>
      <xdr:rowOff>63501</xdr:rowOff>
    </xdr:to>
    <xdr:cxnSp macro="">
      <xdr:nvCxnSpPr>
        <xdr:cNvPr id="4576" name="Straight Arrow Connector 4575">
          <a:extLst>
            <a:ext uri="{FF2B5EF4-FFF2-40B4-BE49-F238E27FC236}">
              <a16:creationId xmlns:a16="http://schemas.microsoft.com/office/drawing/2014/main" id="{00000000-0008-0000-1300-0000E0110000}"/>
            </a:ext>
          </a:extLst>
        </xdr:cNvPr>
        <xdr:cNvCxnSpPr/>
      </xdr:nvCxnSpPr>
      <xdr:spPr>
        <a:xfrm>
          <a:off x="11281833" y="310546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577" name="Straight Arrow Connector 4576">
          <a:extLst>
            <a:ext uri="{FF2B5EF4-FFF2-40B4-BE49-F238E27FC236}">
              <a16:creationId xmlns:a16="http://schemas.microsoft.com/office/drawing/2014/main" id="{00000000-0008-0000-1300-0000E1110000}"/>
            </a:ext>
          </a:extLst>
        </xdr:cNvPr>
        <xdr:cNvCxnSpPr/>
      </xdr:nvCxnSpPr>
      <xdr:spPr>
        <a:xfrm>
          <a:off x="11324166" y="313213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1663</xdr:row>
      <xdr:rowOff>31750</xdr:rowOff>
    </xdr:from>
    <xdr:to>
      <xdr:col>16</xdr:col>
      <xdr:colOff>42334</xdr:colOff>
      <xdr:row>1670</xdr:row>
      <xdr:rowOff>63501</xdr:rowOff>
    </xdr:to>
    <xdr:cxnSp macro="">
      <xdr:nvCxnSpPr>
        <xdr:cNvPr id="4578" name="Straight Arrow Connector 4577">
          <a:extLst>
            <a:ext uri="{FF2B5EF4-FFF2-40B4-BE49-F238E27FC236}">
              <a16:creationId xmlns:a16="http://schemas.microsoft.com/office/drawing/2014/main" id="{00000000-0008-0000-1300-0000E2110000}"/>
            </a:ext>
          </a:extLst>
        </xdr:cNvPr>
        <xdr:cNvCxnSpPr/>
      </xdr:nvCxnSpPr>
      <xdr:spPr>
        <a:xfrm>
          <a:off x="11281833" y="310546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579" name="Straight Arrow Connector 4578">
          <a:extLst>
            <a:ext uri="{FF2B5EF4-FFF2-40B4-BE49-F238E27FC236}">
              <a16:creationId xmlns:a16="http://schemas.microsoft.com/office/drawing/2014/main" id="{00000000-0008-0000-1300-0000E3110000}"/>
            </a:ext>
          </a:extLst>
        </xdr:cNvPr>
        <xdr:cNvCxnSpPr/>
      </xdr:nvCxnSpPr>
      <xdr:spPr>
        <a:xfrm>
          <a:off x="11324166" y="313213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1663</xdr:row>
      <xdr:rowOff>31750</xdr:rowOff>
    </xdr:from>
    <xdr:to>
      <xdr:col>16</xdr:col>
      <xdr:colOff>42334</xdr:colOff>
      <xdr:row>1670</xdr:row>
      <xdr:rowOff>63501</xdr:rowOff>
    </xdr:to>
    <xdr:cxnSp macro="">
      <xdr:nvCxnSpPr>
        <xdr:cNvPr id="4580" name="Straight Arrow Connector 4579">
          <a:extLst>
            <a:ext uri="{FF2B5EF4-FFF2-40B4-BE49-F238E27FC236}">
              <a16:creationId xmlns:a16="http://schemas.microsoft.com/office/drawing/2014/main" id="{00000000-0008-0000-1300-0000E4110000}"/>
            </a:ext>
          </a:extLst>
        </xdr:cNvPr>
        <xdr:cNvCxnSpPr/>
      </xdr:nvCxnSpPr>
      <xdr:spPr>
        <a:xfrm>
          <a:off x="11281833" y="310546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581" name="Straight Arrow Connector 4580">
          <a:extLst>
            <a:ext uri="{FF2B5EF4-FFF2-40B4-BE49-F238E27FC236}">
              <a16:creationId xmlns:a16="http://schemas.microsoft.com/office/drawing/2014/main" id="{00000000-0008-0000-1300-0000E5110000}"/>
            </a:ext>
          </a:extLst>
        </xdr:cNvPr>
        <xdr:cNvCxnSpPr/>
      </xdr:nvCxnSpPr>
      <xdr:spPr>
        <a:xfrm>
          <a:off x="11324166" y="313213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582" name="Straight Arrow Connector 4581">
          <a:extLst>
            <a:ext uri="{FF2B5EF4-FFF2-40B4-BE49-F238E27FC236}">
              <a16:creationId xmlns:a16="http://schemas.microsoft.com/office/drawing/2014/main" id="{00000000-0008-0000-1300-0000E6110000}"/>
            </a:ext>
          </a:extLst>
        </xdr:cNvPr>
        <xdr:cNvCxnSpPr/>
      </xdr:nvCxnSpPr>
      <xdr:spPr>
        <a:xfrm>
          <a:off x="11324166" y="313213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583" name="Straight Arrow Connector 4582">
          <a:extLst>
            <a:ext uri="{FF2B5EF4-FFF2-40B4-BE49-F238E27FC236}">
              <a16:creationId xmlns:a16="http://schemas.microsoft.com/office/drawing/2014/main" id="{00000000-0008-0000-1300-0000E7110000}"/>
            </a:ext>
          </a:extLst>
        </xdr:cNvPr>
        <xdr:cNvCxnSpPr/>
      </xdr:nvCxnSpPr>
      <xdr:spPr>
        <a:xfrm>
          <a:off x="11324166" y="313213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1663</xdr:row>
      <xdr:rowOff>31750</xdr:rowOff>
    </xdr:from>
    <xdr:to>
      <xdr:col>16</xdr:col>
      <xdr:colOff>42334</xdr:colOff>
      <xdr:row>1670</xdr:row>
      <xdr:rowOff>63501</xdr:rowOff>
    </xdr:to>
    <xdr:cxnSp macro="">
      <xdr:nvCxnSpPr>
        <xdr:cNvPr id="4584" name="Straight Arrow Connector 4583">
          <a:extLst>
            <a:ext uri="{FF2B5EF4-FFF2-40B4-BE49-F238E27FC236}">
              <a16:creationId xmlns:a16="http://schemas.microsoft.com/office/drawing/2014/main" id="{00000000-0008-0000-1300-0000E8110000}"/>
            </a:ext>
          </a:extLst>
        </xdr:cNvPr>
        <xdr:cNvCxnSpPr/>
      </xdr:nvCxnSpPr>
      <xdr:spPr>
        <a:xfrm>
          <a:off x="11281833" y="310546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585" name="Straight Arrow Connector 4584">
          <a:extLst>
            <a:ext uri="{FF2B5EF4-FFF2-40B4-BE49-F238E27FC236}">
              <a16:creationId xmlns:a16="http://schemas.microsoft.com/office/drawing/2014/main" id="{00000000-0008-0000-1300-0000E9110000}"/>
            </a:ext>
          </a:extLst>
        </xdr:cNvPr>
        <xdr:cNvCxnSpPr/>
      </xdr:nvCxnSpPr>
      <xdr:spPr>
        <a:xfrm>
          <a:off x="11324166" y="313213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586" name="Straight Arrow Connector 4585">
          <a:extLst>
            <a:ext uri="{FF2B5EF4-FFF2-40B4-BE49-F238E27FC236}">
              <a16:creationId xmlns:a16="http://schemas.microsoft.com/office/drawing/2014/main" id="{00000000-0008-0000-1300-0000EA110000}"/>
            </a:ext>
          </a:extLst>
        </xdr:cNvPr>
        <xdr:cNvCxnSpPr/>
      </xdr:nvCxnSpPr>
      <xdr:spPr>
        <a:xfrm>
          <a:off x="11324166" y="313213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587" name="Straight Arrow Connector 4586">
          <a:extLst>
            <a:ext uri="{FF2B5EF4-FFF2-40B4-BE49-F238E27FC236}">
              <a16:creationId xmlns:a16="http://schemas.microsoft.com/office/drawing/2014/main" id="{00000000-0008-0000-1300-0000EB110000}"/>
            </a:ext>
          </a:extLst>
        </xdr:cNvPr>
        <xdr:cNvCxnSpPr/>
      </xdr:nvCxnSpPr>
      <xdr:spPr>
        <a:xfrm>
          <a:off x="11324166" y="313213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588" name="Straight Arrow Connector 4587">
          <a:extLst>
            <a:ext uri="{FF2B5EF4-FFF2-40B4-BE49-F238E27FC236}">
              <a16:creationId xmlns:a16="http://schemas.microsoft.com/office/drawing/2014/main" id="{00000000-0008-0000-1300-0000EC110000}"/>
            </a:ext>
          </a:extLst>
        </xdr:cNvPr>
        <xdr:cNvCxnSpPr/>
      </xdr:nvCxnSpPr>
      <xdr:spPr>
        <a:xfrm>
          <a:off x="11324166" y="313213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1663</xdr:row>
      <xdr:rowOff>31750</xdr:rowOff>
    </xdr:from>
    <xdr:to>
      <xdr:col>16</xdr:col>
      <xdr:colOff>42334</xdr:colOff>
      <xdr:row>1670</xdr:row>
      <xdr:rowOff>63501</xdr:rowOff>
    </xdr:to>
    <xdr:cxnSp macro="">
      <xdr:nvCxnSpPr>
        <xdr:cNvPr id="4589" name="Straight Arrow Connector 4588">
          <a:extLst>
            <a:ext uri="{FF2B5EF4-FFF2-40B4-BE49-F238E27FC236}">
              <a16:creationId xmlns:a16="http://schemas.microsoft.com/office/drawing/2014/main" id="{00000000-0008-0000-1300-0000ED110000}"/>
            </a:ext>
          </a:extLst>
        </xdr:cNvPr>
        <xdr:cNvCxnSpPr/>
      </xdr:nvCxnSpPr>
      <xdr:spPr>
        <a:xfrm>
          <a:off x="11281833" y="310546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590" name="Straight Arrow Connector 4589">
          <a:extLst>
            <a:ext uri="{FF2B5EF4-FFF2-40B4-BE49-F238E27FC236}">
              <a16:creationId xmlns:a16="http://schemas.microsoft.com/office/drawing/2014/main" id="{00000000-0008-0000-1300-0000EE110000}"/>
            </a:ext>
          </a:extLst>
        </xdr:cNvPr>
        <xdr:cNvCxnSpPr/>
      </xdr:nvCxnSpPr>
      <xdr:spPr>
        <a:xfrm>
          <a:off x="11324166" y="313213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1663</xdr:row>
      <xdr:rowOff>31750</xdr:rowOff>
    </xdr:from>
    <xdr:to>
      <xdr:col>16</xdr:col>
      <xdr:colOff>42334</xdr:colOff>
      <xdr:row>1670</xdr:row>
      <xdr:rowOff>63501</xdr:rowOff>
    </xdr:to>
    <xdr:cxnSp macro="">
      <xdr:nvCxnSpPr>
        <xdr:cNvPr id="4591" name="Straight Arrow Connector 4590">
          <a:extLst>
            <a:ext uri="{FF2B5EF4-FFF2-40B4-BE49-F238E27FC236}">
              <a16:creationId xmlns:a16="http://schemas.microsoft.com/office/drawing/2014/main" id="{00000000-0008-0000-1300-0000EF110000}"/>
            </a:ext>
          </a:extLst>
        </xdr:cNvPr>
        <xdr:cNvCxnSpPr/>
      </xdr:nvCxnSpPr>
      <xdr:spPr>
        <a:xfrm>
          <a:off x="11281833" y="310546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592" name="Straight Arrow Connector 4591">
          <a:extLst>
            <a:ext uri="{FF2B5EF4-FFF2-40B4-BE49-F238E27FC236}">
              <a16:creationId xmlns:a16="http://schemas.microsoft.com/office/drawing/2014/main" id="{00000000-0008-0000-1300-0000F0110000}"/>
            </a:ext>
          </a:extLst>
        </xdr:cNvPr>
        <xdr:cNvCxnSpPr/>
      </xdr:nvCxnSpPr>
      <xdr:spPr>
        <a:xfrm>
          <a:off x="11324166" y="313213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1663</xdr:row>
      <xdr:rowOff>31750</xdr:rowOff>
    </xdr:from>
    <xdr:to>
      <xdr:col>16</xdr:col>
      <xdr:colOff>42334</xdr:colOff>
      <xdr:row>1670</xdr:row>
      <xdr:rowOff>63501</xdr:rowOff>
    </xdr:to>
    <xdr:cxnSp macro="">
      <xdr:nvCxnSpPr>
        <xdr:cNvPr id="4593" name="Straight Arrow Connector 4592">
          <a:extLst>
            <a:ext uri="{FF2B5EF4-FFF2-40B4-BE49-F238E27FC236}">
              <a16:creationId xmlns:a16="http://schemas.microsoft.com/office/drawing/2014/main" id="{00000000-0008-0000-1300-0000F1110000}"/>
            </a:ext>
          </a:extLst>
        </xdr:cNvPr>
        <xdr:cNvCxnSpPr/>
      </xdr:nvCxnSpPr>
      <xdr:spPr>
        <a:xfrm>
          <a:off x="11281833" y="310546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594" name="Straight Arrow Connector 4593">
          <a:extLst>
            <a:ext uri="{FF2B5EF4-FFF2-40B4-BE49-F238E27FC236}">
              <a16:creationId xmlns:a16="http://schemas.microsoft.com/office/drawing/2014/main" id="{00000000-0008-0000-1300-0000F2110000}"/>
            </a:ext>
          </a:extLst>
        </xdr:cNvPr>
        <xdr:cNvCxnSpPr/>
      </xdr:nvCxnSpPr>
      <xdr:spPr>
        <a:xfrm>
          <a:off x="11324166" y="313213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1663</xdr:row>
      <xdr:rowOff>31750</xdr:rowOff>
    </xdr:from>
    <xdr:to>
      <xdr:col>16</xdr:col>
      <xdr:colOff>42334</xdr:colOff>
      <xdr:row>1670</xdr:row>
      <xdr:rowOff>63501</xdr:rowOff>
    </xdr:to>
    <xdr:cxnSp macro="">
      <xdr:nvCxnSpPr>
        <xdr:cNvPr id="4595" name="Straight Arrow Connector 4594">
          <a:extLst>
            <a:ext uri="{FF2B5EF4-FFF2-40B4-BE49-F238E27FC236}">
              <a16:creationId xmlns:a16="http://schemas.microsoft.com/office/drawing/2014/main" id="{00000000-0008-0000-1300-0000F3110000}"/>
            </a:ext>
          </a:extLst>
        </xdr:cNvPr>
        <xdr:cNvCxnSpPr/>
      </xdr:nvCxnSpPr>
      <xdr:spPr>
        <a:xfrm>
          <a:off x="11281833" y="310546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596" name="Straight Arrow Connector 4595">
          <a:extLst>
            <a:ext uri="{FF2B5EF4-FFF2-40B4-BE49-F238E27FC236}">
              <a16:creationId xmlns:a16="http://schemas.microsoft.com/office/drawing/2014/main" id="{00000000-0008-0000-1300-0000F4110000}"/>
            </a:ext>
          </a:extLst>
        </xdr:cNvPr>
        <xdr:cNvCxnSpPr/>
      </xdr:nvCxnSpPr>
      <xdr:spPr>
        <a:xfrm>
          <a:off x="11324166" y="313213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597" name="Straight Arrow Connector 4596">
          <a:extLst>
            <a:ext uri="{FF2B5EF4-FFF2-40B4-BE49-F238E27FC236}">
              <a16:creationId xmlns:a16="http://schemas.microsoft.com/office/drawing/2014/main" id="{00000000-0008-0000-1300-0000F5110000}"/>
            </a:ext>
          </a:extLst>
        </xdr:cNvPr>
        <xdr:cNvCxnSpPr/>
      </xdr:nvCxnSpPr>
      <xdr:spPr>
        <a:xfrm>
          <a:off x="11324166" y="313213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598" name="Straight Arrow Connector 4597">
          <a:extLst>
            <a:ext uri="{FF2B5EF4-FFF2-40B4-BE49-F238E27FC236}">
              <a16:creationId xmlns:a16="http://schemas.microsoft.com/office/drawing/2014/main" id="{00000000-0008-0000-1300-0000F6110000}"/>
            </a:ext>
          </a:extLst>
        </xdr:cNvPr>
        <xdr:cNvCxnSpPr/>
      </xdr:nvCxnSpPr>
      <xdr:spPr>
        <a:xfrm>
          <a:off x="11324166" y="313213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1663</xdr:row>
      <xdr:rowOff>31750</xdr:rowOff>
    </xdr:from>
    <xdr:to>
      <xdr:col>16</xdr:col>
      <xdr:colOff>42334</xdr:colOff>
      <xdr:row>1670</xdr:row>
      <xdr:rowOff>63501</xdr:rowOff>
    </xdr:to>
    <xdr:cxnSp macro="">
      <xdr:nvCxnSpPr>
        <xdr:cNvPr id="4599" name="Straight Arrow Connector 4598">
          <a:extLst>
            <a:ext uri="{FF2B5EF4-FFF2-40B4-BE49-F238E27FC236}">
              <a16:creationId xmlns:a16="http://schemas.microsoft.com/office/drawing/2014/main" id="{00000000-0008-0000-1300-0000F7110000}"/>
            </a:ext>
          </a:extLst>
        </xdr:cNvPr>
        <xdr:cNvCxnSpPr/>
      </xdr:nvCxnSpPr>
      <xdr:spPr>
        <a:xfrm>
          <a:off x="11281833" y="310546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600" name="Straight Arrow Connector 4599">
          <a:extLst>
            <a:ext uri="{FF2B5EF4-FFF2-40B4-BE49-F238E27FC236}">
              <a16:creationId xmlns:a16="http://schemas.microsoft.com/office/drawing/2014/main" id="{00000000-0008-0000-1300-0000F8110000}"/>
            </a:ext>
          </a:extLst>
        </xdr:cNvPr>
        <xdr:cNvCxnSpPr/>
      </xdr:nvCxnSpPr>
      <xdr:spPr>
        <a:xfrm>
          <a:off x="11324166" y="313213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1663</xdr:row>
      <xdr:rowOff>31750</xdr:rowOff>
    </xdr:from>
    <xdr:to>
      <xdr:col>16</xdr:col>
      <xdr:colOff>42334</xdr:colOff>
      <xdr:row>1670</xdr:row>
      <xdr:rowOff>63501</xdr:rowOff>
    </xdr:to>
    <xdr:cxnSp macro="">
      <xdr:nvCxnSpPr>
        <xdr:cNvPr id="4601" name="Straight Arrow Connector 4600">
          <a:extLst>
            <a:ext uri="{FF2B5EF4-FFF2-40B4-BE49-F238E27FC236}">
              <a16:creationId xmlns:a16="http://schemas.microsoft.com/office/drawing/2014/main" id="{00000000-0008-0000-1300-0000F9110000}"/>
            </a:ext>
          </a:extLst>
        </xdr:cNvPr>
        <xdr:cNvCxnSpPr/>
      </xdr:nvCxnSpPr>
      <xdr:spPr>
        <a:xfrm>
          <a:off x="11281833" y="310546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602" name="Straight Arrow Connector 4601">
          <a:extLst>
            <a:ext uri="{FF2B5EF4-FFF2-40B4-BE49-F238E27FC236}">
              <a16:creationId xmlns:a16="http://schemas.microsoft.com/office/drawing/2014/main" id="{00000000-0008-0000-1300-0000FA110000}"/>
            </a:ext>
          </a:extLst>
        </xdr:cNvPr>
        <xdr:cNvCxnSpPr/>
      </xdr:nvCxnSpPr>
      <xdr:spPr>
        <a:xfrm>
          <a:off x="11324166" y="313213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1663</xdr:row>
      <xdr:rowOff>31750</xdr:rowOff>
    </xdr:from>
    <xdr:to>
      <xdr:col>16</xdr:col>
      <xdr:colOff>42334</xdr:colOff>
      <xdr:row>1670</xdr:row>
      <xdr:rowOff>63501</xdr:rowOff>
    </xdr:to>
    <xdr:cxnSp macro="">
      <xdr:nvCxnSpPr>
        <xdr:cNvPr id="4603" name="Straight Arrow Connector 4602">
          <a:extLst>
            <a:ext uri="{FF2B5EF4-FFF2-40B4-BE49-F238E27FC236}">
              <a16:creationId xmlns:a16="http://schemas.microsoft.com/office/drawing/2014/main" id="{00000000-0008-0000-1300-0000FB110000}"/>
            </a:ext>
          </a:extLst>
        </xdr:cNvPr>
        <xdr:cNvCxnSpPr/>
      </xdr:nvCxnSpPr>
      <xdr:spPr>
        <a:xfrm>
          <a:off x="11281833" y="310546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604" name="Straight Arrow Connector 4603">
          <a:extLst>
            <a:ext uri="{FF2B5EF4-FFF2-40B4-BE49-F238E27FC236}">
              <a16:creationId xmlns:a16="http://schemas.microsoft.com/office/drawing/2014/main" id="{00000000-0008-0000-1300-0000FC110000}"/>
            </a:ext>
          </a:extLst>
        </xdr:cNvPr>
        <xdr:cNvCxnSpPr/>
      </xdr:nvCxnSpPr>
      <xdr:spPr>
        <a:xfrm>
          <a:off x="11324166" y="313213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1689</xdr:row>
      <xdr:rowOff>31750</xdr:rowOff>
    </xdr:from>
    <xdr:to>
      <xdr:col>16</xdr:col>
      <xdr:colOff>42334</xdr:colOff>
      <xdr:row>1696</xdr:row>
      <xdr:rowOff>63501</xdr:rowOff>
    </xdr:to>
    <xdr:cxnSp macro="">
      <xdr:nvCxnSpPr>
        <xdr:cNvPr id="4605" name="Straight Arrow Connector 4604">
          <a:extLst>
            <a:ext uri="{FF2B5EF4-FFF2-40B4-BE49-F238E27FC236}">
              <a16:creationId xmlns:a16="http://schemas.microsoft.com/office/drawing/2014/main" id="{00000000-0008-0000-1300-0000FD110000}"/>
            </a:ext>
          </a:extLst>
        </xdr:cNvPr>
        <xdr:cNvCxnSpPr/>
      </xdr:nvCxnSpPr>
      <xdr:spPr>
        <a:xfrm>
          <a:off x="11281833" y="315690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1689</xdr:row>
      <xdr:rowOff>31750</xdr:rowOff>
    </xdr:from>
    <xdr:to>
      <xdr:col>16</xdr:col>
      <xdr:colOff>42334</xdr:colOff>
      <xdr:row>1696</xdr:row>
      <xdr:rowOff>63501</xdr:rowOff>
    </xdr:to>
    <xdr:cxnSp macro="">
      <xdr:nvCxnSpPr>
        <xdr:cNvPr id="4606" name="Straight Arrow Connector 4605">
          <a:extLst>
            <a:ext uri="{FF2B5EF4-FFF2-40B4-BE49-F238E27FC236}">
              <a16:creationId xmlns:a16="http://schemas.microsoft.com/office/drawing/2014/main" id="{00000000-0008-0000-1300-0000FE110000}"/>
            </a:ext>
          </a:extLst>
        </xdr:cNvPr>
        <xdr:cNvCxnSpPr/>
      </xdr:nvCxnSpPr>
      <xdr:spPr>
        <a:xfrm>
          <a:off x="11281833" y="315690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607" name="Straight Arrow Connector 4606">
          <a:extLst>
            <a:ext uri="{FF2B5EF4-FFF2-40B4-BE49-F238E27FC236}">
              <a16:creationId xmlns:a16="http://schemas.microsoft.com/office/drawing/2014/main" id="{00000000-0008-0000-1300-0000FF110000}"/>
            </a:ext>
          </a:extLst>
        </xdr:cNvPr>
        <xdr:cNvCxnSpPr/>
      </xdr:nvCxnSpPr>
      <xdr:spPr>
        <a:xfrm>
          <a:off x="11324166" y="313213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608" name="Straight Arrow Connector 4607">
          <a:extLst>
            <a:ext uri="{FF2B5EF4-FFF2-40B4-BE49-F238E27FC236}">
              <a16:creationId xmlns:a16="http://schemas.microsoft.com/office/drawing/2014/main" id="{00000000-0008-0000-1300-000000120000}"/>
            </a:ext>
          </a:extLst>
        </xdr:cNvPr>
        <xdr:cNvCxnSpPr/>
      </xdr:nvCxnSpPr>
      <xdr:spPr>
        <a:xfrm>
          <a:off x="11324166" y="313213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609" name="Straight Arrow Connector 4608">
          <a:extLst>
            <a:ext uri="{FF2B5EF4-FFF2-40B4-BE49-F238E27FC236}">
              <a16:creationId xmlns:a16="http://schemas.microsoft.com/office/drawing/2014/main" id="{00000000-0008-0000-1300-000001120000}"/>
            </a:ext>
          </a:extLst>
        </xdr:cNvPr>
        <xdr:cNvCxnSpPr/>
      </xdr:nvCxnSpPr>
      <xdr:spPr>
        <a:xfrm>
          <a:off x="11324166" y="313213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610" name="Straight Arrow Connector 4609">
          <a:extLst>
            <a:ext uri="{FF2B5EF4-FFF2-40B4-BE49-F238E27FC236}">
              <a16:creationId xmlns:a16="http://schemas.microsoft.com/office/drawing/2014/main" id="{00000000-0008-0000-1300-000002120000}"/>
            </a:ext>
          </a:extLst>
        </xdr:cNvPr>
        <xdr:cNvCxnSpPr/>
      </xdr:nvCxnSpPr>
      <xdr:spPr>
        <a:xfrm>
          <a:off x="11324166" y="313213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611" name="Straight Arrow Connector 4610">
          <a:extLst>
            <a:ext uri="{FF2B5EF4-FFF2-40B4-BE49-F238E27FC236}">
              <a16:creationId xmlns:a16="http://schemas.microsoft.com/office/drawing/2014/main" id="{00000000-0008-0000-1300-000003120000}"/>
            </a:ext>
          </a:extLst>
        </xdr:cNvPr>
        <xdr:cNvCxnSpPr/>
      </xdr:nvCxnSpPr>
      <xdr:spPr>
        <a:xfrm>
          <a:off x="11324166" y="313213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612" name="Straight Arrow Connector 4611">
          <a:extLst>
            <a:ext uri="{FF2B5EF4-FFF2-40B4-BE49-F238E27FC236}">
              <a16:creationId xmlns:a16="http://schemas.microsoft.com/office/drawing/2014/main" id="{00000000-0008-0000-1300-000004120000}"/>
            </a:ext>
          </a:extLst>
        </xdr:cNvPr>
        <xdr:cNvCxnSpPr/>
      </xdr:nvCxnSpPr>
      <xdr:spPr>
        <a:xfrm>
          <a:off x="11324166" y="313213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613" name="Straight Arrow Connector 4612">
          <a:extLst>
            <a:ext uri="{FF2B5EF4-FFF2-40B4-BE49-F238E27FC236}">
              <a16:creationId xmlns:a16="http://schemas.microsoft.com/office/drawing/2014/main" id="{00000000-0008-0000-1300-000005120000}"/>
            </a:ext>
          </a:extLst>
        </xdr:cNvPr>
        <xdr:cNvCxnSpPr/>
      </xdr:nvCxnSpPr>
      <xdr:spPr>
        <a:xfrm>
          <a:off x="11324166" y="313213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614" name="Straight Arrow Connector 4613">
          <a:extLst>
            <a:ext uri="{FF2B5EF4-FFF2-40B4-BE49-F238E27FC236}">
              <a16:creationId xmlns:a16="http://schemas.microsoft.com/office/drawing/2014/main" id="{00000000-0008-0000-1300-000006120000}"/>
            </a:ext>
          </a:extLst>
        </xdr:cNvPr>
        <xdr:cNvCxnSpPr/>
      </xdr:nvCxnSpPr>
      <xdr:spPr>
        <a:xfrm>
          <a:off x="11324166" y="313213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1663</xdr:row>
      <xdr:rowOff>31750</xdr:rowOff>
    </xdr:from>
    <xdr:to>
      <xdr:col>16</xdr:col>
      <xdr:colOff>42334</xdr:colOff>
      <xdr:row>1670</xdr:row>
      <xdr:rowOff>63501</xdr:rowOff>
    </xdr:to>
    <xdr:cxnSp macro="">
      <xdr:nvCxnSpPr>
        <xdr:cNvPr id="4615" name="Straight Arrow Connector 4614">
          <a:extLst>
            <a:ext uri="{FF2B5EF4-FFF2-40B4-BE49-F238E27FC236}">
              <a16:creationId xmlns:a16="http://schemas.microsoft.com/office/drawing/2014/main" id="{00000000-0008-0000-1300-000007120000}"/>
            </a:ext>
          </a:extLst>
        </xdr:cNvPr>
        <xdr:cNvCxnSpPr/>
      </xdr:nvCxnSpPr>
      <xdr:spPr>
        <a:xfrm>
          <a:off x="11281833" y="310546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616" name="Straight Arrow Connector 4615">
          <a:extLst>
            <a:ext uri="{FF2B5EF4-FFF2-40B4-BE49-F238E27FC236}">
              <a16:creationId xmlns:a16="http://schemas.microsoft.com/office/drawing/2014/main" id="{00000000-0008-0000-1300-000008120000}"/>
            </a:ext>
          </a:extLst>
        </xdr:cNvPr>
        <xdr:cNvCxnSpPr/>
      </xdr:nvCxnSpPr>
      <xdr:spPr>
        <a:xfrm>
          <a:off x="11324166" y="313213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1663</xdr:row>
      <xdr:rowOff>31750</xdr:rowOff>
    </xdr:from>
    <xdr:to>
      <xdr:col>16</xdr:col>
      <xdr:colOff>42334</xdr:colOff>
      <xdr:row>1670</xdr:row>
      <xdr:rowOff>63501</xdr:rowOff>
    </xdr:to>
    <xdr:cxnSp macro="">
      <xdr:nvCxnSpPr>
        <xdr:cNvPr id="4617" name="Straight Arrow Connector 4616">
          <a:extLst>
            <a:ext uri="{FF2B5EF4-FFF2-40B4-BE49-F238E27FC236}">
              <a16:creationId xmlns:a16="http://schemas.microsoft.com/office/drawing/2014/main" id="{00000000-0008-0000-1300-000009120000}"/>
            </a:ext>
          </a:extLst>
        </xdr:cNvPr>
        <xdr:cNvCxnSpPr/>
      </xdr:nvCxnSpPr>
      <xdr:spPr>
        <a:xfrm>
          <a:off x="11281833" y="310546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618" name="Straight Arrow Connector 4617">
          <a:extLst>
            <a:ext uri="{FF2B5EF4-FFF2-40B4-BE49-F238E27FC236}">
              <a16:creationId xmlns:a16="http://schemas.microsoft.com/office/drawing/2014/main" id="{00000000-0008-0000-1300-00000A120000}"/>
            </a:ext>
          </a:extLst>
        </xdr:cNvPr>
        <xdr:cNvCxnSpPr/>
      </xdr:nvCxnSpPr>
      <xdr:spPr>
        <a:xfrm>
          <a:off x="11324166" y="313213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1663</xdr:row>
      <xdr:rowOff>31750</xdr:rowOff>
    </xdr:from>
    <xdr:to>
      <xdr:col>16</xdr:col>
      <xdr:colOff>42334</xdr:colOff>
      <xdr:row>1670</xdr:row>
      <xdr:rowOff>63501</xdr:rowOff>
    </xdr:to>
    <xdr:cxnSp macro="">
      <xdr:nvCxnSpPr>
        <xdr:cNvPr id="4619" name="Straight Arrow Connector 4618">
          <a:extLst>
            <a:ext uri="{FF2B5EF4-FFF2-40B4-BE49-F238E27FC236}">
              <a16:creationId xmlns:a16="http://schemas.microsoft.com/office/drawing/2014/main" id="{00000000-0008-0000-1300-00000B120000}"/>
            </a:ext>
          </a:extLst>
        </xdr:cNvPr>
        <xdr:cNvCxnSpPr/>
      </xdr:nvCxnSpPr>
      <xdr:spPr>
        <a:xfrm>
          <a:off x="11281833" y="310546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620" name="Straight Arrow Connector 4619">
          <a:extLst>
            <a:ext uri="{FF2B5EF4-FFF2-40B4-BE49-F238E27FC236}">
              <a16:creationId xmlns:a16="http://schemas.microsoft.com/office/drawing/2014/main" id="{00000000-0008-0000-1300-00000C120000}"/>
            </a:ext>
          </a:extLst>
        </xdr:cNvPr>
        <xdr:cNvCxnSpPr/>
      </xdr:nvCxnSpPr>
      <xdr:spPr>
        <a:xfrm>
          <a:off x="11324166" y="313213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1663</xdr:row>
      <xdr:rowOff>31750</xdr:rowOff>
    </xdr:from>
    <xdr:to>
      <xdr:col>16</xdr:col>
      <xdr:colOff>42334</xdr:colOff>
      <xdr:row>1670</xdr:row>
      <xdr:rowOff>63501</xdr:rowOff>
    </xdr:to>
    <xdr:cxnSp macro="">
      <xdr:nvCxnSpPr>
        <xdr:cNvPr id="4621" name="Straight Arrow Connector 4620">
          <a:extLst>
            <a:ext uri="{FF2B5EF4-FFF2-40B4-BE49-F238E27FC236}">
              <a16:creationId xmlns:a16="http://schemas.microsoft.com/office/drawing/2014/main" id="{00000000-0008-0000-1300-00000D120000}"/>
            </a:ext>
          </a:extLst>
        </xdr:cNvPr>
        <xdr:cNvCxnSpPr/>
      </xdr:nvCxnSpPr>
      <xdr:spPr>
        <a:xfrm>
          <a:off x="11281833" y="310546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622" name="Straight Arrow Connector 4621">
          <a:extLst>
            <a:ext uri="{FF2B5EF4-FFF2-40B4-BE49-F238E27FC236}">
              <a16:creationId xmlns:a16="http://schemas.microsoft.com/office/drawing/2014/main" id="{00000000-0008-0000-1300-00000E120000}"/>
            </a:ext>
          </a:extLst>
        </xdr:cNvPr>
        <xdr:cNvCxnSpPr/>
      </xdr:nvCxnSpPr>
      <xdr:spPr>
        <a:xfrm>
          <a:off x="11324166" y="313213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623" name="Straight Arrow Connector 4622">
          <a:extLst>
            <a:ext uri="{FF2B5EF4-FFF2-40B4-BE49-F238E27FC236}">
              <a16:creationId xmlns:a16="http://schemas.microsoft.com/office/drawing/2014/main" id="{00000000-0008-0000-1300-00000F120000}"/>
            </a:ext>
          </a:extLst>
        </xdr:cNvPr>
        <xdr:cNvCxnSpPr/>
      </xdr:nvCxnSpPr>
      <xdr:spPr>
        <a:xfrm>
          <a:off x="11324166" y="313213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624" name="Straight Arrow Connector 4623">
          <a:extLst>
            <a:ext uri="{FF2B5EF4-FFF2-40B4-BE49-F238E27FC236}">
              <a16:creationId xmlns:a16="http://schemas.microsoft.com/office/drawing/2014/main" id="{00000000-0008-0000-1300-000010120000}"/>
            </a:ext>
          </a:extLst>
        </xdr:cNvPr>
        <xdr:cNvCxnSpPr/>
      </xdr:nvCxnSpPr>
      <xdr:spPr>
        <a:xfrm>
          <a:off x="11324166" y="313213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1663</xdr:row>
      <xdr:rowOff>31750</xdr:rowOff>
    </xdr:from>
    <xdr:to>
      <xdr:col>16</xdr:col>
      <xdr:colOff>42334</xdr:colOff>
      <xdr:row>1670</xdr:row>
      <xdr:rowOff>63501</xdr:rowOff>
    </xdr:to>
    <xdr:cxnSp macro="">
      <xdr:nvCxnSpPr>
        <xdr:cNvPr id="4625" name="Straight Arrow Connector 4624">
          <a:extLst>
            <a:ext uri="{FF2B5EF4-FFF2-40B4-BE49-F238E27FC236}">
              <a16:creationId xmlns:a16="http://schemas.microsoft.com/office/drawing/2014/main" id="{00000000-0008-0000-1300-000011120000}"/>
            </a:ext>
          </a:extLst>
        </xdr:cNvPr>
        <xdr:cNvCxnSpPr/>
      </xdr:nvCxnSpPr>
      <xdr:spPr>
        <a:xfrm>
          <a:off x="11281833" y="310546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626" name="Straight Arrow Connector 4625">
          <a:extLst>
            <a:ext uri="{FF2B5EF4-FFF2-40B4-BE49-F238E27FC236}">
              <a16:creationId xmlns:a16="http://schemas.microsoft.com/office/drawing/2014/main" id="{00000000-0008-0000-1300-000012120000}"/>
            </a:ext>
          </a:extLst>
        </xdr:cNvPr>
        <xdr:cNvCxnSpPr/>
      </xdr:nvCxnSpPr>
      <xdr:spPr>
        <a:xfrm>
          <a:off x="11324166" y="313213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1663</xdr:row>
      <xdr:rowOff>31750</xdr:rowOff>
    </xdr:from>
    <xdr:to>
      <xdr:col>16</xdr:col>
      <xdr:colOff>42334</xdr:colOff>
      <xdr:row>1670</xdr:row>
      <xdr:rowOff>63501</xdr:rowOff>
    </xdr:to>
    <xdr:cxnSp macro="">
      <xdr:nvCxnSpPr>
        <xdr:cNvPr id="4627" name="Straight Arrow Connector 4626">
          <a:extLst>
            <a:ext uri="{FF2B5EF4-FFF2-40B4-BE49-F238E27FC236}">
              <a16:creationId xmlns:a16="http://schemas.microsoft.com/office/drawing/2014/main" id="{00000000-0008-0000-1300-000013120000}"/>
            </a:ext>
          </a:extLst>
        </xdr:cNvPr>
        <xdr:cNvCxnSpPr/>
      </xdr:nvCxnSpPr>
      <xdr:spPr>
        <a:xfrm>
          <a:off x="11281833" y="310546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628" name="Straight Arrow Connector 4627">
          <a:extLst>
            <a:ext uri="{FF2B5EF4-FFF2-40B4-BE49-F238E27FC236}">
              <a16:creationId xmlns:a16="http://schemas.microsoft.com/office/drawing/2014/main" id="{00000000-0008-0000-1300-000014120000}"/>
            </a:ext>
          </a:extLst>
        </xdr:cNvPr>
        <xdr:cNvCxnSpPr/>
      </xdr:nvCxnSpPr>
      <xdr:spPr>
        <a:xfrm>
          <a:off x="11324166" y="313213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1663</xdr:row>
      <xdr:rowOff>31750</xdr:rowOff>
    </xdr:from>
    <xdr:to>
      <xdr:col>16</xdr:col>
      <xdr:colOff>42334</xdr:colOff>
      <xdr:row>1670</xdr:row>
      <xdr:rowOff>63501</xdr:rowOff>
    </xdr:to>
    <xdr:cxnSp macro="">
      <xdr:nvCxnSpPr>
        <xdr:cNvPr id="4629" name="Straight Arrow Connector 4628">
          <a:extLst>
            <a:ext uri="{FF2B5EF4-FFF2-40B4-BE49-F238E27FC236}">
              <a16:creationId xmlns:a16="http://schemas.microsoft.com/office/drawing/2014/main" id="{00000000-0008-0000-1300-000015120000}"/>
            </a:ext>
          </a:extLst>
        </xdr:cNvPr>
        <xdr:cNvCxnSpPr/>
      </xdr:nvCxnSpPr>
      <xdr:spPr>
        <a:xfrm>
          <a:off x="11281833" y="310546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630" name="Straight Arrow Connector 4629">
          <a:extLst>
            <a:ext uri="{FF2B5EF4-FFF2-40B4-BE49-F238E27FC236}">
              <a16:creationId xmlns:a16="http://schemas.microsoft.com/office/drawing/2014/main" id="{00000000-0008-0000-1300-000016120000}"/>
            </a:ext>
          </a:extLst>
        </xdr:cNvPr>
        <xdr:cNvCxnSpPr/>
      </xdr:nvCxnSpPr>
      <xdr:spPr>
        <a:xfrm>
          <a:off x="11324166" y="313213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1689</xdr:row>
      <xdr:rowOff>31750</xdr:rowOff>
    </xdr:from>
    <xdr:to>
      <xdr:col>16</xdr:col>
      <xdr:colOff>42334</xdr:colOff>
      <xdr:row>1696</xdr:row>
      <xdr:rowOff>63501</xdr:rowOff>
    </xdr:to>
    <xdr:cxnSp macro="">
      <xdr:nvCxnSpPr>
        <xdr:cNvPr id="4631" name="Straight Arrow Connector 4630">
          <a:extLst>
            <a:ext uri="{FF2B5EF4-FFF2-40B4-BE49-F238E27FC236}">
              <a16:creationId xmlns:a16="http://schemas.microsoft.com/office/drawing/2014/main" id="{00000000-0008-0000-1300-000017120000}"/>
            </a:ext>
          </a:extLst>
        </xdr:cNvPr>
        <xdr:cNvCxnSpPr/>
      </xdr:nvCxnSpPr>
      <xdr:spPr>
        <a:xfrm>
          <a:off x="11281833" y="315690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1689</xdr:row>
      <xdr:rowOff>31750</xdr:rowOff>
    </xdr:from>
    <xdr:to>
      <xdr:col>16</xdr:col>
      <xdr:colOff>42334</xdr:colOff>
      <xdr:row>1696</xdr:row>
      <xdr:rowOff>63501</xdr:rowOff>
    </xdr:to>
    <xdr:cxnSp macro="">
      <xdr:nvCxnSpPr>
        <xdr:cNvPr id="4632" name="Straight Arrow Connector 4631">
          <a:extLst>
            <a:ext uri="{FF2B5EF4-FFF2-40B4-BE49-F238E27FC236}">
              <a16:creationId xmlns:a16="http://schemas.microsoft.com/office/drawing/2014/main" id="{00000000-0008-0000-1300-000018120000}"/>
            </a:ext>
          </a:extLst>
        </xdr:cNvPr>
        <xdr:cNvCxnSpPr/>
      </xdr:nvCxnSpPr>
      <xdr:spPr>
        <a:xfrm>
          <a:off x="11281833" y="315690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1663</xdr:row>
      <xdr:rowOff>31750</xdr:rowOff>
    </xdr:from>
    <xdr:to>
      <xdr:col>16</xdr:col>
      <xdr:colOff>42334</xdr:colOff>
      <xdr:row>1670</xdr:row>
      <xdr:rowOff>63501</xdr:rowOff>
    </xdr:to>
    <xdr:cxnSp macro="">
      <xdr:nvCxnSpPr>
        <xdr:cNvPr id="4633" name="Straight Arrow Connector 4632">
          <a:extLst>
            <a:ext uri="{FF2B5EF4-FFF2-40B4-BE49-F238E27FC236}">
              <a16:creationId xmlns:a16="http://schemas.microsoft.com/office/drawing/2014/main" id="{00000000-0008-0000-1300-000019120000}"/>
            </a:ext>
          </a:extLst>
        </xdr:cNvPr>
        <xdr:cNvCxnSpPr/>
      </xdr:nvCxnSpPr>
      <xdr:spPr>
        <a:xfrm>
          <a:off x="11281833" y="310546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634" name="Straight Arrow Connector 4633">
          <a:extLst>
            <a:ext uri="{FF2B5EF4-FFF2-40B4-BE49-F238E27FC236}">
              <a16:creationId xmlns:a16="http://schemas.microsoft.com/office/drawing/2014/main" id="{00000000-0008-0000-1300-00001A120000}"/>
            </a:ext>
          </a:extLst>
        </xdr:cNvPr>
        <xdr:cNvCxnSpPr/>
      </xdr:nvCxnSpPr>
      <xdr:spPr>
        <a:xfrm>
          <a:off x="11324166" y="313213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1663</xdr:row>
      <xdr:rowOff>31750</xdr:rowOff>
    </xdr:from>
    <xdr:to>
      <xdr:col>16</xdr:col>
      <xdr:colOff>42334</xdr:colOff>
      <xdr:row>1670</xdr:row>
      <xdr:rowOff>63501</xdr:rowOff>
    </xdr:to>
    <xdr:cxnSp macro="">
      <xdr:nvCxnSpPr>
        <xdr:cNvPr id="4635" name="Straight Arrow Connector 4634">
          <a:extLst>
            <a:ext uri="{FF2B5EF4-FFF2-40B4-BE49-F238E27FC236}">
              <a16:creationId xmlns:a16="http://schemas.microsoft.com/office/drawing/2014/main" id="{00000000-0008-0000-1300-00001B120000}"/>
            </a:ext>
          </a:extLst>
        </xdr:cNvPr>
        <xdr:cNvCxnSpPr/>
      </xdr:nvCxnSpPr>
      <xdr:spPr>
        <a:xfrm>
          <a:off x="11281833" y="310546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636" name="Straight Arrow Connector 4635">
          <a:extLst>
            <a:ext uri="{FF2B5EF4-FFF2-40B4-BE49-F238E27FC236}">
              <a16:creationId xmlns:a16="http://schemas.microsoft.com/office/drawing/2014/main" id="{00000000-0008-0000-1300-00001C120000}"/>
            </a:ext>
          </a:extLst>
        </xdr:cNvPr>
        <xdr:cNvCxnSpPr/>
      </xdr:nvCxnSpPr>
      <xdr:spPr>
        <a:xfrm>
          <a:off x="11324166" y="313213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1663</xdr:row>
      <xdr:rowOff>31750</xdr:rowOff>
    </xdr:from>
    <xdr:to>
      <xdr:col>16</xdr:col>
      <xdr:colOff>42334</xdr:colOff>
      <xdr:row>1670</xdr:row>
      <xdr:rowOff>63501</xdr:rowOff>
    </xdr:to>
    <xdr:cxnSp macro="">
      <xdr:nvCxnSpPr>
        <xdr:cNvPr id="4637" name="Straight Arrow Connector 4636">
          <a:extLst>
            <a:ext uri="{FF2B5EF4-FFF2-40B4-BE49-F238E27FC236}">
              <a16:creationId xmlns:a16="http://schemas.microsoft.com/office/drawing/2014/main" id="{00000000-0008-0000-1300-00001D120000}"/>
            </a:ext>
          </a:extLst>
        </xdr:cNvPr>
        <xdr:cNvCxnSpPr/>
      </xdr:nvCxnSpPr>
      <xdr:spPr>
        <a:xfrm>
          <a:off x="11281833" y="310546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638" name="Straight Arrow Connector 4637">
          <a:extLst>
            <a:ext uri="{FF2B5EF4-FFF2-40B4-BE49-F238E27FC236}">
              <a16:creationId xmlns:a16="http://schemas.microsoft.com/office/drawing/2014/main" id="{00000000-0008-0000-1300-00001E120000}"/>
            </a:ext>
          </a:extLst>
        </xdr:cNvPr>
        <xdr:cNvCxnSpPr/>
      </xdr:nvCxnSpPr>
      <xdr:spPr>
        <a:xfrm>
          <a:off x="11324166" y="313213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1663</xdr:row>
      <xdr:rowOff>31750</xdr:rowOff>
    </xdr:from>
    <xdr:to>
      <xdr:col>16</xdr:col>
      <xdr:colOff>42334</xdr:colOff>
      <xdr:row>1670</xdr:row>
      <xdr:rowOff>63501</xdr:rowOff>
    </xdr:to>
    <xdr:cxnSp macro="">
      <xdr:nvCxnSpPr>
        <xdr:cNvPr id="4639" name="Straight Arrow Connector 4638">
          <a:extLst>
            <a:ext uri="{FF2B5EF4-FFF2-40B4-BE49-F238E27FC236}">
              <a16:creationId xmlns:a16="http://schemas.microsoft.com/office/drawing/2014/main" id="{00000000-0008-0000-1300-00001F120000}"/>
            </a:ext>
          </a:extLst>
        </xdr:cNvPr>
        <xdr:cNvCxnSpPr/>
      </xdr:nvCxnSpPr>
      <xdr:spPr>
        <a:xfrm>
          <a:off x="11281833" y="310546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640" name="Straight Arrow Connector 4639">
          <a:extLst>
            <a:ext uri="{FF2B5EF4-FFF2-40B4-BE49-F238E27FC236}">
              <a16:creationId xmlns:a16="http://schemas.microsoft.com/office/drawing/2014/main" id="{00000000-0008-0000-1300-000020120000}"/>
            </a:ext>
          </a:extLst>
        </xdr:cNvPr>
        <xdr:cNvCxnSpPr/>
      </xdr:nvCxnSpPr>
      <xdr:spPr>
        <a:xfrm>
          <a:off x="11324166" y="313213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1663</xdr:row>
      <xdr:rowOff>31750</xdr:rowOff>
    </xdr:from>
    <xdr:to>
      <xdr:col>16</xdr:col>
      <xdr:colOff>42334</xdr:colOff>
      <xdr:row>1670</xdr:row>
      <xdr:rowOff>63501</xdr:rowOff>
    </xdr:to>
    <xdr:cxnSp macro="">
      <xdr:nvCxnSpPr>
        <xdr:cNvPr id="4641" name="Straight Arrow Connector 4640">
          <a:extLst>
            <a:ext uri="{FF2B5EF4-FFF2-40B4-BE49-F238E27FC236}">
              <a16:creationId xmlns:a16="http://schemas.microsoft.com/office/drawing/2014/main" id="{00000000-0008-0000-1300-000021120000}"/>
            </a:ext>
          </a:extLst>
        </xdr:cNvPr>
        <xdr:cNvCxnSpPr/>
      </xdr:nvCxnSpPr>
      <xdr:spPr>
        <a:xfrm>
          <a:off x="11281833" y="310546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642" name="Straight Arrow Connector 4641">
          <a:extLst>
            <a:ext uri="{FF2B5EF4-FFF2-40B4-BE49-F238E27FC236}">
              <a16:creationId xmlns:a16="http://schemas.microsoft.com/office/drawing/2014/main" id="{00000000-0008-0000-1300-000022120000}"/>
            </a:ext>
          </a:extLst>
        </xdr:cNvPr>
        <xdr:cNvCxnSpPr/>
      </xdr:nvCxnSpPr>
      <xdr:spPr>
        <a:xfrm>
          <a:off x="11324166" y="313213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1663</xdr:row>
      <xdr:rowOff>31750</xdr:rowOff>
    </xdr:from>
    <xdr:to>
      <xdr:col>16</xdr:col>
      <xdr:colOff>42334</xdr:colOff>
      <xdr:row>1670</xdr:row>
      <xdr:rowOff>63501</xdr:rowOff>
    </xdr:to>
    <xdr:cxnSp macro="">
      <xdr:nvCxnSpPr>
        <xdr:cNvPr id="4643" name="Straight Arrow Connector 4642">
          <a:extLst>
            <a:ext uri="{FF2B5EF4-FFF2-40B4-BE49-F238E27FC236}">
              <a16:creationId xmlns:a16="http://schemas.microsoft.com/office/drawing/2014/main" id="{00000000-0008-0000-1300-000023120000}"/>
            </a:ext>
          </a:extLst>
        </xdr:cNvPr>
        <xdr:cNvCxnSpPr/>
      </xdr:nvCxnSpPr>
      <xdr:spPr>
        <a:xfrm>
          <a:off x="11281833" y="310546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644" name="Straight Arrow Connector 4643">
          <a:extLst>
            <a:ext uri="{FF2B5EF4-FFF2-40B4-BE49-F238E27FC236}">
              <a16:creationId xmlns:a16="http://schemas.microsoft.com/office/drawing/2014/main" id="{00000000-0008-0000-1300-000024120000}"/>
            </a:ext>
          </a:extLst>
        </xdr:cNvPr>
        <xdr:cNvCxnSpPr/>
      </xdr:nvCxnSpPr>
      <xdr:spPr>
        <a:xfrm>
          <a:off x="11324166" y="313213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1663</xdr:row>
      <xdr:rowOff>31750</xdr:rowOff>
    </xdr:from>
    <xdr:to>
      <xdr:col>16</xdr:col>
      <xdr:colOff>42334</xdr:colOff>
      <xdr:row>1670</xdr:row>
      <xdr:rowOff>63501</xdr:rowOff>
    </xdr:to>
    <xdr:cxnSp macro="">
      <xdr:nvCxnSpPr>
        <xdr:cNvPr id="4645" name="Straight Arrow Connector 4644">
          <a:extLst>
            <a:ext uri="{FF2B5EF4-FFF2-40B4-BE49-F238E27FC236}">
              <a16:creationId xmlns:a16="http://schemas.microsoft.com/office/drawing/2014/main" id="{00000000-0008-0000-1300-000025120000}"/>
            </a:ext>
          </a:extLst>
        </xdr:cNvPr>
        <xdr:cNvCxnSpPr/>
      </xdr:nvCxnSpPr>
      <xdr:spPr>
        <a:xfrm>
          <a:off x="11281833" y="310546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646" name="Straight Arrow Connector 4645">
          <a:extLst>
            <a:ext uri="{FF2B5EF4-FFF2-40B4-BE49-F238E27FC236}">
              <a16:creationId xmlns:a16="http://schemas.microsoft.com/office/drawing/2014/main" id="{00000000-0008-0000-1300-000026120000}"/>
            </a:ext>
          </a:extLst>
        </xdr:cNvPr>
        <xdr:cNvCxnSpPr/>
      </xdr:nvCxnSpPr>
      <xdr:spPr>
        <a:xfrm>
          <a:off x="11324166" y="313213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1663</xdr:row>
      <xdr:rowOff>31750</xdr:rowOff>
    </xdr:from>
    <xdr:to>
      <xdr:col>16</xdr:col>
      <xdr:colOff>42334</xdr:colOff>
      <xdr:row>1670</xdr:row>
      <xdr:rowOff>63501</xdr:rowOff>
    </xdr:to>
    <xdr:cxnSp macro="">
      <xdr:nvCxnSpPr>
        <xdr:cNvPr id="4647" name="Straight Arrow Connector 4646">
          <a:extLst>
            <a:ext uri="{FF2B5EF4-FFF2-40B4-BE49-F238E27FC236}">
              <a16:creationId xmlns:a16="http://schemas.microsoft.com/office/drawing/2014/main" id="{00000000-0008-0000-1300-000027120000}"/>
            </a:ext>
          </a:extLst>
        </xdr:cNvPr>
        <xdr:cNvCxnSpPr/>
      </xdr:nvCxnSpPr>
      <xdr:spPr>
        <a:xfrm>
          <a:off x="11281833" y="310546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648" name="Straight Arrow Connector 4647">
          <a:extLst>
            <a:ext uri="{FF2B5EF4-FFF2-40B4-BE49-F238E27FC236}">
              <a16:creationId xmlns:a16="http://schemas.microsoft.com/office/drawing/2014/main" id="{00000000-0008-0000-1300-000028120000}"/>
            </a:ext>
          </a:extLst>
        </xdr:cNvPr>
        <xdr:cNvCxnSpPr/>
      </xdr:nvCxnSpPr>
      <xdr:spPr>
        <a:xfrm>
          <a:off x="11324166" y="313213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649" name="Straight Arrow Connector 4648">
          <a:extLst>
            <a:ext uri="{FF2B5EF4-FFF2-40B4-BE49-F238E27FC236}">
              <a16:creationId xmlns:a16="http://schemas.microsoft.com/office/drawing/2014/main" id="{00000000-0008-0000-1300-000029120000}"/>
            </a:ext>
          </a:extLst>
        </xdr:cNvPr>
        <xdr:cNvCxnSpPr/>
      </xdr:nvCxnSpPr>
      <xdr:spPr>
        <a:xfrm>
          <a:off x="11324166" y="313213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650" name="Straight Arrow Connector 4649">
          <a:extLst>
            <a:ext uri="{FF2B5EF4-FFF2-40B4-BE49-F238E27FC236}">
              <a16:creationId xmlns:a16="http://schemas.microsoft.com/office/drawing/2014/main" id="{00000000-0008-0000-1300-00002A120000}"/>
            </a:ext>
          </a:extLst>
        </xdr:cNvPr>
        <xdr:cNvCxnSpPr/>
      </xdr:nvCxnSpPr>
      <xdr:spPr>
        <a:xfrm>
          <a:off x="11324166" y="313213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1663</xdr:row>
      <xdr:rowOff>31750</xdr:rowOff>
    </xdr:from>
    <xdr:to>
      <xdr:col>16</xdr:col>
      <xdr:colOff>42334</xdr:colOff>
      <xdr:row>1670</xdr:row>
      <xdr:rowOff>63501</xdr:rowOff>
    </xdr:to>
    <xdr:cxnSp macro="">
      <xdr:nvCxnSpPr>
        <xdr:cNvPr id="4651" name="Straight Arrow Connector 4650">
          <a:extLst>
            <a:ext uri="{FF2B5EF4-FFF2-40B4-BE49-F238E27FC236}">
              <a16:creationId xmlns:a16="http://schemas.microsoft.com/office/drawing/2014/main" id="{00000000-0008-0000-1300-00002B120000}"/>
            </a:ext>
          </a:extLst>
        </xdr:cNvPr>
        <xdr:cNvCxnSpPr/>
      </xdr:nvCxnSpPr>
      <xdr:spPr>
        <a:xfrm>
          <a:off x="11281833" y="310546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652" name="Straight Arrow Connector 4651">
          <a:extLst>
            <a:ext uri="{FF2B5EF4-FFF2-40B4-BE49-F238E27FC236}">
              <a16:creationId xmlns:a16="http://schemas.microsoft.com/office/drawing/2014/main" id="{00000000-0008-0000-1300-00002C120000}"/>
            </a:ext>
          </a:extLst>
        </xdr:cNvPr>
        <xdr:cNvCxnSpPr/>
      </xdr:nvCxnSpPr>
      <xdr:spPr>
        <a:xfrm>
          <a:off x="11324166" y="313213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1663</xdr:row>
      <xdr:rowOff>31750</xdr:rowOff>
    </xdr:from>
    <xdr:to>
      <xdr:col>16</xdr:col>
      <xdr:colOff>42334</xdr:colOff>
      <xdr:row>1670</xdr:row>
      <xdr:rowOff>63501</xdr:rowOff>
    </xdr:to>
    <xdr:cxnSp macro="">
      <xdr:nvCxnSpPr>
        <xdr:cNvPr id="4653" name="Straight Arrow Connector 4652">
          <a:extLst>
            <a:ext uri="{FF2B5EF4-FFF2-40B4-BE49-F238E27FC236}">
              <a16:creationId xmlns:a16="http://schemas.microsoft.com/office/drawing/2014/main" id="{00000000-0008-0000-1300-00002D120000}"/>
            </a:ext>
          </a:extLst>
        </xdr:cNvPr>
        <xdr:cNvCxnSpPr/>
      </xdr:nvCxnSpPr>
      <xdr:spPr>
        <a:xfrm>
          <a:off x="11281833" y="310546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654" name="Straight Arrow Connector 4653">
          <a:extLst>
            <a:ext uri="{FF2B5EF4-FFF2-40B4-BE49-F238E27FC236}">
              <a16:creationId xmlns:a16="http://schemas.microsoft.com/office/drawing/2014/main" id="{00000000-0008-0000-1300-00002E120000}"/>
            </a:ext>
          </a:extLst>
        </xdr:cNvPr>
        <xdr:cNvCxnSpPr/>
      </xdr:nvCxnSpPr>
      <xdr:spPr>
        <a:xfrm>
          <a:off x="11324166" y="313213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1663</xdr:row>
      <xdr:rowOff>31750</xdr:rowOff>
    </xdr:from>
    <xdr:to>
      <xdr:col>16</xdr:col>
      <xdr:colOff>42334</xdr:colOff>
      <xdr:row>1670</xdr:row>
      <xdr:rowOff>63501</xdr:rowOff>
    </xdr:to>
    <xdr:cxnSp macro="">
      <xdr:nvCxnSpPr>
        <xdr:cNvPr id="4655" name="Straight Arrow Connector 4654">
          <a:extLst>
            <a:ext uri="{FF2B5EF4-FFF2-40B4-BE49-F238E27FC236}">
              <a16:creationId xmlns:a16="http://schemas.microsoft.com/office/drawing/2014/main" id="{00000000-0008-0000-1300-00002F120000}"/>
            </a:ext>
          </a:extLst>
        </xdr:cNvPr>
        <xdr:cNvCxnSpPr/>
      </xdr:nvCxnSpPr>
      <xdr:spPr>
        <a:xfrm>
          <a:off x="11281833" y="310546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656" name="Straight Arrow Connector 4655">
          <a:extLst>
            <a:ext uri="{FF2B5EF4-FFF2-40B4-BE49-F238E27FC236}">
              <a16:creationId xmlns:a16="http://schemas.microsoft.com/office/drawing/2014/main" id="{00000000-0008-0000-1300-000030120000}"/>
            </a:ext>
          </a:extLst>
        </xdr:cNvPr>
        <xdr:cNvCxnSpPr/>
      </xdr:nvCxnSpPr>
      <xdr:spPr>
        <a:xfrm>
          <a:off x="11324166" y="313213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1689</xdr:row>
      <xdr:rowOff>31750</xdr:rowOff>
    </xdr:from>
    <xdr:to>
      <xdr:col>16</xdr:col>
      <xdr:colOff>42334</xdr:colOff>
      <xdr:row>1696</xdr:row>
      <xdr:rowOff>63501</xdr:rowOff>
    </xdr:to>
    <xdr:cxnSp macro="">
      <xdr:nvCxnSpPr>
        <xdr:cNvPr id="4657" name="Straight Arrow Connector 4656">
          <a:extLst>
            <a:ext uri="{FF2B5EF4-FFF2-40B4-BE49-F238E27FC236}">
              <a16:creationId xmlns:a16="http://schemas.microsoft.com/office/drawing/2014/main" id="{00000000-0008-0000-1300-000031120000}"/>
            </a:ext>
          </a:extLst>
        </xdr:cNvPr>
        <xdr:cNvCxnSpPr/>
      </xdr:nvCxnSpPr>
      <xdr:spPr>
        <a:xfrm>
          <a:off x="11281833" y="315690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1689</xdr:row>
      <xdr:rowOff>31750</xdr:rowOff>
    </xdr:from>
    <xdr:to>
      <xdr:col>16</xdr:col>
      <xdr:colOff>42334</xdr:colOff>
      <xdr:row>1696</xdr:row>
      <xdr:rowOff>63501</xdr:rowOff>
    </xdr:to>
    <xdr:cxnSp macro="">
      <xdr:nvCxnSpPr>
        <xdr:cNvPr id="4658" name="Straight Arrow Connector 4657">
          <a:extLst>
            <a:ext uri="{FF2B5EF4-FFF2-40B4-BE49-F238E27FC236}">
              <a16:creationId xmlns:a16="http://schemas.microsoft.com/office/drawing/2014/main" id="{00000000-0008-0000-1300-000032120000}"/>
            </a:ext>
          </a:extLst>
        </xdr:cNvPr>
        <xdr:cNvCxnSpPr/>
      </xdr:nvCxnSpPr>
      <xdr:spPr>
        <a:xfrm>
          <a:off x="11281833" y="315690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659" name="Straight Arrow Connector 4658">
          <a:extLst>
            <a:ext uri="{FF2B5EF4-FFF2-40B4-BE49-F238E27FC236}">
              <a16:creationId xmlns:a16="http://schemas.microsoft.com/office/drawing/2014/main" id="{00000000-0008-0000-1300-000033120000}"/>
            </a:ext>
          </a:extLst>
        </xdr:cNvPr>
        <xdr:cNvCxnSpPr/>
      </xdr:nvCxnSpPr>
      <xdr:spPr>
        <a:xfrm>
          <a:off x="11324166" y="313213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660" name="Straight Arrow Connector 4659">
          <a:extLst>
            <a:ext uri="{FF2B5EF4-FFF2-40B4-BE49-F238E27FC236}">
              <a16:creationId xmlns:a16="http://schemas.microsoft.com/office/drawing/2014/main" id="{00000000-0008-0000-1300-000034120000}"/>
            </a:ext>
          </a:extLst>
        </xdr:cNvPr>
        <xdr:cNvCxnSpPr/>
      </xdr:nvCxnSpPr>
      <xdr:spPr>
        <a:xfrm>
          <a:off x="11324166" y="313213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661" name="Straight Arrow Connector 4660">
          <a:extLst>
            <a:ext uri="{FF2B5EF4-FFF2-40B4-BE49-F238E27FC236}">
              <a16:creationId xmlns:a16="http://schemas.microsoft.com/office/drawing/2014/main" id="{00000000-0008-0000-1300-000035120000}"/>
            </a:ext>
          </a:extLst>
        </xdr:cNvPr>
        <xdr:cNvCxnSpPr/>
      </xdr:nvCxnSpPr>
      <xdr:spPr>
        <a:xfrm>
          <a:off x="11324166" y="313213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662" name="Straight Arrow Connector 4661">
          <a:extLst>
            <a:ext uri="{FF2B5EF4-FFF2-40B4-BE49-F238E27FC236}">
              <a16:creationId xmlns:a16="http://schemas.microsoft.com/office/drawing/2014/main" id="{00000000-0008-0000-1300-000036120000}"/>
            </a:ext>
          </a:extLst>
        </xdr:cNvPr>
        <xdr:cNvCxnSpPr/>
      </xdr:nvCxnSpPr>
      <xdr:spPr>
        <a:xfrm>
          <a:off x="11324166" y="313213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663" name="Straight Arrow Connector 4662">
          <a:extLst>
            <a:ext uri="{FF2B5EF4-FFF2-40B4-BE49-F238E27FC236}">
              <a16:creationId xmlns:a16="http://schemas.microsoft.com/office/drawing/2014/main" id="{00000000-0008-0000-1300-000037120000}"/>
            </a:ext>
          </a:extLst>
        </xdr:cNvPr>
        <xdr:cNvCxnSpPr/>
      </xdr:nvCxnSpPr>
      <xdr:spPr>
        <a:xfrm>
          <a:off x="11324166" y="313213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664" name="Straight Arrow Connector 4663">
          <a:extLst>
            <a:ext uri="{FF2B5EF4-FFF2-40B4-BE49-F238E27FC236}">
              <a16:creationId xmlns:a16="http://schemas.microsoft.com/office/drawing/2014/main" id="{00000000-0008-0000-1300-000038120000}"/>
            </a:ext>
          </a:extLst>
        </xdr:cNvPr>
        <xdr:cNvCxnSpPr/>
      </xdr:nvCxnSpPr>
      <xdr:spPr>
        <a:xfrm>
          <a:off x="11324166" y="313213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665" name="Straight Arrow Connector 4664">
          <a:extLst>
            <a:ext uri="{FF2B5EF4-FFF2-40B4-BE49-F238E27FC236}">
              <a16:creationId xmlns:a16="http://schemas.microsoft.com/office/drawing/2014/main" id="{00000000-0008-0000-1300-000039120000}"/>
            </a:ext>
          </a:extLst>
        </xdr:cNvPr>
        <xdr:cNvCxnSpPr/>
      </xdr:nvCxnSpPr>
      <xdr:spPr>
        <a:xfrm>
          <a:off x="11324166" y="313213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1663</xdr:row>
      <xdr:rowOff>31750</xdr:rowOff>
    </xdr:from>
    <xdr:to>
      <xdr:col>16</xdr:col>
      <xdr:colOff>42334</xdr:colOff>
      <xdr:row>1670</xdr:row>
      <xdr:rowOff>63501</xdr:rowOff>
    </xdr:to>
    <xdr:cxnSp macro="">
      <xdr:nvCxnSpPr>
        <xdr:cNvPr id="4666" name="Straight Arrow Connector 4665">
          <a:extLst>
            <a:ext uri="{FF2B5EF4-FFF2-40B4-BE49-F238E27FC236}">
              <a16:creationId xmlns:a16="http://schemas.microsoft.com/office/drawing/2014/main" id="{00000000-0008-0000-1300-00003A120000}"/>
            </a:ext>
          </a:extLst>
        </xdr:cNvPr>
        <xdr:cNvCxnSpPr/>
      </xdr:nvCxnSpPr>
      <xdr:spPr>
        <a:xfrm>
          <a:off x="11281833" y="310546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667" name="Straight Arrow Connector 4666">
          <a:extLst>
            <a:ext uri="{FF2B5EF4-FFF2-40B4-BE49-F238E27FC236}">
              <a16:creationId xmlns:a16="http://schemas.microsoft.com/office/drawing/2014/main" id="{00000000-0008-0000-1300-00003B120000}"/>
            </a:ext>
          </a:extLst>
        </xdr:cNvPr>
        <xdr:cNvCxnSpPr/>
      </xdr:nvCxnSpPr>
      <xdr:spPr>
        <a:xfrm>
          <a:off x="11324166" y="313213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1663</xdr:row>
      <xdr:rowOff>31750</xdr:rowOff>
    </xdr:from>
    <xdr:to>
      <xdr:col>16</xdr:col>
      <xdr:colOff>42334</xdr:colOff>
      <xdr:row>1670</xdr:row>
      <xdr:rowOff>63501</xdr:rowOff>
    </xdr:to>
    <xdr:cxnSp macro="">
      <xdr:nvCxnSpPr>
        <xdr:cNvPr id="4668" name="Straight Arrow Connector 4667">
          <a:extLst>
            <a:ext uri="{FF2B5EF4-FFF2-40B4-BE49-F238E27FC236}">
              <a16:creationId xmlns:a16="http://schemas.microsoft.com/office/drawing/2014/main" id="{00000000-0008-0000-1300-00003C120000}"/>
            </a:ext>
          </a:extLst>
        </xdr:cNvPr>
        <xdr:cNvCxnSpPr/>
      </xdr:nvCxnSpPr>
      <xdr:spPr>
        <a:xfrm>
          <a:off x="11281833" y="310546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669" name="Straight Arrow Connector 4668">
          <a:extLst>
            <a:ext uri="{FF2B5EF4-FFF2-40B4-BE49-F238E27FC236}">
              <a16:creationId xmlns:a16="http://schemas.microsoft.com/office/drawing/2014/main" id="{00000000-0008-0000-1300-00003D120000}"/>
            </a:ext>
          </a:extLst>
        </xdr:cNvPr>
        <xdr:cNvCxnSpPr/>
      </xdr:nvCxnSpPr>
      <xdr:spPr>
        <a:xfrm>
          <a:off x="11324166" y="313213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1663</xdr:row>
      <xdr:rowOff>31750</xdr:rowOff>
    </xdr:from>
    <xdr:to>
      <xdr:col>16</xdr:col>
      <xdr:colOff>42334</xdr:colOff>
      <xdr:row>1670</xdr:row>
      <xdr:rowOff>63501</xdr:rowOff>
    </xdr:to>
    <xdr:cxnSp macro="">
      <xdr:nvCxnSpPr>
        <xdr:cNvPr id="4670" name="Straight Arrow Connector 4669">
          <a:extLst>
            <a:ext uri="{FF2B5EF4-FFF2-40B4-BE49-F238E27FC236}">
              <a16:creationId xmlns:a16="http://schemas.microsoft.com/office/drawing/2014/main" id="{00000000-0008-0000-1300-00003E120000}"/>
            </a:ext>
          </a:extLst>
        </xdr:cNvPr>
        <xdr:cNvCxnSpPr/>
      </xdr:nvCxnSpPr>
      <xdr:spPr>
        <a:xfrm>
          <a:off x="11281833" y="310546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671" name="Straight Arrow Connector 4670">
          <a:extLst>
            <a:ext uri="{FF2B5EF4-FFF2-40B4-BE49-F238E27FC236}">
              <a16:creationId xmlns:a16="http://schemas.microsoft.com/office/drawing/2014/main" id="{00000000-0008-0000-1300-00003F120000}"/>
            </a:ext>
          </a:extLst>
        </xdr:cNvPr>
        <xdr:cNvCxnSpPr/>
      </xdr:nvCxnSpPr>
      <xdr:spPr>
        <a:xfrm>
          <a:off x="11324166" y="313213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1689</xdr:row>
      <xdr:rowOff>31750</xdr:rowOff>
    </xdr:from>
    <xdr:to>
      <xdr:col>16</xdr:col>
      <xdr:colOff>42334</xdr:colOff>
      <xdr:row>1696</xdr:row>
      <xdr:rowOff>63501</xdr:rowOff>
    </xdr:to>
    <xdr:cxnSp macro="">
      <xdr:nvCxnSpPr>
        <xdr:cNvPr id="4672" name="Straight Arrow Connector 4671">
          <a:extLst>
            <a:ext uri="{FF2B5EF4-FFF2-40B4-BE49-F238E27FC236}">
              <a16:creationId xmlns:a16="http://schemas.microsoft.com/office/drawing/2014/main" id="{00000000-0008-0000-1300-000040120000}"/>
            </a:ext>
          </a:extLst>
        </xdr:cNvPr>
        <xdr:cNvCxnSpPr/>
      </xdr:nvCxnSpPr>
      <xdr:spPr>
        <a:xfrm>
          <a:off x="11281833" y="315690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1689</xdr:row>
      <xdr:rowOff>31750</xdr:rowOff>
    </xdr:from>
    <xdr:to>
      <xdr:col>16</xdr:col>
      <xdr:colOff>42334</xdr:colOff>
      <xdr:row>1696</xdr:row>
      <xdr:rowOff>63501</xdr:rowOff>
    </xdr:to>
    <xdr:cxnSp macro="">
      <xdr:nvCxnSpPr>
        <xdr:cNvPr id="4673" name="Straight Arrow Connector 4672">
          <a:extLst>
            <a:ext uri="{FF2B5EF4-FFF2-40B4-BE49-F238E27FC236}">
              <a16:creationId xmlns:a16="http://schemas.microsoft.com/office/drawing/2014/main" id="{00000000-0008-0000-1300-000041120000}"/>
            </a:ext>
          </a:extLst>
        </xdr:cNvPr>
        <xdr:cNvCxnSpPr/>
      </xdr:nvCxnSpPr>
      <xdr:spPr>
        <a:xfrm>
          <a:off x="11281833" y="315690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1663</xdr:row>
      <xdr:rowOff>31750</xdr:rowOff>
    </xdr:from>
    <xdr:to>
      <xdr:col>16</xdr:col>
      <xdr:colOff>42334</xdr:colOff>
      <xdr:row>1670</xdr:row>
      <xdr:rowOff>63501</xdr:rowOff>
    </xdr:to>
    <xdr:cxnSp macro="">
      <xdr:nvCxnSpPr>
        <xdr:cNvPr id="4674" name="Straight Arrow Connector 4673">
          <a:extLst>
            <a:ext uri="{FF2B5EF4-FFF2-40B4-BE49-F238E27FC236}">
              <a16:creationId xmlns:a16="http://schemas.microsoft.com/office/drawing/2014/main" id="{00000000-0008-0000-1300-000042120000}"/>
            </a:ext>
          </a:extLst>
        </xdr:cNvPr>
        <xdr:cNvCxnSpPr/>
      </xdr:nvCxnSpPr>
      <xdr:spPr>
        <a:xfrm>
          <a:off x="11281833" y="310546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675" name="Straight Arrow Connector 4674">
          <a:extLst>
            <a:ext uri="{FF2B5EF4-FFF2-40B4-BE49-F238E27FC236}">
              <a16:creationId xmlns:a16="http://schemas.microsoft.com/office/drawing/2014/main" id="{00000000-0008-0000-1300-000043120000}"/>
            </a:ext>
          </a:extLst>
        </xdr:cNvPr>
        <xdr:cNvCxnSpPr/>
      </xdr:nvCxnSpPr>
      <xdr:spPr>
        <a:xfrm>
          <a:off x="11324166" y="313213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1663</xdr:row>
      <xdr:rowOff>31750</xdr:rowOff>
    </xdr:from>
    <xdr:to>
      <xdr:col>16</xdr:col>
      <xdr:colOff>42334</xdr:colOff>
      <xdr:row>1670</xdr:row>
      <xdr:rowOff>63501</xdr:rowOff>
    </xdr:to>
    <xdr:cxnSp macro="">
      <xdr:nvCxnSpPr>
        <xdr:cNvPr id="4676" name="Straight Arrow Connector 4675">
          <a:extLst>
            <a:ext uri="{FF2B5EF4-FFF2-40B4-BE49-F238E27FC236}">
              <a16:creationId xmlns:a16="http://schemas.microsoft.com/office/drawing/2014/main" id="{00000000-0008-0000-1300-000044120000}"/>
            </a:ext>
          </a:extLst>
        </xdr:cNvPr>
        <xdr:cNvCxnSpPr/>
      </xdr:nvCxnSpPr>
      <xdr:spPr>
        <a:xfrm>
          <a:off x="11281833" y="310546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677" name="Straight Arrow Connector 4676">
          <a:extLst>
            <a:ext uri="{FF2B5EF4-FFF2-40B4-BE49-F238E27FC236}">
              <a16:creationId xmlns:a16="http://schemas.microsoft.com/office/drawing/2014/main" id="{00000000-0008-0000-1300-000045120000}"/>
            </a:ext>
          </a:extLst>
        </xdr:cNvPr>
        <xdr:cNvCxnSpPr/>
      </xdr:nvCxnSpPr>
      <xdr:spPr>
        <a:xfrm>
          <a:off x="11324166" y="313213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1663</xdr:row>
      <xdr:rowOff>31750</xdr:rowOff>
    </xdr:from>
    <xdr:to>
      <xdr:col>16</xdr:col>
      <xdr:colOff>42334</xdr:colOff>
      <xdr:row>1670</xdr:row>
      <xdr:rowOff>63501</xdr:rowOff>
    </xdr:to>
    <xdr:cxnSp macro="">
      <xdr:nvCxnSpPr>
        <xdr:cNvPr id="4678" name="Straight Arrow Connector 4677">
          <a:extLst>
            <a:ext uri="{FF2B5EF4-FFF2-40B4-BE49-F238E27FC236}">
              <a16:creationId xmlns:a16="http://schemas.microsoft.com/office/drawing/2014/main" id="{00000000-0008-0000-1300-000046120000}"/>
            </a:ext>
          </a:extLst>
        </xdr:cNvPr>
        <xdr:cNvCxnSpPr/>
      </xdr:nvCxnSpPr>
      <xdr:spPr>
        <a:xfrm>
          <a:off x="11281833" y="310546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679" name="Straight Arrow Connector 4678">
          <a:extLst>
            <a:ext uri="{FF2B5EF4-FFF2-40B4-BE49-F238E27FC236}">
              <a16:creationId xmlns:a16="http://schemas.microsoft.com/office/drawing/2014/main" id="{00000000-0008-0000-1300-000047120000}"/>
            </a:ext>
          </a:extLst>
        </xdr:cNvPr>
        <xdr:cNvCxnSpPr/>
      </xdr:nvCxnSpPr>
      <xdr:spPr>
        <a:xfrm>
          <a:off x="11324166" y="313213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1663</xdr:row>
      <xdr:rowOff>31750</xdr:rowOff>
    </xdr:from>
    <xdr:to>
      <xdr:col>16</xdr:col>
      <xdr:colOff>42334</xdr:colOff>
      <xdr:row>1670</xdr:row>
      <xdr:rowOff>63501</xdr:rowOff>
    </xdr:to>
    <xdr:cxnSp macro="">
      <xdr:nvCxnSpPr>
        <xdr:cNvPr id="4680" name="Straight Arrow Connector 4679">
          <a:extLst>
            <a:ext uri="{FF2B5EF4-FFF2-40B4-BE49-F238E27FC236}">
              <a16:creationId xmlns:a16="http://schemas.microsoft.com/office/drawing/2014/main" id="{00000000-0008-0000-1300-000048120000}"/>
            </a:ext>
          </a:extLst>
        </xdr:cNvPr>
        <xdr:cNvCxnSpPr/>
      </xdr:nvCxnSpPr>
      <xdr:spPr>
        <a:xfrm>
          <a:off x="11281833" y="310546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681" name="Straight Arrow Connector 4680">
          <a:extLst>
            <a:ext uri="{FF2B5EF4-FFF2-40B4-BE49-F238E27FC236}">
              <a16:creationId xmlns:a16="http://schemas.microsoft.com/office/drawing/2014/main" id="{00000000-0008-0000-1300-000049120000}"/>
            </a:ext>
          </a:extLst>
        </xdr:cNvPr>
        <xdr:cNvCxnSpPr/>
      </xdr:nvCxnSpPr>
      <xdr:spPr>
        <a:xfrm>
          <a:off x="11324166" y="313213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1663</xdr:row>
      <xdr:rowOff>31750</xdr:rowOff>
    </xdr:from>
    <xdr:to>
      <xdr:col>16</xdr:col>
      <xdr:colOff>42334</xdr:colOff>
      <xdr:row>1670</xdr:row>
      <xdr:rowOff>63501</xdr:rowOff>
    </xdr:to>
    <xdr:cxnSp macro="">
      <xdr:nvCxnSpPr>
        <xdr:cNvPr id="4682" name="Straight Arrow Connector 4681">
          <a:extLst>
            <a:ext uri="{FF2B5EF4-FFF2-40B4-BE49-F238E27FC236}">
              <a16:creationId xmlns:a16="http://schemas.microsoft.com/office/drawing/2014/main" id="{00000000-0008-0000-1300-00004A120000}"/>
            </a:ext>
          </a:extLst>
        </xdr:cNvPr>
        <xdr:cNvCxnSpPr/>
      </xdr:nvCxnSpPr>
      <xdr:spPr>
        <a:xfrm>
          <a:off x="11281833" y="310546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683" name="Straight Arrow Connector 4682">
          <a:extLst>
            <a:ext uri="{FF2B5EF4-FFF2-40B4-BE49-F238E27FC236}">
              <a16:creationId xmlns:a16="http://schemas.microsoft.com/office/drawing/2014/main" id="{00000000-0008-0000-1300-00004B120000}"/>
            </a:ext>
          </a:extLst>
        </xdr:cNvPr>
        <xdr:cNvCxnSpPr/>
      </xdr:nvCxnSpPr>
      <xdr:spPr>
        <a:xfrm>
          <a:off x="11324166" y="313213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1663</xdr:row>
      <xdr:rowOff>31750</xdr:rowOff>
    </xdr:from>
    <xdr:to>
      <xdr:col>16</xdr:col>
      <xdr:colOff>42334</xdr:colOff>
      <xdr:row>1670</xdr:row>
      <xdr:rowOff>63501</xdr:rowOff>
    </xdr:to>
    <xdr:cxnSp macro="">
      <xdr:nvCxnSpPr>
        <xdr:cNvPr id="4684" name="Straight Arrow Connector 4683">
          <a:extLst>
            <a:ext uri="{FF2B5EF4-FFF2-40B4-BE49-F238E27FC236}">
              <a16:creationId xmlns:a16="http://schemas.microsoft.com/office/drawing/2014/main" id="{00000000-0008-0000-1300-00004C120000}"/>
            </a:ext>
          </a:extLst>
        </xdr:cNvPr>
        <xdr:cNvCxnSpPr/>
      </xdr:nvCxnSpPr>
      <xdr:spPr>
        <a:xfrm>
          <a:off x="11281833" y="310546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685" name="Straight Arrow Connector 4684">
          <a:extLst>
            <a:ext uri="{FF2B5EF4-FFF2-40B4-BE49-F238E27FC236}">
              <a16:creationId xmlns:a16="http://schemas.microsoft.com/office/drawing/2014/main" id="{00000000-0008-0000-1300-00004D120000}"/>
            </a:ext>
          </a:extLst>
        </xdr:cNvPr>
        <xdr:cNvCxnSpPr/>
      </xdr:nvCxnSpPr>
      <xdr:spPr>
        <a:xfrm>
          <a:off x="11324166" y="313213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1663</xdr:row>
      <xdr:rowOff>31750</xdr:rowOff>
    </xdr:from>
    <xdr:to>
      <xdr:col>16</xdr:col>
      <xdr:colOff>42334</xdr:colOff>
      <xdr:row>1670</xdr:row>
      <xdr:rowOff>63501</xdr:rowOff>
    </xdr:to>
    <xdr:cxnSp macro="">
      <xdr:nvCxnSpPr>
        <xdr:cNvPr id="4686" name="Straight Arrow Connector 4685">
          <a:extLst>
            <a:ext uri="{FF2B5EF4-FFF2-40B4-BE49-F238E27FC236}">
              <a16:creationId xmlns:a16="http://schemas.microsoft.com/office/drawing/2014/main" id="{00000000-0008-0000-1300-00004E120000}"/>
            </a:ext>
          </a:extLst>
        </xdr:cNvPr>
        <xdr:cNvCxnSpPr/>
      </xdr:nvCxnSpPr>
      <xdr:spPr>
        <a:xfrm>
          <a:off x="11281833" y="310546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687" name="Straight Arrow Connector 4686">
          <a:extLst>
            <a:ext uri="{FF2B5EF4-FFF2-40B4-BE49-F238E27FC236}">
              <a16:creationId xmlns:a16="http://schemas.microsoft.com/office/drawing/2014/main" id="{00000000-0008-0000-1300-00004F120000}"/>
            </a:ext>
          </a:extLst>
        </xdr:cNvPr>
        <xdr:cNvCxnSpPr/>
      </xdr:nvCxnSpPr>
      <xdr:spPr>
        <a:xfrm>
          <a:off x="11324166" y="313213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1689</xdr:row>
      <xdr:rowOff>31750</xdr:rowOff>
    </xdr:from>
    <xdr:to>
      <xdr:col>16</xdr:col>
      <xdr:colOff>42334</xdr:colOff>
      <xdr:row>1696</xdr:row>
      <xdr:rowOff>63501</xdr:rowOff>
    </xdr:to>
    <xdr:cxnSp macro="">
      <xdr:nvCxnSpPr>
        <xdr:cNvPr id="4688" name="Straight Arrow Connector 4687">
          <a:extLst>
            <a:ext uri="{FF2B5EF4-FFF2-40B4-BE49-F238E27FC236}">
              <a16:creationId xmlns:a16="http://schemas.microsoft.com/office/drawing/2014/main" id="{00000000-0008-0000-1300-000050120000}"/>
            </a:ext>
          </a:extLst>
        </xdr:cNvPr>
        <xdr:cNvCxnSpPr/>
      </xdr:nvCxnSpPr>
      <xdr:spPr>
        <a:xfrm>
          <a:off x="11281833" y="315690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1689</xdr:row>
      <xdr:rowOff>31750</xdr:rowOff>
    </xdr:from>
    <xdr:to>
      <xdr:col>16</xdr:col>
      <xdr:colOff>42334</xdr:colOff>
      <xdr:row>1696</xdr:row>
      <xdr:rowOff>63501</xdr:rowOff>
    </xdr:to>
    <xdr:cxnSp macro="">
      <xdr:nvCxnSpPr>
        <xdr:cNvPr id="4689" name="Straight Arrow Connector 4688">
          <a:extLst>
            <a:ext uri="{FF2B5EF4-FFF2-40B4-BE49-F238E27FC236}">
              <a16:creationId xmlns:a16="http://schemas.microsoft.com/office/drawing/2014/main" id="{00000000-0008-0000-1300-000051120000}"/>
            </a:ext>
          </a:extLst>
        </xdr:cNvPr>
        <xdr:cNvCxnSpPr/>
      </xdr:nvCxnSpPr>
      <xdr:spPr>
        <a:xfrm>
          <a:off x="11281833" y="315690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690" name="Straight Arrow Connector 4689">
          <a:extLst>
            <a:ext uri="{FF2B5EF4-FFF2-40B4-BE49-F238E27FC236}">
              <a16:creationId xmlns:a16="http://schemas.microsoft.com/office/drawing/2014/main" id="{00000000-0008-0000-1300-000052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691" name="Straight Arrow Connector 4690">
          <a:extLst>
            <a:ext uri="{FF2B5EF4-FFF2-40B4-BE49-F238E27FC236}">
              <a16:creationId xmlns:a16="http://schemas.microsoft.com/office/drawing/2014/main" id="{00000000-0008-0000-1300-000053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692" name="Straight Arrow Connector 4691">
          <a:extLst>
            <a:ext uri="{FF2B5EF4-FFF2-40B4-BE49-F238E27FC236}">
              <a16:creationId xmlns:a16="http://schemas.microsoft.com/office/drawing/2014/main" id="{00000000-0008-0000-1300-000054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693" name="Straight Arrow Connector 4692">
          <a:extLst>
            <a:ext uri="{FF2B5EF4-FFF2-40B4-BE49-F238E27FC236}">
              <a16:creationId xmlns:a16="http://schemas.microsoft.com/office/drawing/2014/main" id="{00000000-0008-0000-1300-000055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694" name="Straight Arrow Connector 4693">
          <a:extLst>
            <a:ext uri="{FF2B5EF4-FFF2-40B4-BE49-F238E27FC236}">
              <a16:creationId xmlns:a16="http://schemas.microsoft.com/office/drawing/2014/main" id="{00000000-0008-0000-1300-000056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695" name="Straight Arrow Connector 4694">
          <a:extLst>
            <a:ext uri="{FF2B5EF4-FFF2-40B4-BE49-F238E27FC236}">
              <a16:creationId xmlns:a16="http://schemas.microsoft.com/office/drawing/2014/main" id="{00000000-0008-0000-1300-000057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696" name="Straight Arrow Connector 4695">
          <a:extLst>
            <a:ext uri="{FF2B5EF4-FFF2-40B4-BE49-F238E27FC236}">
              <a16:creationId xmlns:a16="http://schemas.microsoft.com/office/drawing/2014/main" id="{00000000-0008-0000-1300-000058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1719</xdr:row>
      <xdr:rowOff>31750</xdr:rowOff>
    </xdr:from>
    <xdr:to>
      <xdr:col>16</xdr:col>
      <xdr:colOff>42334</xdr:colOff>
      <xdr:row>1726</xdr:row>
      <xdr:rowOff>63501</xdr:rowOff>
    </xdr:to>
    <xdr:cxnSp macro="">
      <xdr:nvCxnSpPr>
        <xdr:cNvPr id="4697" name="Straight Arrow Connector 4696">
          <a:extLst>
            <a:ext uri="{FF2B5EF4-FFF2-40B4-BE49-F238E27FC236}">
              <a16:creationId xmlns:a16="http://schemas.microsoft.com/office/drawing/2014/main" id="{00000000-0008-0000-1300-000059120000}"/>
            </a:ext>
          </a:extLst>
        </xdr:cNvPr>
        <xdr:cNvCxnSpPr/>
      </xdr:nvCxnSpPr>
      <xdr:spPr>
        <a:xfrm>
          <a:off x="11281833" y="321405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698" name="Straight Arrow Connector 4697">
          <a:extLst>
            <a:ext uri="{FF2B5EF4-FFF2-40B4-BE49-F238E27FC236}">
              <a16:creationId xmlns:a16="http://schemas.microsoft.com/office/drawing/2014/main" id="{00000000-0008-0000-1300-00005A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699" name="Straight Arrow Connector 4698">
          <a:extLst>
            <a:ext uri="{FF2B5EF4-FFF2-40B4-BE49-F238E27FC236}">
              <a16:creationId xmlns:a16="http://schemas.microsoft.com/office/drawing/2014/main" id="{00000000-0008-0000-1300-00005B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700" name="Straight Arrow Connector 4699">
          <a:extLst>
            <a:ext uri="{FF2B5EF4-FFF2-40B4-BE49-F238E27FC236}">
              <a16:creationId xmlns:a16="http://schemas.microsoft.com/office/drawing/2014/main" id="{00000000-0008-0000-1300-00005C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1719</xdr:row>
      <xdr:rowOff>31750</xdr:rowOff>
    </xdr:from>
    <xdr:to>
      <xdr:col>16</xdr:col>
      <xdr:colOff>42334</xdr:colOff>
      <xdr:row>1726</xdr:row>
      <xdr:rowOff>63501</xdr:rowOff>
    </xdr:to>
    <xdr:cxnSp macro="">
      <xdr:nvCxnSpPr>
        <xdr:cNvPr id="4701" name="Straight Arrow Connector 4700">
          <a:extLst>
            <a:ext uri="{FF2B5EF4-FFF2-40B4-BE49-F238E27FC236}">
              <a16:creationId xmlns:a16="http://schemas.microsoft.com/office/drawing/2014/main" id="{00000000-0008-0000-1300-00005D120000}"/>
            </a:ext>
          </a:extLst>
        </xdr:cNvPr>
        <xdr:cNvCxnSpPr/>
      </xdr:nvCxnSpPr>
      <xdr:spPr>
        <a:xfrm>
          <a:off x="11281833" y="321405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702" name="Straight Arrow Connector 4701">
          <a:extLst>
            <a:ext uri="{FF2B5EF4-FFF2-40B4-BE49-F238E27FC236}">
              <a16:creationId xmlns:a16="http://schemas.microsoft.com/office/drawing/2014/main" id="{00000000-0008-0000-1300-00005E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1719</xdr:row>
      <xdr:rowOff>31750</xdr:rowOff>
    </xdr:from>
    <xdr:to>
      <xdr:col>16</xdr:col>
      <xdr:colOff>42334</xdr:colOff>
      <xdr:row>1726</xdr:row>
      <xdr:rowOff>63501</xdr:rowOff>
    </xdr:to>
    <xdr:cxnSp macro="">
      <xdr:nvCxnSpPr>
        <xdr:cNvPr id="4703" name="Straight Arrow Connector 4702">
          <a:extLst>
            <a:ext uri="{FF2B5EF4-FFF2-40B4-BE49-F238E27FC236}">
              <a16:creationId xmlns:a16="http://schemas.microsoft.com/office/drawing/2014/main" id="{00000000-0008-0000-1300-00005F120000}"/>
            </a:ext>
          </a:extLst>
        </xdr:cNvPr>
        <xdr:cNvCxnSpPr/>
      </xdr:nvCxnSpPr>
      <xdr:spPr>
        <a:xfrm>
          <a:off x="11281833" y="321405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704" name="Straight Arrow Connector 4703">
          <a:extLst>
            <a:ext uri="{FF2B5EF4-FFF2-40B4-BE49-F238E27FC236}">
              <a16:creationId xmlns:a16="http://schemas.microsoft.com/office/drawing/2014/main" id="{00000000-0008-0000-1300-000060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1719</xdr:row>
      <xdr:rowOff>31750</xdr:rowOff>
    </xdr:from>
    <xdr:to>
      <xdr:col>16</xdr:col>
      <xdr:colOff>42334</xdr:colOff>
      <xdr:row>1726</xdr:row>
      <xdr:rowOff>63501</xdr:rowOff>
    </xdr:to>
    <xdr:cxnSp macro="">
      <xdr:nvCxnSpPr>
        <xdr:cNvPr id="4705" name="Straight Arrow Connector 4704">
          <a:extLst>
            <a:ext uri="{FF2B5EF4-FFF2-40B4-BE49-F238E27FC236}">
              <a16:creationId xmlns:a16="http://schemas.microsoft.com/office/drawing/2014/main" id="{00000000-0008-0000-1300-000061120000}"/>
            </a:ext>
          </a:extLst>
        </xdr:cNvPr>
        <xdr:cNvCxnSpPr/>
      </xdr:nvCxnSpPr>
      <xdr:spPr>
        <a:xfrm>
          <a:off x="11281833" y="321405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706" name="Straight Arrow Connector 4705">
          <a:extLst>
            <a:ext uri="{FF2B5EF4-FFF2-40B4-BE49-F238E27FC236}">
              <a16:creationId xmlns:a16="http://schemas.microsoft.com/office/drawing/2014/main" id="{00000000-0008-0000-1300-000062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707" name="Straight Arrow Connector 4706">
          <a:extLst>
            <a:ext uri="{FF2B5EF4-FFF2-40B4-BE49-F238E27FC236}">
              <a16:creationId xmlns:a16="http://schemas.microsoft.com/office/drawing/2014/main" id="{00000000-0008-0000-1300-000063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708" name="Straight Arrow Connector 4707">
          <a:extLst>
            <a:ext uri="{FF2B5EF4-FFF2-40B4-BE49-F238E27FC236}">
              <a16:creationId xmlns:a16="http://schemas.microsoft.com/office/drawing/2014/main" id="{00000000-0008-0000-1300-000064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1719</xdr:row>
      <xdr:rowOff>31750</xdr:rowOff>
    </xdr:from>
    <xdr:to>
      <xdr:col>16</xdr:col>
      <xdr:colOff>42334</xdr:colOff>
      <xdr:row>1726</xdr:row>
      <xdr:rowOff>63501</xdr:rowOff>
    </xdr:to>
    <xdr:cxnSp macro="">
      <xdr:nvCxnSpPr>
        <xdr:cNvPr id="4709" name="Straight Arrow Connector 4708">
          <a:extLst>
            <a:ext uri="{FF2B5EF4-FFF2-40B4-BE49-F238E27FC236}">
              <a16:creationId xmlns:a16="http://schemas.microsoft.com/office/drawing/2014/main" id="{00000000-0008-0000-1300-000065120000}"/>
            </a:ext>
          </a:extLst>
        </xdr:cNvPr>
        <xdr:cNvCxnSpPr/>
      </xdr:nvCxnSpPr>
      <xdr:spPr>
        <a:xfrm>
          <a:off x="11281833" y="321405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710" name="Straight Arrow Connector 4709">
          <a:extLst>
            <a:ext uri="{FF2B5EF4-FFF2-40B4-BE49-F238E27FC236}">
              <a16:creationId xmlns:a16="http://schemas.microsoft.com/office/drawing/2014/main" id="{00000000-0008-0000-1300-000066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711" name="Straight Arrow Connector 4710">
          <a:extLst>
            <a:ext uri="{FF2B5EF4-FFF2-40B4-BE49-F238E27FC236}">
              <a16:creationId xmlns:a16="http://schemas.microsoft.com/office/drawing/2014/main" id="{00000000-0008-0000-1300-000067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712" name="Straight Arrow Connector 4711">
          <a:extLst>
            <a:ext uri="{FF2B5EF4-FFF2-40B4-BE49-F238E27FC236}">
              <a16:creationId xmlns:a16="http://schemas.microsoft.com/office/drawing/2014/main" id="{00000000-0008-0000-1300-000068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713" name="Straight Arrow Connector 4712">
          <a:extLst>
            <a:ext uri="{FF2B5EF4-FFF2-40B4-BE49-F238E27FC236}">
              <a16:creationId xmlns:a16="http://schemas.microsoft.com/office/drawing/2014/main" id="{00000000-0008-0000-1300-000069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1719</xdr:row>
      <xdr:rowOff>31750</xdr:rowOff>
    </xdr:from>
    <xdr:to>
      <xdr:col>16</xdr:col>
      <xdr:colOff>42334</xdr:colOff>
      <xdr:row>1726</xdr:row>
      <xdr:rowOff>63501</xdr:rowOff>
    </xdr:to>
    <xdr:cxnSp macro="">
      <xdr:nvCxnSpPr>
        <xdr:cNvPr id="4714" name="Straight Arrow Connector 4713">
          <a:extLst>
            <a:ext uri="{FF2B5EF4-FFF2-40B4-BE49-F238E27FC236}">
              <a16:creationId xmlns:a16="http://schemas.microsoft.com/office/drawing/2014/main" id="{00000000-0008-0000-1300-00006A120000}"/>
            </a:ext>
          </a:extLst>
        </xdr:cNvPr>
        <xdr:cNvCxnSpPr/>
      </xdr:nvCxnSpPr>
      <xdr:spPr>
        <a:xfrm>
          <a:off x="11281833" y="321405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715" name="Straight Arrow Connector 4714">
          <a:extLst>
            <a:ext uri="{FF2B5EF4-FFF2-40B4-BE49-F238E27FC236}">
              <a16:creationId xmlns:a16="http://schemas.microsoft.com/office/drawing/2014/main" id="{00000000-0008-0000-1300-00006B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1719</xdr:row>
      <xdr:rowOff>31750</xdr:rowOff>
    </xdr:from>
    <xdr:to>
      <xdr:col>16</xdr:col>
      <xdr:colOff>42334</xdr:colOff>
      <xdr:row>1726</xdr:row>
      <xdr:rowOff>63501</xdr:rowOff>
    </xdr:to>
    <xdr:cxnSp macro="">
      <xdr:nvCxnSpPr>
        <xdr:cNvPr id="4716" name="Straight Arrow Connector 4715">
          <a:extLst>
            <a:ext uri="{FF2B5EF4-FFF2-40B4-BE49-F238E27FC236}">
              <a16:creationId xmlns:a16="http://schemas.microsoft.com/office/drawing/2014/main" id="{00000000-0008-0000-1300-00006C120000}"/>
            </a:ext>
          </a:extLst>
        </xdr:cNvPr>
        <xdr:cNvCxnSpPr/>
      </xdr:nvCxnSpPr>
      <xdr:spPr>
        <a:xfrm>
          <a:off x="11281833" y="321405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717" name="Straight Arrow Connector 4716">
          <a:extLst>
            <a:ext uri="{FF2B5EF4-FFF2-40B4-BE49-F238E27FC236}">
              <a16:creationId xmlns:a16="http://schemas.microsoft.com/office/drawing/2014/main" id="{00000000-0008-0000-1300-00006D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1719</xdr:row>
      <xdr:rowOff>31750</xdr:rowOff>
    </xdr:from>
    <xdr:to>
      <xdr:col>16</xdr:col>
      <xdr:colOff>42334</xdr:colOff>
      <xdr:row>1726</xdr:row>
      <xdr:rowOff>63501</xdr:rowOff>
    </xdr:to>
    <xdr:cxnSp macro="">
      <xdr:nvCxnSpPr>
        <xdr:cNvPr id="4718" name="Straight Arrow Connector 4717">
          <a:extLst>
            <a:ext uri="{FF2B5EF4-FFF2-40B4-BE49-F238E27FC236}">
              <a16:creationId xmlns:a16="http://schemas.microsoft.com/office/drawing/2014/main" id="{00000000-0008-0000-1300-00006E120000}"/>
            </a:ext>
          </a:extLst>
        </xdr:cNvPr>
        <xdr:cNvCxnSpPr/>
      </xdr:nvCxnSpPr>
      <xdr:spPr>
        <a:xfrm>
          <a:off x="11281833" y="321405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719" name="Straight Arrow Connector 4718">
          <a:extLst>
            <a:ext uri="{FF2B5EF4-FFF2-40B4-BE49-F238E27FC236}">
              <a16:creationId xmlns:a16="http://schemas.microsoft.com/office/drawing/2014/main" id="{00000000-0008-0000-1300-00006F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1719</xdr:row>
      <xdr:rowOff>31750</xdr:rowOff>
    </xdr:from>
    <xdr:to>
      <xdr:col>16</xdr:col>
      <xdr:colOff>42334</xdr:colOff>
      <xdr:row>1726</xdr:row>
      <xdr:rowOff>63501</xdr:rowOff>
    </xdr:to>
    <xdr:cxnSp macro="">
      <xdr:nvCxnSpPr>
        <xdr:cNvPr id="4720" name="Straight Arrow Connector 4719">
          <a:extLst>
            <a:ext uri="{FF2B5EF4-FFF2-40B4-BE49-F238E27FC236}">
              <a16:creationId xmlns:a16="http://schemas.microsoft.com/office/drawing/2014/main" id="{00000000-0008-0000-1300-000070120000}"/>
            </a:ext>
          </a:extLst>
        </xdr:cNvPr>
        <xdr:cNvCxnSpPr/>
      </xdr:nvCxnSpPr>
      <xdr:spPr>
        <a:xfrm>
          <a:off x="11281833" y="321405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721" name="Straight Arrow Connector 4720">
          <a:extLst>
            <a:ext uri="{FF2B5EF4-FFF2-40B4-BE49-F238E27FC236}">
              <a16:creationId xmlns:a16="http://schemas.microsoft.com/office/drawing/2014/main" id="{00000000-0008-0000-1300-000071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722" name="Straight Arrow Connector 4721">
          <a:extLst>
            <a:ext uri="{FF2B5EF4-FFF2-40B4-BE49-F238E27FC236}">
              <a16:creationId xmlns:a16="http://schemas.microsoft.com/office/drawing/2014/main" id="{00000000-0008-0000-1300-000072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723" name="Straight Arrow Connector 4722">
          <a:extLst>
            <a:ext uri="{FF2B5EF4-FFF2-40B4-BE49-F238E27FC236}">
              <a16:creationId xmlns:a16="http://schemas.microsoft.com/office/drawing/2014/main" id="{00000000-0008-0000-1300-000073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1719</xdr:row>
      <xdr:rowOff>31750</xdr:rowOff>
    </xdr:from>
    <xdr:to>
      <xdr:col>16</xdr:col>
      <xdr:colOff>42334</xdr:colOff>
      <xdr:row>1726</xdr:row>
      <xdr:rowOff>63501</xdr:rowOff>
    </xdr:to>
    <xdr:cxnSp macro="">
      <xdr:nvCxnSpPr>
        <xdr:cNvPr id="4724" name="Straight Arrow Connector 4723">
          <a:extLst>
            <a:ext uri="{FF2B5EF4-FFF2-40B4-BE49-F238E27FC236}">
              <a16:creationId xmlns:a16="http://schemas.microsoft.com/office/drawing/2014/main" id="{00000000-0008-0000-1300-000074120000}"/>
            </a:ext>
          </a:extLst>
        </xdr:cNvPr>
        <xdr:cNvCxnSpPr/>
      </xdr:nvCxnSpPr>
      <xdr:spPr>
        <a:xfrm>
          <a:off x="11281833" y="321405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725" name="Straight Arrow Connector 4724">
          <a:extLst>
            <a:ext uri="{FF2B5EF4-FFF2-40B4-BE49-F238E27FC236}">
              <a16:creationId xmlns:a16="http://schemas.microsoft.com/office/drawing/2014/main" id="{00000000-0008-0000-1300-000075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1719</xdr:row>
      <xdr:rowOff>31750</xdr:rowOff>
    </xdr:from>
    <xdr:to>
      <xdr:col>16</xdr:col>
      <xdr:colOff>42334</xdr:colOff>
      <xdr:row>1726</xdr:row>
      <xdr:rowOff>63501</xdr:rowOff>
    </xdr:to>
    <xdr:cxnSp macro="">
      <xdr:nvCxnSpPr>
        <xdr:cNvPr id="4726" name="Straight Arrow Connector 4725">
          <a:extLst>
            <a:ext uri="{FF2B5EF4-FFF2-40B4-BE49-F238E27FC236}">
              <a16:creationId xmlns:a16="http://schemas.microsoft.com/office/drawing/2014/main" id="{00000000-0008-0000-1300-000076120000}"/>
            </a:ext>
          </a:extLst>
        </xdr:cNvPr>
        <xdr:cNvCxnSpPr/>
      </xdr:nvCxnSpPr>
      <xdr:spPr>
        <a:xfrm>
          <a:off x="11281833" y="321405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727" name="Straight Arrow Connector 4726">
          <a:extLst>
            <a:ext uri="{FF2B5EF4-FFF2-40B4-BE49-F238E27FC236}">
              <a16:creationId xmlns:a16="http://schemas.microsoft.com/office/drawing/2014/main" id="{00000000-0008-0000-1300-000077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1719</xdr:row>
      <xdr:rowOff>31750</xdr:rowOff>
    </xdr:from>
    <xdr:to>
      <xdr:col>16</xdr:col>
      <xdr:colOff>42334</xdr:colOff>
      <xdr:row>1726</xdr:row>
      <xdr:rowOff>63501</xdr:rowOff>
    </xdr:to>
    <xdr:cxnSp macro="">
      <xdr:nvCxnSpPr>
        <xdr:cNvPr id="4728" name="Straight Arrow Connector 4727">
          <a:extLst>
            <a:ext uri="{FF2B5EF4-FFF2-40B4-BE49-F238E27FC236}">
              <a16:creationId xmlns:a16="http://schemas.microsoft.com/office/drawing/2014/main" id="{00000000-0008-0000-1300-000078120000}"/>
            </a:ext>
          </a:extLst>
        </xdr:cNvPr>
        <xdr:cNvCxnSpPr/>
      </xdr:nvCxnSpPr>
      <xdr:spPr>
        <a:xfrm>
          <a:off x="11281833" y="321405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729" name="Straight Arrow Connector 4728">
          <a:extLst>
            <a:ext uri="{FF2B5EF4-FFF2-40B4-BE49-F238E27FC236}">
              <a16:creationId xmlns:a16="http://schemas.microsoft.com/office/drawing/2014/main" id="{00000000-0008-0000-1300-000079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1745</xdr:row>
      <xdr:rowOff>31750</xdr:rowOff>
    </xdr:from>
    <xdr:to>
      <xdr:col>16</xdr:col>
      <xdr:colOff>42334</xdr:colOff>
      <xdr:row>1752</xdr:row>
      <xdr:rowOff>63501</xdr:rowOff>
    </xdr:to>
    <xdr:cxnSp macro="">
      <xdr:nvCxnSpPr>
        <xdr:cNvPr id="4730" name="Straight Arrow Connector 4729">
          <a:extLst>
            <a:ext uri="{FF2B5EF4-FFF2-40B4-BE49-F238E27FC236}">
              <a16:creationId xmlns:a16="http://schemas.microsoft.com/office/drawing/2014/main" id="{00000000-0008-0000-1300-00007A120000}"/>
            </a:ext>
          </a:extLst>
        </xdr:cNvPr>
        <xdr:cNvCxnSpPr/>
      </xdr:nvCxnSpPr>
      <xdr:spPr>
        <a:xfrm>
          <a:off x="11281833" y="326548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1745</xdr:row>
      <xdr:rowOff>31750</xdr:rowOff>
    </xdr:from>
    <xdr:to>
      <xdr:col>16</xdr:col>
      <xdr:colOff>42334</xdr:colOff>
      <xdr:row>1752</xdr:row>
      <xdr:rowOff>63501</xdr:rowOff>
    </xdr:to>
    <xdr:cxnSp macro="">
      <xdr:nvCxnSpPr>
        <xdr:cNvPr id="4731" name="Straight Arrow Connector 4730">
          <a:extLst>
            <a:ext uri="{FF2B5EF4-FFF2-40B4-BE49-F238E27FC236}">
              <a16:creationId xmlns:a16="http://schemas.microsoft.com/office/drawing/2014/main" id="{00000000-0008-0000-1300-00007B120000}"/>
            </a:ext>
          </a:extLst>
        </xdr:cNvPr>
        <xdr:cNvCxnSpPr/>
      </xdr:nvCxnSpPr>
      <xdr:spPr>
        <a:xfrm>
          <a:off x="11281833" y="326548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1719</xdr:row>
      <xdr:rowOff>31750</xdr:rowOff>
    </xdr:from>
    <xdr:to>
      <xdr:col>16</xdr:col>
      <xdr:colOff>42334</xdr:colOff>
      <xdr:row>1726</xdr:row>
      <xdr:rowOff>63501</xdr:rowOff>
    </xdr:to>
    <xdr:cxnSp macro="">
      <xdr:nvCxnSpPr>
        <xdr:cNvPr id="4732" name="Straight Arrow Connector 4731">
          <a:extLst>
            <a:ext uri="{FF2B5EF4-FFF2-40B4-BE49-F238E27FC236}">
              <a16:creationId xmlns:a16="http://schemas.microsoft.com/office/drawing/2014/main" id="{00000000-0008-0000-1300-00007C120000}"/>
            </a:ext>
          </a:extLst>
        </xdr:cNvPr>
        <xdr:cNvCxnSpPr/>
      </xdr:nvCxnSpPr>
      <xdr:spPr>
        <a:xfrm>
          <a:off x="11281833" y="321405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733" name="Straight Arrow Connector 4732">
          <a:extLst>
            <a:ext uri="{FF2B5EF4-FFF2-40B4-BE49-F238E27FC236}">
              <a16:creationId xmlns:a16="http://schemas.microsoft.com/office/drawing/2014/main" id="{00000000-0008-0000-1300-00007D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1719</xdr:row>
      <xdr:rowOff>31750</xdr:rowOff>
    </xdr:from>
    <xdr:to>
      <xdr:col>16</xdr:col>
      <xdr:colOff>42334</xdr:colOff>
      <xdr:row>1726</xdr:row>
      <xdr:rowOff>63501</xdr:rowOff>
    </xdr:to>
    <xdr:cxnSp macro="">
      <xdr:nvCxnSpPr>
        <xdr:cNvPr id="4734" name="Straight Arrow Connector 4733">
          <a:extLst>
            <a:ext uri="{FF2B5EF4-FFF2-40B4-BE49-F238E27FC236}">
              <a16:creationId xmlns:a16="http://schemas.microsoft.com/office/drawing/2014/main" id="{00000000-0008-0000-1300-00007E120000}"/>
            </a:ext>
          </a:extLst>
        </xdr:cNvPr>
        <xdr:cNvCxnSpPr/>
      </xdr:nvCxnSpPr>
      <xdr:spPr>
        <a:xfrm>
          <a:off x="11281833" y="321405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735" name="Straight Arrow Connector 4734">
          <a:extLst>
            <a:ext uri="{FF2B5EF4-FFF2-40B4-BE49-F238E27FC236}">
              <a16:creationId xmlns:a16="http://schemas.microsoft.com/office/drawing/2014/main" id="{00000000-0008-0000-1300-00007F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1719</xdr:row>
      <xdr:rowOff>31750</xdr:rowOff>
    </xdr:from>
    <xdr:to>
      <xdr:col>16</xdr:col>
      <xdr:colOff>42334</xdr:colOff>
      <xdr:row>1726</xdr:row>
      <xdr:rowOff>63501</xdr:rowOff>
    </xdr:to>
    <xdr:cxnSp macro="">
      <xdr:nvCxnSpPr>
        <xdr:cNvPr id="4736" name="Straight Arrow Connector 4735">
          <a:extLst>
            <a:ext uri="{FF2B5EF4-FFF2-40B4-BE49-F238E27FC236}">
              <a16:creationId xmlns:a16="http://schemas.microsoft.com/office/drawing/2014/main" id="{00000000-0008-0000-1300-000080120000}"/>
            </a:ext>
          </a:extLst>
        </xdr:cNvPr>
        <xdr:cNvCxnSpPr/>
      </xdr:nvCxnSpPr>
      <xdr:spPr>
        <a:xfrm>
          <a:off x="11281833" y="321405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737" name="Straight Arrow Connector 4736">
          <a:extLst>
            <a:ext uri="{FF2B5EF4-FFF2-40B4-BE49-F238E27FC236}">
              <a16:creationId xmlns:a16="http://schemas.microsoft.com/office/drawing/2014/main" id="{00000000-0008-0000-1300-000081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1719</xdr:row>
      <xdr:rowOff>31750</xdr:rowOff>
    </xdr:from>
    <xdr:to>
      <xdr:col>16</xdr:col>
      <xdr:colOff>42334</xdr:colOff>
      <xdr:row>1726</xdr:row>
      <xdr:rowOff>63501</xdr:rowOff>
    </xdr:to>
    <xdr:cxnSp macro="">
      <xdr:nvCxnSpPr>
        <xdr:cNvPr id="4738" name="Straight Arrow Connector 4737">
          <a:extLst>
            <a:ext uri="{FF2B5EF4-FFF2-40B4-BE49-F238E27FC236}">
              <a16:creationId xmlns:a16="http://schemas.microsoft.com/office/drawing/2014/main" id="{00000000-0008-0000-1300-000082120000}"/>
            </a:ext>
          </a:extLst>
        </xdr:cNvPr>
        <xdr:cNvCxnSpPr/>
      </xdr:nvCxnSpPr>
      <xdr:spPr>
        <a:xfrm>
          <a:off x="11281833" y="321405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739" name="Straight Arrow Connector 4738">
          <a:extLst>
            <a:ext uri="{FF2B5EF4-FFF2-40B4-BE49-F238E27FC236}">
              <a16:creationId xmlns:a16="http://schemas.microsoft.com/office/drawing/2014/main" id="{00000000-0008-0000-1300-000083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1719</xdr:row>
      <xdr:rowOff>31750</xdr:rowOff>
    </xdr:from>
    <xdr:to>
      <xdr:col>16</xdr:col>
      <xdr:colOff>42334</xdr:colOff>
      <xdr:row>1726</xdr:row>
      <xdr:rowOff>63501</xdr:rowOff>
    </xdr:to>
    <xdr:cxnSp macro="">
      <xdr:nvCxnSpPr>
        <xdr:cNvPr id="4740" name="Straight Arrow Connector 4739">
          <a:extLst>
            <a:ext uri="{FF2B5EF4-FFF2-40B4-BE49-F238E27FC236}">
              <a16:creationId xmlns:a16="http://schemas.microsoft.com/office/drawing/2014/main" id="{00000000-0008-0000-1300-000084120000}"/>
            </a:ext>
          </a:extLst>
        </xdr:cNvPr>
        <xdr:cNvCxnSpPr/>
      </xdr:nvCxnSpPr>
      <xdr:spPr>
        <a:xfrm>
          <a:off x="11281833" y="321405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741" name="Straight Arrow Connector 4740">
          <a:extLst>
            <a:ext uri="{FF2B5EF4-FFF2-40B4-BE49-F238E27FC236}">
              <a16:creationId xmlns:a16="http://schemas.microsoft.com/office/drawing/2014/main" id="{00000000-0008-0000-1300-000085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1719</xdr:row>
      <xdr:rowOff>31750</xdr:rowOff>
    </xdr:from>
    <xdr:to>
      <xdr:col>16</xdr:col>
      <xdr:colOff>42334</xdr:colOff>
      <xdr:row>1726</xdr:row>
      <xdr:rowOff>63501</xdr:rowOff>
    </xdr:to>
    <xdr:cxnSp macro="">
      <xdr:nvCxnSpPr>
        <xdr:cNvPr id="4742" name="Straight Arrow Connector 4741">
          <a:extLst>
            <a:ext uri="{FF2B5EF4-FFF2-40B4-BE49-F238E27FC236}">
              <a16:creationId xmlns:a16="http://schemas.microsoft.com/office/drawing/2014/main" id="{00000000-0008-0000-1300-000086120000}"/>
            </a:ext>
          </a:extLst>
        </xdr:cNvPr>
        <xdr:cNvCxnSpPr/>
      </xdr:nvCxnSpPr>
      <xdr:spPr>
        <a:xfrm>
          <a:off x="11281833" y="321405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743" name="Straight Arrow Connector 4742">
          <a:extLst>
            <a:ext uri="{FF2B5EF4-FFF2-40B4-BE49-F238E27FC236}">
              <a16:creationId xmlns:a16="http://schemas.microsoft.com/office/drawing/2014/main" id="{00000000-0008-0000-1300-000087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1719</xdr:row>
      <xdr:rowOff>31750</xdr:rowOff>
    </xdr:from>
    <xdr:to>
      <xdr:col>16</xdr:col>
      <xdr:colOff>42334</xdr:colOff>
      <xdr:row>1726</xdr:row>
      <xdr:rowOff>63501</xdr:rowOff>
    </xdr:to>
    <xdr:cxnSp macro="">
      <xdr:nvCxnSpPr>
        <xdr:cNvPr id="4744" name="Straight Arrow Connector 4743">
          <a:extLst>
            <a:ext uri="{FF2B5EF4-FFF2-40B4-BE49-F238E27FC236}">
              <a16:creationId xmlns:a16="http://schemas.microsoft.com/office/drawing/2014/main" id="{00000000-0008-0000-1300-000088120000}"/>
            </a:ext>
          </a:extLst>
        </xdr:cNvPr>
        <xdr:cNvCxnSpPr/>
      </xdr:nvCxnSpPr>
      <xdr:spPr>
        <a:xfrm>
          <a:off x="11281833" y="321405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745" name="Straight Arrow Connector 4744">
          <a:extLst>
            <a:ext uri="{FF2B5EF4-FFF2-40B4-BE49-F238E27FC236}">
              <a16:creationId xmlns:a16="http://schemas.microsoft.com/office/drawing/2014/main" id="{00000000-0008-0000-1300-000089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746" name="Straight Arrow Connector 4745">
          <a:extLst>
            <a:ext uri="{FF2B5EF4-FFF2-40B4-BE49-F238E27FC236}">
              <a16:creationId xmlns:a16="http://schemas.microsoft.com/office/drawing/2014/main" id="{00000000-0008-0000-1300-00008A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747" name="Straight Arrow Connector 4746">
          <a:extLst>
            <a:ext uri="{FF2B5EF4-FFF2-40B4-BE49-F238E27FC236}">
              <a16:creationId xmlns:a16="http://schemas.microsoft.com/office/drawing/2014/main" id="{00000000-0008-0000-1300-00008B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1719</xdr:row>
      <xdr:rowOff>31750</xdr:rowOff>
    </xdr:from>
    <xdr:to>
      <xdr:col>16</xdr:col>
      <xdr:colOff>42334</xdr:colOff>
      <xdr:row>1726</xdr:row>
      <xdr:rowOff>63501</xdr:rowOff>
    </xdr:to>
    <xdr:cxnSp macro="">
      <xdr:nvCxnSpPr>
        <xdr:cNvPr id="4748" name="Straight Arrow Connector 4747">
          <a:extLst>
            <a:ext uri="{FF2B5EF4-FFF2-40B4-BE49-F238E27FC236}">
              <a16:creationId xmlns:a16="http://schemas.microsoft.com/office/drawing/2014/main" id="{00000000-0008-0000-1300-00008C120000}"/>
            </a:ext>
          </a:extLst>
        </xdr:cNvPr>
        <xdr:cNvCxnSpPr/>
      </xdr:nvCxnSpPr>
      <xdr:spPr>
        <a:xfrm>
          <a:off x="11281833" y="321405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749" name="Straight Arrow Connector 4748">
          <a:extLst>
            <a:ext uri="{FF2B5EF4-FFF2-40B4-BE49-F238E27FC236}">
              <a16:creationId xmlns:a16="http://schemas.microsoft.com/office/drawing/2014/main" id="{00000000-0008-0000-1300-00008D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750" name="Straight Arrow Connector 4749">
          <a:extLst>
            <a:ext uri="{FF2B5EF4-FFF2-40B4-BE49-F238E27FC236}">
              <a16:creationId xmlns:a16="http://schemas.microsoft.com/office/drawing/2014/main" id="{00000000-0008-0000-1300-00008E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751" name="Straight Arrow Connector 4750">
          <a:extLst>
            <a:ext uri="{FF2B5EF4-FFF2-40B4-BE49-F238E27FC236}">
              <a16:creationId xmlns:a16="http://schemas.microsoft.com/office/drawing/2014/main" id="{00000000-0008-0000-1300-00008F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752" name="Straight Arrow Connector 4751">
          <a:extLst>
            <a:ext uri="{FF2B5EF4-FFF2-40B4-BE49-F238E27FC236}">
              <a16:creationId xmlns:a16="http://schemas.microsoft.com/office/drawing/2014/main" id="{00000000-0008-0000-1300-000090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1719</xdr:row>
      <xdr:rowOff>31750</xdr:rowOff>
    </xdr:from>
    <xdr:to>
      <xdr:col>16</xdr:col>
      <xdr:colOff>42334</xdr:colOff>
      <xdr:row>1726</xdr:row>
      <xdr:rowOff>63501</xdr:rowOff>
    </xdr:to>
    <xdr:cxnSp macro="">
      <xdr:nvCxnSpPr>
        <xdr:cNvPr id="4753" name="Straight Arrow Connector 4752">
          <a:extLst>
            <a:ext uri="{FF2B5EF4-FFF2-40B4-BE49-F238E27FC236}">
              <a16:creationId xmlns:a16="http://schemas.microsoft.com/office/drawing/2014/main" id="{00000000-0008-0000-1300-000091120000}"/>
            </a:ext>
          </a:extLst>
        </xdr:cNvPr>
        <xdr:cNvCxnSpPr/>
      </xdr:nvCxnSpPr>
      <xdr:spPr>
        <a:xfrm>
          <a:off x="11281833" y="321405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754" name="Straight Arrow Connector 4753">
          <a:extLst>
            <a:ext uri="{FF2B5EF4-FFF2-40B4-BE49-F238E27FC236}">
              <a16:creationId xmlns:a16="http://schemas.microsoft.com/office/drawing/2014/main" id="{00000000-0008-0000-1300-000092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1719</xdr:row>
      <xdr:rowOff>31750</xdr:rowOff>
    </xdr:from>
    <xdr:to>
      <xdr:col>16</xdr:col>
      <xdr:colOff>42334</xdr:colOff>
      <xdr:row>1726</xdr:row>
      <xdr:rowOff>63501</xdr:rowOff>
    </xdr:to>
    <xdr:cxnSp macro="">
      <xdr:nvCxnSpPr>
        <xdr:cNvPr id="4755" name="Straight Arrow Connector 4754">
          <a:extLst>
            <a:ext uri="{FF2B5EF4-FFF2-40B4-BE49-F238E27FC236}">
              <a16:creationId xmlns:a16="http://schemas.microsoft.com/office/drawing/2014/main" id="{00000000-0008-0000-1300-000093120000}"/>
            </a:ext>
          </a:extLst>
        </xdr:cNvPr>
        <xdr:cNvCxnSpPr/>
      </xdr:nvCxnSpPr>
      <xdr:spPr>
        <a:xfrm>
          <a:off x="11281833" y="321405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756" name="Straight Arrow Connector 4755">
          <a:extLst>
            <a:ext uri="{FF2B5EF4-FFF2-40B4-BE49-F238E27FC236}">
              <a16:creationId xmlns:a16="http://schemas.microsoft.com/office/drawing/2014/main" id="{00000000-0008-0000-1300-000094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1719</xdr:row>
      <xdr:rowOff>31750</xdr:rowOff>
    </xdr:from>
    <xdr:to>
      <xdr:col>16</xdr:col>
      <xdr:colOff>42334</xdr:colOff>
      <xdr:row>1726</xdr:row>
      <xdr:rowOff>63501</xdr:rowOff>
    </xdr:to>
    <xdr:cxnSp macro="">
      <xdr:nvCxnSpPr>
        <xdr:cNvPr id="4757" name="Straight Arrow Connector 4756">
          <a:extLst>
            <a:ext uri="{FF2B5EF4-FFF2-40B4-BE49-F238E27FC236}">
              <a16:creationId xmlns:a16="http://schemas.microsoft.com/office/drawing/2014/main" id="{00000000-0008-0000-1300-000095120000}"/>
            </a:ext>
          </a:extLst>
        </xdr:cNvPr>
        <xdr:cNvCxnSpPr/>
      </xdr:nvCxnSpPr>
      <xdr:spPr>
        <a:xfrm>
          <a:off x="11281833" y="321405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758" name="Straight Arrow Connector 4757">
          <a:extLst>
            <a:ext uri="{FF2B5EF4-FFF2-40B4-BE49-F238E27FC236}">
              <a16:creationId xmlns:a16="http://schemas.microsoft.com/office/drawing/2014/main" id="{00000000-0008-0000-1300-000096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1719</xdr:row>
      <xdr:rowOff>31750</xdr:rowOff>
    </xdr:from>
    <xdr:to>
      <xdr:col>16</xdr:col>
      <xdr:colOff>42334</xdr:colOff>
      <xdr:row>1726</xdr:row>
      <xdr:rowOff>63501</xdr:rowOff>
    </xdr:to>
    <xdr:cxnSp macro="">
      <xdr:nvCxnSpPr>
        <xdr:cNvPr id="4759" name="Straight Arrow Connector 4758">
          <a:extLst>
            <a:ext uri="{FF2B5EF4-FFF2-40B4-BE49-F238E27FC236}">
              <a16:creationId xmlns:a16="http://schemas.microsoft.com/office/drawing/2014/main" id="{00000000-0008-0000-1300-000097120000}"/>
            </a:ext>
          </a:extLst>
        </xdr:cNvPr>
        <xdr:cNvCxnSpPr/>
      </xdr:nvCxnSpPr>
      <xdr:spPr>
        <a:xfrm>
          <a:off x="11281833" y="321405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760" name="Straight Arrow Connector 4759">
          <a:extLst>
            <a:ext uri="{FF2B5EF4-FFF2-40B4-BE49-F238E27FC236}">
              <a16:creationId xmlns:a16="http://schemas.microsoft.com/office/drawing/2014/main" id="{00000000-0008-0000-1300-000098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761" name="Straight Arrow Connector 4760">
          <a:extLst>
            <a:ext uri="{FF2B5EF4-FFF2-40B4-BE49-F238E27FC236}">
              <a16:creationId xmlns:a16="http://schemas.microsoft.com/office/drawing/2014/main" id="{00000000-0008-0000-1300-000099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762" name="Straight Arrow Connector 4761">
          <a:extLst>
            <a:ext uri="{FF2B5EF4-FFF2-40B4-BE49-F238E27FC236}">
              <a16:creationId xmlns:a16="http://schemas.microsoft.com/office/drawing/2014/main" id="{00000000-0008-0000-1300-00009A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1719</xdr:row>
      <xdr:rowOff>31750</xdr:rowOff>
    </xdr:from>
    <xdr:to>
      <xdr:col>16</xdr:col>
      <xdr:colOff>42334</xdr:colOff>
      <xdr:row>1726</xdr:row>
      <xdr:rowOff>63501</xdr:rowOff>
    </xdr:to>
    <xdr:cxnSp macro="">
      <xdr:nvCxnSpPr>
        <xdr:cNvPr id="4763" name="Straight Arrow Connector 4762">
          <a:extLst>
            <a:ext uri="{FF2B5EF4-FFF2-40B4-BE49-F238E27FC236}">
              <a16:creationId xmlns:a16="http://schemas.microsoft.com/office/drawing/2014/main" id="{00000000-0008-0000-1300-00009B120000}"/>
            </a:ext>
          </a:extLst>
        </xdr:cNvPr>
        <xdr:cNvCxnSpPr/>
      </xdr:nvCxnSpPr>
      <xdr:spPr>
        <a:xfrm>
          <a:off x="11281833" y="321405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764" name="Straight Arrow Connector 4763">
          <a:extLst>
            <a:ext uri="{FF2B5EF4-FFF2-40B4-BE49-F238E27FC236}">
              <a16:creationId xmlns:a16="http://schemas.microsoft.com/office/drawing/2014/main" id="{00000000-0008-0000-1300-00009C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1719</xdr:row>
      <xdr:rowOff>31750</xdr:rowOff>
    </xdr:from>
    <xdr:to>
      <xdr:col>16</xdr:col>
      <xdr:colOff>42334</xdr:colOff>
      <xdr:row>1726</xdr:row>
      <xdr:rowOff>63501</xdr:rowOff>
    </xdr:to>
    <xdr:cxnSp macro="">
      <xdr:nvCxnSpPr>
        <xdr:cNvPr id="4765" name="Straight Arrow Connector 4764">
          <a:extLst>
            <a:ext uri="{FF2B5EF4-FFF2-40B4-BE49-F238E27FC236}">
              <a16:creationId xmlns:a16="http://schemas.microsoft.com/office/drawing/2014/main" id="{00000000-0008-0000-1300-00009D120000}"/>
            </a:ext>
          </a:extLst>
        </xdr:cNvPr>
        <xdr:cNvCxnSpPr/>
      </xdr:nvCxnSpPr>
      <xdr:spPr>
        <a:xfrm>
          <a:off x="11281833" y="321405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766" name="Straight Arrow Connector 4765">
          <a:extLst>
            <a:ext uri="{FF2B5EF4-FFF2-40B4-BE49-F238E27FC236}">
              <a16:creationId xmlns:a16="http://schemas.microsoft.com/office/drawing/2014/main" id="{00000000-0008-0000-1300-00009E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1719</xdr:row>
      <xdr:rowOff>31750</xdr:rowOff>
    </xdr:from>
    <xdr:to>
      <xdr:col>16</xdr:col>
      <xdr:colOff>42334</xdr:colOff>
      <xdr:row>1726</xdr:row>
      <xdr:rowOff>63501</xdr:rowOff>
    </xdr:to>
    <xdr:cxnSp macro="">
      <xdr:nvCxnSpPr>
        <xdr:cNvPr id="4767" name="Straight Arrow Connector 4766">
          <a:extLst>
            <a:ext uri="{FF2B5EF4-FFF2-40B4-BE49-F238E27FC236}">
              <a16:creationId xmlns:a16="http://schemas.microsoft.com/office/drawing/2014/main" id="{00000000-0008-0000-1300-00009F120000}"/>
            </a:ext>
          </a:extLst>
        </xdr:cNvPr>
        <xdr:cNvCxnSpPr/>
      </xdr:nvCxnSpPr>
      <xdr:spPr>
        <a:xfrm>
          <a:off x="11281833" y="321405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768" name="Straight Arrow Connector 4767">
          <a:extLst>
            <a:ext uri="{FF2B5EF4-FFF2-40B4-BE49-F238E27FC236}">
              <a16:creationId xmlns:a16="http://schemas.microsoft.com/office/drawing/2014/main" id="{00000000-0008-0000-1300-0000A0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1745</xdr:row>
      <xdr:rowOff>31750</xdr:rowOff>
    </xdr:from>
    <xdr:to>
      <xdr:col>16</xdr:col>
      <xdr:colOff>42334</xdr:colOff>
      <xdr:row>1752</xdr:row>
      <xdr:rowOff>63501</xdr:rowOff>
    </xdr:to>
    <xdr:cxnSp macro="">
      <xdr:nvCxnSpPr>
        <xdr:cNvPr id="4769" name="Straight Arrow Connector 4768">
          <a:extLst>
            <a:ext uri="{FF2B5EF4-FFF2-40B4-BE49-F238E27FC236}">
              <a16:creationId xmlns:a16="http://schemas.microsoft.com/office/drawing/2014/main" id="{00000000-0008-0000-1300-0000A1120000}"/>
            </a:ext>
          </a:extLst>
        </xdr:cNvPr>
        <xdr:cNvCxnSpPr/>
      </xdr:nvCxnSpPr>
      <xdr:spPr>
        <a:xfrm>
          <a:off x="11281833" y="326548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1745</xdr:row>
      <xdr:rowOff>31750</xdr:rowOff>
    </xdr:from>
    <xdr:to>
      <xdr:col>16</xdr:col>
      <xdr:colOff>42334</xdr:colOff>
      <xdr:row>1752</xdr:row>
      <xdr:rowOff>63501</xdr:rowOff>
    </xdr:to>
    <xdr:cxnSp macro="">
      <xdr:nvCxnSpPr>
        <xdr:cNvPr id="4770" name="Straight Arrow Connector 4769">
          <a:extLst>
            <a:ext uri="{FF2B5EF4-FFF2-40B4-BE49-F238E27FC236}">
              <a16:creationId xmlns:a16="http://schemas.microsoft.com/office/drawing/2014/main" id="{00000000-0008-0000-1300-0000A2120000}"/>
            </a:ext>
          </a:extLst>
        </xdr:cNvPr>
        <xdr:cNvCxnSpPr/>
      </xdr:nvCxnSpPr>
      <xdr:spPr>
        <a:xfrm>
          <a:off x="11281833" y="326548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771" name="Straight Arrow Connector 4770">
          <a:extLst>
            <a:ext uri="{FF2B5EF4-FFF2-40B4-BE49-F238E27FC236}">
              <a16:creationId xmlns:a16="http://schemas.microsoft.com/office/drawing/2014/main" id="{00000000-0008-0000-1300-0000A3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772" name="Straight Arrow Connector 4771">
          <a:extLst>
            <a:ext uri="{FF2B5EF4-FFF2-40B4-BE49-F238E27FC236}">
              <a16:creationId xmlns:a16="http://schemas.microsoft.com/office/drawing/2014/main" id="{00000000-0008-0000-1300-0000A4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773" name="Straight Arrow Connector 4772">
          <a:extLst>
            <a:ext uri="{FF2B5EF4-FFF2-40B4-BE49-F238E27FC236}">
              <a16:creationId xmlns:a16="http://schemas.microsoft.com/office/drawing/2014/main" id="{00000000-0008-0000-1300-0000A5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774" name="Straight Arrow Connector 4773">
          <a:extLst>
            <a:ext uri="{FF2B5EF4-FFF2-40B4-BE49-F238E27FC236}">
              <a16:creationId xmlns:a16="http://schemas.microsoft.com/office/drawing/2014/main" id="{00000000-0008-0000-1300-0000A6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775" name="Straight Arrow Connector 4774">
          <a:extLst>
            <a:ext uri="{FF2B5EF4-FFF2-40B4-BE49-F238E27FC236}">
              <a16:creationId xmlns:a16="http://schemas.microsoft.com/office/drawing/2014/main" id="{00000000-0008-0000-1300-0000A7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776" name="Straight Arrow Connector 4775">
          <a:extLst>
            <a:ext uri="{FF2B5EF4-FFF2-40B4-BE49-F238E27FC236}">
              <a16:creationId xmlns:a16="http://schemas.microsoft.com/office/drawing/2014/main" id="{00000000-0008-0000-1300-0000A8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777" name="Straight Arrow Connector 4776">
          <a:extLst>
            <a:ext uri="{FF2B5EF4-FFF2-40B4-BE49-F238E27FC236}">
              <a16:creationId xmlns:a16="http://schemas.microsoft.com/office/drawing/2014/main" id="{00000000-0008-0000-1300-0000A9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778" name="Straight Arrow Connector 4777">
          <a:extLst>
            <a:ext uri="{FF2B5EF4-FFF2-40B4-BE49-F238E27FC236}">
              <a16:creationId xmlns:a16="http://schemas.microsoft.com/office/drawing/2014/main" id="{00000000-0008-0000-1300-0000AA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1719</xdr:row>
      <xdr:rowOff>31750</xdr:rowOff>
    </xdr:from>
    <xdr:to>
      <xdr:col>16</xdr:col>
      <xdr:colOff>42334</xdr:colOff>
      <xdr:row>1726</xdr:row>
      <xdr:rowOff>63501</xdr:rowOff>
    </xdr:to>
    <xdr:cxnSp macro="">
      <xdr:nvCxnSpPr>
        <xdr:cNvPr id="4779" name="Straight Arrow Connector 4778">
          <a:extLst>
            <a:ext uri="{FF2B5EF4-FFF2-40B4-BE49-F238E27FC236}">
              <a16:creationId xmlns:a16="http://schemas.microsoft.com/office/drawing/2014/main" id="{00000000-0008-0000-1300-0000AB120000}"/>
            </a:ext>
          </a:extLst>
        </xdr:cNvPr>
        <xdr:cNvCxnSpPr/>
      </xdr:nvCxnSpPr>
      <xdr:spPr>
        <a:xfrm>
          <a:off x="11281833" y="321405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780" name="Straight Arrow Connector 4779">
          <a:extLst>
            <a:ext uri="{FF2B5EF4-FFF2-40B4-BE49-F238E27FC236}">
              <a16:creationId xmlns:a16="http://schemas.microsoft.com/office/drawing/2014/main" id="{00000000-0008-0000-1300-0000AC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1719</xdr:row>
      <xdr:rowOff>31750</xdr:rowOff>
    </xdr:from>
    <xdr:to>
      <xdr:col>16</xdr:col>
      <xdr:colOff>42334</xdr:colOff>
      <xdr:row>1726</xdr:row>
      <xdr:rowOff>63501</xdr:rowOff>
    </xdr:to>
    <xdr:cxnSp macro="">
      <xdr:nvCxnSpPr>
        <xdr:cNvPr id="4781" name="Straight Arrow Connector 4780">
          <a:extLst>
            <a:ext uri="{FF2B5EF4-FFF2-40B4-BE49-F238E27FC236}">
              <a16:creationId xmlns:a16="http://schemas.microsoft.com/office/drawing/2014/main" id="{00000000-0008-0000-1300-0000AD120000}"/>
            </a:ext>
          </a:extLst>
        </xdr:cNvPr>
        <xdr:cNvCxnSpPr/>
      </xdr:nvCxnSpPr>
      <xdr:spPr>
        <a:xfrm>
          <a:off x="11281833" y="321405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782" name="Straight Arrow Connector 4781">
          <a:extLst>
            <a:ext uri="{FF2B5EF4-FFF2-40B4-BE49-F238E27FC236}">
              <a16:creationId xmlns:a16="http://schemas.microsoft.com/office/drawing/2014/main" id="{00000000-0008-0000-1300-0000AE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1719</xdr:row>
      <xdr:rowOff>31750</xdr:rowOff>
    </xdr:from>
    <xdr:to>
      <xdr:col>16</xdr:col>
      <xdr:colOff>42334</xdr:colOff>
      <xdr:row>1726</xdr:row>
      <xdr:rowOff>63501</xdr:rowOff>
    </xdr:to>
    <xdr:cxnSp macro="">
      <xdr:nvCxnSpPr>
        <xdr:cNvPr id="4783" name="Straight Arrow Connector 4782">
          <a:extLst>
            <a:ext uri="{FF2B5EF4-FFF2-40B4-BE49-F238E27FC236}">
              <a16:creationId xmlns:a16="http://schemas.microsoft.com/office/drawing/2014/main" id="{00000000-0008-0000-1300-0000AF120000}"/>
            </a:ext>
          </a:extLst>
        </xdr:cNvPr>
        <xdr:cNvCxnSpPr/>
      </xdr:nvCxnSpPr>
      <xdr:spPr>
        <a:xfrm>
          <a:off x="11281833" y="321405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784" name="Straight Arrow Connector 4783">
          <a:extLst>
            <a:ext uri="{FF2B5EF4-FFF2-40B4-BE49-F238E27FC236}">
              <a16:creationId xmlns:a16="http://schemas.microsoft.com/office/drawing/2014/main" id="{00000000-0008-0000-1300-0000B0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1719</xdr:row>
      <xdr:rowOff>31750</xdr:rowOff>
    </xdr:from>
    <xdr:to>
      <xdr:col>16</xdr:col>
      <xdr:colOff>42334</xdr:colOff>
      <xdr:row>1726</xdr:row>
      <xdr:rowOff>63501</xdr:rowOff>
    </xdr:to>
    <xdr:cxnSp macro="">
      <xdr:nvCxnSpPr>
        <xdr:cNvPr id="4785" name="Straight Arrow Connector 4784">
          <a:extLst>
            <a:ext uri="{FF2B5EF4-FFF2-40B4-BE49-F238E27FC236}">
              <a16:creationId xmlns:a16="http://schemas.microsoft.com/office/drawing/2014/main" id="{00000000-0008-0000-1300-0000B1120000}"/>
            </a:ext>
          </a:extLst>
        </xdr:cNvPr>
        <xdr:cNvCxnSpPr/>
      </xdr:nvCxnSpPr>
      <xdr:spPr>
        <a:xfrm>
          <a:off x="11281833" y="321405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786" name="Straight Arrow Connector 4785">
          <a:extLst>
            <a:ext uri="{FF2B5EF4-FFF2-40B4-BE49-F238E27FC236}">
              <a16:creationId xmlns:a16="http://schemas.microsoft.com/office/drawing/2014/main" id="{00000000-0008-0000-1300-0000B2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787" name="Straight Arrow Connector 4786">
          <a:extLst>
            <a:ext uri="{FF2B5EF4-FFF2-40B4-BE49-F238E27FC236}">
              <a16:creationId xmlns:a16="http://schemas.microsoft.com/office/drawing/2014/main" id="{00000000-0008-0000-1300-0000B3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788" name="Straight Arrow Connector 4787">
          <a:extLst>
            <a:ext uri="{FF2B5EF4-FFF2-40B4-BE49-F238E27FC236}">
              <a16:creationId xmlns:a16="http://schemas.microsoft.com/office/drawing/2014/main" id="{00000000-0008-0000-1300-0000B4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1719</xdr:row>
      <xdr:rowOff>31750</xdr:rowOff>
    </xdr:from>
    <xdr:to>
      <xdr:col>16</xdr:col>
      <xdr:colOff>42334</xdr:colOff>
      <xdr:row>1726</xdr:row>
      <xdr:rowOff>63501</xdr:rowOff>
    </xdr:to>
    <xdr:cxnSp macro="">
      <xdr:nvCxnSpPr>
        <xdr:cNvPr id="4789" name="Straight Arrow Connector 4788">
          <a:extLst>
            <a:ext uri="{FF2B5EF4-FFF2-40B4-BE49-F238E27FC236}">
              <a16:creationId xmlns:a16="http://schemas.microsoft.com/office/drawing/2014/main" id="{00000000-0008-0000-1300-0000B5120000}"/>
            </a:ext>
          </a:extLst>
        </xdr:cNvPr>
        <xdr:cNvCxnSpPr/>
      </xdr:nvCxnSpPr>
      <xdr:spPr>
        <a:xfrm>
          <a:off x="11281833" y="321405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790" name="Straight Arrow Connector 4789">
          <a:extLst>
            <a:ext uri="{FF2B5EF4-FFF2-40B4-BE49-F238E27FC236}">
              <a16:creationId xmlns:a16="http://schemas.microsoft.com/office/drawing/2014/main" id="{00000000-0008-0000-1300-0000B6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1719</xdr:row>
      <xdr:rowOff>31750</xdr:rowOff>
    </xdr:from>
    <xdr:to>
      <xdr:col>16</xdr:col>
      <xdr:colOff>42334</xdr:colOff>
      <xdr:row>1726</xdr:row>
      <xdr:rowOff>63501</xdr:rowOff>
    </xdr:to>
    <xdr:cxnSp macro="">
      <xdr:nvCxnSpPr>
        <xdr:cNvPr id="4791" name="Straight Arrow Connector 4790">
          <a:extLst>
            <a:ext uri="{FF2B5EF4-FFF2-40B4-BE49-F238E27FC236}">
              <a16:creationId xmlns:a16="http://schemas.microsoft.com/office/drawing/2014/main" id="{00000000-0008-0000-1300-0000B7120000}"/>
            </a:ext>
          </a:extLst>
        </xdr:cNvPr>
        <xdr:cNvCxnSpPr/>
      </xdr:nvCxnSpPr>
      <xdr:spPr>
        <a:xfrm>
          <a:off x="11281833" y="321405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792" name="Straight Arrow Connector 4791">
          <a:extLst>
            <a:ext uri="{FF2B5EF4-FFF2-40B4-BE49-F238E27FC236}">
              <a16:creationId xmlns:a16="http://schemas.microsoft.com/office/drawing/2014/main" id="{00000000-0008-0000-1300-0000B8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1719</xdr:row>
      <xdr:rowOff>31750</xdr:rowOff>
    </xdr:from>
    <xdr:to>
      <xdr:col>16</xdr:col>
      <xdr:colOff>42334</xdr:colOff>
      <xdr:row>1726</xdr:row>
      <xdr:rowOff>63501</xdr:rowOff>
    </xdr:to>
    <xdr:cxnSp macro="">
      <xdr:nvCxnSpPr>
        <xdr:cNvPr id="4793" name="Straight Arrow Connector 4792">
          <a:extLst>
            <a:ext uri="{FF2B5EF4-FFF2-40B4-BE49-F238E27FC236}">
              <a16:creationId xmlns:a16="http://schemas.microsoft.com/office/drawing/2014/main" id="{00000000-0008-0000-1300-0000B9120000}"/>
            </a:ext>
          </a:extLst>
        </xdr:cNvPr>
        <xdr:cNvCxnSpPr/>
      </xdr:nvCxnSpPr>
      <xdr:spPr>
        <a:xfrm>
          <a:off x="11281833" y="321405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794" name="Straight Arrow Connector 4793">
          <a:extLst>
            <a:ext uri="{FF2B5EF4-FFF2-40B4-BE49-F238E27FC236}">
              <a16:creationId xmlns:a16="http://schemas.microsoft.com/office/drawing/2014/main" id="{00000000-0008-0000-1300-0000BA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1745</xdr:row>
      <xdr:rowOff>31750</xdr:rowOff>
    </xdr:from>
    <xdr:to>
      <xdr:col>16</xdr:col>
      <xdr:colOff>42334</xdr:colOff>
      <xdr:row>1752</xdr:row>
      <xdr:rowOff>63501</xdr:rowOff>
    </xdr:to>
    <xdr:cxnSp macro="">
      <xdr:nvCxnSpPr>
        <xdr:cNvPr id="4795" name="Straight Arrow Connector 4794">
          <a:extLst>
            <a:ext uri="{FF2B5EF4-FFF2-40B4-BE49-F238E27FC236}">
              <a16:creationId xmlns:a16="http://schemas.microsoft.com/office/drawing/2014/main" id="{00000000-0008-0000-1300-0000BB120000}"/>
            </a:ext>
          </a:extLst>
        </xdr:cNvPr>
        <xdr:cNvCxnSpPr/>
      </xdr:nvCxnSpPr>
      <xdr:spPr>
        <a:xfrm>
          <a:off x="11281833" y="326548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1745</xdr:row>
      <xdr:rowOff>31750</xdr:rowOff>
    </xdr:from>
    <xdr:to>
      <xdr:col>16</xdr:col>
      <xdr:colOff>42334</xdr:colOff>
      <xdr:row>1752</xdr:row>
      <xdr:rowOff>63501</xdr:rowOff>
    </xdr:to>
    <xdr:cxnSp macro="">
      <xdr:nvCxnSpPr>
        <xdr:cNvPr id="4796" name="Straight Arrow Connector 4795">
          <a:extLst>
            <a:ext uri="{FF2B5EF4-FFF2-40B4-BE49-F238E27FC236}">
              <a16:creationId xmlns:a16="http://schemas.microsoft.com/office/drawing/2014/main" id="{00000000-0008-0000-1300-0000BC120000}"/>
            </a:ext>
          </a:extLst>
        </xdr:cNvPr>
        <xdr:cNvCxnSpPr/>
      </xdr:nvCxnSpPr>
      <xdr:spPr>
        <a:xfrm>
          <a:off x="11281833" y="326548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1719</xdr:row>
      <xdr:rowOff>31750</xdr:rowOff>
    </xdr:from>
    <xdr:to>
      <xdr:col>16</xdr:col>
      <xdr:colOff>42334</xdr:colOff>
      <xdr:row>1726</xdr:row>
      <xdr:rowOff>63501</xdr:rowOff>
    </xdr:to>
    <xdr:cxnSp macro="">
      <xdr:nvCxnSpPr>
        <xdr:cNvPr id="4797" name="Straight Arrow Connector 4796">
          <a:extLst>
            <a:ext uri="{FF2B5EF4-FFF2-40B4-BE49-F238E27FC236}">
              <a16:creationId xmlns:a16="http://schemas.microsoft.com/office/drawing/2014/main" id="{00000000-0008-0000-1300-0000BD120000}"/>
            </a:ext>
          </a:extLst>
        </xdr:cNvPr>
        <xdr:cNvCxnSpPr/>
      </xdr:nvCxnSpPr>
      <xdr:spPr>
        <a:xfrm>
          <a:off x="11281833" y="321405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798" name="Straight Arrow Connector 4797">
          <a:extLst>
            <a:ext uri="{FF2B5EF4-FFF2-40B4-BE49-F238E27FC236}">
              <a16:creationId xmlns:a16="http://schemas.microsoft.com/office/drawing/2014/main" id="{00000000-0008-0000-1300-0000BE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1719</xdr:row>
      <xdr:rowOff>31750</xdr:rowOff>
    </xdr:from>
    <xdr:to>
      <xdr:col>16</xdr:col>
      <xdr:colOff>42334</xdr:colOff>
      <xdr:row>1726</xdr:row>
      <xdr:rowOff>63501</xdr:rowOff>
    </xdr:to>
    <xdr:cxnSp macro="">
      <xdr:nvCxnSpPr>
        <xdr:cNvPr id="4799" name="Straight Arrow Connector 4798">
          <a:extLst>
            <a:ext uri="{FF2B5EF4-FFF2-40B4-BE49-F238E27FC236}">
              <a16:creationId xmlns:a16="http://schemas.microsoft.com/office/drawing/2014/main" id="{00000000-0008-0000-1300-0000BF120000}"/>
            </a:ext>
          </a:extLst>
        </xdr:cNvPr>
        <xdr:cNvCxnSpPr/>
      </xdr:nvCxnSpPr>
      <xdr:spPr>
        <a:xfrm>
          <a:off x="11281833" y="321405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800" name="Straight Arrow Connector 4799">
          <a:extLst>
            <a:ext uri="{FF2B5EF4-FFF2-40B4-BE49-F238E27FC236}">
              <a16:creationId xmlns:a16="http://schemas.microsoft.com/office/drawing/2014/main" id="{00000000-0008-0000-1300-0000C0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1719</xdr:row>
      <xdr:rowOff>31750</xdr:rowOff>
    </xdr:from>
    <xdr:to>
      <xdr:col>16</xdr:col>
      <xdr:colOff>42334</xdr:colOff>
      <xdr:row>1726</xdr:row>
      <xdr:rowOff>63501</xdr:rowOff>
    </xdr:to>
    <xdr:cxnSp macro="">
      <xdr:nvCxnSpPr>
        <xdr:cNvPr id="4801" name="Straight Arrow Connector 4800">
          <a:extLst>
            <a:ext uri="{FF2B5EF4-FFF2-40B4-BE49-F238E27FC236}">
              <a16:creationId xmlns:a16="http://schemas.microsoft.com/office/drawing/2014/main" id="{00000000-0008-0000-1300-0000C1120000}"/>
            </a:ext>
          </a:extLst>
        </xdr:cNvPr>
        <xdr:cNvCxnSpPr/>
      </xdr:nvCxnSpPr>
      <xdr:spPr>
        <a:xfrm>
          <a:off x="11281833" y="321405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802" name="Straight Arrow Connector 4801">
          <a:extLst>
            <a:ext uri="{FF2B5EF4-FFF2-40B4-BE49-F238E27FC236}">
              <a16:creationId xmlns:a16="http://schemas.microsoft.com/office/drawing/2014/main" id="{00000000-0008-0000-1300-0000C2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1719</xdr:row>
      <xdr:rowOff>31750</xdr:rowOff>
    </xdr:from>
    <xdr:to>
      <xdr:col>16</xdr:col>
      <xdr:colOff>42334</xdr:colOff>
      <xdr:row>1726</xdr:row>
      <xdr:rowOff>63501</xdr:rowOff>
    </xdr:to>
    <xdr:cxnSp macro="">
      <xdr:nvCxnSpPr>
        <xdr:cNvPr id="4803" name="Straight Arrow Connector 4802">
          <a:extLst>
            <a:ext uri="{FF2B5EF4-FFF2-40B4-BE49-F238E27FC236}">
              <a16:creationId xmlns:a16="http://schemas.microsoft.com/office/drawing/2014/main" id="{00000000-0008-0000-1300-0000C3120000}"/>
            </a:ext>
          </a:extLst>
        </xdr:cNvPr>
        <xdr:cNvCxnSpPr/>
      </xdr:nvCxnSpPr>
      <xdr:spPr>
        <a:xfrm>
          <a:off x="11281833" y="321405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804" name="Straight Arrow Connector 4803">
          <a:extLst>
            <a:ext uri="{FF2B5EF4-FFF2-40B4-BE49-F238E27FC236}">
              <a16:creationId xmlns:a16="http://schemas.microsoft.com/office/drawing/2014/main" id="{00000000-0008-0000-1300-0000C4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1719</xdr:row>
      <xdr:rowOff>31750</xdr:rowOff>
    </xdr:from>
    <xdr:to>
      <xdr:col>16</xdr:col>
      <xdr:colOff>42334</xdr:colOff>
      <xdr:row>1726</xdr:row>
      <xdr:rowOff>63501</xdr:rowOff>
    </xdr:to>
    <xdr:cxnSp macro="">
      <xdr:nvCxnSpPr>
        <xdr:cNvPr id="4805" name="Straight Arrow Connector 4804">
          <a:extLst>
            <a:ext uri="{FF2B5EF4-FFF2-40B4-BE49-F238E27FC236}">
              <a16:creationId xmlns:a16="http://schemas.microsoft.com/office/drawing/2014/main" id="{00000000-0008-0000-1300-0000C5120000}"/>
            </a:ext>
          </a:extLst>
        </xdr:cNvPr>
        <xdr:cNvCxnSpPr/>
      </xdr:nvCxnSpPr>
      <xdr:spPr>
        <a:xfrm>
          <a:off x="11281833" y="321405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806" name="Straight Arrow Connector 4805">
          <a:extLst>
            <a:ext uri="{FF2B5EF4-FFF2-40B4-BE49-F238E27FC236}">
              <a16:creationId xmlns:a16="http://schemas.microsoft.com/office/drawing/2014/main" id="{00000000-0008-0000-1300-0000C6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1719</xdr:row>
      <xdr:rowOff>31750</xdr:rowOff>
    </xdr:from>
    <xdr:to>
      <xdr:col>16</xdr:col>
      <xdr:colOff>42334</xdr:colOff>
      <xdr:row>1726</xdr:row>
      <xdr:rowOff>63501</xdr:rowOff>
    </xdr:to>
    <xdr:cxnSp macro="">
      <xdr:nvCxnSpPr>
        <xdr:cNvPr id="4807" name="Straight Arrow Connector 4806">
          <a:extLst>
            <a:ext uri="{FF2B5EF4-FFF2-40B4-BE49-F238E27FC236}">
              <a16:creationId xmlns:a16="http://schemas.microsoft.com/office/drawing/2014/main" id="{00000000-0008-0000-1300-0000C7120000}"/>
            </a:ext>
          </a:extLst>
        </xdr:cNvPr>
        <xdr:cNvCxnSpPr/>
      </xdr:nvCxnSpPr>
      <xdr:spPr>
        <a:xfrm>
          <a:off x="11281833" y="321405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808" name="Straight Arrow Connector 4807">
          <a:extLst>
            <a:ext uri="{FF2B5EF4-FFF2-40B4-BE49-F238E27FC236}">
              <a16:creationId xmlns:a16="http://schemas.microsoft.com/office/drawing/2014/main" id="{00000000-0008-0000-1300-0000C8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1719</xdr:row>
      <xdr:rowOff>31750</xdr:rowOff>
    </xdr:from>
    <xdr:to>
      <xdr:col>16</xdr:col>
      <xdr:colOff>42334</xdr:colOff>
      <xdr:row>1726</xdr:row>
      <xdr:rowOff>63501</xdr:rowOff>
    </xdr:to>
    <xdr:cxnSp macro="">
      <xdr:nvCxnSpPr>
        <xdr:cNvPr id="4809" name="Straight Arrow Connector 4808">
          <a:extLst>
            <a:ext uri="{FF2B5EF4-FFF2-40B4-BE49-F238E27FC236}">
              <a16:creationId xmlns:a16="http://schemas.microsoft.com/office/drawing/2014/main" id="{00000000-0008-0000-1300-0000C9120000}"/>
            </a:ext>
          </a:extLst>
        </xdr:cNvPr>
        <xdr:cNvCxnSpPr/>
      </xdr:nvCxnSpPr>
      <xdr:spPr>
        <a:xfrm>
          <a:off x="11281833" y="321405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810" name="Straight Arrow Connector 4809">
          <a:extLst>
            <a:ext uri="{FF2B5EF4-FFF2-40B4-BE49-F238E27FC236}">
              <a16:creationId xmlns:a16="http://schemas.microsoft.com/office/drawing/2014/main" id="{00000000-0008-0000-1300-0000CA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1719</xdr:row>
      <xdr:rowOff>31750</xdr:rowOff>
    </xdr:from>
    <xdr:to>
      <xdr:col>16</xdr:col>
      <xdr:colOff>42334</xdr:colOff>
      <xdr:row>1726</xdr:row>
      <xdr:rowOff>63501</xdr:rowOff>
    </xdr:to>
    <xdr:cxnSp macro="">
      <xdr:nvCxnSpPr>
        <xdr:cNvPr id="4811" name="Straight Arrow Connector 4810">
          <a:extLst>
            <a:ext uri="{FF2B5EF4-FFF2-40B4-BE49-F238E27FC236}">
              <a16:creationId xmlns:a16="http://schemas.microsoft.com/office/drawing/2014/main" id="{00000000-0008-0000-1300-0000CB120000}"/>
            </a:ext>
          </a:extLst>
        </xdr:cNvPr>
        <xdr:cNvCxnSpPr/>
      </xdr:nvCxnSpPr>
      <xdr:spPr>
        <a:xfrm>
          <a:off x="11281833" y="321405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812" name="Straight Arrow Connector 4811">
          <a:extLst>
            <a:ext uri="{FF2B5EF4-FFF2-40B4-BE49-F238E27FC236}">
              <a16:creationId xmlns:a16="http://schemas.microsoft.com/office/drawing/2014/main" id="{00000000-0008-0000-1300-0000CC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813" name="Straight Arrow Connector 4812">
          <a:extLst>
            <a:ext uri="{FF2B5EF4-FFF2-40B4-BE49-F238E27FC236}">
              <a16:creationId xmlns:a16="http://schemas.microsoft.com/office/drawing/2014/main" id="{00000000-0008-0000-1300-0000CD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814" name="Straight Arrow Connector 4813">
          <a:extLst>
            <a:ext uri="{FF2B5EF4-FFF2-40B4-BE49-F238E27FC236}">
              <a16:creationId xmlns:a16="http://schemas.microsoft.com/office/drawing/2014/main" id="{00000000-0008-0000-1300-0000CE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1719</xdr:row>
      <xdr:rowOff>31750</xdr:rowOff>
    </xdr:from>
    <xdr:to>
      <xdr:col>16</xdr:col>
      <xdr:colOff>42334</xdr:colOff>
      <xdr:row>1726</xdr:row>
      <xdr:rowOff>63501</xdr:rowOff>
    </xdr:to>
    <xdr:cxnSp macro="">
      <xdr:nvCxnSpPr>
        <xdr:cNvPr id="4815" name="Straight Arrow Connector 4814">
          <a:extLst>
            <a:ext uri="{FF2B5EF4-FFF2-40B4-BE49-F238E27FC236}">
              <a16:creationId xmlns:a16="http://schemas.microsoft.com/office/drawing/2014/main" id="{00000000-0008-0000-1300-0000CF120000}"/>
            </a:ext>
          </a:extLst>
        </xdr:cNvPr>
        <xdr:cNvCxnSpPr/>
      </xdr:nvCxnSpPr>
      <xdr:spPr>
        <a:xfrm>
          <a:off x="11281833" y="321405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816" name="Straight Arrow Connector 4815">
          <a:extLst>
            <a:ext uri="{FF2B5EF4-FFF2-40B4-BE49-F238E27FC236}">
              <a16:creationId xmlns:a16="http://schemas.microsoft.com/office/drawing/2014/main" id="{00000000-0008-0000-1300-0000D0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1719</xdr:row>
      <xdr:rowOff>31750</xdr:rowOff>
    </xdr:from>
    <xdr:to>
      <xdr:col>16</xdr:col>
      <xdr:colOff>42334</xdr:colOff>
      <xdr:row>1726</xdr:row>
      <xdr:rowOff>63501</xdr:rowOff>
    </xdr:to>
    <xdr:cxnSp macro="">
      <xdr:nvCxnSpPr>
        <xdr:cNvPr id="4817" name="Straight Arrow Connector 4816">
          <a:extLst>
            <a:ext uri="{FF2B5EF4-FFF2-40B4-BE49-F238E27FC236}">
              <a16:creationId xmlns:a16="http://schemas.microsoft.com/office/drawing/2014/main" id="{00000000-0008-0000-1300-0000D1120000}"/>
            </a:ext>
          </a:extLst>
        </xdr:cNvPr>
        <xdr:cNvCxnSpPr/>
      </xdr:nvCxnSpPr>
      <xdr:spPr>
        <a:xfrm>
          <a:off x="11281833" y="321405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818" name="Straight Arrow Connector 4817">
          <a:extLst>
            <a:ext uri="{FF2B5EF4-FFF2-40B4-BE49-F238E27FC236}">
              <a16:creationId xmlns:a16="http://schemas.microsoft.com/office/drawing/2014/main" id="{00000000-0008-0000-1300-0000D2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1719</xdr:row>
      <xdr:rowOff>31750</xdr:rowOff>
    </xdr:from>
    <xdr:to>
      <xdr:col>16</xdr:col>
      <xdr:colOff>42334</xdr:colOff>
      <xdr:row>1726</xdr:row>
      <xdr:rowOff>63501</xdr:rowOff>
    </xdr:to>
    <xdr:cxnSp macro="">
      <xdr:nvCxnSpPr>
        <xdr:cNvPr id="4819" name="Straight Arrow Connector 4818">
          <a:extLst>
            <a:ext uri="{FF2B5EF4-FFF2-40B4-BE49-F238E27FC236}">
              <a16:creationId xmlns:a16="http://schemas.microsoft.com/office/drawing/2014/main" id="{00000000-0008-0000-1300-0000D3120000}"/>
            </a:ext>
          </a:extLst>
        </xdr:cNvPr>
        <xdr:cNvCxnSpPr/>
      </xdr:nvCxnSpPr>
      <xdr:spPr>
        <a:xfrm>
          <a:off x="11281833" y="321405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820" name="Straight Arrow Connector 4819">
          <a:extLst>
            <a:ext uri="{FF2B5EF4-FFF2-40B4-BE49-F238E27FC236}">
              <a16:creationId xmlns:a16="http://schemas.microsoft.com/office/drawing/2014/main" id="{00000000-0008-0000-1300-0000D4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1745</xdr:row>
      <xdr:rowOff>31750</xdr:rowOff>
    </xdr:from>
    <xdr:to>
      <xdr:col>16</xdr:col>
      <xdr:colOff>42334</xdr:colOff>
      <xdr:row>1752</xdr:row>
      <xdr:rowOff>63501</xdr:rowOff>
    </xdr:to>
    <xdr:cxnSp macro="">
      <xdr:nvCxnSpPr>
        <xdr:cNvPr id="4821" name="Straight Arrow Connector 4820">
          <a:extLst>
            <a:ext uri="{FF2B5EF4-FFF2-40B4-BE49-F238E27FC236}">
              <a16:creationId xmlns:a16="http://schemas.microsoft.com/office/drawing/2014/main" id="{00000000-0008-0000-1300-0000D5120000}"/>
            </a:ext>
          </a:extLst>
        </xdr:cNvPr>
        <xdr:cNvCxnSpPr/>
      </xdr:nvCxnSpPr>
      <xdr:spPr>
        <a:xfrm>
          <a:off x="11281833" y="326548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1745</xdr:row>
      <xdr:rowOff>31750</xdr:rowOff>
    </xdr:from>
    <xdr:to>
      <xdr:col>16</xdr:col>
      <xdr:colOff>42334</xdr:colOff>
      <xdr:row>1752</xdr:row>
      <xdr:rowOff>63501</xdr:rowOff>
    </xdr:to>
    <xdr:cxnSp macro="">
      <xdr:nvCxnSpPr>
        <xdr:cNvPr id="4822" name="Straight Arrow Connector 4821">
          <a:extLst>
            <a:ext uri="{FF2B5EF4-FFF2-40B4-BE49-F238E27FC236}">
              <a16:creationId xmlns:a16="http://schemas.microsoft.com/office/drawing/2014/main" id="{00000000-0008-0000-1300-0000D6120000}"/>
            </a:ext>
          </a:extLst>
        </xdr:cNvPr>
        <xdr:cNvCxnSpPr/>
      </xdr:nvCxnSpPr>
      <xdr:spPr>
        <a:xfrm>
          <a:off x="11281833" y="326548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823" name="Straight Arrow Connector 4822">
          <a:extLst>
            <a:ext uri="{FF2B5EF4-FFF2-40B4-BE49-F238E27FC236}">
              <a16:creationId xmlns:a16="http://schemas.microsoft.com/office/drawing/2014/main" id="{00000000-0008-0000-1300-0000D7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824" name="Straight Arrow Connector 4823">
          <a:extLst>
            <a:ext uri="{FF2B5EF4-FFF2-40B4-BE49-F238E27FC236}">
              <a16:creationId xmlns:a16="http://schemas.microsoft.com/office/drawing/2014/main" id="{00000000-0008-0000-1300-0000D8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825" name="Straight Arrow Connector 4824">
          <a:extLst>
            <a:ext uri="{FF2B5EF4-FFF2-40B4-BE49-F238E27FC236}">
              <a16:creationId xmlns:a16="http://schemas.microsoft.com/office/drawing/2014/main" id="{00000000-0008-0000-1300-0000D9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826" name="Straight Arrow Connector 4825">
          <a:extLst>
            <a:ext uri="{FF2B5EF4-FFF2-40B4-BE49-F238E27FC236}">
              <a16:creationId xmlns:a16="http://schemas.microsoft.com/office/drawing/2014/main" id="{00000000-0008-0000-1300-0000DA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827" name="Straight Arrow Connector 4826">
          <a:extLst>
            <a:ext uri="{FF2B5EF4-FFF2-40B4-BE49-F238E27FC236}">
              <a16:creationId xmlns:a16="http://schemas.microsoft.com/office/drawing/2014/main" id="{00000000-0008-0000-1300-0000DB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828" name="Straight Arrow Connector 4827">
          <a:extLst>
            <a:ext uri="{FF2B5EF4-FFF2-40B4-BE49-F238E27FC236}">
              <a16:creationId xmlns:a16="http://schemas.microsoft.com/office/drawing/2014/main" id="{00000000-0008-0000-1300-0000DC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829" name="Straight Arrow Connector 4828">
          <a:extLst>
            <a:ext uri="{FF2B5EF4-FFF2-40B4-BE49-F238E27FC236}">
              <a16:creationId xmlns:a16="http://schemas.microsoft.com/office/drawing/2014/main" id="{00000000-0008-0000-1300-0000DD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1719</xdr:row>
      <xdr:rowOff>31750</xdr:rowOff>
    </xdr:from>
    <xdr:to>
      <xdr:col>16</xdr:col>
      <xdr:colOff>42334</xdr:colOff>
      <xdr:row>1726</xdr:row>
      <xdr:rowOff>63501</xdr:rowOff>
    </xdr:to>
    <xdr:cxnSp macro="">
      <xdr:nvCxnSpPr>
        <xdr:cNvPr id="4830" name="Straight Arrow Connector 4829">
          <a:extLst>
            <a:ext uri="{FF2B5EF4-FFF2-40B4-BE49-F238E27FC236}">
              <a16:creationId xmlns:a16="http://schemas.microsoft.com/office/drawing/2014/main" id="{00000000-0008-0000-1300-0000DE120000}"/>
            </a:ext>
          </a:extLst>
        </xdr:cNvPr>
        <xdr:cNvCxnSpPr/>
      </xdr:nvCxnSpPr>
      <xdr:spPr>
        <a:xfrm>
          <a:off x="11281833" y="321405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831" name="Straight Arrow Connector 4830">
          <a:extLst>
            <a:ext uri="{FF2B5EF4-FFF2-40B4-BE49-F238E27FC236}">
              <a16:creationId xmlns:a16="http://schemas.microsoft.com/office/drawing/2014/main" id="{00000000-0008-0000-1300-0000DF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1719</xdr:row>
      <xdr:rowOff>31750</xdr:rowOff>
    </xdr:from>
    <xdr:to>
      <xdr:col>16</xdr:col>
      <xdr:colOff>42334</xdr:colOff>
      <xdr:row>1726</xdr:row>
      <xdr:rowOff>63501</xdr:rowOff>
    </xdr:to>
    <xdr:cxnSp macro="">
      <xdr:nvCxnSpPr>
        <xdr:cNvPr id="4832" name="Straight Arrow Connector 4831">
          <a:extLst>
            <a:ext uri="{FF2B5EF4-FFF2-40B4-BE49-F238E27FC236}">
              <a16:creationId xmlns:a16="http://schemas.microsoft.com/office/drawing/2014/main" id="{00000000-0008-0000-1300-0000E0120000}"/>
            </a:ext>
          </a:extLst>
        </xdr:cNvPr>
        <xdr:cNvCxnSpPr/>
      </xdr:nvCxnSpPr>
      <xdr:spPr>
        <a:xfrm>
          <a:off x="11281833" y="321405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833" name="Straight Arrow Connector 4832">
          <a:extLst>
            <a:ext uri="{FF2B5EF4-FFF2-40B4-BE49-F238E27FC236}">
              <a16:creationId xmlns:a16="http://schemas.microsoft.com/office/drawing/2014/main" id="{00000000-0008-0000-1300-0000E1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1719</xdr:row>
      <xdr:rowOff>31750</xdr:rowOff>
    </xdr:from>
    <xdr:to>
      <xdr:col>16</xdr:col>
      <xdr:colOff>42334</xdr:colOff>
      <xdr:row>1726</xdr:row>
      <xdr:rowOff>63501</xdr:rowOff>
    </xdr:to>
    <xdr:cxnSp macro="">
      <xdr:nvCxnSpPr>
        <xdr:cNvPr id="4834" name="Straight Arrow Connector 4833">
          <a:extLst>
            <a:ext uri="{FF2B5EF4-FFF2-40B4-BE49-F238E27FC236}">
              <a16:creationId xmlns:a16="http://schemas.microsoft.com/office/drawing/2014/main" id="{00000000-0008-0000-1300-0000E2120000}"/>
            </a:ext>
          </a:extLst>
        </xdr:cNvPr>
        <xdr:cNvCxnSpPr/>
      </xdr:nvCxnSpPr>
      <xdr:spPr>
        <a:xfrm>
          <a:off x="11281833" y="321405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835" name="Straight Arrow Connector 4834">
          <a:extLst>
            <a:ext uri="{FF2B5EF4-FFF2-40B4-BE49-F238E27FC236}">
              <a16:creationId xmlns:a16="http://schemas.microsoft.com/office/drawing/2014/main" id="{00000000-0008-0000-1300-0000E3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1745</xdr:row>
      <xdr:rowOff>31750</xdr:rowOff>
    </xdr:from>
    <xdr:to>
      <xdr:col>16</xdr:col>
      <xdr:colOff>42334</xdr:colOff>
      <xdr:row>1752</xdr:row>
      <xdr:rowOff>63501</xdr:rowOff>
    </xdr:to>
    <xdr:cxnSp macro="">
      <xdr:nvCxnSpPr>
        <xdr:cNvPr id="4836" name="Straight Arrow Connector 4835">
          <a:extLst>
            <a:ext uri="{FF2B5EF4-FFF2-40B4-BE49-F238E27FC236}">
              <a16:creationId xmlns:a16="http://schemas.microsoft.com/office/drawing/2014/main" id="{00000000-0008-0000-1300-0000E4120000}"/>
            </a:ext>
          </a:extLst>
        </xdr:cNvPr>
        <xdr:cNvCxnSpPr/>
      </xdr:nvCxnSpPr>
      <xdr:spPr>
        <a:xfrm>
          <a:off x="11281833" y="326548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1745</xdr:row>
      <xdr:rowOff>31750</xdr:rowOff>
    </xdr:from>
    <xdr:to>
      <xdr:col>16</xdr:col>
      <xdr:colOff>42334</xdr:colOff>
      <xdr:row>1752</xdr:row>
      <xdr:rowOff>63501</xdr:rowOff>
    </xdr:to>
    <xdr:cxnSp macro="">
      <xdr:nvCxnSpPr>
        <xdr:cNvPr id="4837" name="Straight Arrow Connector 4836">
          <a:extLst>
            <a:ext uri="{FF2B5EF4-FFF2-40B4-BE49-F238E27FC236}">
              <a16:creationId xmlns:a16="http://schemas.microsoft.com/office/drawing/2014/main" id="{00000000-0008-0000-1300-0000E5120000}"/>
            </a:ext>
          </a:extLst>
        </xdr:cNvPr>
        <xdr:cNvCxnSpPr/>
      </xdr:nvCxnSpPr>
      <xdr:spPr>
        <a:xfrm>
          <a:off x="11281833" y="326548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1719</xdr:row>
      <xdr:rowOff>31750</xdr:rowOff>
    </xdr:from>
    <xdr:to>
      <xdr:col>16</xdr:col>
      <xdr:colOff>42334</xdr:colOff>
      <xdr:row>1726</xdr:row>
      <xdr:rowOff>63501</xdr:rowOff>
    </xdr:to>
    <xdr:cxnSp macro="">
      <xdr:nvCxnSpPr>
        <xdr:cNvPr id="4838" name="Straight Arrow Connector 4837">
          <a:extLst>
            <a:ext uri="{FF2B5EF4-FFF2-40B4-BE49-F238E27FC236}">
              <a16:creationId xmlns:a16="http://schemas.microsoft.com/office/drawing/2014/main" id="{00000000-0008-0000-1300-0000E6120000}"/>
            </a:ext>
          </a:extLst>
        </xdr:cNvPr>
        <xdr:cNvCxnSpPr/>
      </xdr:nvCxnSpPr>
      <xdr:spPr>
        <a:xfrm>
          <a:off x="11281833" y="321405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839" name="Straight Arrow Connector 4838">
          <a:extLst>
            <a:ext uri="{FF2B5EF4-FFF2-40B4-BE49-F238E27FC236}">
              <a16:creationId xmlns:a16="http://schemas.microsoft.com/office/drawing/2014/main" id="{00000000-0008-0000-1300-0000E7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1719</xdr:row>
      <xdr:rowOff>31750</xdr:rowOff>
    </xdr:from>
    <xdr:to>
      <xdr:col>16</xdr:col>
      <xdr:colOff>42334</xdr:colOff>
      <xdr:row>1726</xdr:row>
      <xdr:rowOff>63501</xdr:rowOff>
    </xdr:to>
    <xdr:cxnSp macro="">
      <xdr:nvCxnSpPr>
        <xdr:cNvPr id="4840" name="Straight Arrow Connector 4839">
          <a:extLst>
            <a:ext uri="{FF2B5EF4-FFF2-40B4-BE49-F238E27FC236}">
              <a16:creationId xmlns:a16="http://schemas.microsoft.com/office/drawing/2014/main" id="{00000000-0008-0000-1300-0000E8120000}"/>
            </a:ext>
          </a:extLst>
        </xdr:cNvPr>
        <xdr:cNvCxnSpPr/>
      </xdr:nvCxnSpPr>
      <xdr:spPr>
        <a:xfrm>
          <a:off x="11281833" y="321405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841" name="Straight Arrow Connector 4840">
          <a:extLst>
            <a:ext uri="{FF2B5EF4-FFF2-40B4-BE49-F238E27FC236}">
              <a16:creationId xmlns:a16="http://schemas.microsoft.com/office/drawing/2014/main" id="{00000000-0008-0000-1300-0000E9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1719</xdr:row>
      <xdr:rowOff>31750</xdr:rowOff>
    </xdr:from>
    <xdr:to>
      <xdr:col>16</xdr:col>
      <xdr:colOff>42334</xdr:colOff>
      <xdr:row>1726</xdr:row>
      <xdr:rowOff>63501</xdr:rowOff>
    </xdr:to>
    <xdr:cxnSp macro="">
      <xdr:nvCxnSpPr>
        <xdr:cNvPr id="4842" name="Straight Arrow Connector 4841">
          <a:extLst>
            <a:ext uri="{FF2B5EF4-FFF2-40B4-BE49-F238E27FC236}">
              <a16:creationId xmlns:a16="http://schemas.microsoft.com/office/drawing/2014/main" id="{00000000-0008-0000-1300-0000EA120000}"/>
            </a:ext>
          </a:extLst>
        </xdr:cNvPr>
        <xdr:cNvCxnSpPr/>
      </xdr:nvCxnSpPr>
      <xdr:spPr>
        <a:xfrm>
          <a:off x="11281833" y="321405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843" name="Straight Arrow Connector 4842">
          <a:extLst>
            <a:ext uri="{FF2B5EF4-FFF2-40B4-BE49-F238E27FC236}">
              <a16:creationId xmlns:a16="http://schemas.microsoft.com/office/drawing/2014/main" id="{00000000-0008-0000-1300-0000EB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1719</xdr:row>
      <xdr:rowOff>31750</xdr:rowOff>
    </xdr:from>
    <xdr:to>
      <xdr:col>16</xdr:col>
      <xdr:colOff>42334</xdr:colOff>
      <xdr:row>1726</xdr:row>
      <xdr:rowOff>63501</xdr:rowOff>
    </xdr:to>
    <xdr:cxnSp macro="">
      <xdr:nvCxnSpPr>
        <xdr:cNvPr id="4844" name="Straight Arrow Connector 4843">
          <a:extLst>
            <a:ext uri="{FF2B5EF4-FFF2-40B4-BE49-F238E27FC236}">
              <a16:creationId xmlns:a16="http://schemas.microsoft.com/office/drawing/2014/main" id="{00000000-0008-0000-1300-0000EC120000}"/>
            </a:ext>
          </a:extLst>
        </xdr:cNvPr>
        <xdr:cNvCxnSpPr/>
      </xdr:nvCxnSpPr>
      <xdr:spPr>
        <a:xfrm>
          <a:off x="11281833" y="321405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845" name="Straight Arrow Connector 4844">
          <a:extLst>
            <a:ext uri="{FF2B5EF4-FFF2-40B4-BE49-F238E27FC236}">
              <a16:creationId xmlns:a16="http://schemas.microsoft.com/office/drawing/2014/main" id="{00000000-0008-0000-1300-0000ED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1719</xdr:row>
      <xdr:rowOff>31750</xdr:rowOff>
    </xdr:from>
    <xdr:to>
      <xdr:col>16</xdr:col>
      <xdr:colOff>42334</xdr:colOff>
      <xdr:row>1726</xdr:row>
      <xdr:rowOff>63501</xdr:rowOff>
    </xdr:to>
    <xdr:cxnSp macro="">
      <xdr:nvCxnSpPr>
        <xdr:cNvPr id="4846" name="Straight Arrow Connector 4845">
          <a:extLst>
            <a:ext uri="{FF2B5EF4-FFF2-40B4-BE49-F238E27FC236}">
              <a16:creationId xmlns:a16="http://schemas.microsoft.com/office/drawing/2014/main" id="{00000000-0008-0000-1300-0000EE120000}"/>
            </a:ext>
          </a:extLst>
        </xdr:cNvPr>
        <xdr:cNvCxnSpPr/>
      </xdr:nvCxnSpPr>
      <xdr:spPr>
        <a:xfrm>
          <a:off x="11281833" y="321405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847" name="Straight Arrow Connector 4846">
          <a:extLst>
            <a:ext uri="{FF2B5EF4-FFF2-40B4-BE49-F238E27FC236}">
              <a16:creationId xmlns:a16="http://schemas.microsoft.com/office/drawing/2014/main" id="{00000000-0008-0000-1300-0000EF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1719</xdr:row>
      <xdr:rowOff>31750</xdr:rowOff>
    </xdr:from>
    <xdr:to>
      <xdr:col>16</xdr:col>
      <xdr:colOff>42334</xdr:colOff>
      <xdr:row>1726</xdr:row>
      <xdr:rowOff>63501</xdr:rowOff>
    </xdr:to>
    <xdr:cxnSp macro="">
      <xdr:nvCxnSpPr>
        <xdr:cNvPr id="4848" name="Straight Arrow Connector 4847">
          <a:extLst>
            <a:ext uri="{FF2B5EF4-FFF2-40B4-BE49-F238E27FC236}">
              <a16:creationId xmlns:a16="http://schemas.microsoft.com/office/drawing/2014/main" id="{00000000-0008-0000-1300-0000F0120000}"/>
            </a:ext>
          </a:extLst>
        </xdr:cNvPr>
        <xdr:cNvCxnSpPr/>
      </xdr:nvCxnSpPr>
      <xdr:spPr>
        <a:xfrm>
          <a:off x="11281833" y="321405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849" name="Straight Arrow Connector 4848">
          <a:extLst>
            <a:ext uri="{FF2B5EF4-FFF2-40B4-BE49-F238E27FC236}">
              <a16:creationId xmlns:a16="http://schemas.microsoft.com/office/drawing/2014/main" id="{00000000-0008-0000-1300-0000F1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1719</xdr:row>
      <xdr:rowOff>31750</xdr:rowOff>
    </xdr:from>
    <xdr:to>
      <xdr:col>16</xdr:col>
      <xdr:colOff>42334</xdr:colOff>
      <xdr:row>1726</xdr:row>
      <xdr:rowOff>63501</xdr:rowOff>
    </xdr:to>
    <xdr:cxnSp macro="">
      <xdr:nvCxnSpPr>
        <xdr:cNvPr id="4850" name="Straight Arrow Connector 4849">
          <a:extLst>
            <a:ext uri="{FF2B5EF4-FFF2-40B4-BE49-F238E27FC236}">
              <a16:creationId xmlns:a16="http://schemas.microsoft.com/office/drawing/2014/main" id="{00000000-0008-0000-1300-0000F2120000}"/>
            </a:ext>
          </a:extLst>
        </xdr:cNvPr>
        <xdr:cNvCxnSpPr/>
      </xdr:nvCxnSpPr>
      <xdr:spPr>
        <a:xfrm>
          <a:off x="11281833" y="321405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851" name="Straight Arrow Connector 4850">
          <a:extLst>
            <a:ext uri="{FF2B5EF4-FFF2-40B4-BE49-F238E27FC236}">
              <a16:creationId xmlns:a16="http://schemas.microsoft.com/office/drawing/2014/main" id="{00000000-0008-0000-1300-0000F3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1745</xdr:row>
      <xdr:rowOff>31750</xdr:rowOff>
    </xdr:from>
    <xdr:to>
      <xdr:col>16</xdr:col>
      <xdr:colOff>42334</xdr:colOff>
      <xdr:row>1752</xdr:row>
      <xdr:rowOff>63501</xdr:rowOff>
    </xdr:to>
    <xdr:cxnSp macro="">
      <xdr:nvCxnSpPr>
        <xdr:cNvPr id="4852" name="Straight Arrow Connector 4851">
          <a:extLst>
            <a:ext uri="{FF2B5EF4-FFF2-40B4-BE49-F238E27FC236}">
              <a16:creationId xmlns:a16="http://schemas.microsoft.com/office/drawing/2014/main" id="{00000000-0008-0000-1300-0000F4120000}"/>
            </a:ext>
          </a:extLst>
        </xdr:cNvPr>
        <xdr:cNvCxnSpPr/>
      </xdr:nvCxnSpPr>
      <xdr:spPr>
        <a:xfrm>
          <a:off x="11281833" y="326548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1745</xdr:row>
      <xdr:rowOff>31750</xdr:rowOff>
    </xdr:from>
    <xdr:to>
      <xdr:col>16</xdr:col>
      <xdr:colOff>42334</xdr:colOff>
      <xdr:row>1752</xdr:row>
      <xdr:rowOff>63501</xdr:rowOff>
    </xdr:to>
    <xdr:cxnSp macro="">
      <xdr:nvCxnSpPr>
        <xdr:cNvPr id="4853" name="Straight Arrow Connector 4852">
          <a:extLst>
            <a:ext uri="{FF2B5EF4-FFF2-40B4-BE49-F238E27FC236}">
              <a16:creationId xmlns:a16="http://schemas.microsoft.com/office/drawing/2014/main" id="{00000000-0008-0000-1300-0000F5120000}"/>
            </a:ext>
          </a:extLst>
        </xdr:cNvPr>
        <xdr:cNvCxnSpPr/>
      </xdr:nvCxnSpPr>
      <xdr:spPr>
        <a:xfrm>
          <a:off x="11281833" y="326548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1775</xdr:row>
      <xdr:rowOff>31750</xdr:rowOff>
    </xdr:from>
    <xdr:to>
      <xdr:col>16</xdr:col>
      <xdr:colOff>42334</xdr:colOff>
      <xdr:row>1782</xdr:row>
      <xdr:rowOff>63501</xdr:rowOff>
    </xdr:to>
    <xdr:cxnSp macro="">
      <xdr:nvCxnSpPr>
        <xdr:cNvPr id="4854" name="Straight Arrow Connector 4853">
          <a:extLst>
            <a:ext uri="{FF2B5EF4-FFF2-40B4-BE49-F238E27FC236}">
              <a16:creationId xmlns:a16="http://schemas.microsoft.com/office/drawing/2014/main" id="{00000000-0008-0000-1300-0000F612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855" name="Straight Arrow Connector 4854">
          <a:extLst>
            <a:ext uri="{FF2B5EF4-FFF2-40B4-BE49-F238E27FC236}">
              <a16:creationId xmlns:a16="http://schemas.microsoft.com/office/drawing/2014/main" id="{00000000-0008-0000-1300-0000F712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1775</xdr:row>
      <xdr:rowOff>31750</xdr:rowOff>
    </xdr:from>
    <xdr:to>
      <xdr:col>16</xdr:col>
      <xdr:colOff>42334</xdr:colOff>
      <xdr:row>1782</xdr:row>
      <xdr:rowOff>63501</xdr:rowOff>
    </xdr:to>
    <xdr:cxnSp macro="">
      <xdr:nvCxnSpPr>
        <xdr:cNvPr id="4856" name="Straight Arrow Connector 4855">
          <a:extLst>
            <a:ext uri="{FF2B5EF4-FFF2-40B4-BE49-F238E27FC236}">
              <a16:creationId xmlns:a16="http://schemas.microsoft.com/office/drawing/2014/main" id="{00000000-0008-0000-1300-0000F812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857" name="Straight Arrow Connector 4856">
          <a:extLst>
            <a:ext uri="{FF2B5EF4-FFF2-40B4-BE49-F238E27FC236}">
              <a16:creationId xmlns:a16="http://schemas.microsoft.com/office/drawing/2014/main" id="{00000000-0008-0000-1300-0000F912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1775</xdr:row>
      <xdr:rowOff>31750</xdr:rowOff>
    </xdr:from>
    <xdr:to>
      <xdr:col>16</xdr:col>
      <xdr:colOff>42334</xdr:colOff>
      <xdr:row>1782</xdr:row>
      <xdr:rowOff>63501</xdr:rowOff>
    </xdr:to>
    <xdr:cxnSp macro="">
      <xdr:nvCxnSpPr>
        <xdr:cNvPr id="4858" name="Straight Arrow Connector 4857">
          <a:extLst>
            <a:ext uri="{FF2B5EF4-FFF2-40B4-BE49-F238E27FC236}">
              <a16:creationId xmlns:a16="http://schemas.microsoft.com/office/drawing/2014/main" id="{00000000-0008-0000-1300-0000FA12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859" name="Straight Arrow Connector 4858">
          <a:extLst>
            <a:ext uri="{FF2B5EF4-FFF2-40B4-BE49-F238E27FC236}">
              <a16:creationId xmlns:a16="http://schemas.microsoft.com/office/drawing/2014/main" id="{00000000-0008-0000-1300-0000FB12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1775</xdr:row>
      <xdr:rowOff>31750</xdr:rowOff>
    </xdr:from>
    <xdr:to>
      <xdr:col>16</xdr:col>
      <xdr:colOff>42334</xdr:colOff>
      <xdr:row>1782</xdr:row>
      <xdr:rowOff>63501</xdr:rowOff>
    </xdr:to>
    <xdr:cxnSp macro="">
      <xdr:nvCxnSpPr>
        <xdr:cNvPr id="4860" name="Straight Arrow Connector 4859">
          <a:extLst>
            <a:ext uri="{FF2B5EF4-FFF2-40B4-BE49-F238E27FC236}">
              <a16:creationId xmlns:a16="http://schemas.microsoft.com/office/drawing/2014/main" id="{00000000-0008-0000-1300-0000FC12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861" name="Straight Arrow Connector 4860">
          <a:extLst>
            <a:ext uri="{FF2B5EF4-FFF2-40B4-BE49-F238E27FC236}">
              <a16:creationId xmlns:a16="http://schemas.microsoft.com/office/drawing/2014/main" id="{00000000-0008-0000-1300-0000FD12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1775</xdr:row>
      <xdr:rowOff>31750</xdr:rowOff>
    </xdr:from>
    <xdr:to>
      <xdr:col>16</xdr:col>
      <xdr:colOff>42334</xdr:colOff>
      <xdr:row>1782</xdr:row>
      <xdr:rowOff>63501</xdr:rowOff>
    </xdr:to>
    <xdr:cxnSp macro="">
      <xdr:nvCxnSpPr>
        <xdr:cNvPr id="4862" name="Straight Arrow Connector 4861">
          <a:extLst>
            <a:ext uri="{FF2B5EF4-FFF2-40B4-BE49-F238E27FC236}">
              <a16:creationId xmlns:a16="http://schemas.microsoft.com/office/drawing/2014/main" id="{00000000-0008-0000-1300-0000FE12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863" name="Straight Arrow Connector 4862">
          <a:extLst>
            <a:ext uri="{FF2B5EF4-FFF2-40B4-BE49-F238E27FC236}">
              <a16:creationId xmlns:a16="http://schemas.microsoft.com/office/drawing/2014/main" id="{00000000-0008-0000-1300-0000FF12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4864" name="Straight Arrow Connector 4863">
          <a:extLst>
            <a:ext uri="{FF2B5EF4-FFF2-40B4-BE49-F238E27FC236}">
              <a16:creationId xmlns:a16="http://schemas.microsoft.com/office/drawing/2014/main" id="{00000000-0008-0000-1300-00000013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865" name="Straight Arrow Connector 4864">
          <a:extLst>
            <a:ext uri="{FF2B5EF4-FFF2-40B4-BE49-F238E27FC236}">
              <a16:creationId xmlns:a16="http://schemas.microsoft.com/office/drawing/2014/main" id="{00000000-0008-0000-1300-000001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4866" name="Straight Arrow Connector 4865">
          <a:extLst>
            <a:ext uri="{FF2B5EF4-FFF2-40B4-BE49-F238E27FC236}">
              <a16:creationId xmlns:a16="http://schemas.microsoft.com/office/drawing/2014/main" id="{00000000-0008-0000-1300-00000213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867" name="Straight Arrow Connector 4866">
          <a:extLst>
            <a:ext uri="{FF2B5EF4-FFF2-40B4-BE49-F238E27FC236}">
              <a16:creationId xmlns:a16="http://schemas.microsoft.com/office/drawing/2014/main" id="{00000000-0008-0000-1300-000003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4868" name="Straight Arrow Connector 4867">
          <a:extLst>
            <a:ext uri="{FF2B5EF4-FFF2-40B4-BE49-F238E27FC236}">
              <a16:creationId xmlns:a16="http://schemas.microsoft.com/office/drawing/2014/main" id="{00000000-0008-0000-1300-00000413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869" name="Straight Arrow Connector 4868">
          <a:extLst>
            <a:ext uri="{FF2B5EF4-FFF2-40B4-BE49-F238E27FC236}">
              <a16:creationId xmlns:a16="http://schemas.microsoft.com/office/drawing/2014/main" id="{00000000-0008-0000-1300-000005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870" name="Straight Arrow Connector 4869">
          <a:extLst>
            <a:ext uri="{FF2B5EF4-FFF2-40B4-BE49-F238E27FC236}">
              <a16:creationId xmlns:a16="http://schemas.microsoft.com/office/drawing/2014/main" id="{00000000-0008-0000-1300-000006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871" name="Straight Arrow Connector 4870">
          <a:extLst>
            <a:ext uri="{FF2B5EF4-FFF2-40B4-BE49-F238E27FC236}">
              <a16:creationId xmlns:a16="http://schemas.microsoft.com/office/drawing/2014/main" id="{00000000-0008-0000-1300-000007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4872" name="Straight Arrow Connector 4871">
          <a:extLst>
            <a:ext uri="{FF2B5EF4-FFF2-40B4-BE49-F238E27FC236}">
              <a16:creationId xmlns:a16="http://schemas.microsoft.com/office/drawing/2014/main" id="{00000000-0008-0000-1300-00000813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873" name="Straight Arrow Connector 4872">
          <a:extLst>
            <a:ext uri="{FF2B5EF4-FFF2-40B4-BE49-F238E27FC236}">
              <a16:creationId xmlns:a16="http://schemas.microsoft.com/office/drawing/2014/main" id="{00000000-0008-0000-1300-000009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874" name="Straight Arrow Connector 4873">
          <a:extLst>
            <a:ext uri="{FF2B5EF4-FFF2-40B4-BE49-F238E27FC236}">
              <a16:creationId xmlns:a16="http://schemas.microsoft.com/office/drawing/2014/main" id="{00000000-0008-0000-1300-00000A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875" name="Straight Arrow Connector 4874">
          <a:extLst>
            <a:ext uri="{FF2B5EF4-FFF2-40B4-BE49-F238E27FC236}">
              <a16:creationId xmlns:a16="http://schemas.microsoft.com/office/drawing/2014/main" id="{00000000-0008-0000-1300-00000B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4876" name="Straight Arrow Connector 4875">
          <a:extLst>
            <a:ext uri="{FF2B5EF4-FFF2-40B4-BE49-F238E27FC236}">
              <a16:creationId xmlns:a16="http://schemas.microsoft.com/office/drawing/2014/main" id="{00000000-0008-0000-1300-00000C13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877" name="Straight Arrow Connector 4876">
          <a:extLst>
            <a:ext uri="{FF2B5EF4-FFF2-40B4-BE49-F238E27FC236}">
              <a16:creationId xmlns:a16="http://schemas.microsoft.com/office/drawing/2014/main" id="{00000000-0008-0000-1300-00000D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878" name="Straight Arrow Connector 4877">
          <a:extLst>
            <a:ext uri="{FF2B5EF4-FFF2-40B4-BE49-F238E27FC236}">
              <a16:creationId xmlns:a16="http://schemas.microsoft.com/office/drawing/2014/main" id="{00000000-0008-0000-1300-00000E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879" name="Straight Arrow Connector 4878">
          <a:extLst>
            <a:ext uri="{FF2B5EF4-FFF2-40B4-BE49-F238E27FC236}">
              <a16:creationId xmlns:a16="http://schemas.microsoft.com/office/drawing/2014/main" id="{00000000-0008-0000-1300-00000F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4880" name="Straight Arrow Connector 4879">
          <a:extLst>
            <a:ext uri="{FF2B5EF4-FFF2-40B4-BE49-F238E27FC236}">
              <a16:creationId xmlns:a16="http://schemas.microsoft.com/office/drawing/2014/main" id="{00000000-0008-0000-1300-00001013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881" name="Straight Arrow Connector 4880">
          <a:extLst>
            <a:ext uri="{FF2B5EF4-FFF2-40B4-BE49-F238E27FC236}">
              <a16:creationId xmlns:a16="http://schemas.microsoft.com/office/drawing/2014/main" id="{00000000-0008-0000-1300-000011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4882" name="Straight Arrow Connector 4881">
          <a:extLst>
            <a:ext uri="{FF2B5EF4-FFF2-40B4-BE49-F238E27FC236}">
              <a16:creationId xmlns:a16="http://schemas.microsoft.com/office/drawing/2014/main" id="{00000000-0008-0000-1300-00001213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883" name="Straight Arrow Connector 4882">
          <a:extLst>
            <a:ext uri="{FF2B5EF4-FFF2-40B4-BE49-F238E27FC236}">
              <a16:creationId xmlns:a16="http://schemas.microsoft.com/office/drawing/2014/main" id="{00000000-0008-0000-1300-000013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4884" name="Straight Arrow Connector 4883">
          <a:extLst>
            <a:ext uri="{FF2B5EF4-FFF2-40B4-BE49-F238E27FC236}">
              <a16:creationId xmlns:a16="http://schemas.microsoft.com/office/drawing/2014/main" id="{00000000-0008-0000-1300-00001413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885" name="Straight Arrow Connector 4884">
          <a:extLst>
            <a:ext uri="{FF2B5EF4-FFF2-40B4-BE49-F238E27FC236}">
              <a16:creationId xmlns:a16="http://schemas.microsoft.com/office/drawing/2014/main" id="{00000000-0008-0000-1300-000015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886" name="Straight Arrow Connector 4885">
          <a:extLst>
            <a:ext uri="{FF2B5EF4-FFF2-40B4-BE49-F238E27FC236}">
              <a16:creationId xmlns:a16="http://schemas.microsoft.com/office/drawing/2014/main" id="{00000000-0008-0000-1300-000016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887" name="Straight Arrow Connector 4886">
          <a:extLst>
            <a:ext uri="{FF2B5EF4-FFF2-40B4-BE49-F238E27FC236}">
              <a16:creationId xmlns:a16="http://schemas.microsoft.com/office/drawing/2014/main" id="{00000000-0008-0000-1300-000017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4888" name="Straight Arrow Connector 4887">
          <a:extLst>
            <a:ext uri="{FF2B5EF4-FFF2-40B4-BE49-F238E27FC236}">
              <a16:creationId xmlns:a16="http://schemas.microsoft.com/office/drawing/2014/main" id="{00000000-0008-0000-1300-00001813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889" name="Straight Arrow Connector 4888">
          <a:extLst>
            <a:ext uri="{FF2B5EF4-FFF2-40B4-BE49-F238E27FC236}">
              <a16:creationId xmlns:a16="http://schemas.microsoft.com/office/drawing/2014/main" id="{00000000-0008-0000-1300-000019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890" name="Straight Arrow Connector 4889">
          <a:extLst>
            <a:ext uri="{FF2B5EF4-FFF2-40B4-BE49-F238E27FC236}">
              <a16:creationId xmlns:a16="http://schemas.microsoft.com/office/drawing/2014/main" id="{00000000-0008-0000-1300-00001A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891" name="Straight Arrow Connector 4890">
          <a:extLst>
            <a:ext uri="{FF2B5EF4-FFF2-40B4-BE49-F238E27FC236}">
              <a16:creationId xmlns:a16="http://schemas.microsoft.com/office/drawing/2014/main" id="{00000000-0008-0000-1300-00001B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892" name="Straight Arrow Connector 4891">
          <a:extLst>
            <a:ext uri="{FF2B5EF4-FFF2-40B4-BE49-F238E27FC236}">
              <a16:creationId xmlns:a16="http://schemas.microsoft.com/office/drawing/2014/main" id="{00000000-0008-0000-1300-00001C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4893" name="Straight Arrow Connector 4892">
          <a:extLst>
            <a:ext uri="{FF2B5EF4-FFF2-40B4-BE49-F238E27FC236}">
              <a16:creationId xmlns:a16="http://schemas.microsoft.com/office/drawing/2014/main" id="{00000000-0008-0000-1300-00001D13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894" name="Straight Arrow Connector 4893">
          <a:extLst>
            <a:ext uri="{FF2B5EF4-FFF2-40B4-BE49-F238E27FC236}">
              <a16:creationId xmlns:a16="http://schemas.microsoft.com/office/drawing/2014/main" id="{00000000-0008-0000-1300-00001E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4895" name="Straight Arrow Connector 4894">
          <a:extLst>
            <a:ext uri="{FF2B5EF4-FFF2-40B4-BE49-F238E27FC236}">
              <a16:creationId xmlns:a16="http://schemas.microsoft.com/office/drawing/2014/main" id="{00000000-0008-0000-1300-00001F13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896" name="Straight Arrow Connector 4895">
          <a:extLst>
            <a:ext uri="{FF2B5EF4-FFF2-40B4-BE49-F238E27FC236}">
              <a16:creationId xmlns:a16="http://schemas.microsoft.com/office/drawing/2014/main" id="{00000000-0008-0000-1300-000020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4897" name="Straight Arrow Connector 4896">
          <a:extLst>
            <a:ext uri="{FF2B5EF4-FFF2-40B4-BE49-F238E27FC236}">
              <a16:creationId xmlns:a16="http://schemas.microsoft.com/office/drawing/2014/main" id="{00000000-0008-0000-1300-00002113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898" name="Straight Arrow Connector 4897">
          <a:extLst>
            <a:ext uri="{FF2B5EF4-FFF2-40B4-BE49-F238E27FC236}">
              <a16:creationId xmlns:a16="http://schemas.microsoft.com/office/drawing/2014/main" id="{00000000-0008-0000-1300-000022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4899" name="Straight Arrow Connector 4898">
          <a:extLst>
            <a:ext uri="{FF2B5EF4-FFF2-40B4-BE49-F238E27FC236}">
              <a16:creationId xmlns:a16="http://schemas.microsoft.com/office/drawing/2014/main" id="{00000000-0008-0000-1300-00002313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900" name="Straight Arrow Connector 4899">
          <a:extLst>
            <a:ext uri="{FF2B5EF4-FFF2-40B4-BE49-F238E27FC236}">
              <a16:creationId xmlns:a16="http://schemas.microsoft.com/office/drawing/2014/main" id="{00000000-0008-0000-1300-000024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901" name="Straight Arrow Connector 4900">
          <a:extLst>
            <a:ext uri="{FF2B5EF4-FFF2-40B4-BE49-F238E27FC236}">
              <a16:creationId xmlns:a16="http://schemas.microsoft.com/office/drawing/2014/main" id="{00000000-0008-0000-1300-000025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902" name="Straight Arrow Connector 4901">
          <a:extLst>
            <a:ext uri="{FF2B5EF4-FFF2-40B4-BE49-F238E27FC236}">
              <a16:creationId xmlns:a16="http://schemas.microsoft.com/office/drawing/2014/main" id="{00000000-0008-0000-1300-000026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4903" name="Straight Arrow Connector 4902">
          <a:extLst>
            <a:ext uri="{FF2B5EF4-FFF2-40B4-BE49-F238E27FC236}">
              <a16:creationId xmlns:a16="http://schemas.microsoft.com/office/drawing/2014/main" id="{00000000-0008-0000-1300-00002713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904" name="Straight Arrow Connector 4903">
          <a:extLst>
            <a:ext uri="{FF2B5EF4-FFF2-40B4-BE49-F238E27FC236}">
              <a16:creationId xmlns:a16="http://schemas.microsoft.com/office/drawing/2014/main" id="{00000000-0008-0000-1300-000028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4905" name="Straight Arrow Connector 4904">
          <a:extLst>
            <a:ext uri="{FF2B5EF4-FFF2-40B4-BE49-F238E27FC236}">
              <a16:creationId xmlns:a16="http://schemas.microsoft.com/office/drawing/2014/main" id="{00000000-0008-0000-1300-00002913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906" name="Straight Arrow Connector 4905">
          <a:extLst>
            <a:ext uri="{FF2B5EF4-FFF2-40B4-BE49-F238E27FC236}">
              <a16:creationId xmlns:a16="http://schemas.microsoft.com/office/drawing/2014/main" id="{00000000-0008-0000-1300-00002A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4907" name="Straight Arrow Connector 4906">
          <a:extLst>
            <a:ext uri="{FF2B5EF4-FFF2-40B4-BE49-F238E27FC236}">
              <a16:creationId xmlns:a16="http://schemas.microsoft.com/office/drawing/2014/main" id="{00000000-0008-0000-1300-00002B13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908" name="Straight Arrow Connector 4907">
          <a:extLst>
            <a:ext uri="{FF2B5EF4-FFF2-40B4-BE49-F238E27FC236}">
              <a16:creationId xmlns:a16="http://schemas.microsoft.com/office/drawing/2014/main" id="{00000000-0008-0000-1300-00002C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1801</xdr:row>
      <xdr:rowOff>31750</xdr:rowOff>
    </xdr:from>
    <xdr:to>
      <xdr:col>16</xdr:col>
      <xdr:colOff>42334</xdr:colOff>
      <xdr:row>1808</xdr:row>
      <xdr:rowOff>63501</xdr:rowOff>
    </xdr:to>
    <xdr:cxnSp macro="">
      <xdr:nvCxnSpPr>
        <xdr:cNvPr id="4909" name="Straight Arrow Connector 4908">
          <a:extLst>
            <a:ext uri="{FF2B5EF4-FFF2-40B4-BE49-F238E27FC236}">
              <a16:creationId xmlns:a16="http://schemas.microsoft.com/office/drawing/2014/main" id="{00000000-0008-0000-1300-00002D130000}"/>
            </a:ext>
          </a:extLst>
        </xdr:cNvPr>
        <xdr:cNvCxnSpPr/>
      </xdr:nvCxnSpPr>
      <xdr:spPr>
        <a:xfrm>
          <a:off x="11281833" y="337407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1801</xdr:row>
      <xdr:rowOff>31750</xdr:rowOff>
    </xdr:from>
    <xdr:to>
      <xdr:col>16</xdr:col>
      <xdr:colOff>42334</xdr:colOff>
      <xdr:row>1808</xdr:row>
      <xdr:rowOff>63501</xdr:rowOff>
    </xdr:to>
    <xdr:cxnSp macro="">
      <xdr:nvCxnSpPr>
        <xdr:cNvPr id="4910" name="Straight Arrow Connector 4909">
          <a:extLst>
            <a:ext uri="{FF2B5EF4-FFF2-40B4-BE49-F238E27FC236}">
              <a16:creationId xmlns:a16="http://schemas.microsoft.com/office/drawing/2014/main" id="{00000000-0008-0000-1300-00002E130000}"/>
            </a:ext>
          </a:extLst>
        </xdr:cNvPr>
        <xdr:cNvCxnSpPr/>
      </xdr:nvCxnSpPr>
      <xdr:spPr>
        <a:xfrm>
          <a:off x="11281833" y="337407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911" name="Straight Arrow Connector 4910">
          <a:extLst>
            <a:ext uri="{FF2B5EF4-FFF2-40B4-BE49-F238E27FC236}">
              <a16:creationId xmlns:a16="http://schemas.microsoft.com/office/drawing/2014/main" id="{00000000-0008-0000-1300-00002F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912" name="Straight Arrow Connector 4911">
          <a:extLst>
            <a:ext uri="{FF2B5EF4-FFF2-40B4-BE49-F238E27FC236}">
              <a16:creationId xmlns:a16="http://schemas.microsoft.com/office/drawing/2014/main" id="{00000000-0008-0000-1300-000030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913" name="Straight Arrow Connector 4912">
          <a:extLst>
            <a:ext uri="{FF2B5EF4-FFF2-40B4-BE49-F238E27FC236}">
              <a16:creationId xmlns:a16="http://schemas.microsoft.com/office/drawing/2014/main" id="{00000000-0008-0000-1300-000031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914" name="Straight Arrow Connector 4913">
          <a:extLst>
            <a:ext uri="{FF2B5EF4-FFF2-40B4-BE49-F238E27FC236}">
              <a16:creationId xmlns:a16="http://schemas.microsoft.com/office/drawing/2014/main" id="{00000000-0008-0000-1300-000032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915" name="Straight Arrow Connector 4914">
          <a:extLst>
            <a:ext uri="{FF2B5EF4-FFF2-40B4-BE49-F238E27FC236}">
              <a16:creationId xmlns:a16="http://schemas.microsoft.com/office/drawing/2014/main" id="{00000000-0008-0000-1300-000033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916" name="Straight Arrow Connector 4915">
          <a:extLst>
            <a:ext uri="{FF2B5EF4-FFF2-40B4-BE49-F238E27FC236}">
              <a16:creationId xmlns:a16="http://schemas.microsoft.com/office/drawing/2014/main" id="{00000000-0008-0000-1300-000034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917" name="Straight Arrow Connector 4916">
          <a:extLst>
            <a:ext uri="{FF2B5EF4-FFF2-40B4-BE49-F238E27FC236}">
              <a16:creationId xmlns:a16="http://schemas.microsoft.com/office/drawing/2014/main" id="{00000000-0008-0000-1300-000035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4918" name="Straight Arrow Connector 4917">
          <a:extLst>
            <a:ext uri="{FF2B5EF4-FFF2-40B4-BE49-F238E27FC236}">
              <a16:creationId xmlns:a16="http://schemas.microsoft.com/office/drawing/2014/main" id="{00000000-0008-0000-1300-00003613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919" name="Straight Arrow Connector 4918">
          <a:extLst>
            <a:ext uri="{FF2B5EF4-FFF2-40B4-BE49-F238E27FC236}">
              <a16:creationId xmlns:a16="http://schemas.microsoft.com/office/drawing/2014/main" id="{00000000-0008-0000-1300-000037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920" name="Straight Arrow Connector 4919">
          <a:extLst>
            <a:ext uri="{FF2B5EF4-FFF2-40B4-BE49-F238E27FC236}">
              <a16:creationId xmlns:a16="http://schemas.microsoft.com/office/drawing/2014/main" id="{00000000-0008-0000-1300-000038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921" name="Straight Arrow Connector 4920">
          <a:extLst>
            <a:ext uri="{FF2B5EF4-FFF2-40B4-BE49-F238E27FC236}">
              <a16:creationId xmlns:a16="http://schemas.microsoft.com/office/drawing/2014/main" id="{00000000-0008-0000-1300-000039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4922" name="Straight Arrow Connector 4921">
          <a:extLst>
            <a:ext uri="{FF2B5EF4-FFF2-40B4-BE49-F238E27FC236}">
              <a16:creationId xmlns:a16="http://schemas.microsoft.com/office/drawing/2014/main" id="{00000000-0008-0000-1300-00003A13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923" name="Straight Arrow Connector 4922">
          <a:extLst>
            <a:ext uri="{FF2B5EF4-FFF2-40B4-BE49-F238E27FC236}">
              <a16:creationId xmlns:a16="http://schemas.microsoft.com/office/drawing/2014/main" id="{00000000-0008-0000-1300-00003B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4924" name="Straight Arrow Connector 4923">
          <a:extLst>
            <a:ext uri="{FF2B5EF4-FFF2-40B4-BE49-F238E27FC236}">
              <a16:creationId xmlns:a16="http://schemas.microsoft.com/office/drawing/2014/main" id="{00000000-0008-0000-1300-00003C13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925" name="Straight Arrow Connector 4924">
          <a:extLst>
            <a:ext uri="{FF2B5EF4-FFF2-40B4-BE49-F238E27FC236}">
              <a16:creationId xmlns:a16="http://schemas.microsoft.com/office/drawing/2014/main" id="{00000000-0008-0000-1300-00003D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4926" name="Straight Arrow Connector 4925">
          <a:extLst>
            <a:ext uri="{FF2B5EF4-FFF2-40B4-BE49-F238E27FC236}">
              <a16:creationId xmlns:a16="http://schemas.microsoft.com/office/drawing/2014/main" id="{00000000-0008-0000-1300-00003E13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927" name="Straight Arrow Connector 4926">
          <a:extLst>
            <a:ext uri="{FF2B5EF4-FFF2-40B4-BE49-F238E27FC236}">
              <a16:creationId xmlns:a16="http://schemas.microsoft.com/office/drawing/2014/main" id="{00000000-0008-0000-1300-00003F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928" name="Straight Arrow Connector 4927">
          <a:extLst>
            <a:ext uri="{FF2B5EF4-FFF2-40B4-BE49-F238E27FC236}">
              <a16:creationId xmlns:a16="http://schemas.microsoft.com/office/drawing/2014/main" id="{00000000-0008-0000-1300-000040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929" name="Straight Arrow Connector 4928">
          <a:extLst>
            <a:ext uri="{FF2B5EF4-FFF2-40B4-BE49-F238E27FC236}">
              <a16:creationId xmlns:a16="http://schemas.microsoft.com/office/drawing/2014/main" id="{00000000-0008-0000-1300-000041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4930" name="Straight Arrow Connector 4929">
          <a:extLst>
            <a:ext uri="{FF2B5EF4-FFF2-40B4-BE49-F238E27FC236}">
              <a16:creationId xmlns:a16="http://schemas.microsoft.com/office/drawing/2014/main" id="{00000000-0008-0000-1300-00004213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931" name="Straight Arrow Connector 4930">
          <a:extLst>
            <a:ext uri="{FF2B5EF4-FFF2-40B4-BE49-F238E27FC236}">
              <a16:creationId xmlns:a16="http://schemas.microsoft.com/office/drawing/2014/main" id="{00000000-0008-0000-1300-000043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932" name="Straight Arrow Connector 4931">
          <a:extLst>
            <a:ext uri="{FF2B5EF4-FFF2-40B4-BE49-F238E27FC236}">
              <a16:creationId xmlns:a16="http://schemas.microsoft.com/office/drawing/2014/main" id="{00000000-0008-0000-1300-000044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933" name="Straight Arrow Connector 4932">
          <a:extLst>
            <a:ext uri="{FF2B5EF4-FFF2-40B4-BE49-F238E27FC236}">
              <a16:creationId xmlns:a16="http://schemas.microsoft.com/office/drawing/2014/main" id="{00000000-0008-0000-1300-000045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934" name="Straight Arrow Connector 4933">
          <a:extLst>
            <a:ext uri="{FF2B5EF4-FFF2-40B4-BE49-F238E27FC236}">
              <a16:creationId xmlns:a16="http://schemas.microsoft.com/office/drawing/2014/main" id="{00000000-0008-0000-1300-000046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4935" name="Straight Arrow Connector 4934">
          <a:extLst>
            <a:ext uri="{FF2B5EF4-FFF2-40B4-BE49-F238E27FC236}">
              <a16:creationId xmlns:a16="http://schemas.microsoft.com/office/drawing/2014/main" id="{00000000-0008-0000-1300-00004713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936" name="Straight Arrow Connector 4935">
          <a:extLst>
            <a:ext uri="{FF2B5EF4-FFF2-40B4-BE49-F238E27FC236}">
              <a16:creationId xmlns:a16="http://schemas.microsoft.com/office/drawing/2014/main" id="{00000000-0008-0000-1300-000048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4937" name="Straight Arrow Connector 4936">
          <a:extLst>
            <a:ext uri="{FF2B5EF4-FFF2-40B4-BE49-F238E27FC236}">
              <a16:creationId xmlns:a16="http://schemas.microsoft.com/office/drawing/2014/main" id="{00000000-0008-0000-1300-00004913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938" name="Straight Arrow Connector 4937">
          <a:extLst>
            <a:ext uri="{FF2B5EF4-FFF2-40B4-BE49-F238E27FC236}">
              <a16:creationId xmlns:a16="http://schemas.microsoft.com/office/drawing/2014/main" id="{00000000-0008-0000-1300-00004A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4939" name="Straight Arrow Connector 4938">
          <a:extLst>
            <a:ext uri="{FF2B5EF4-FFF2-40B4-BE49-F238E27FC236}">
              <a16:creationId xmlns:a16="http://schemas.microsoft.com/office/drawing/2014/main" id="{00000000-0008-0000-1300-00004B13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940" name="Straight Arrow Connector 4939">
          <a:extLst>
            <a:ext uri="{FF2B5EF4-FFF2-40B4-BE49-F238E27FC236}">
              <a16:creationId xmlns:a16="http://schemas.microsoft.com/office/drawing/2014/main" id="{00000000-0008-0000-1300-00004C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4941" name="Straight Arrow Connector 4940">
          <a:extLst>
            <a:ext uri="{FF2B5EF4-FFF2-40B4-BE49-F238E27FC236}">
              <a16:creationId xmlns:a16="http://schemas.microsoft.com/office/drawing/2014/main" id="{00000000-0008-0000-1300-00004D13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942" name="Straight Arrow Connector 4941">
          <a:extLst>
            <a:ext uri="{FF2B5EF4-FFF2-40B4-BE49-F238E27FC236}">
              <a16:creationId xmlns:a16="http://schemas.microsoft.com/office/drawing/2014/main" id="{00000000-0008-0000-1300-00004E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943" name="Straight Arrow Connector 4942">
          <a:extLst>
            <a:ext uri="{FF2B5EF4-FFF2-40B4-BE49-F238E27FC236}">
              <a16:creationId xmlns:a16="http://schemas.microsoft.com/office/drawing/2014/main" id="{00000000-0008-0000-1300-00004F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944" name="Straight Arrow Connector 4943">
          <a:extLst>
            <a:ext uri="{FF2B5EF4-FFF2-40B4-BE49-F238E27FC236}">
              <a16:creationId xmlns:a16="http://schemas.microsoft.com/office/drawing/2014/main" id="{00000000-0008-0000-1300-000050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4945" name="Straight Arrow Connector 4944">
          <a:extLst>
            <a:ext uri="{FF2B5EF4-FFF2-40B4-BE49-F238E27FC236}">
              <a16:creationId xmlns:a16="http://schemas.microsoft.com/office/drawing/2014/main" id="{00000000-0008-0000-1300-00005113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946" name="Straight Arrow Connector 4945">
          <a:extLst>
            <a:ext uri="{FF2B5EF4-FFF2-40B4-BE49-F238E27FC236}">
              <a16:creationId xmlns:a16="http://schemas.microsoft.com/office/drawing/2014/main" id="{00000000-0008-0000-1300-000052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4947" name="Straight Arrow Connector 4946">
          <a:extLst>
            <a:ext uri="{FF2B5EF4-FFF2-40B4-BE49-F238E27FC236}">
              <a16:creationId xmlns:a16="http://schemas.microsoft.com/office/drawing/2014/main" id="{00000000-0008-0000-1300-00005313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948" name="Straight Arrow Connector 4947">
          <a:extLst>
            <a:ext uri="{FF2B5EF4-FFF2-40B4-BE49-F238E27FC236}">
              <a16:creationId xmlns:a16="http://schemas.microsoft.com/office/drawing/2014/main" id="{00000000-0008-0000-1300-000054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4949" name="Straight Arrow Connector 4948">
          <a:extLst>
            <a:ext uri="{FF2B5EF4-FFF2-40B4-BE49-F238E27FC236}">
              <a16:creationId xmlns:a16="http://schemas.microsoft.com/office/drawing/2014/main" id="{00000000-0008-0000-1300-00005513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950" name="Straight Arrow Connector 4949">
          <a:extLst>
            <a:ext uri="{FF2B5EF4-FFF2-40B4-BE49-F238E27FC236}">
              <a16:creationId xmlns:a16="http://schemas.microsoft.com/office/drawing/2014/main" id="{00000000-0008-0000-1300-000056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1801</xdr:row>
      <xdr:rowOff>31750</xdr:rowOff>
    </xdr:from>
    <xdr:to>
      <xdr:col>16</xdr:col>
      <xdr:colOff>42334</xdr:colOff>
      <xdr:row>1808</xdr:row>
      <xdr:rowOff>63501</xdr:rowOff>
    </xdr:to>
    <xdr:cxnSp macro="">
      <xdr:nvCxnSpPr>
        <xdr:cNvPr id="4951" name="Straight Arrow Connector 4950">
          <a:extLst>
            <a:ext uri="{FF2B5EF4-FFF2-40B4-BE49-F238E27FC236}">
              <a16:creationId xmlns:a16="http://schemas.microsoft.com/office/drawing/2014/main" id="{00000000-0008-0000-1300-000057130000}"/>
            </a:ext>
          </a:extLst>
        </xdr:cNvPr>
        <xdr:cNvCxnSpPr/>
      </xdr:nvCxnSpPr>
      <xdr:spPr>
        <a:xfrm>
          <a:off x="11281833" y="337407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1801</xdr:row>
      <xdr:rowOff>31750</xdr:rowOff>
    </xdr:from>
    <xdr:to>
      <xdr:col>16</xdr:col>
      <xdr:colOff>42334</xdr:colOff>
      <xdr:row>1808</xdr:row>
      <xdr:rowOff>63501</xdr:rowOff>
    </xdr:to>
    <xdr:cxnSp macro="">
      <xdr:nvCxnSpPr>
        <xdr:cNvPr id="4952" name="Straight Arrow Connector 4951">
          <a:extLst>
            <a:ext uri="{FF2B5EF4-FFF2-40B4-BE49-F238E27FC236}">
              <a16:creationId xmlns:a16="http://schemas.microsoft.com/office/drawing/2014/main" id="{00000000-0008-0000-1300-000058130000}"/>
            </a:ext>
          </a:extLst>
        </xdr:cNvPr>
        <xdr:cNvCxnSpPr/>
      </xdr:nvCxnSpPr>
      <xdr:spPr>
        <a:xfrm>
          <a:off x="11281833" y="337407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1775</xdr:row>
      <xdr:rowOff>31750</xdr:rowOff>
    </xdr:from>
    <xdr:to>
      <xdr:col>16</xdr:col>
      <xdr:colOff>42334</xdr:colOff>
      <xdr:row>1782</xdr:row>
      <xdr:rowOff>63501</xdr:rowOff>
    </xdr:to>
    <xdr:cxnSp macro="">
      <xdr:nvCxnSpPr>
        <xdr:cNvPr id="4953" name="Straight Arrow Connector 4952">
          <a:extLst>
            <a:ext uri="{FF2B5EF4-FFF2-40B4-BE49-F238E27FC236}">
              <a16:creationId xmlns:a16="http://schemas.microsoft.com/office/drawing/2014/main" id="{00000000-0008-0000-1300-00005913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954" name="Straight Arrow Connector 4953">
          <a:extLst>
            <a:ext uri="{FF2B5EF4-FFF2-40B4-BE49-F238E27FC236}">
              <a16:creationId xmlns:a16="http://schemas.microsoft.com/office/drawing/2014/main" id="{00000000-0008-0000-1300-00005A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1775</xdr:row>
      <xdr:rowOff>31750</xdr:rowOff>
    </xdr:from>
    <xdr:to>
      <xdr:col>16</xdr:col>
      <xdr:colOff>42334</xdr:colOff>
      <xdr:row>1782</xdr:row>
      <xdr:rowOff>63501</xdr:rowOff>
    </xdr:to>
    <xdr:cxnSp macro="">
      <xdr:nvCxnSpPr>
        <xdr:cNvPr id="4955" name="Straight Arrow Connector 4954">
          <a:extLst>
            <a:ext uri="{FF2B5EF4-FFF2-40B4-BE49-F238E27FC236}">
              <a16:creationId xmlns:a16="http://schemas.microsoft.com/office/drawing/2014/main" id="{00000000-0008-0000-1300-00005B13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956" name="Straight Arrow Connector 4955">
          <a:extLst>
            <a:ext uri="{FF2B5EF4-FFF2-40B4-BE49-F238E27FC236}">
              <a16:creationId xmlns:a16="http://schemas.microsoft.com/office/drawing/2014/main" id="{00000000-0008-0000-1300-00005C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1775</xdr:row>
      <xdr:rowOff>31750</xdr:rowOff>
    </xdr:from>
    <xdr:to>
      <xdr:col>16</xdr:col>
      <xdr:colOff>42334</xdr:colOff>
      <xdr:row>1782</xdr:row>
      <xdr:rowOff>63501</xdr:rowOff>
    </xdr:to>
    <xdr:cxnSp macro="">
      <xdr:nvCxnSpPr>
        <xdr:cNvPr id="4957" name="Straight Arrow Connector 4956">
          <a:extLst>
            <a:ext uri="{FF2B5EF4-FFF2-40B4-BE49-F238E27FC236}">
              <a16:creationId xmlns:a16="http://schemas.microsoft.com/office/drawing/2014/main" id="{00000000-0008-0000-1300-00005D13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958" name="Straight Arrow Connector 4957">
          <a:extLst>
            <a:ext uri="{FF2B5EF4-FFF2-40B4-BE49-F238E27FC236}">
              <a16:creationId xmlns:a16="http://schemas.microsoft.com/office/drawing/2014/main" id="{00000000-0008-0000-1300-00005E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1775</xdr:row>
      <xdr:rowOff>31750</xdr:rowOff>
    </xdr:from>
    <xdr:to>
      <xdr:col>16</xdr:col>
      <xdr:colOff>42334</xdr:colOff>
      <xdr:row>1782</xdr:row>
      <xdr:rowOff>63501</xdr:rowOff>
    </xdr:to>
    <xdr:cxnSp macro="">
      <xdr:nvCxnSpPr>
        <xdr:cNvPr id="4959" name="Straight Arrow Connector 4958">
          <a:extLst>
            <a:ext uri="{FF2B5EF4-FFF2-40B4-BE49-F238E27FC236}">
              <a16:creationId xmlns:a16="http://schemas.microsoft.com/office/drawing/2014/main" id="{00000000-0008-0000-1300-00005F13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960" name="Straight Arrow Connector 4959">
          <a:extLst>
            <a:ext uri="{FF2B5EF4-FFF2-40B4-BE49-F238E27FC236}">
              <a16:creationId xmlns:a16="http://schemas.microsoft.com/office/drawing/2014/main" id="{00000000-0008-0000-1300-000060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1775</xdr:row>
      <xdr:rowOff>31750</xdr:rowOff>
    </xdr:from>
    <xdr:to>
      <xdr:col>16</xdr:col>
      <xdr:colOff>42334</xdr:colOff>
      <xdr:row>1782</xdr:row>
      <xdr:rowOff>63501</xdr:rowOff>
    </xdr:to>
    <xdr:cxnSp macro="">
      <xdr:nvCxnSpPr>
        <xdr:cNvPr id="4961" name="Straight Arrow Connector 4960">
          <a:extLst>
            <a:ext uri="{FF2B5EF4-FFF2-40B4-BE49-F238E27FC236}">
              <a16:creationId xmlns:a16="http://schemas.microsoft.com/office/drawing/2014/main" id="{00000000-0008-0000-1300-00006113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962" name="Straight Arrow Connector 4961">
          <a:extLst>
            <a:ext uri="{FF2B5EF4-FFF2-40B4-BE49-F238E27FC236}">
              <a16:creationId xmlns:a16="http://schemas.microsoft.com/office/drawing/2014/main" id="{00000000-0008-0000-1300-000062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4963" name="Straight Arrow Connector 4962">
          <a:extLst>
            <a:ext uri="{FF2B5EF4-FFF2-40B4-BE49-F238E27FC236}">
              <a16:creationId xmlns:a16="http://schemas.microsoft.com/office/drawing/2014/main" id="{00000000-0008-0000-1300-00006313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964" name="Straight Arrow Connector 4963">
          <a:extLst>
            <a:ext uri="{FF2B5EF4-FFF2-40B4-BE49-F238E27FC236}">
              <a16:creationId xmlns:a16="http://schemas.microsoft.com/office/drawing/2014/main" id="{00000000-0008-0000-1300-000064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4965" name="Straight Arrow Connector 4964">
          <a:extLst>
            <a:ext uri="{FF2B5EF4-FFF2-40B4-BE49-F238E27FC236}">
              <a16:creationId xmlns:a16="http://schemas.microsoft.com/office/drawing/2014/main" id="{00000000-0008-0000-1300-00006513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966" name="Straight Arrow Connector 4965">
          <a:extLst>
            <a:ext uri="{FF2B5EF4-FFF2-40B4-BE49-F238E27FC236}">
              <a16:creationId xmlns:a16="http://schemas.microsoft.com/office/drawing/2014/main" id="{00000000-0008-0000-1300-000066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967" name="Straight Arrow Connector 4966">
          <a:extLst>
            <a:ext uri="{FF2B5EF4-FFF2-40B4-BE49-F238E27FC236}">
              <a16:creationId xmlns:a16="http://schemas.microsoft.com/office/drawing/2014/main" id="{00000000-0008-0000-1300-000067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968" name="Straight Arrow Connector 4967">
          <a:extLst>
            <a:ext uri="{FF2B5EF4-FFF2-40B4-BE49-F238E27FC236}">
              <a16:creationId xmlns:a16="http://schemas.microsoft.com/office/drawing/2014/main" id="{00000000-0008-0000-1300-000068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4969" name="Straight Arrow Connector 4968">
          <a:extLst>
            <a:ext uri="{FF2B5EF4-FFF2-40B4-BE49-F238E27FC236}">
              <a16:creationId xmlns:a16="http://schemas.microsoft.com/office/drawing/2014/main" id="{00000000-0008-0000-1300-00006913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970" name="Straight Arrow Connector 4969">
          <a:extLst>
            <a:ext uri="{FF2B5EF4-FFF2-40B4-BE49-F238E27FC236}">
              <a16:creationId xmlns:a16="http://schemas.microsoft.com/office/drawing/2014/main" id="{00000000-0008-0000-1300-00006A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971" name="Straight Arrow Connector 4970">
          <a:extLst>
            <a:ext uri="{FF2B5EF4-FFF2-40B4-BE49-F238E27FC236}">
              <a16:creationId xmlns:a16="http://schemas.microsoft.com/office/drawing/2014/main" id="{00000000-0008-0000-1300-00006B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972" name="Straight Arrow Connector 4971">
          <a:extLst>
            <a:ext uri="{FF2B5EF4-FFF2-40B4-BE49-F238E27FC236}">
              <a16:creationId xmlns:a16="http://schemas.microsoft.com/office/drawing/2014/main" id="{00000000-0008-0000-1300-00006C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973" name="Straight Arrow Connector 4972">
          <a:extLst>
            <a:ext uri="{FF2B5EF4-FFF2-40B4-BE49-F238E27FC236}">
              <a16:creationId xmlns:a16="http://schemas.microsoft.com/office/drawing/2014/main" id="{00000000-0008-0000-1300-00006D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4974" name="Straight Arrow Connector 4973">
          <a:extLst>
            <a:ext uri="{FF2B5EF4-FFF2-40B4-BE49-F238E27FC236}">
              <a16:creationId xmlns:a16="http://schemas.microsoft.com/office/drawing/2014/main" id="{00000000-0008-0000-1300-00006E13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975" name="Straight Arrow Connector 4974">
          <a:extLst>
            <a:ext uri="{FF2B5EF4-FFF2-40B4-BE49-F238E27FC236}">
              <a16:creationId xmlns:a16="http://schemas.microsoft.com/office/drawing/2014/main" id="{00000000-0008-0000-1300-00006F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4976" name="Straight Arrow Connector 4975">
          <a:extLst>
            <a:ext uri="{FF2B5EF4-FFF2-40B4-BE49-F238E27FC236}">
              <a16:creationId xmlns:a16="http://schemas.microsoft.com/office/drawing/2014/main" id="{00000000-0008-0000-1300-00007013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977" name="Straight Arrow Connector 4976">
          <a:extLst>
            <a:ext uri="{FF2B5EF4-FFF2-40B4-BE49-F238E27FC236}">
              <a16:creationId xmlns:a16="http://schemas.microsoft.com/office/drawing/2014/main" id="{00000000-0008-0000-1300-000071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4978" name="Straight Arrow Connector 4977">
          <a:extLst>
            <a:ext uri="{FF2B5EF4-FFF2-40B4-BE49-F238E27FC236}">
              <a16:creationId xmlns:a16="http://schemas.microsoft.com/office/drawing/2014/main" id="{00000000-0008-0000-1300-00007213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979" name="Straight Arrow Connector 4978">
          <a:extLst>
            <a:ext uri="{FF2B5EF4-FFF2-40B4-BE49-F238E27FC236}">
              <a16:creationId xmlns:a16="http://schemas.microsoft.com/office/drawing/2014/main" id="{00000000-0008-0000-1300-000073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4980" name="Straight Arrow Connector 4979">
          <a:extLst>
            <a:ext uri="{FF2B5EF4-FFF2-40B4-BE49-F238E27FC236}">
              <a16:creationId xmlns:a16="http://schemas.microsoft.com/office/drawing/2014/main" id="{00000000-0008-0000-1300-00007413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981" name="Straight Arrow Connector 4980">
          <a:extLst>
            <a:ext uri="{FF2B5EF4-FFF2-40B4-BE49-F238E27FC236}">
              <a16:creationId xmlns:a16="http://schemas.microsoft.com/office/drawing/2014/main" id="{00000000-0008-0000-1300-000075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982" name="Straight Arrow Connector 4981">
          <a:extLst>
            <a:ext uri="{FF2B5EF4-FFF2-40B4-BE49-F238E27FC236}">
              <a16:creationId xmlns:a16="http://schemas.microsoft.com/office/drawing/2014/main" id="{00000000-0008-0000-1300-000076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983" name="Straight Arrow Connector 4982">
          <a:extLst>
            <a:ext uri="{FF2B5EF4-FFF2-40B4-BE49-F238E27FC236}">
              <a16:creationId xmlns:a16="http://schemas.microsoft.com/office/drawing/2014/main" id="{00000000-0008-0000-1300-000077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4984" name="Straight Arrow Connector 4983">
          <a:extLst>
            <a:ext uri="{FF2B5EF4-FFF2-40B4-BE49-F238E27FC236}">
              <a16:creationId xmlns:a16="http://schemas.microsoft.com/office/drawing/2014/main" id="{00000000-0008-0000-1300-00007813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985" name="Straight Arrow Connector 4984">
          <a:extLst>
            <a:ext uri="{FF2B5EF4-FFF2-40B4-BE49-F238E27FC236}">
              <a16:creationId xmlns:a16="http://schemas.microsoft.com/office/drawing/2014/main" id="{00000000-0008-0000-1300-000079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4986" name="Straight Arrow Connector 4985">
          <a:extLst>
            <a:ext uri="{FF2B5EF4-FFF2-40B4-BE49-F238E27FC236}">
              <a16:creationId xmlns:a16="http://schemas.microsoft.com/office/drawing/2014/main" id="{00000000-0008-0000-1300-00007A13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987" name="Straight Arrow Connector 4986">
          <a:extLst>
            <a:ext uri="{FF2B5EF4-FFF2-40B4-BE49-F238E27FC236}">
              <a16:creationId xmlns:a16="http://schemas.microsoft.com/office/drawing/2014/main" id="{00000000-0008-0000-1300-00007B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4988" name="Straight Arrow Connector 4987">
          <a:extLst>
            <a:ext uri="{FF2B5EF4-FFF2-40B4-BE49-F238E27FC236}">
              <a16:creationId xmlns:a16="http://schemas.microsoft.com/office/drawing/2014/main" id="{00000000-0008-0000-1300-00007C13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989" name="Straight Arrow Connector 4988">
          <a:extLst>
            <a:ext uri="{FF2B5EF4-FFF2-40B4-BE49-F238E27FC236}">
              <a16:creationId xmlns:a16="http://schemas.microsoft.com/office/drawing/2014/main" id="{00000000-0008-0000-1300-00007D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1801</xdr:row>
      <xdr:rowOff>31750</xdr:rowOff>
    </xdr:from>
    <xdr:to>
      <xdr:col>16</xdr:col>
      <xdr:colOff>42334</xdr:colOff>
      <xdr:row>1808</xdr:row>
      <xdr:rowOff>63501</xdr:rowOff>
    </xdr:to>
    <xdr:cxnSp macro="">
      <xdr:nvCxnSpPr>
        <xdr:cNvPr id="4990" name="Straight Arrow Connector 4989">
          <a:extLst>
            <a:ext uri="{FF2B5EF4-FFF2-40B4-BE49-F238E27FC236}">
              <a16:creationId xmlns:a16="http://schemas.microsoft.com/office/drawing/2014/main" id="{00000000-0008-0000-1300-00007E130000}"/>
            </a:ext>
          </a:extLst>
        </xdr:cNvPr>
        <xdr:cNvCxnSpPr/>
      </xdr:nvCxnSpPr>
      <xdr:spPr>
        <a:xfrm>
          <a:off x="11281833" y="337407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1801</xdr:row>
      <xdr:rowOff>31750</xdr:rowOff>
    </xdr:from>
    <xdr:to>
      <xdr:col>16</xdr:col>
      <xdr:colOff>42334</xdr:colOff>
      <xdr:row>1808</xdr:row>
      <xdr:rowOff>63501</xdr:rowOff>
    </xdr:to>
    <xdr:cxnSp macro="">
      <xdr:nvCxnSpPr>
        <xdr:cNvPr id="4991" name="Straight Arrow Connector 4990">
          <a:extLst>
            <a:ext uri="{FF2B5EF4-FFF2-40B4-BE49-F238E27FC236}">
              <a16:creationId xmlns:a16="http://schemas.microsoft.com/office/drawing/2014/main" id="{00000000-0008-0000-1300-00007F130000}"/>
            </a:ext>
          </a:extLst>
        </xdr:cNvPr>
        <xdr:cNvCxnSpPr/>
      </xdr:nvCxnSpPr>
      <xdr:spPr>
        <a:xfrm>
          <a:off x="11281833" y="337407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992" name="Straight Arrow Connector 4991">
          <a:extLst>
            <a:ext uri="{FF2B5EF4-FFF2-40B4-BE49-F238E27FC236}">
              <a16:creationId xmlns:a16="http://schemas.microsoft.com/office/drawing/2014/main" id="{00000000-0008-0000-1300-000080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993" name="Straight Arrow Connector 4992">
          <a:extLst>
            <a:ext uri="{FF2B5EF4-FFF2-40B4-BE49-F238E27FC236}">
              <a16:creationId xmlns:a16="http://schemas.microsoft.com/office/drawing/2014/main" id="{00000000-0008-0000-1300-000081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994" name="Straight Arrow Connector 4993">
          <a:extLst>
            <a:ext uri="{FF2B5EF4-FFF2-40B4-BE49-F238E27FC236}">
              <a16:creationId xmlns:a16="http://schemas.microsoft.com/office/drawing/2014/main" id="{00000000-0008-0000-1300-000082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995" name="Straight Arrow Connector 4994">
          <a:extLst>
            <a:ext uri="{FF2B5EF4-FFF2-40B4-BE49-F238E27FC236}">
              <a16:creationId xmlns:a16="http://schemas.microsoft.com/office/drawing/2014/main" id="{00000000-0008-0000-1300-000083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996" name="Straight Arrow Connector 4995">
          <a:extLst>
            <a:ext uri="{FF2B5EF4-FFF2-40B4-BE49-F238E27FC236}">
              <a16:creationId xmlns:a16="http://schemas.microsoft.com/office/drawing/2014/main" id="{00000000-0008-0000-1300-000084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997" name="Straight Arrow Connector 4996">
          <a:extLst>
            <a:ext uri="{FF2B5EF4-FFF2-40B4-BE49-F238E27FC236}">
              <a16:creationId xmlns:a16="http://schemas.microsoft.com/office/drawing/2014/main" id="{00000000-0008-0000-1300-000085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998" name="Straight Arrow Connector 4997">
          <a:extLst>
            <a:ext uri="{FF2B5EF4-FFF2-40B4-BE49-F238E27FC236}">
              <a16:creationId xmlns:a16="http://schemas.microsoft.com/office/drawing/2014/main" id="{00000000-0008-0000-1300-000086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999" name="Straight Arrow Connector 4998">
          <a:extLst>
            <a:ext uri="{FF2B5EF4-FFF2-40B4-BE49-F238E27FC236}">
              <a16:creationId xmlns:a16="http://schemas.microsoft.com/office/drawing/2014/main" id="{00000000-0008-0000-1300-000087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5000" name="Straight Arrow Connector 4999">
          <a:extLst>
            <a:ext uri="{FF2B5EF4-FFF2-40B4-BE49-F238E27FC236}">
              <a16:creationId xmlns:a16="http://schemas.microsoft.com/office/drawing/2014/main" id="{00000000-0008-0000-1300-00008813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5001" name="Straight Arrow Connector 5000">
          <a:extLst>
            <a:ext uri="{FF2B5EF4-FFF2-40B4-BE49-F238E27FC236}">
              <a16:creationId xmlns:a16="http://schemas.microsoft.com/office/drawing/2014/main" id="{00000000-0008-0000-1300-000089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5002" name="Straight Arrow Connector 5001">
          <a:extLst>
            <a:ext uri="{FF2B5EF4-FFF2-40B4-BE49-F238E27FC236}">
              <a16:creationId xmlns:a16="http://schemas.microsoft.com/office/drawing/2014/main" id="{00000000-0008-0000-1300-00008A13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5003" name="Straight Arrow Connector 5002">
          <a:extLst>
            <a:ext uri="{FF2B5EF4-FFF2-40B4-BE49-F238E27FC236}">
              <a16:creationId xmlns:a16="http://schemas.microsoft.com/office/drawing/2014/main" id="{00000000-0008-0000-1300-00008B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5004" name="Straight Arrow Connector 5003">
          <a:extLst>
            <a:ext uri="{FF2B5EF4-FFF2-40B4-BE49-F238E27FC236}">
              <a16:creationId xmlns:a16="http://schemas.microsoft.com/office/drawing/2014/main" id="{00000000-0008-0000-1300-00008C13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5005" name="Straight Arrow Connector 5004">
          <a:extLst>
            <a:ext uri="{FF2B5EF4-FFF2-40B4-BE49-F238E27FC236}">
              <a16:creationId xmlns:a16="http://schemas.microsoft.com/office/drawing/2014/main" id="{00000000-0008-0000-1300-00008D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5006" name="Straight Arrow Connector 5005">
          <a:extLst>
            <a:ext uri="{FF2B5EF4-FFF2-40B4-BE49-F238E27FC236}">
              <a16:creationId xmlns:a16="http://schemas.microsoft.com/office/drawing/2014/main" id="{00000000-0008-0000-1300-00008E13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5007" name="Straight Arrow Connector 5006">
          <a:extLst>
            <a:ext uri="{FF2B5EF4-FFF2-40B4-BE49-F238E27FC236}">
              <a16:creationId xmlns:a16="http://schemas.microsoft.com/office/drawing/2014/main" id="{00000000-0008-0000-1300-00008F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5008" name="Straight Arrow Connector 5007">
          <a:extLst>
            <a:ext uri="{FF2B5EF4-FFF2-40B4-BE49-F238E27FC236}">
              <a16:creationId xmlns:a16="http://schemas.microsoft.com/office/drawing/2014/main" id="{00000000-0008-0000-1300-000090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5009" name="Straight Arrow Connector 5008">
          <a:extLst>
            <a:ext uri="{FF2B5EF4-FFF2-40B4-BE49-F238E27FC236}">
              <a16:creationId xmlns:a16="http://schemas.microsoft.com/office/drawing/2014/main" id="{00000000-0008-0000-1300-000091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5010" name="Straight Arrow Connector 5009">
          <a:extLst>
            <a:ext uri="{FF2B5EF4-FFF2-40B4-BE49-F238E27FC236}">
              <a16:creationId xmlns:a16="http://schemas.microsoft.com/office/drawing/2014/main" id="{00000000-0008-0000-1300-00009213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5011" name="Straight Arrow Connector 5010">
          <a:extLst>
            <a:ext uri="{FF2B5EF4-FFF2-40B4-BE49-F238E27FC236}">
              <a16:creationId xmlns:a16="http://schemas.microsoft.com/office/drawing/2014/main" id="{00000000-0008-0000-1300-000093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5012" name="Straight Arrow Connector 5011">
          <a:extLst>
            <a:ext uri="{FF2B5EF4-FFF2-40B4-BE49-F238E27FC236}">
              <a16:creationId xmlns:a16="http://schemas.microsoft.com/office/drawing/2014/main" id="{00000000-0008-0000-1300-00009413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5013" name="Straight Arrow Connector 5012">
          <a:extLst>
            <a:ext uri="{FF2B5EF4-FFF2-40B4-BE49-F238E27FC236}">
              <a16:creationId xmlns:a16="http://schemas.microsoft.com/office/drawing/2014/main" id="{00000000-0008-0000-1300-000095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5014" name="Straight Arrow Connector 5013">
          <a:extLst>
            <a:ext uri="{FF2B5EF4-FFF2-40B4-BE49-F238E27FC236}">
              <a16:creationId xmlns:a16="http://schemas.microsoft.com/office/drawing/2014/main" id="{00000000-0008-0000-1300-00009613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5015" name="Straight Arrow Connector 5014">
          <a:extLst>
            <a:ext uri="{FF2B5EF4-FFF2-40B4-BE49-F238E27FC236}">
              <a16:creationId xmlns:a16="http://schemas.microsoft.com/office/drawing/2014/main" id="{00000000-0008-0000-1300-000097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1801</xdr:row>
      <xdr:rowOff>31750</xdr:rowOff>
    </xdr:from>
    <xdr:to>
      <xdr:col>16</xdr:col>
      <xdr:colOff>42334</xdr:colOff>
      <xdr:row>1808</xdr:row>
      <xdr:rowOff>63501</xdr:rowOff>
    </xdr:to>
    <xdr:cxnSp macro="">
      <xdr:nvCxnSpPr>
        <xdr:cNvPr id="5016" name="Straight Arrow Connector 5015">
          <a:extLst>
            <a:ext uri="{FF2B5EF4-FFF2-40B4-BE49-F238E27FC236}">
              <a16:creationId xmlns:a16="http://schemas.microsoft.com/office/drawing/2014/main" id="{00000000-0008-0000-1300-000098130000}"/>
            </a:ext>
          </a:extLst>
        </xdr:cNvPr>
        <xdr:cNvCxnSpPr/>
      </xdr:nvCxnSpPr>
      <xdr:spPr>
        <a:xfrm>
          <a:off x="11281833" y="337407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1801</xdr:row>
      <xdr:rowOff>31750</xdr:rowOff>
    </xdr:from>
    <xdr:to>
      <xdr:col>16</xdr:col>
      <xdr:colOff>42334</xdr:colOff>
      <xdr:row>1808</xdr:row>
      <xdr:rowOff>63501</xdr:rowOff>
    </xdr:to>
    <xdr:cxnSp macro="">
      <xdr:nvCxnSpPr>
        <xdr:cNvPr id="5017" name="Straight Arrow Connector 5016">
          <a:extLst>
            <a:ext uri="{FF2B5EF4-FFF2-40B4-BE49-F238E27FC236}">
              <a16:creationId xmlns:a16="http://schemas.microsoft.com/office/drawing/2014/main" id="{00000000-0008-0000-1300-000099130000}"/>
            </a:ext>
          </a:extLst>
        </xdr:cNvPr>
        <xdr:cNvCxnSpPr/>
      </xdr:nvCxnSpPr>
      <xdr:spPr>
        <a:xfrm>
          <a:off x="11281833" y="337407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1775</xdr:row>
      <xdr:rowOff>31750</xdr:rowOff>
    </xdr:from>
    <xdr:to>
      <xdr:col>16</xdr:col>
      <xdr:colOff>42334</xdr:colOff>
      <xdr:row>1782</xdr:row>
      <xdr:rowOff>63501</xdr:rowOff>
    </xdr:to>
    <xdr:cxnSp macro="">
      <xdr:nvCxnSpPr>
        <xdr:cNvPr id="5018" name="Straight Arrow Connector 5017">
          <a:extLst>
            <a:ext uri="{FF2B5EF4-FFF2-40B4-BE49-F238E27FC236}">
              <a16:creationId xmlns:a16="http://schemas.microsoft.com/office/drawing/2014/main" id="{00000000-0008-0000-1300-00009A13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5019" name="Straight Arrow Connector 5018">
          <a:extLst>
            <a:ext uri="{FF2B5EF4-FFF2-40B4-BE49-F238E27FC236}">
              <a16:creationId xmlns:a16="http://schemas.microsoft.com/office/drawing/2014/main" id="{00000000-0008-0000-1300-00009B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1775</xdr:row>
      <xdr:rowOff>31750</xdr:rowOff>
    </xdr:from>
    <xdr:to>
      <xdr:col>16</xdr:col>
      <xdr:colOff>42334</xdr:colOff>
      <xdr:row>1782</xdr:row>
      <xdr:rowOff>63501</xdr:rowOff>
    </xdr:to>
    <xdr:cxnSp macro="">
      <xdr:nvCxnSpPr>
        <xdr:cNvPr id="5020" name="Straight Arrow Connector 5019">
          <a:extLst>
            <a:ext uri="{FF2B5EF4-FFF2-40B4-BE49-F238E27FC236}">
              <a16:creationId xmlns:a16="http://schemas.microsoft.com/office/drawing/2014/main" id="{00000000-0008-0000-1300-00009C13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5021" name="Straight Arrow Connector 5020">
          <a:extLst>
            <a:ext uri="{FF2B5EF4-FFF2-40B4-BE49-F238E27FC236}">
              <a16:creationId xmlns:a16="http://schemas.microsoft.com/office/drawing/2014/main" id="{00000000-0008-0000-1300-00009D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1775</xdr:row>
      <xdr:rowOff>31750</xdr:rowOff>
    </xdr:from>
    <xdr:to>
      <xdr:col>16</xdr:col>
      <xdr:colOff>42334</xdr:colOff>
      <xdr:row>1782</xdr:row>
      <xdr:rowOff>63501</xdr:rowOff>
    </xdr:to>
    <xdr:cxnSp macro="">
      <xdr:nvCxnSpPr>
        <xdr:cNvPr id="5022" name="Straight Arrow Connector 5021">
          <a:extLst>
            <a:ext uri="{FF2B5EF4-FFF2-40B4-BE49-F238E27FC236}">
              <a16:creationId xmlns:a16="http://schemas.microsoft.com/office/drawing/2014/main" id="{00000000-0008-0000-1300-00009E13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5023" name="Straight Arrow Connector 5022">
          <a:extLst>
            <a:ext uri="{FF2B5EF4-FFF2-40B4-BE49-F238E27FC236}">
              <a16:creationId xmlns:a16="http://schemas.microsoft.com/office/drawing/2014/main" id="{00000000-0008-0000-1300-00009F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1775</xdr:row>
      <xdr:rowOff>31750</xdr:rowOff>
    </xdr:from>
    <xdr:to>
      <xdr:col>16</xdr:col>
      <xdr:colOff>42334</xdr:colOff>
      <xdr:row>1782</xdr:row>
      <xdr:rowOff>63501</xdr:rowOff>
    </xdr:to>
    <xdr:cxnSp macro="">
      <xdr:nvCxnSpPr>
        <xdr:cNvPr id="5024" name="Straight Arrow Connector 5023">
          <a:extLst>
            <a:ext uri="{FF2B5EF4-FFF2-40B4-BE49-F238E27FC236}">
              <a16:creationId xmlns:a16="http://schemas.microsoft.com/office/drawing/2014/main" id="{00000000-0008-0000-1300-0000A013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5025" name="Straight Arrow Connector 5024">
          <a:extLst>
            <a:ext uri="{FF2B5EF4-FFF2-40B4-BE49-F238E27FC236}">
              <a16:creationId xmlns:a16="http://schemas.microsoft.com/office/drawing/2014/main" id="{00000000-0008-0000-1300-0000A1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1775</xdr:row>
      <xdr:rowOff>31750</xdr:rowOff>
    </xdr:from>
    <xdr:to>
      <xdr:col>16</xdr:col>
      <xdr:colOff>42334</xdr:colOff>
      <xdr:row>1782</xdr:row>
      <xdr:rowOff>63501</xdr:rowOff>
    </xdr:to>
    <xdr:cxnSp macro="">
      <xdr:nvCxnSpPr>
        <xdr:cNvPr id="5026" name="Straight Arrow Connector 5025">
          <a:extLst>
            <a:ext uri="{FF2B5EF4-FFF2-40B4-BE49-F238E27FC236}">
              <a16:creationId xmlns:a16="http://schemas.microsoft.com/office/drawing/2014/main" id="{00000000-0008-0000-1300-0000A213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5027" name="Straight Arrow Connector 5026">
          <a:extLst>
            <a:ext uri="{FF2B5EF4-FFF2-40B4-BE49-F238E27FC236}">
              <a16:creationId xmlns:a16="http://schemas.microsoft.com/office/drawing/2014/main" id="{00000000-0008-0000-1300-0000A3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5028" name="Straight Arrow Connector 5027">
          <a:extLst>
            <a:ext uri="{FF2B5EF4-FFF2-40B4-BE49-F238E27FC236}">
              <a16:creationId xmlns:a16="http://schemas.microsoft.com/office/drawing/2014/main" id="{00000000-0008-0000-1300-0000A413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5029" name="Straight Arrow Connector 5028">
          <a:extLst>
            <a:ext uri="{FF2B5EF4-FFF2-40B4-BE49-F238E27FC236}">
              <a16:creationId xmlns:a16="http://schemas.microsoft.com/office/drawing/2014/main" id="{00000000-0008-0000-1300-0000A5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5030" name="Straight Arrow Connector 5029">
          <a:extLst>
            <a:ext uri="{FF2B5EF4-FFF2-40B4-BE49-F238E27FC236}">
              <a16:creationId xmlns:a16="http://schemas.microsoft.com/office/drawing/2014/main" id="{00000000-0008-0000-1300-0000A613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5031" name="Straight Arrow Connector 5030">
          <a:extLst>
            <a:ext uri="{FF2B5EF4-FFF2-40B4-BE49-F238E27FC236}">
              <a16:creationId xmlns:a16="http://schemas.microsoft.com/office/drawing/2014/main" id="{00000000-0008-0000-1300-0000A7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5032" name="Straight Arrow Connector 5031">
          <a:extLst>
            <a:ext uri="{FF2B5EF4-FFF2-40B4-BE49-F238E27FC236}">
              <a16:creationId xmlns:a16="http://schemas.microsoft.com/office/drawing/2014/main" id="{00000000-0008-0000-1300-0000A813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5033" name="Straight Arrow Connector 5032">
          <a:extLst>
            <a:ext uri="{FF2B5EF4-FFF2-40B4-BE49-F238E27FC236}">
              <a16:creationId xmlns:a16="http://schemas.microsoft.com/office/drawing/2014/main" id="{00000000-0008-0000-1300-0000A9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5034" name="Straight Arrow Connector 5033">
          <a:extLst>
            <a:ext uri="{FF2B5EF4-FFF2-40B4-BE49-F238E27FC236}">
              <a16:creationId xmlns:a16="http://schemas.microsoft.com/office/drawing/2014/main" id="{00000000-0008-0000-1300-0000AA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5035" name="Straight Arrow Connector 5034">
          <a:extLst>
            <a:ext uri="{FF2B5EF4-FFF2-40B4-BE49-F238E27FC236}">
              <a16:creationId xmlns:a16="http://schemas.microsoft.com/office/drawing/2014/main" id="{00000000-0008-0000-1300-0000AB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5036" name="Straight Arrow Connector 5035">
          <a:extLst>
            <a:ext uri="{FF2B5EF4-FFF2-40B4-BE49-F238E27FC236}">
              <a16:creationId xmlns:a16="http://schemas.microsoft.com/office/drawing/2014/main" id="{00000000-0008-0000-1300-0000AC13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5037" name="Straight Arrow Connector 5036">
          <a:extLst>
            <a:ext uri="{FF2B5EF4-FFF2-40B4-BE49-F238E27FC236}">
              <a16:creationId xmlns:a16="http://schemas.microsoft.com/office/drawing/2014/main" id="{00000000-0008-0000-1300-0000AD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5038" name="Straight Arrow Connector 5037">
          <a:extLst>
            <a:ext uri="{FF2B5EF4-FFF2-40B4-BE49-F238E27FC236}">
              <a16:creationId xmlns:a16="http://schemas.microsoft.com/office/drawing/2014/main" id="{00000000-0008-0000-1300-0000AE13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5039" name="Straight Arrow Connector 5038">
          <a:extLst>
            <a:ext uri="{FF2B5EF4-FFF2-40B4-BE49-F238E27FC236}">
              <a16:creationId xmlns:a16="http://schemas.microsoft.com/office/drawing/2014/main" id="{00000000-0008-0000-1300-0000AF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5040" name="Straight Arrow Connector 5039">
          <a:extLst>
            <a:ext uri="{FF2B5EF4-FFF2-40B4-BE49-F238E27FC236}">
              <a16:creationId xmlns:a16="http://schemas.microsoft.com/office/drawing/2014/main" id="{00000000-0008-0000-1300-0000B013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5041" name="Straight Arrow Connector 5040">
          <a:extLst>
            <a:ext uri="{FF2B5EF4-FFF2-40B4-BE49-F238E27FC236}">
              <a16:creationId xmlns:a16="http://schemas.microsoft.com/office/drawing/2014/main" id="{00000000-0008-0000-1300-0000B1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1801</xdr:row>
      <xdr:rowOff>31750</xdr:rowOff>
    </xdr:from>
    <xdr:to>
      <xdr:col>16</xdr:col>
      <xdr:colOff>42334</xdr:colOff>
      <xdr:row>1808</xdr:row>
      <xdr:rowOff>63501</xdr:rowOff>
    </xdr:to>
    <xdr:cxnSp macro="">
      <xdr:nvCxnSpPr>
        <xdr:cNvPr id="5042" name="Straight Arrow Connector 5041">
          <a:extLst>
            <a:ext uri="{FF2B5EF4-FFF2-40B4-BE49-F238E27FC236}">
              <a16:creationId xmlns:a16="http://schemas.microsoft.com/office/drawing/2014/main" id="{00000000-0008-0000-1300-0000B2130000}"/>
            </a:ext>
          </a:extLst>
        </xdr:cNvPr>
        <xdr:cNvCxnSpPr/>
      </xdr:nvCxnSpPr>
      <xdr:spPr>
        <a:xfrm>
          <a:off x="11281833" y="337407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1801</xdr:row>
      <xdr:rowOff>31750</xdr:rowOff>
    </xdr:from>
    <xdr:to>
      <xdr:col>16</xdr:col>
      <xdr:colOff>42334</xdr:colOff>
      <xdr:row>1808</xdr:row>
      <xdr:rowOff>63501</xdr:rowOff>
    </xdr:to>
    <xdr:cxnSp macro="">
      <xdr:nvCxnSpPr>
        <xdr:cNvPr id="5043" name="Straight Arrow Connector 5042">
          <a:extLst>
            <a:ext uri="{FF2B5EF4-FFF2-40B4-BE49-F238E27FC236}">
              <a16:creationId xmlns:a16="http://schemas.microsoft.com/office/drawing/2014/main" id="{00000000-0008-0000-1300-0000B3130000}"/>
            </a:ext>
          </a:extLst>
        </xdr:cNvPr>
        <xdr:cNvCxnSpPr/>
      </xdr:nvCxnSpPr>
      <xdr:spPr>
        <a:xfrm>
          <a:off x="11281833" y="337407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5044" name="Straight Arrow Connector 5043">
          <a:extLst>
            <a:ext uri="{FF2B5EF4-FFF2-40B4-BE49-F238E27FC236}">
              <a16:creationId xmlns:a16="http://schemas.microsoft.com/office/drawing/2014/main" id="{00000000-0008-0000-1300-0000B4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5045" name="Straight Arrow Connector 5044">
          <a:extLst>
            <a:ext uri="{FF2B5EF4-FFF2-40B4-BE49-F238E27FC236}">
              <a16:creationId xmlns:a16="http://schemas.microsoft.com/office/drawing/2014/main" id="{00000000-0008-0000-1300-0000B5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5046" name="Straight Arrow Connector 5045">
          <a:extLst>
            <a:ext uri="{FF2B5EF4-FFF2-40B4-BE49-F238E27FC236}">
              <a16:creationId xmlns:a16="http://schemas.microsoft.com/office/drawing/2014/main" id="{00000000-0008-0000-1300-0000B6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5047" name="Straight Arrow Connector 5046">
          <a:extLst>
            <a:ext uri="{FF2B5EF4-FFF2-40B4-BE49-F238E27FC236}">
              <a16:creationId xmlns:a16="http://schemas.microsoft.com/office/drawing/2014/main" id="{00000000-0008-0000-1300-0000B7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5048" name="Straight Arrow Connector 5047">
          <a:extLst>
            <a:ext uri="{FF2B5EF4-FFF2-40B4-BE49-F238E27FC236}">
              <a16:creationId xmlns:a16="http://schemas.microsoft.com/office/drawing/2014/main" id="{00000000-0008-0000-1300-0000B8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5049" name="Straight Arrow Connector 5048">
          <a:extLst>
            <a:ext uri="{FF2B5EF4-FFF2-40B4-BE49-F238E27FC236}">
              <a16:creationId xmlns:a16="http://schemas.microsoft.com/office/drawing/2014/main" id="{00000000-0008-0000-1300-0000B9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5050" name="Straight Arrow Connector 5049">
          <a:extLst>
            <a:ext uri="{FF2B5EF4-FFF2-40B4-BE49-F238E27FC236}">
              <a16:creationId xmlns:a16="http://schemas.microsoft.com/office/drawing/2014/main" id="{00000000-0008-0000-1300-0000BA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5051" name="Straight Arrow Connector 5050">
          <a:extLst>
            <a:ext uri="{FF2B5EF4-FFF2-40B4-BE49-F238E27FC236}">
              <a16:creationId xmlns:a16="http://schemas.microsoft.com/office/drawing/2014/main" id="{00000000-0008-0000-1300-0000BB13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5052" name="Straight Arrow Connector 5051">
          <a:extLst>
            <a:ext uri="{FF2B5EF4-FFF2-40B4-BE49-F238E27FC236}">
              <a16:creationId xmlns:a16="http://schemas.microsoft.com/office/drawing/2014/main" id="{00000000-0008-0000-1300-0000BC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5053" name="Straight Arrow Connector 5052">
          <a:extLst>
            <a:ext uri="{FF2B5EF4-FFF2-40B4-BE49-F238E27FC236}">
              <a16:creationId xmlns:a16="http://schemas.microsoft.com/office/drawing/2014/main" id="{00000000-0008-0000-1300-0000BD13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5054" name="Straight Arrow Connector 5053">
          <a:extLst>
            <a:ext uri="{FF2B5EF4-FFF2-40B4-BE49-F238E27FC236}">
              <a16:creationId xmlns:a16="http://schemas.microsoft.com/office/drawing/2014/main" id="{00000000-0008-0000-1300-0000BE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5055" name="Straight Arrow Connector 5054">
          <a:extLst>
            <a:ext uri="{FF2B5EF4-FFF2-40B4-BE49-F238E27FC236}">
              <a16:creationId xmlns:a16="http://schemas.microsoft.com/office/drawing/2014/main" id="{00000000-0008-0000-1300-0000BF13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5056" name="Straight Arrow Connector 5055">
          <a:extLst>
            <a:ext uri="{FF2B5EF4-FFF2-40B4-BE49-F238E27FC236}">
              <a16:creationId xmlns:a16="http://schemas.microsoft.com/office/drawing/2014/main" id="{00000000-0008-0000-1300-0000C0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1801</xdr:row>
      <xdr:rowOff>31750</xdr:rowOff>
    </xdr:from>
    <xdr:to>
      <xdr:col>16</xdr:col>
      <xdr:colOff>42334</xdr:colOff>
      <xdr:row>1808</xdr:row>
      <xdr:rowOff>63501</xdr:rowOff>
    </xdr:to>
    <xdr:cxnSp macro="">
      <xdr:nvCxnSpPr>
        <xdr:cNvPr id="5057" name="Straight Arrow Connector 5056">
          <a:extLst>
            <a:ext uri="{FF2B5EF4-FFF2-40B4-BE49-F238E27FC236}">
              <a16:creationId xmlns:a16="http://schemas.microsoft.com/office/drawing/2014/main" id="{00000000-0008-0000-1300-0000C1130000}"/>
            </a:ext>
          </a:extLst>
        </xdr:cNvPr>
        <xdr:cNvCxnSpPr/>
      </xdr:nvCxnSpPr>
      <xdr:spPr>
        <a:xfrm>
          <a:off x="11281833" y="337407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1801</xdr:row>
      <xdr:rowOff>31750</xdr:rowOff>
    </xdr:from>
    <xdr:to>
      <xdr:col>16</xdr:col>
      <xdr:colOff>42334</xdr:colOff>
      <xdr:row>1808</xdr:row>
      <xdr:rowOff>63501</xdr:rowOff>
    </xdr:to>
    <xdr:cxnSp macro="">
      <xdr:nvCxnSpPr>
        <xdr:cNvPr id="5058" name="Straight Arrow Connector 5057">
          <a:extLst>
            <a:ext uri="{FF2B5EF4-FFF2-40B4-BE49-F238E27FC236}">
              <a16:creationId xmlns:a16="http://schemas.microsoft.com/office/drawing/2014/main" id="{00000000-0008-0000-1300-0000C2130000}"/>
            </a:ext>
          </a:extLst>
        </xdr:cNvPr>
        <xdr:cNvCxnSpPr/>
      </xdr:nvCxnSpPr>
      <xdr:spPr>
        <a:xfrm>
          <a:off x="11281833" y="337407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1775</xdr:row>
      <xdr:rowOff>31750</xdr:rowOff>
    </xdr:from>
    <xdr:to>
      <xdr:col>16</xdr:col>
      <xdr:colOff>42334</xdr:colOff>
      <xdr:row>1782</xdr:row>
      <xdr:rowOff>63501</xdr:rowOff>
    </xdr:to>
    <xdr:cxnSp macro="">
      <xdr:nvCxnSpPr>
        <xdr:cNvPr id="5059" name="Straight Arrow Connector 5058">
          <a:extLst>
            <a:ext uri="{FF2B5EF4-FFF2-40B4-BE49-F238E27FC236}">
              <a16:creationId xmlns:a16="http://schemas.microsoft.com/office/drawing/2014/main" id="{00000000-0008-0000-1300-0000C313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5060" name="Straight Arrow Connector 5059">
          <a:extLst>
            <a:ext uri="{FF2B5EF4-FFF2-40B4-BE49-F238E27FC236}">
              <a16:creationId xmlns:a16="http://schemas.microsoft.com/office/drawing/2014/main" id="{00000000-0008-0000-1300-0000C4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1775</xdr:row>
      <xdr:rowOff>31750</xdr:rowOff>
    </xdr:from>
    <xdr:to>
      <xdr:col>16</xdr:col>
      <xdr:colOff>42334</xdr:colOff>
      <xdr:row>1782</xdr:row>
      <xdr:rowOff>63501</xdr:rowOff>
    </xdr:to>
    <xdr:cxnSp macro="">
      <xdr:nvCxnSpPr>
        <xdr:cNvPr id="5061" name="Straight Arrow Connector 5060">
          <a:extLst>
            <a:ext uri="{FF2B5EF4-FFF2-40B4-BE49-F238E27FC236}">
              <a16:creationId xmlns:a16="http://schemas.microsoft.com/office/drawing/2014/main" id="{00000000-0008-0000-1300-0000C513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5062" name="Straight Arrow Connector 5061">
          <a:extLst>
            <a:ext uri="{FF2B5EF4-FFF2-40B4-BE49-F238E27FC236}">
              <a16:creationId xmlns:a16="http://schemas.microsoft.com/office/drawing/2014/main" id="{00000000-0008-0000-1300-0000C6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1775</xdr:row>
      <xdr:rowOff>31750</xdr:rowOff>
    </xdr:from>
    <xdr:to>
      <xdr:col>16</xdr:col>
      <xdr:colOff>42334</xdr:colOff>
      <xdr:row>1782</xdr:row>
      <xdr:rowOff>63501</xdr:rowOff>
    </xdr:to>
    <xdr:cxnSp macro="">
      <xdr:nvCxnSpPr>
        <xdr:cNvPr id="5063" name="Straight Arrow Connector 5062">
          <a:extLst>
            <a:ext uri="{FF2B5EF4-FFF2-40B4-BE49-F238E27FC236}">
              <a16:creationId xmlns:a16="http://schemas.microsoft.com/office/drawing/2014/main" id="{00000000-0008-0000-1300-0000C713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5064" name="Straight Arrow Connector 5063">
          <a:extLst>
            <a:ext uri="{FF2B5EF4-FFF2-40B4-BE49-F238E27FC236}">
              <a16:creationId xmlns:a16="http://schemas.microsoft.com/office/drawing/2014/main" id="{00000000-0008-0000-1300-0000C8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1775</xdr:row>
      <xdr:rowOff>31750</xdr:rowOff>
    </xdr:from>
    <xdr:to>
      <xdr:col>16</xdr:col>
      <xdr:colOff>42334</xdr:colOff>
      <xdr:row>1782</xdr:row>
      <xdr:rowOff>63501</xdr:rowOff>
    </xdr:to>
    <xdr:cxnSp macro="">
      <xdr:nvCxnSpPr>
        <xdr:cNvPr id="5065" name="Straight Arrow Connector 5064">
          <a:extLst>
            <a:ext uri="{FF2B5EF4-FFF2-40B4-BE49-F238E27FC236}">
              <a16:creationId xmlns:a16="http://schemas.microsoft.com/office/drawing/2014/main" id="{00000000-0008-0000-1300-0000C913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5066" name="Straight Arrow Connector 5065">
          <a:extLst>
            <a:ext uri="{FF2B5EF4-FFF2-40B4-BE49-F238E27FC236}">
              <a16:creationId xmlns:a16="http://schemas.microsoft.com/office/drawing/2014/main" id="{00000000-0008-0000-1300-0000CA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1775</xdr:row>
      <xdr:rowOff>31750</xdr:rowOff>
    </xdr:from>
    <xdr:to>
      <xdr:col>16</xdr:col>
      <xdr:colOff>42334</xdr:colOff>
      <xdr:row>1782</xdr:row>
      <xdr:rowOff>63501</xdr:rowOff>
    </xdr:to>
    <xdr:cxnSp macro="">
      <xdr:nvCxnSpPr>
        <xdr:cNvPr id="5067" name="Straight Arrow Connector 5066">
          <a:extLst>
            <a:ext uri="{FF2B5EF4-FFF2-40B4-BE49-F238E27FC236}">
              <a16:creationId xmlns:a16="http://schemas.microsoft.com/office/drawing/2014/main" id="{00000000-0008-0000-1300-0000CB13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5068" name="Straight Arrow Connector 5067">
          <a:extLst>
            <a:ext uri="{FF2B5EF4-FFF2-40B4-BE49-F238E27FC236}">
              <a16:creationId xmlns:a16="http://schemas.microsoft.com/office/drawing/2014/main" id="{00000000-0008-0000-1300-0000CC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5069" name="Straight Arrow Connector 5068">
          <a:extLst>
            <a:ext uri="{FF2B5EF4-FFF2-40B4-BE49-F238E27FC236}">
              <a16:creationId xmlns:a16="http://schemas.microsoft.com/office/drawing/2014/main" id="{00000000-0008-0000-1300-0000CD13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5070" name="Straight Arrow Connector 5069">
          <a:extLst>
            <a:ext uri="{FF2B5EF4-FFF2-40B4-BE49-F238E27FC236}">
              <a16:creationId xmlns:a16="http://schemas.microsoft.com/office/drawing/2014/main" id="{00000000-0008-0000-1300-0000CE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5071" name="Straight Arrow Connector 5070">
          <a:extLst>
            <a:ext uri="{FF2B5EF4-FFF2-40B4-BE49-F238E27FC236}">
              <a16:creationId xmlns:a16="http://schemas.microsoft.com/office/drawing/2014/main" id="{00000000-0008-0000-1300-0000CF13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5072" name="Straight Arrow Connector 5071">
          <a:extLst>
            <a:ext uri="{FF2B5EF4-FFF2-40B4-BE49-F238E27FC236}">
              <a16:creationId xmlns:a16="http://schemas.microsoft.com/office/drawing/2014/main" id="{00000000-0008-0000-1300-0000D0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1801</xdr:row>
      <xdr:rowOff>31750</xdr:rowOff>
    </xdr:from>
    <xdr:to>
      <xdr:col>16</xdr:col>
      <xdr:colOff>42334</xdr:colOff>
      <xdr:row>1808</xdr:row>
      <xdr:rowOff>63501</xdr:rowOff>
    </xdr:to>
    <xdr:cxnSp macro="">
      <xdr:nvCxnSpPr>
        <xdr:cNvPr id="5073" name="Straight Arrow Connector 5072">
          <a:extLst>
            <a:ext uri="{FF2B5EF4-FFF2-40B4-BE49-F238E27FC236}">
              <a16:creationId xmlns:a16="http://schemas.microsoft.com/office/drawing/2014/main" id="{00000000-0008-0000-1300-0000D1130000}"/>
            </a:ext>
          </a:extLst>
        </xdr:cNvPr>
        <xdr:cNvCxnSpPr/>
      </xdr:nvCxnSpPr>
      <xdr:spPr>
        <a:xfrm>
          <a:off x="11281833" y="337407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1801</xdr:row>
      <xdr:rowOff>31750</xdr:rowOff>
    </xdr:from>
    <xdr:to>
      <xdr:col>16</xdr:col>
      <xdr:colOff>42334</xdr:colOff>
      <xdr:row>1808</xdr:row>
      <xdr:rowOff>63501</xdr:rowOff>
    </xdr:to>
    <xdr:cxnSp macro="">
      <xdr:nvCxnSpPr>
        <xdr:cNvPr id="5074" name="Straight Arrow Connector 5073">
          <a:extLst>
            <a:ext uri="{FF2B5EF4-FFF2-40B4-BE49-F238E27FC236}">
              <a16:creationId xmlns:a16="http://schemas.microsoft.com/office/drawing/2014/main" id="{00000000-0008-0000-1300-0000D2130000}"/>
            </a:ext>
          </a:extLst>
        </xdr:cNvPr>
        <xdr:cNvCxnSpPr/>
      </xdr:nvCxnSpPr>
      <xdr:spPr>
        <a:xfrm>
          <a:off x="11281833" y="337407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10.xml><?xml version="1.0" encoding="utf-8"?>
<xdr:wsDr xmlns:xdr="http://schemas.openxmlformats.org/drawingml/2006/spreadsheetDrawing" xmlns:a="http://schemas.openxmlformats.org/drawingml/2006/main">
  <xdr:twoCellAnchor>
    <xdr:from>
      <xdr:col>5</xdr:col>
      <xdr:colOff>545465</xdr:colOff>
      <xdr:row>12</xdr:row>
      <xdr:rowOff>99695</xdr:rowOff>
    </xdr:from>
    <xdr:to>
      <xdr:col>13</xdr:col>
      <xdr:colOff>206375</xdr:colOff>
      <xdr:row>27</xdr:row>
      <xdr:rowOff>80645</xdr:rowOff>
    </xdr:to>
    <xdr:grpSp>
      <xdr:nvGrpSpPr>
        <xdr:cNvPr id="5" name="Group 4">
          <a:extLst>
            <a:ext uri="{FF2B5EF4-FFF2-40B4-BE49-F238E27FC236}">
              <a16:creationId xmlns:a16="http://schemas.microsoft.com/office/drawing/2014/main" id="{396D2785-1F18-72C2-6368-F725E5EC71AD}"/>
            </a:ext>
          </a:extLst>
        </xdr:cNvPr>
        <xdr:cNvGrpSpPr/>
      </xdr:nvGrpSpPr>
      <xdr:grpSpPr>
        <a:xfrm>
          <a:off x="6062345" y="2355215"/>
          <a:ext cx="5688330" cy="2724150"/>
          <a:chOff x="6062345" y="2355215"/>
          <a:chExt cx="5688330" cy="2724150"/>
        </a:xfrm>
      </xdr:grpSpPr>
      <xdr:graphicFrame macro="">
        <xdr:nvGraphicFramePr>
          <xdr:cNvPr id="2" name="Chart 1">
            <a:extLst>
              <a:ext uri="{FF2B5EF4-FFF2-40B4-BE49-F238E27FC236}">
                <a16:creationId xmlns:a16="http://schemas.microsoft.com/office/drawing/2014/main" id="{00000000-0008-0000-1400-000002000000}"/>
              </a:ext>
            </a:extLst>
          </xdr:cNvPr>
          <xdr:cNvGraphicFramePr/>
        </xdr:nvGraphicFramePr>
        <xdr:xfrm>
          <a:off x="6062345" y="2355215"/>
          <a:ext cx="5688330" cy="2724150"/>
        </xdr:xfrm>
        <a:graphic>
          <a:graphicData uri="http://schemas.openxmlformats.org/drawingml/2006/chart">
            <c:chart xmlns:c="http://schemas.openxmlformats.org/drawingml/2006/chart" xmlns:r="http://schemas.openxmlformats.org/officeDocument/2006/relationships" r:id="rId1"/>
          </a:graphicData>
        </a:graphic>
      </xdr:graphicFrame>
      <xdr:cxnSp macro="">
        <xdr:nvCxnSpPr>
          <xdr:cNvPr id="4" name="Straight Connector 3">
            <a:extLst>
              <a:ext uri="{FF2B5EF4-FFF2-40B4-BE49-F238E27FC236}">
                <a16:creationId xmlns:a16="http://schemas.microsoft.com/office/drawing/2014/main" id="{3557BE6A-D2DB-A34D-8189-CC8A617C507B}"/>
              </a:ext>
            </a:extLst>
          </xdr:cNvPr>
          <xdr:cNvCxnSpPr/>
        </xdr:nvCxnSpPr>
        <xdr:spPr>
          <a:xfrm flipV="1">
            <a:off x="6888480" y="3116580"/>
            <a:ext cx="3223260" cy="182880"/>
          </a:xfrm>
          <a:prstGeom prst="line">
            <a:avLst/>
          </a:prstGeom>
          <a:ln w="28575"/>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19</xdr:row>
      <xdr:rowOff>76835</xdr:rowOff>
    </xdr:from>
    <xdr:to>
      <xdr:col>5</xdr:col>
      <xdr:colOff>1085850</xdr:colOff>
      <xdr:row>34</xdr:row>
      <xdr:rowOff>57785</xdr:rowOff>
    </xdr:to>
    <xdr:graphicFrame macro="">
      <xdr:nvGraphicFramePr>
        <xdr:cNvPr id="2" name="Chart 1">
          <a:extLst>
            <a:ext uri="{FF2B5EF4-FFF2-40B4-BE49-F238E27FC236}">
              <a16:creationId xmlns:a16="http://schemas.microsoft.com/office/drawing/2014/main" id="{9E25AAEE-5FAD-4651-9BC5-E7199134BF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1</xdr:col>
      <xdr:colOff>19050</xdr:colOff>
      <xdr:row>49</xdr:row>
      <xdr:rowOff>76199</xdr:rowOff>
    </xdr:from>
    <xdr:to>
      <xdr:col>13</xdr:col>
      <xdr:colOff>71967</xdr:colOff>
      <xdr:row>96</xdr:row>
      <xdr:rowOff>160867</xdr:rowOff>
    </xdr:to>
    <xdr:graphicFrame macro="">
      <xdr:nvGraphicFramePr>
        <xdr:cNvPr id="2" name="Chart 1">
          <a:extLst>
            <a:ext uri="{FF2B5EF4-FFF2-40B4-BE49-F238E27FC236}">
              <a16:creationId xmlns:a16="http://schemas.microsoft.com/office/drawing/2014/main" id="{00000000-0008-0000-16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1</xdr:col>
      <xdr:colOff>19050</xdr:colOff>
      <xdr:row>49</xdr:row>
      <xdr:rowOff>76200</xdr:rowOff>
    </xdr:from>
    <xdr:to>
      <xdr:col>18</xdr:col>
      <xdr:colOff>230909</xdr:colOff>
      <xdr:row>94</xdr:row>
      <xdr:rowOff>127001</xdr:rowOff>
    </xdr:to>
    <xdr:graphicFrame macro="">
      <xdr:nvGraphicFramePr>
        <xdr:cNvPr id="2" name="Chart 1">
          <a:extLst>
            <a:ext uri="{FF2B5EF4-FFF2-40B4-BE49-F238E27FC236}">
              <a16:creationId xmlns:a16="http://schemas.microsoft.com/office/drawing/2014/main" id="{00000000-0008-0000-17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xdr:from>
      <xdr:col>1</xdr:col>
      <xdr:colOff>19050</xdr:colOff>
      <xdr:row>49</xdr:row>
      <xdr:rowOff>76200</xdr:rowOff>
    </xdr:from>
    <xdr:to>
      <xdr:col>18</xdr:col>
      <xdr:colOff>230909</xdr:colOff>
      <xdr:row>94</xdr:row>
      <xdr:rowOff>127001</xdr:rowOff>
    </xdr:to>
    <xdr:graphicFrame macro="">
      <xdr:nvGraphicFramePr>
        <xdr:cNvPr id="2" name="Chart 1">
          <a:extLst>
            <a:ext uri="{FF2B5EF4-FFF2-40B4-BE49-F238E27FC236}">
              <a16:creationId xmlns:a16="http://schemas.microsoft.com/office/drawing/2014/main" id="{00000000-0008-0000-18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5.xml><?xml version="1.0" encoding="utf-8"?>
<xdr:wsDr xmlns:xdr="http://schemas.openxmlformats.org/drawingml/2006/spreadsheetDrawing" xmlns:a="http://schemas.openxmlformats.org/drawingml/2006/main">
  <xdr:twoCellAnchor>
    <xdr:from>
      <xdr:col>4</xdr:col>
      <xdr:colOff>76200</xdr:colOff>
      <xdr:row>2</xdr:row>
      <xdr:rowOff>68580</xdr:rowOff>
    </xdr:from>
    <xdr:to>
      <xdr:col>15</xdr:col>
      <xdr:colOff>273050</xdr:colOff>
      <xdr:row>25</xdr:row>
      <xdr:rowOff>146050</xdr:rowOff>
    </xdr:to>
    <xdr:graphicFrame macro="">
      <xdr:nvGraphicFramePr>
        <xdr:cNvPr id="2" name="Chart 1">
          <a:extLst>
            <a:ext uri="{FF2B5EF4-FFF2-40B4-BE49-F238E27FC236}">
              <a16:creationId xmlns:a16="http://schemas.microsoft.com/office/drawing/2014/main" id="{00000000-0008-0000-19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childrencount.uct.ac.za/indicator.php?domain=2&amp;indicator=10"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healthcostinstitute.org/health-care-cost-and-utilization-report/annual-reports,"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
  <sheetViews>
    <sheetView workbookViewId="0">
      <selection activeCell="C29" sqref="C29"/>
    </sheetView>
  </sheetViews>
  <sheetFormatPr defaultRowHeight="14.4" x14ac:dyDescent="0.3"/>
  <cols>
    <col min="1" max="1" width="16.21875" bestFit="1" customWidth="1"/>
  </cols>
  <sheetData>
    <row r="1" spans="1:2" x14ac:dyDescent="0.3">
      <c r="A1" s="4" t="s">
        <v>13</v>
      </c>
    </row>
    <row r="4" spans="1:2" x14ac:dyDescent="0.3">
      <c r="A4" s="5" t="s">
        <v>33</v>
      </c>
    </row>
    <row r="5" spans="1:2" x14ac:dyDescent="0.3">
      <c r="A5" s="6" t="s">
        <v>26</v>
      </c>
      <c r="B5" t="s">
        <v>27</v>
      </c>
    </row>
    <row r="6" spans="1:2" x14ac:dyDescent="0.3">
      <c r="A6" s="6" t="s">
        <v>14</v>
      </c>
      <c r="B6" t="s">
        <v>15</v>
      </c>
    </row>
    <row r="7" spans="1:2" x14ac:dyDescent="0.3">
      <c r="A7" s="6" t="s">
        <v>10</v>
      </c>
      <c r="B7" t="s">
        <v>16</v>
      </c>
    </row>
    <row r="8" spans="1:2" x14ac:dyDescent="0.3">
      <c r="A8" s="6" t="s">
        <v>17</v>
      </c>
      <c r="B8" t="s">
        <v>19</v>
      </c>
    </row>
    <row r="9" spans="1:2" x14ac:dyDescent="0.3">
      <c r="A9" s="6" t="s">
        <v>12</v>
      </c>
      <c r="B9" t="s">
        <v>18</v>
      </c>
    </row>
    <row r="11" spans="1:2" x14ac:dyDescent="0.3">
      <c r="A11" s="10" t="s">
        <v>28</v>
      </c>
    </row>
    <row r="12" spans="1:2" x14ac:dyDescent="0.3">
      <c r="A12" t="s">
        <v>29</v>
      </c>
    </row>
    <row r="13" spans="1:2" x14ac:dyDescent="0.3">
      <c r="A13" t="s">
        <v>30</v>
      </c>
    </row>
  </sheetData>
  <pageMargins left="0.7" right="0.7" top="0.75" bottom="0.75" header="0.3" footer="0.3"/>
  <pageSetup paperSize="9"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26"/>
  <sheetViews>
    <sheetView topLeftCell="A64" workbookViewId="0">
      <selection activeCell="I84" sqref="I84"/>
    </sheetView>
  </sheetViews>
  <sheetFormatPr defaultRowHeight="14.4" x14ac:dyDescent="0.3"/>
  <sheetData>
    <row r="1" spans="1:1" s="19" customFormat="1" x14ac:dyDescent="0.3">
      <c r="A1" s="19" t="s">
        <v>90</v>
      </c>
    </row>
    <row r="3" spans="1:1" x14ac:dyDescent="0.3">
      <c r="A3" t="s">
        <v>91</v>
      </c>
    </row>
    <row r="4" spans="1:1" x14ac:dyDescent="0.3">
      <c r="A4" t="s">
        <v>92</v>
      </c>
    </row>
    <row r="5" spans="1:1" x14ac:dyDescent="0.3">
      <c r="A5" t="s">
        <v>93</v>
      </c>
    </row>
    <row r="6" spans="1:1" x14ac:dyDescent="0.3">
      <c r="A6" t="s">
        <v>94</v>
      </c>
    </row>
    <row r="7" spans="1:1" x14ac:dyDescent="0.3">
      <c r="A7" t="s">
        <v>95</v>
      </c>
    </row>
    <row r="9" spans="1:1" s="19" customFormat="1" x14ac:dyDescent="0.3">
      <c r="A9" s="19" t="s">
        <v>96</v>
      </c>
    </row>
    <row r="11" spans="1:1" x14ac:dyDescent="0.3">
      <c r="A11" t="s">
        <v>97</v>
      </c>
    </row>
    <row r="12" spans="1:1" x14ac:dyDescent="0.3">
      <c r="A12" t="s">
        <v>98</v>
      </c>
    </row>
    <row r="13" spans="1:1" x14ac:dyDescent="0.3">
      <c r="A13" t="s">
        <v>99</v>
      </c>
    </row>
    <row r="14" spans="1:1" x14ac:dyDescent="0.3">
      <c r="A14" t="s">
        <v>100</v>
      </c>
    </row>
    <row r="15" spans="1:1" x14ac:dyDescent="0.3">
      <c r="A15" t="s">
        <v>101</v>
      </c>
    </row>
    <row r="16" spans="1:1" x14ac:dyDescent="0.3">
      <c r="A16" t="s">
        <v>102</v>
      </c>
    </row>
    <row r="17" spans="1:1" x14ac:dyDescent="0.3">
      <c r="A17" t="s">
        <v>103</v>
      </c>
    </row>
    <row r="18" spans="1:1" x14ac:dyDescent="0.3">
      <c r="A18" t="s">
        <v>104</v>
      </c>
    </row>
    <row r="20" spans="1:1" s="19" customFormat="1" x14ac:dyDescent="0.3">
      <c r="A20" s="19" t="s">
        <v>105</v>
      </c>
    </row>
    <row r="22" spans="1:1" x14ac:dyDescent="0.3">
      <c r="A22" t="s">
        <v>106</v>
      </c>
    </row>
    <row r="23" spans="1:1" x14ac:dyDescent="0.3">
      <c r="A23" t="s">
        <v>107</v>
      </c>
    </row>
    <row r="24" spans="1:1" x14ac:dyDescent="0.3">
      <c r="A24" t="s">
        <v>108</v>
      </c>
    </row>
    <row r="25" spans="1:1" x14ac:dyDescent="0.3">
      <c r="A25" t="s">
        <v>109</v>
      </c>
    </row>
    <row r="26" spans="1:1" x14ac:dyDescent="0.3">
      <c r="A26" t="s">
        <v>110</v>
      </c>
    </row>
    <row r="27" spans="1:1" x14ac:dyDescent="0.3">
      <c r="A27" t="s">
        <v>111</v>
      </c>
    </row>
    <row r="28" spans="1:1" x14ac:dyDescent="0.3">
      <c r="A28" t="s">
        <v>112</v>
      </c>
    </row>
    <row r="29" spans="1:1" x14ac:dyDescent="0.3">
      <c r="A29" t="s">
        <v>113</v>
      </c>
    </row>
    <row r="30" spans="1:1" x14ac:dyDescent="0.3">
      <c r="A30" t="s">
        <v>114</v>
      </c>
    </row>
    <row r="31" spans="1:1" x14ac:dyDescent="0.3">
      <c r="A31" t="s">
        <v>115</v>
      </c>
    </row>
    <row r="32" spans="1:1" x14ac:dyDescent="0.3">
      <c r="A32" t="s">
        <v>116</v>
      </c>
    </row>
    <row r="33" spans="1:1" x14ac:dyDescent="0.3">
      <c r="A33" t="s">
        <v>117</v>
      </c>
    </row>
    <row r="34" spans="1:1" x14ac:dyDescent="0.3">
      <c r="A34" t="s">
        <v>118</v>
      </c>
    </row>
    <row r="35" spans="1:1" x14ac:dyDescent="0.3">
      <c r="A35" t="s">
        <v>119</v>
      </c>
    </row>
    <row r="37" spans="1:1" s="19" customFormat="1" x14ac:dyDescent="0.3">
      <c r="A37" s="19" t="s">
        <v>131</v>
      </c>
    </row>
    <row r="39" spans="1:1" x14ac:dyDescent="0.3">
      <c r="A39" t="s">
        <v>132</v>
      </c>
    </row>
    <row r="40" spans="1:1" x14ac:dyDescent="0.3">
      <c r="A40" t="s">
        <v>133</v>
      </c>
    </row>
    <row r="41" spans="1:1" x14ac:dyDescent="0.3">
      <c r="A41" t="s">
        <v>134</v>
      </c>
    </row>
    <row r="42" spans="1:1" x14ac:dyDescent="0.3">
      <c r="A42" t="s">
        <v>135</v>
      </c>
    </row>
    <row r="43" spans="1:1" x14ac:dyDescent="0.3">
      <c r="A43" t="s">
        <v>136</v>
      </c>
    </row>
    <row r="44" spans="1:1" x14ac:dyDescent="0.3">
      <c r="A44" t="s">
        <v>137</v>
      </c>
    </row>
    <row r="45" spans="1:1" x14ac:dyDescent="0.3">
      <c r="A45" t="s">
        <v>138</v>
      </c>
    </row>
    <row r="46" spans="1:1" x14ac:dyDescent="0.3">
      <c r="A46" t="s">
        <v>139</v>
      </c>
    </row>
    <row r="47" spans="1:1" x14ac:dyDescent="0.3">
      <c r="A47" t="s">
        <v>140</v>
      </c>
    </row>
    <row r="48" spans="1:1" x14ac:dyDescent="0.3">
      <c r="A48" t="s">
        <v>141</v>
      </c>
    </row>
    <row r="49" spans="1:1" x14ac:dyDescent="0.3">
      <c r="A49" t="s">
        <v>142</v>
      </c>
    </row>
    <row r="50" spans="1:1" x14ac:dyDescent="0.3">
      <c r="A50" t="s">
        <v>143</v>
      </c>
    </row>
    <row r="51" spans="1:1" x14ac:dyDescent="0.3">
      <c r="A51" t="s">
        <v>144</v>
      </c>
    </row>
    <row r="53" spans="1:1" x14ac:dyDescent="0.3">
      <c r="A53" t="s">
        <v>145</v>
      </c>
    </row>
    <row r="54" spans="1:1" x14ac:dyDescent="0.3">
      <c r="A54" t="s">
        <v>146</v>
      </c>
    </row>
    <row r="55" spans="1:1" x14ac:dyDescent="0.3">
      <c r="A55" t="s">
        <v>147</v>
      </c>
    </row>
    <row r="56" spans="1:1" x14ac:dyDescent="0.3">
      <c r="A56" t="s">
        <v>148</v>
      </c>
    </row>
    <row r="57" spans="1:1" x14ac:dyDescent="0.3">
      <c r="A57" t="s">
        <v>149</v>
      </c>
    </row>
    <row r="58" spans="1:1" x14ac:dyDescent="0.3">
      <c r="A58" t="s">
        <v>150</v>
      </c>
    </row>
    <row r="59" spans="1:1" x14ac:dyDescent="0.3">
      <c r="A59" t="s">
        <v>151</v>
      </c>
    </row>
    <row r="60" spans="1:1" x14ac:dyDescent="0.3">
      <c r="A60" t="s">
        <v>152</v>
      </c>
    </row>
    <row r="61" spans="1:1" x14ac:dyDescent="0.3">
      <c r="A61" t="s">
        <v>153</v>
      </c>
    </row>
    <row r="62" spans="1:1" x14ac:dyDescent="0.3">
      <c r="A62" t="s">
        <v>154</v>
      </c>
    </row>
    <row r="63" spans="1:1" x14ac:dyDescent="0.3">
      <c r="A63" t="s">
        <v>155</v>
      </c>
    </row>
    <row r="64" spans="1:1" x14ac:dyDescent="0.3">
      <c r="A64" t="s">
        <v>156</v>
      </c>
    </row>
    <row r="65" spans="1:1" x14ac:dyDescent="0.3">
      <c r="A65" t="s">
        <v>157</v>
      </c>
    </row>
    <row r="66" spans="1:1" x14ac:dyDescent="0.3">
      <c r="A66" t="s">
        <v>158</v>
      </c>
    </row>
    <row r="67" spans="1:1" x14ac:dyDescent="0.3">
      <c r="A67" t="s">
        <v>159</v>
      </c>
    </row>
    <row r="69" spans="1:1" s="36" customFormat="1" x14ac:dyDescent="0.3">
      <c r="A69" s="36" t="s">
        <v>173</v>
      </c>
    </row>
    <row r="71" spans="1:1" x14ac:dyDescent="0.3">
      <c r="A71" t="s">
        <v>174</v>
      </c>
    </row>
    <row r="72" spans="1:1" x14ac:dyDescent="0.3">
      <c r="A72" t="s">
        <v>175</v>
      </c>
    </row>
    <row r="73" spans="1:1" x14ac:dyDescent="0.3">
      <c r="A73" t="s">
        <v>176</v>
      </c>
    </row>
    <row r="74" spans="1:1" x14ac:dyDescent="0.3">
      <c r="A74" t="s">
        <v>177</v>
      </c>
    </row>
    <row r="75" spans="1:1" x14ac:dyDescent="0.3">
      <c r="A75" t="s">
        <v>178</v>
      </c>
    </row>
    <row r="76" spans="1:1" x14ac:dyDescent="0.3">
      <c r="A76" t="s">
        <v>179</v>
      </c>
    </row>
    <row r="77" spans="1:1" x14ac:dyDescent="0.3">
      <c r="A77" t="s">
        <v>180</v>
      </c>
    </row>
    <row r="78" spans="1:1" x14ac:dyDescent="0.3">
      <c r="A78" t="s">
        <v>181</v>
      </c>
    </row>
    <row r="79" spans="1:1" x14ac:dyDescent="0.3">
      <c r="A79" t="s">
        <v>182</v>
      </c>
    </row>
    <row r="80" spans="1:1" x14ac:dyDescent="0.3">
      <c r="A80" t="s">
        <v>183</v>
      </c>
    </row>
    <row r="81" spans="1:1" x14ac:dyDescent="0.3">
      <c r="A81" t="s">
        <v>184</v>
      </c>
    </row>
    <row r="82" spans="1:1" x14ac:dyDescent="0.3">
      <c r="A82" t="s">
        <v>185</v>
      </c>
    </row>
    <row r="83" spans="1:1" x14ac:dyDescent="0.3">
      <c r="A83" t="s">
        <v>186</v>
      </c>
    </row>
    <row r="84" spans="1:1" x14ac:dyDescent="0.3">
      <c r="A84" t="s">
        <v>187</v>
      </c>
    </row>
    <row r="85" spans="1:1" x14ac:dyDescent="0.3">
      <c r="A85" t="s">
        <v>188</v>
      </c>
    </row>
    <row r="86" spans="1:1" x14ac:dyDescent="0.3">
      <c r="A86" t="s">
        <v>189</v>
      </c>
    </row>
    <row r="87" spans="1:1" x14ac:dyDescent="0.3">
      <c r="A87" t="s">
        <v>190</v>
      </c>
    </row>
    <row r="88" spans="1:1" x14ac:dyDescent="0.3">
      <c r="A88" t="s">
        <v>191</v>
      </c>
    </row>
    <row r="90" spans="1:1" s="19" customFormat="1" x14ac:dyDescent="0.3">
      <c r="A90" s="19" t="s">
        <v>160</v>
      </c>
    </row>
    <row r="91" spans="1:1" x14ac:dyDescent="0.3">
      <c r="A91" t="s">
        <v>89</v>
      </c>
    </row>
    <row r="93" spans="1:1" s="19" customFormat="1" x14ac:dyDescent="0.3">
      <c r="A93" s="19" t="s">
        <v>120</v>
      </c>
    </row>
    <row r="95" spans="1:1" x14ac:dyDescent="0.3">
      <c r="A95" t="s">
        <v>121</v>
      </c>
    </row>
    <row r="96" spans="1:1" x14ac:dyDescent="0.3">
      <c r="A96" t="s">
        <v>122</v>
      </c>
    </row>
    <row r="97" spans="1:1" x14ac:dyDescent="0.3">
      <c r="A97" t="s">
        <v>123</v>
      </c>
    </row>
    <row r="98" spans="1:1" x14ac:dyDescent="0.3">
      <c r="A98" t="s">
        <v>124</v>
      </c>
    </row>
    <row r="99" spans="1:1" x14ac:dyDescent="0.3">
      <c r="A99" t="s">
        <v>125</v>
      </c>
    </row>
    <row r="100" spans="1:1" x14ac:dyDescent="0.3">
      <c r="A100" t="s">
        <v>126</v>
      </c>
    </row>
    <row r="101" spans="1:1" x14ac:dyDescent="0.3">
      <c r="A101" t="s">
        <v>127</v>
      </c>
    </row>
    <row r="102" spans="1:1" x14ac:dyDescent="0.3">
      <c r="A102" t="s">
        <v>128</v>
      </c>
    </row>
    <row r="103" spans="1:1" x14ac:dyDescent="0.3">
      <c r="A103" t="s">
        <v>129</v>
      </c>
    </row>
    <row r="104" spans="1:1" x14ac:dyDescent="0.3">
      <c r="A104" t="s">
        <v>130</v>
      </c>
    </row>
    <row r="106" spans="1:1" s="19" customFormat="1" x14ac:dyDescent="0.3">
      <c r="A106" s="19" t="s">
        <v>71</v>
      </c>
    </row>
    <row r="108" spans="1:1" x14ac:dyDescent="0.3">
      <c r="A108" t="s">
        <v>72</v>
      </c>
    </row>
    <row r="109" spans="1:1" x14ac:dyDescent="0.3">
      <c r="A109" t="s">
        <v>73</v>
      </c>
    </row>
    <row r="110" spans="1:1" x14ac:dyDescent="0.3">
      <c r="A110" t="s">
        <v>74</v>
      </c>
    </row>
    <row r="111" spans="1:1" x14ac:dyDescent="0.3">
      <c r="A111" t="s">
        <v>75</v>
      </c>
    </row>
    <row r="112" spans="1:1" x14ac:dyDescent="0.3">
      <c r="A112" t="s">
        <v>76</v>
      </c>
    </row>
    <row r="113" spans="1:1" x14ac:dyDescent="0.3">
      <c r="A113" t="s">
        <v>77</v>
      </c>
    </row>
    <row r="114" spans="1:1" x14ac:dyDescent="0.3">
      <c r="A114" t="s">
        <v>78</v>
      </c>
    </row>
    <row r="115" spans="1:1" x14ac:dyDescent="0.3">
      <c r="A115" t="s">
        <v>79</v>
      </c>
    </row>
    <row r="117" spans="1:1" x14ac:dyDescent="0.3">
      <c r="A117" t="s">
        <v>80</v>
      </c>
    </row>
    <row r="118" spans="1:1" x14ac:dyDescent="0.3">
      <c r="A118" t="s">
        <v>81</v>
      </c>
    </row>
    <row r="119" spans="1:1" x14ac:dyDescent="0.3">
      <c r="A119" t="s">
        <v>82</v>
      </c>
    </row>
    <row r="120" spans="1:1" x14ac:dyDescent="0.3">
      <c r="A120" t="s">
        <v>83</v>
      </c>
    </row>
    <row r="122" spans="1:1" x14ac:dyDescent="0.3">
      <c r="A122" t="s">
        <v>84</v>
      </c>
    </row>
    <row r="123" spans="1:1" x14ac:dyDescent="0.3">
      <c r="A123" t="s">
        <v>85</v>
      </c>
    </row>
    <row r="124" spans="1:1" x14ac:dyDescent="0.3">
      <c r="A124" t="s">
        <v>86</v>
      </c>
    </row>
    <row r="125" spans="1:1" x14ac:dyDescent="0.3">
      <c r="A125" t="s">
        <v>87</v>
      </c>
    </row>
    <row r="126" spans="1:1" x14ac:dyDescent="0.3">
      <c r="A126" t="s">
        <v>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32:A190"/>
  <sheetViews>
    <sheetView zoomScale="50" zoomScaleNormal="50" workbookViewId="0">
      <selection activeCell="V59" sqref="V59"/>
    </sheetView>
  </sheetViews>
  <sheetFormatPr defaultColWidth="8.88671875" defaultRowHeight="14.4" x14ac:dyDescent="0.3"/>
  <cols>
    <col min="1" max="16384" width="8.88671875" style="24"/>
  </cols>
  <sheetData>
    <row r="132" ht="17.399999999999999" customHeight="1" x14ac:dyDescent="0.3"/>
    <row r="186" ht="12.6" customHeight="1" x14ac:dyDescent="0.3"/>
    <row r="187" ht="12.6" customHeight="1" x14ac:dyDescent="0.3"/>
    <row r="188" ht="12.6" customHeight="1" x14ac:dyDescent="0.3"/>
    <row r="189" ht="12.6" customHeight="1" x14ac:dyDescent="0.3"/>
    <row r="190" ht="12.6" customHeight="1" x14ac:dyDescent="0.3"/>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148" zoomScale="50" zoomScaleNormal="50" workbookViewId="0">
      <selection activeCell="AC186" sqref="AC186"/>
    </sheetView>
  </sheetViews>
  <sheetFormatPr defaultColWidth="8.88671875" defaultRowHeight="14.4" x14ac:dyDescent="0.3"/>
  <cols>
    <col min="1" max="16384" width="8.88671875" style="24"/>
  </cols>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24"/>
  <sheetViews>
    <sheetView tabSelected="1" zoomScaleNormal="100" workbookViewId="0">
      <selection activeCell="B22" sqref="B22"/>
    </sheetView>
  </sheetViews>
  <sheetFormatPr defaultRowHeight="14.4" x14ac:dyDescent="0.3"/>
  <cols>
    <col min="1" max="1" width="27.21875" bestFit="1" customWidth="1"/>
    <col min="2" max="2" width="15.5546875" customWidth="1"/>
    <col min="6" max="6" width="12.109375" customWidth="1"/>
  </cols>
  <sheetData>
    <row r="1" spans="1:6" x14ac:dyDescent="0.3">
      <c r="A1" s="63" t="s">
        <v>270</v>
      </c>
    </row>
    <row r="2" spans="1:6" x14ac:dyDescent="0.3">
      <c r="A2" s="20" t="s">
        <v>44</v>
      </c>
      <c r="B2" s="20"/>
      <c r="C2" s="20"/>
      <c r="D2" t="s">
        <v>778</v>
      </c>
      <c r="E2" t="s">
        <v>779</v>
      </c>
      <c r="F2" s="20" t="s">
        <v>32</v>
      </c>
    </row>
    <row r="4" spans="1:6" x14ac:dyDescent="0.3">
      <c r="A4" t="s">
        <v>46</v>
      </c>
      <c r="B4" s="73">
        <v>59622350</v>
      </c>
      <c r="C4" s="73"/>
      <c r="F4" t="s">
        <v>344</v>
      </c>
    </row>
    <row r="5" spans="1:6" x14ac:dyDescent="0.3">
      <c r="A5" t="s">
        <v>47</v>
      </c>
      <c r="B5" s="73">
        <v>30493475</v>
      </c>
      <c r="C5" s="73"/>
      <c r="F5" t="s">
        <v>45</v>
      </c>
    </row>
    <row r="6" spans="1:6" x14ac:dyDescent="0.3">
      <c r="A6" t="s">
        <v>324</v>
      </c>
      <c r="B6" s="73">
        <v>899303</v>
      </c>
      <c r="F6" t="s">
        <v>340</v>
      </c>
    </row>
    <row r="7" spans="1:6" x14ac:dyDescent="0.3">
      <c r="A7" t="s">
        <v>342</v>
      </c>
      <c r="B7" s="73">
        <v>33899</v>
      </c>
      <c r="F7" t="s">
        <v>341</v>
      </c>
    </row>
    <row r="8" spans="1:6" x14ac:dyDescent="0.3">
      <c r="A8" t="s">
        <v>343</v>
      </c>
      <c r="B8" s="73">
        <f>B6-B7</f>
        <v>865404</v>
      </c>
      <c r="F8" t="s">
        <v>274</v>
      </c>
    </row>
    <row r="9" spans="1:6" x14ac:dyDescent="0.3">
      <c r="A9" t="s">
        <v>345</v>
      </c>
      <c r="B9" s="74">
        <v>62.5</v>
      </c>
      <c r="F9" t="s">
        <v>344</v>
      </c>
    </row>
    <row r="10" spans="1:6" x14ac:dyDescent="0.3">
      <c r="A10" t="s">
        <v>346</v>
      </c>
      <c r="B10" s="74">
        <v>68.5</v>
      </c>
      <c r="F10" t="s">
        <v>344</v>
      </c>
    </row>
    <row r="11" spans="1:6" x14ac:dyDescent="0.3">
      <c r="A11" t="s">
        <v>347</v>
      </c>
      <c r="B11" s="74">
        <f>(B9+B10)/2</f>
        <v>65.5</v>
      </c>
      <c r="F11" t="s">
        <v>274</v>
      </c>
    </row>
    <row r="12" spans="1:6" x14ac:dyDescent="0.3">
      <c r="A12" t="s">
        <v>53</v>
      </c>
      <c r="B12" s="74">
        <v>12992678</v>
      </c>
      <c r="C12" s="74"/>
      <c r="F12" s="74" t="s">
        <v>54</v>
      </c>
    </row>
    <row r="13" spans="1:6" x14ac:dyDescent="0.3">
      <c r="A13" t="s">
        <v>348</v>
      </c>
      <c r="B13" s="104">
        <v>1111572</v>
      </c>
      <c r="F13" t="s">
        <v>48</v>
      </c>
    </row>
    <row r="14" spans="1:6" x14ac:dyDescent="0.3">
      <c r="A14" t="s">
        <v>326</v>
      </c>
      <c r="B14" s="103">
        <v>22600399.895306885</v>
      </c>
      <c r="F14" t="s">
        <v>48</v>
      </c>
    </row>
    <row r="15" spans="1:6" x14ac:dyDescent="0.3">
      <c r="A15" t="s">
        <v>325</v>
      </c>
      <c r="B15" s="22">
        <v>0.83099999999999996</v>
      </c>
      <c r="C15" t="s">
        <v>350</v>
      </c>
      <c r="F15" t="s">
        <v>351</v>
      </c>
    </row>
    <row r="16" spans="1:6" x14ac:dyDescent="0.3">
      <c r="A16" t="s">
        <v>49</v>
      </c>
      <c r="B16" s="104">
        <f>(B13/B15)*1</f>
        <v>1337631.7689530686</v>
      </c>
      <c r="F16" t="s">
        <v>274</v>
      </c>
    </row>
    <row r="17" spans="1:6" x14ac:dyDescent="0.3">
      <c r="A17" t="s">
        <v>828</v>
      </c>
      <c r="B17" s="21">
        <v>0.25</v>
      </c>
      <c r="C17">
        <f>Total_pregnancies/100*25</f>
        <v>334407.94223826716</v>
      </c>
      <c r="D17" s="201"/>
      <c r="E17" s="201"/>
      <c r="F17" t="s">
        <v>830</v>
      </c>
    </row>
    <row r="18" spans="1:6" x14ac:dyDescent="0.3">
      <c r="A18" t="s">
        <v>829</v>
      </c>
      <c r="B18" s="75">
        <f>Total_pregnancies-C17</f>
        <v>1003223.8267148015</v>
      </c>
    </row>
    <row r="19" spans="1:6" x14ac:dyDescent="0.3">
      <c r="A19" t="s">
        <v>850</v>
      </c>
      <c r="B19" s="21">
        <v>0.44</v>
      </c>
      <c r="D19" s="201">
        <f>B19-(B19/2)</f>
        <v>0.22</v>
      </c>
      <c r="E19" s="201">
        <f>B19+(B19/2)</f>
        <v>0.66</v>
      </c>
      <c r="F19" t="s">
        <v>854</v>
      </c>
    </row>
    <row r="20" spans="1:6" x14ac:dyDescent="0.3">
      <c r="A20" t="s">
        <v>851</v>
      </c>
      <c r="B20">
        <f>South_African_births*B19</f>
        <v>441418.48375451268</v>
      </c>
      <c r="D20">
        <f>South_African_births*D19</f>
        <v>220709.24187725634</v>
      </c>
      <c r="E20">
        <f>South_African_births*E19</f>
        <v>662127.72563176905</v>
      </c>
    </row>
    <row r="21" spans="1:6" x14ac:dyDescent="0.3">
      <c r="A21" t="s">
        <v>852</v>
      </c>
      <c r="B21" s="22">
        <v>0.82599999999999996</v>
      </c>
      <c r="D21" s="201">
        <f>B21-(B21/2)</f>
        <v>0.41299999999999998</v>
      </c>
      <c r="E21" s="201">
        <v>1</v>
      </c>
      <c r="F21" t="s">
        <v>855</v>
      </c>
    </row>
    <row r="22" spans="1:6" x14ac:dyDescent="0.3">
      <c r="A22" t="s">
        <v>853</v>
      </c>
      <c r="B22">
        <f>B21*B20</f>
        <v>364611.66758122743</v>
      </c>
      <c r="D22">
        <f>B20*D21</f>
        <v>182305.83379061372</v>
      </c>
      <c r="E22">
        <f>B20*E21</f>
        <v>441418.48375451268</v>
      </c>
    </row>
    <row r="24" spans="1:6" x14ac:dyDescent="0.3">
      <c r="B24" s="22"/>
    </row>
  </sheetData>
  <hyperlinks>
    <hyperlink ref="F12" r:id="rId1" xr:uid="{00000000-0004-0000-0400-000000000000}"/>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87"/>
  <sheetViews>
    <sheetView zoomScaleNormal="100" workbookViewId="0">
      <pane ySplit="1" topLeftCell="A2" activePane="bottomLeft" state="frozen"/>
      <selection pane="bottomLeft" activeCell="D5" sqref="D5"/>
    </sheetView>
  </sheetViews>
  <sheetFormatPr defaultRowHeight="14.4" x14ac:dyDescent="0.3"/>
  <cols>
    <col min="1" max="1" width="48.21875" customWidth="1"/>
    <col min="2" max="2" width="14.33203125" style="42" bestFit="1" customWidth="1"/>
    <col min="3" max="3" width="14.33203125" bestFit="1" customWidth="1"/>
    <col min="4" max="4" width="17" bestFit="1" customWidth="1"/>
    <col min="5" max="5" width="78.33203125" bestFit="1" customWidth="1"/>
  </cols>
  <sheetData>
    <row r="1" spans="1:5" ht="43.2" x14ac:dyDescent="0.3">
      <c r="A1" s="62" t="s">
        <v>330</v>
      </c>
      <c r="B1" s="69" t="s">
        <v>216</v>
      </c>
      <c r="C1" s="34" t="s">
        <v>70</v>
      </c>
      <c r="D1" s="37" t="s">
        <v>69</v>
      </c>
      <c r="E1" s="34" t="s">
        <v>167</v>
      </c>
    </row>
    <row r="2" spans="1:5" x14ac:dyDescent="0.3">
      <c r="A2" s="19" t="s">
        <v>336</v>
      </c>
      <c r="B2" s="70"/>
      <c r="C2" s="19"/>
      <c r="D2" s="32"/>
      <c r="E2" s="71" t="s">
        <v>733</v>
      </c>
    </row>
    <row r="3" spans="1:5" x14ac:dyDescent="0.3">
      <c r="D3" s="32"/>
    </row>
    <row r="4" spans="1:5" x14ac:dyDescent="0.3">
      <c r="A4" s="35" t="s">
        <v>192</v>
      </c>
      <c r="B4" s="42">
        <v>460</v>
      </c>
      <c r="C4">
        <v>5</v>
      </c>
      <c r="D4" s="38">
        <f>B4*C4</f>
        <v>2300</v>
      </c>
      <c r="E4" t="s">
        <v>328</v>
      </c>
    </row>
    <row r="5" spans="1:5" x14ac:dyDescent="0.3">
      <c r="A5" s="35" t="s">
        <v>737</v>
      </c>
      <c r="B5" s="42">
        <v>460</v>
      </c>
      <c r="C5">
        <v>24</v>
      </c>
      <c r="D5" s="38">
        <f>B5*C5</f>
        <v>11040</v>
      </c>
    </row>
    <row r="6" spans="1:5" x14ac:dyDescent="0.3">
      <c r="A6" s="35"/>
      <c r="D6" s="38"/>
    </row>
    <row r="7" spans="1:5" x14ac:dyDescent="0.3">
      <c r="A7" s="19" t="s">
        <v>208</v>
      </c>
      <c r="B7" s="70"/>
      <c r="C7" s="19"/>
      <c r="D7" s="38"/>
    </row>
    <row r="8" spans="1:5" x14ac:dyDescent="0.3">
      <c r="D8" s="38"/>
    </row>
    <row r="9" spans="1:5" x14ac:dyDescent="0.3">
      <c r="A9" t="s">
        <v>209</v>
      </c>
      <c r="B9" s="42">
        <f>108+69</f>
        <v>177</v>
      </c>
      <c r="C9">
        <v>1</v>
      </c>
      <c r="D9" s="38">
        <f>B9*C9</f>
        <v>177</v>
      </c>
      <c r="E9" t="s">
        <v>233</v>
      </c>
    </row>
    <row r="10" spans="1:5" x14ac:dyDescent="0.3">
      <c r="D10" s="32"/>
    </row>
    <row r="11" spans="1:5" x14ac:dyDescent="0.3">
      <c r="A11" s="19" t="s">
        <v>3</v>
      </c>
      <c r="B11" s="70"/>
      <c r="C11" s="19"/>
      <c r="D11" s="32"/>
    </row>
    <row r="12" spans="1:5" x14ac:dyDescent="0.3">
      <c r="D12" s="32"/>
    </row>
    <row r="13" spans="1:5" x14ac:dyDescent="0.3">
      <c r="A13" t="s">
        <v>331</v>
      </c>
      <c r="B13" s="42">
        <f>(7*224)+224</f>
        <v>1792</v>
      </c>
      <c r="C13">
        <v>1</v>
      </c>
      <c r="D13" s="38">
        <f>B13*C13</f>
        <v>1792</v>
      </c>
      <c r="E13" t="s">
        <v>688</v>
      </c>
    </row>
    <row r="14" spans="1:5" x14ac:dyDescent="0.3">
      <c r="D14" s="32"/>
    </row>
    <row r="15" spans="1:5" x14ac:dyDescent="0.3">
      <c r="A15" s="19" t="s">
        <v>10</v>
      </c>
      <c r="B15" s="70"/>
      <c r="C15" s="19"/>
      <c r="D15" s="32"/>
    </row>
    <row r="16" spans="1:5" x14ac:dyDescent="0.3">
      <c r="D16" s="32"/>
    </row>
    <row r="17" spans="1:5" x14ac:dyDescent="0.3">
      <c r="A17" t="s">
        <v>234</v>
      </c>
      <c r="B17" s="42">
        <f>262+182</f>
        <v>444</v>
      </c>
      <c r="C17">
        <v>1</v>
      </c>
      <c r="D17" s="38">
        <f>B17*C17</f>
        <v>444</v>
      </c>
      <c r="E17" t="s">
        <v>235</v>
      </c>
    </row>
    <row r="18" spans="1:5" x14ac:dyDescent="0.3">
      <c r="A18" t="s">
        <v>732</v>
      </c>
      <c r="B18" s="42">
        <f>48</f>
        <v>48</v>
      </c>
      <c r="C18">
        <v>2</v>
      </c>
      <c r="D18" s="38">
        <f>B18*C18</f>
        <v>96</v>
      </c>
    </row>
    <row r="19" spans="1:5" x14ac:dyDescent="0.3">
      <c r="A19" t="s">
        <v>193</v>
      </c>
      <c r="B19" s="42">
        <f>((40.18/500)*20)/(1+$B$87)^(2021-2020)</f>
        <v>1.5513513513513513</v>
      </c>
      <c r="C19">
        <v>6</v>
      </c>
      <c r="D19" s="38">
        <f>B19*C19</f>
        <v>9.3081081081081081</v>
      </c>
      <c r="E19" t="s">
        <v>237</v>
      </c>
    </row>
    <row r="20" spans="1:5" x14ac:dyDescent="0.3">
      <c r="A20" t="s">
        <v>194</v>
      </c>
      <c r="B20" s="42">
        <f>4.6*(1+$B$87)^(2021-2020)</f>
        <v>4.7656000000000001</v>
      </c>
      <c r="C20">
        <v>6</v>
      </c>
      <c r="D20" s="38">
        <f t="shared" ref="D20:D77" si="0">B20*C20</f>
        <v>28.593600000000002</v>
      </c>
      <c r="E20" t="s">
        <v>236</v>
      </c>
    </row>
    <row r="21" spans="1:5" x14ac:dyDescent="0.3">
      <c r="D21" s="32"/>
    </row>
    <row r="22" spans="1:5" x14ac:dyDescent="0.3">
      <c r="A22" s="19" t="s">
        <v>716</v>
      </c>
      <c r="B22" s="70"/>
      <c r="C22" s="19"/>
      <c r="D22" s="32"/>
    </row>
    <row r="23" spans="1:5" x14ac:dyDescent="0.3">
      <c r="D23" s="32"/>
    </row>
    <row r="24" spans="1:5" x14ac:dyDescent="0.3">
      <c r="A24" t="s">
        <v>717</v>
      </c>
      <c r="B24" s="42">
        <f>(9490+807)*2</f>
        <v>20594</v>
      </c>
      <c r="C24">
        <f>54-C27</f>
        <v>46</v>
      </c>
      <c r="D24" s="38">
        <f t="shared" ref="D24:D29" si="1">B24*C24</f>
        <v>947324</v>
      </c>
      <c r="E24" t="s">
        <v>238</v>
      </c>
    </row>
    <row r="25" spans="1:5" x14ac:dyDescent="0.3">
      <c r="A25" t="s">
        <v>718</v>
      </c>
      <c r="B25" s="42">
        <f>(9490+807)*2</f>
        <v>20594</v>
      </c>
      <c r="C25">
        <f>21-C28</f>
        <v>13</v>
      </c>
      <c r="D25" s="38">
        <f t="shared" si="1"/>
        <v>267722</v>
      </c>
      <c r="E25" t="s">
        <v>238</v>
      </c>
    </row>
    <row r="26" spans="1:5" x14ac:dyDescent="0.3">
      <c r="A26" t="s">
        <v>719</v>
      </c>
      <c r="B26" s="42">
        <f>(9490+807)*2</f>
        <v>20594</v>
      </c>
      <c r="C26">
        <v>0</v>
      </c>
      <c r="D26" s="38">
        <f t="shared" si="1"/>
        <v>0</v>
      </c>
      <c r="E26" t="s">
        <v>238</v>
      </c>
    </row>
    <row r="27" spans="1:5" x14ac:dyDescent="0.3">
      <c r="A27" t="s">
        <v>720</v>
      </c>
      <c r="B27" s="42">
        <f>(2434+181)*2</f>
        <v>5230</v>
      </c>
      <c r="C27">
        <v>8</v>
      </c>
      <c r="D27" s="38">
        <f t="shared" si="1"/>
        <v>41840</v>
      </c>
      <c r="E27" t="s">
        <v>239</v>
      </c>
    </row>
    <row r="28" spans="1:5" x14ac:dyDescent="0.3">
      <c r="A28" t="s">
        <v>721</v>
      </c>
      <c r="B28" s="42">
        <f>(2434+181)*2</f>
        <v>5230</v>
      </c>
      <c r="C28">
        <v>8</v>
      </c>
      <c r="D28" s="38">
        <f t="shared" si="1"/>
        <v>41840</v>
      </c>
      <c r="E28" t="s">
        <v>239</v>
      </c>
    </row>
    <row r="29" spans="1:5" x14ac:dyDescent="0.3">
      <c r="A29" t="s">
        <v>722</v>
      </c>
      <c r="B29" s="42">
        <f>(2434+181)*2</f>
        <v>5230</v>
      </c>
      <c r="C29">
        <v>8</v>
      </c>
      <c r="D29" s="38">
        <f t="shared" si="1"/>
        <v>41840</v>
      </c>
      <c r="E29" t="s">
        <v>239</v>
      </c>
    </row>
    <row r="30" spans="1:5" x14ac:dyDescent="0.3">
      <c r="A30" t="s">
        <v>723</v>
      </c>
      <c r="B30" s="105" t="s">
        <v>724</v>
      </c>
      <c r="C30" s="40">
        <v>0.85</v>
      </c>
      <c r="D30" s="38"/>
    </row>
    <row r="31" spans="1:5" x14ac:dyDescent="0.3">
      <c r="A31" t="s">
        <v>725</v>
      </c>
      <c r="B31" s="105" t="s">
        <v>724</v>
      </c>
      <c r="C31" s="40">
        <f>30%*0.75+70%*0.3</f>
        <v>0.43499999999999994</v>
      </c>
      <c r="D31" s="38"/>
    </row>
    <row r="32" spans="1:5" x14ac:dyDescent="0.3">
      <c r="A32" t="s">
        <v>726</v>
      </c>
      <c r="B32" s="105" t="s">
        <v>724</v>
      </c>
      <c r="C32" s="40">
        <v>0.03</v>
      </c>
      <c r="D32" s="38"/>
    </row>
    <row r="33" spans="1:5" x14ac:dyDescent="0.3">
      <c r="A33" t="s">
        <v>727</v>
      </c>
      <c r="B33" s="105" t="s">
        <v>724</v>
      </c>
      <c r="C33" s="40">
        <v>0.17</v>
      </c>
      <c r="D33" s="38"/>
    </row>
    <row r="34" spans="1:5" x14ac:dyDescent="0.3">
      <c r="A34" t="s">
        <v>728</v>
      </c>
      <c r="B34" s="105" t="s">
        <v>724</v>
      </c>
      <c r="C34" s="40">
        <f>1-C33</f>
        <v>0.83</v>
      </c>
      <c r="D34" s="38"/>
    </row>
    <row r="35" spans="1:5" x14ac:dyDescent="0.3">
      <c r="D35" s="38"/>
    </row>
    <row r="36" spans="1:5" x14ac:dyDescent="0.3">
      <c r="A36" s="19" t="s">
        <v>9</v>
      </c>
      <c r="B36" s="70"/>
      <c r="C36" s="19"/>
      <c r="D36" s="32"/>
    </row>
    <row r="37" spans="1:5" x14ac:dyDescent="0.3">
      <c r="D37" s="32"/>
    </row>
    <row r="38" spans="1:5" x14ac:dyDescent="0.3">
      <c r="A38" t="s">
        <v>734</v>
      </c>
      <c r="B38" s="42">
        <f>48</f>
        <v>48</v>
      </c>
      <c r="C38">
        <v>1</v>
      </c>
      <c r="D38" s="38">
        <f t="shared" si="0"/>
        <v>48</v>
      </c>
    </row>
    <row r="39" spans="1:5" x14ac:dyDescent="0.3">
      <c r="A39" t="s">
        <v>169</v>
      </c>
      <c r="B39" s="42">
        <f>1388*(1+$B$87)^(2021-2011)</f>
        <v>1976.9105551673285</v>
      </c>
      <c r="C39">
        <v>2</v>
      </c>
      <c r="D39" s="38">
        <f t="shared" si="0"/>
        <v>3953.8211103346571</v>
      </c>
      <c r="E39" t="s">
        <v>736</v>
      </c>
    </row>
    <row r="40" spans="1:5" x14ac:dyDescent="0.3">
      <c r="A40" t="s">
        <v>168</v>
      </c>
      <c r="B40" s="42">
        <f>((300*B81)*(1+$B$87)^(2021-2003))</f>
        <v>8379.7890378709799</v>
      </c>
      <c r="C40">
        <v>1</v>
      </c>
      <c r="D40" s="38">
        <f t="shared" si="0"/>
        <v>8379.7890378709799</v>
      </c>
      <c r="E40" t="s">
        <v>735</v>
      </c>
    </row>
    <row r="41" spans="1:5" x14ac:dyDescent="0.3">
      <c r="A41" s="35" t="s">
        <v>170</v>
      </c>
      <c r="B41" s="42">
        <f>729+572</f>
        <v>1301</v>
      </c>
      <c r="C41">
        <v>14</v>
      </c>
      <c r="D41" s="38">
        <f t="shared" si="0"/>
        <v>18214</v>
      </c>
      <c r="E41" t="s">
        <v>250</v>
      </c>
    </row>
    <row r="42" spans="1:5" x14ac:dyDescent="0.3">
      <c r="D42" s="32"/>
    </row>
    <row r="43" spans="1:5" x14ac:dyDescent="0.3">
      <c r="A43" s="19" t="s">
        <v>161</v>
      </c>
      <c r="B43" s="70"/>
      <c r="C43" s="19"/>
      <c r="D43" s="32"/>
    </row>
    <row r="44" spans="1:5" x14ac:dyDescent="0.3">
      <c r="D44" s="32"/>
    </row>
    <row r="45" spans="1:5" x14ac:dyDescent="0.3">
      <c r="A45" t="s">
        <v>240</v>
      </c>
      <c r="B45" s="42">
        <f>425*2</f>
        <v>850</v>
      </c>
      <c r="C45">
        <v>2</v>
      </c>
      <c r="D45" s="38">
        <f t="shared" si="0"/>
        <v>1700</v>
      </c>
      <c r="E45" t="s">
        <v>241</v>
      </c>
    </row>
    <row r="46" spans="1:5" x14ac:dyDescent="0.3">
      <c r="A46" t="s">
        <v>195</v>
      </c>
      <c r="B46" s="42">
        <f>43</f>
        <v>43</v>
      </c>
      <c r="C46">
        <v>8</v>
      </c>
      <c r="D46" s="38">
        <f t="shared" si="0"/>
        <v>344</v>
      </c>
      <c r="E46" t="s">
        <v>243</v>
      </c>
    </row>
    <row r="47" spans="1:5" x14ac:dyDescent="0.3">
      <c r="A47" s="21" t="s">
        <v>197</v>
      </c>
      <c r="B47" s="42">
        <f>(14.89*(1+$B$87)^(2021-2020))+48</f>
        <v>63.42604</v>
      </c>
      <c r="C47">
        <v>10</v>
      </c>
      <c r="D47" s="38">
        <f t="shared" si="0"/>
        <v>634.2604</v>
      </c>
      <c r="E47" t="s">
        <v>244</v>
      </c>
    </row>
    <row r="48" spans="1:5" x14ac:dyDescent="0.3">
      <c r="A48" s="21" t="s">
        <v>196</v>
      </c>
      <c r="B48" s="42">
        <v>43</v>
      </c>
      <c r="C48">
        <v>6</v>
      </c>
      <c r="D48" s="38">
        <f t="shared" si="0"/>
        <v>258</v>
      </c>
      <c r="E48" t="s">
        <v>242</v>
      </c>
    </row>
    <row r="49" spans="1:5" x14ac:dyDescent="0.3">
      <c r="D49" s="32"/>
    </row>
    <row r="50" spans="1:5" x14ac:dyDescent="0.3">
      <c r="A50" s="19" t="s">
        <v>160</v>
      </c>
      <c r="B50" s="70"/>
      <c r="C50" s="19"/>
      <c r="D50" s="32"/>
    </row>
    <row r="51" spans="1:5" x14ac:dyDescent="0.3">
      <c r="D51" s="32"/>
    </row>
    <row r="52" spans="1:5" x14ac:dyDescent="0.3">
      <c r="A52" t="s">
        <v>120</v>
      </c>
      <c r="B52" s="42">
        <f>447+273</f>
        <v>720</v>
      </c>
      <c r="C52">
        <v>3</v>
      </c>
      <c r="D52" s="38">
        <f t="shared" si="0"/>
        <v>2160</v>
      </c>
      <c r="E52" t="s">
        <v>245</v>
      </c>
    </row>
    <row r="53" spans="1:5" x14ac:dyDescent="0.3">
      <c r="A53" t="s">
        <v>162</v>
      </c>
      <c r="B53" s="42">
        <f>130+277</f>
        <v>407</v>
      </c>
      <c r="C53">
        <v>1</v>
      </c>
      <c r="D53" s="38">
        <f t="shared" si="0"/>
        <v>407</v>
      </c>
      <c r="E53" t="s">
        <v>246</v>
      </c>
    </row>
    <row r="54" spans="1:5" x14ac:dyDescent="0.3">
      <c r="D54" s="38"/>
    </row>
    <row r="55" spans="1:5" x14ac:dyDescent="0.3">
      <c r="A55" s="19" t="s">
        <v>221</v>
      </c>
      <c r="B55" s="70"/>
      <c r="C55" s="19"/>
      <c r="D55" s="38"/>
    </row>
    <row r="56" spans="1:5" x14ac:dyDescent="0.3">
      <c r="D56" s="38"/>
    </row>
    <row r="57" spans="1:5" x14ac:dyDescent="0.3">
      <c r="A57" t="s">
        <v>254</v>
      </c>
      <c r="B57" s="42">
        <f>1055+(91*2)</f>
        <v>1237</v>
      </c>
      <c r="C57">
        <v>2</v>
      </c>
      <c r="D57" s="38">
        <f t="shared" si="0"/>
        <v>2474</v>
      </c>
      <c r="E57" t="s">
        <v>255</v>
      </c>
    </row>
    <row r="58" spans="1:5" x14ac:dyDescent="0.3">
      <c r="A58" t="s">
        <v>227</v>
      </c>
      <c r="B58" s="42">
        <f>729+572</f>
        <v>1301</v>
      </c>
      <c r="C58">
        <v>28</v>
      </c>
      <c r="D58" s="38">
        <f t="shared" si="0"/>
        <v>36428</v>
      </c>
      <c r="E58" t="s">
        <v>250</v>
      </c>
    </row>
    <row r="59" spans="1:5" x14ac:dyDescent="0.3">
      <c r="A59" t="s">
        <v>229</v>
      </c>
      <c r="B59" s="42">
        <f>48+(242.89*(1+$B$87)^(2021-2020))</f>
        <v>299.63404000000003</v>
      </c>
      <c r="C59">
        <v>9</v>
      </c>
      <c r="D59" s="38">
        <f t="shared" si="0"/>
        <v>2696.7063600000001</v>
      </c>
      <c r="E59" t="s">
        <v>253</v>
      </c>
    </row>
    <row r="60" spans="1:5" x14ac:dyDescent="0.3">
      <c r="A60" t="s">
        <v>228</v>
      </c>
      <c r="B60" s="42">
        <f>48+(((15.08/700)*4)*(1+$B$87)^(2021-2020))</f>
        <v>48.089273599999999</v>
      </c>
      <c r="C60">
        <v>9</v>
      </c>
      <c r="D60" s="38">
        <f t="shared" si="0"/>
        <v>432.8034624</v>
      </c>
      <c r="E60" t="s">
        <v>253</v>
      </c>
    </row>
    <row r="61" spans="1:5" x14ac:dyDescent="0.3">
      <c r="A61" t="s">
        <v>230</v>
      </c>
      <c r="B61" s="42">
        <f>48+((44.04+125.51)*(1+$B$87)^(2021-2020))</f>
        <v>223.65380000000002</v>
      </c>
      <c r="C61">
        <v>1</v>
      </c>
      <c r="D61" s="38">
        <f t="shared" si="0"/>
        <v>223.65380000000002</v>
      </c>
      <c r="E61" t="s">
        <v>329</v>
      </c>
    </row>
    <row r="62" spans="1:5" x14ac:dyDescent="0.3">
      <c r="A62" t="s">
        <v>231</v>
      </c>
      <c r="B62" s="42">
        <f>48+(6.33*(1+$B$87)^(2021-2020))</f>
        <v>54.557879999999997</v>
      </c>
      <c r="C62">
        <v>6</v>
      </c>
      <c r="D62" s="38">
        <f t="shared" si="0"/>
        <v>327.34727999999996</v>
      </c>
      <c r="E62" t="s">
        <v>253</v>
      </c>
    </row>
    <row r="63" spans="1:5" x14ac:dyDescent="0.3">
      <c r="D63" s="38"/>
    </row>
    <row r="64" spans="1:5" x14ac:dyDescent="0.3">
      <c r="A64" s="19" t="s">
        <v>225</v>
      </c>
      <c r="B64" s="70"/>
      <c r="C64" s="19"/>
      <c r="D64" s="38"/>
    </row>
    <row r="65" spans="1:5" x14ac:dyDescent="0.3">
      <c r="D65" s="38"/>
    </row>
    <row r="66" spans="1:5" x14ac:dyDescent="0.3">
      <c r="A66" t="s">
        <v>251</v>
      </c>
      <c r="B66" s="42">
        <f>130+71</f>
        <v>201</v>
      </c>
      <c r="C66">
        <v>19</v>
      </c>
      <c r="D66" s="38">
        <f t="shared" si="0"/>
        <v>3819</v>
      </c>
      <c r="E66" t="s">
        <v>252</v>
      </c>
    </row>
    <row r="67" spans="1:5" x14ac:dyDescent="0.3">
      <c r="D67" s="38"/>
    </row>
    <row r="68" spans="1:5" x14ac:dyDescent="0.3">
      <c r="A68" s="19" t="s">
        <v>163</v>
      </c>
      <c r="B68" s="70"/>
      <c r="C68" s="19"/>
      <c r="D68" s="38"/>
    </row>
    <row r="69" spans="1:5" x14ac:dyDescent="0.3">
      <c r="D69" s="38"/>
    </row>
    <row r="70" spans="1:5" x14ac:dyDescent="0.3">
      <c r="A70" s="35" t="s">
        <v>247</v>
      </c>
      <c r="B70" s="42">
        <f>130+277</f>
        <v>407</v>
      </c>
      <c r="C70">
        <v>1</v>
      </c>
      <c r="D70" s="38">
        <f t="shared" si="0"/>
        <v>407</v>
      </c>
      <c r="E70" t="s">
        <v>249</v>
      </c>
    </row>
    <row r="71" spans="1:5" x14ac:dyDescent="0.3">
      <c r="A71" s="35" t="s">
        <v>171</v>
      </c>
      <c r="B71" s="42">
        <f>130+120</f>
        <v>250</v>
      </c>
      <c r="C71">
        <v>2</v>
      </c>
      <c r="D71" s="38">
        <f t="shared" si="0"/>
        <v>500</v>
      </c>
      <c r="E71" t="s">
        <v>166</v>
      </c>
    </row>
    <row r="72" spans="1:5" x14ac:dyDescent="0.3">
      <c r="A72" s="35" t="s">
        <v>172</v>
      </c>
      <c r="B72" s="42">
        <f>108+69</f>
        <v>177</v>
      </c>
      <c r="C72">
        <v>19</v>
      </c>
      <c r="D72" s="38">
        <f t="shared" si="0"/>
        <v>3363</v>
      </c>
      <c r="E72" t="s">
        <v>248</v>
      </c>
    </row>
    <row r="73" spans="1:5" ht="16.5" customHeight="1" x14ac:dyDescent="0.3">
      <c r="D73" s="38"/>
    </row>
    <row r="74" spans="1:5" hidden="1" x14ac:dyDescent="0.3">
      <c r="A74" s="19" t="s">
        <v>277</v>
      </c>
      <c r="B74" s="70"/>
      <c r="C74" s="19"/>
      <c r="D74" s="38"/>
    </row>
    <row r="75" spans="1:5" hidden="1" x14ac:dyDescent="0.3">
      <c r="D75" s="38"/>
    </row>
    <row r="76" spans="1:5" hidden="1" x14ac:dyDescent="0.3">
      <c r="A76" t="s">
        <v>275</v>
      </c>
      <c r="B76" s="42">
        <f>(272.45*B81)*(1+B85)^(2020-2019)</f>
        <v>492838.31415600004</v>
      </c>
      <c r="C76">
        <v>1</v>
      </c>
      <c r="D76" s="38">
        <f t="shared" si="0"/>
        <v>492838.31415600004</v>
      </c>
      <c r="E76" s="64" t="s">
        <v>335</v>
      </c>
    </row>
    <row r="77" spans="1:5" ht="31.95" hidden="1" customHeight="1" x14ac:dyDescent="0.3">
      <c r="A77" t="s">
        <v>276</v>
      </c>
      <c r="B77" s="42">
        <f>(1215.65*B81)*(1+B85)^(2020-2019)</f>
        <v>2199004.9425720004</v>
      </c>
      <c r="C77">
        <v>1</v>
      </c>
      <c r="D77" s="38">
        <f t="shared" si="0"/>
        <v>2199004.9425720004</v>
      </c>
      <c r="E77" t="s">
        <v>334</v>
      </c>
    </row>
    <row r="78" spans="1:5" ht="39" hidden="1" customHeight="1" x14ac:dyDescent="0.3">
      <c r="D78" s="38"/>
    </row>
    <row r="79" spans="1:5" x14ac:dyDescent="0.3">
      <c r="A79" s="19" t="s">
        <v>332</v>
      </c>
      <c r="B79" s="70"/>
      <c r="C79" s="19"/>
      <c r="D79" s="38"/>
    </row>
    <row r="80" spans="1:5" x14ac:dyDescent="0.3">
      <c r="D80" s="38"/>
    </row>
    <row r="81" spans="1:5" x14ac:dyDescent="0.3">
      <c r="A81" t="s">
        <v>731</v>
      </c>
      <c r="B81" s="42">
        <v>14.778700000000001</v>
      </c>
      <c r="D81" s="38"/>
      <c r="E81" t="s">
        <v>333</v>
      </c>
    </row>
    <row r="82" spans="1:5" x14ac:dyDescent="0.3">
      <c r="A82" s="42"/>
      <c r="D82" s="38"/>
    </row>
    <row r="83" spans="1:5" x14ac:dyDescent="0.3">
      <c r="A83" s="19" t="s">
        <v>338</v>
      </c>
      <c r="B83" s="19"/>
      <c r="C83" s="19"/>
      <c r="D83" s="38"/>
    </row>
    <row r="84" spans="1:5" x14ac:dyDescent="0.3">
      <c r="D84" s="38"/>
    </row>
    <row r="85" spans="1:5" x14ac:dyDescent="0.3">
      <c r="A85" s="106">
        <v>44075</v>
      </c>
      <c r="B85">
        <v>121.4</v>
      </c>
      <c r="D85" s="38"/>
      <c r="E85" t="s">
        <v>337</v>
      </c>
    </row>
    <row r="86" spans="1:5" x14ac:dyDescent="0.3">
      <c r="A86" s="106">
        <v>44440</v>
      </c>
      <c r="B86">
        <v>125.8</v>
      </c>
      <c r="D86" s="38"/>
      <c r="E86" t="s">
        <v>337</v>
      </c>
    </row>
    <row r="87" spans="1:5" x14ac:dyDescent="0.3">
      <c r="A87" t="s">
        <v>730</v>
      </c>
      <c r="B87" s="40">
        <v>3.5999999999999997E-2</v>
      </c>
      <c r="D87" s="38"/>
      <c r="E87" t="s">
        <v>337</v>
      </c>
    </row>
  </sheetData>
  <hyperlinks>
    <hyperlink ref="E76" r:id="rId1" xr:uid="{00000000-0004-0000-0500-000000000000}"/>
  </hyperlinks>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71"/>
  <sheetViews>
    <sheetView topLeftCell="A4" workbookViewId="0">
      <selection activeCell="E17" sqref="E17"/>
    </sheetView>
  </sheetViews>
  <sheetFormatPr defaultRowHeight="14.4" x14ac:dyDescent="0.3"/>
  <cols>
    <col min="1" max="1" width="19.6640625" bestFit="1" customWidth="1"/>
    <col min="2" max="2" width="12" bestFit="1" customWidth="1"/>
  </cols>
  <sheetData>
    <row r="1" spans="1:8" x14ac:dyDescent="0.3">
      <c r="A1" s="39" t="s">
        <v>198</v>
      </c>
      <c r="B1" s="39"/>
    </row>
    <row r="2" spans="1:8" x14ac:dyDescent="0.3">
      <c r="C2" t="s">
        <v>32</v>
      </c>
    </row>
    <row r="3" spans="1:8" x14ac:dyDescent="0.3">
      <c r="A3" s="19" t="s">
        <v>199</v>
      </c>
      <c r="B3" s="19"/>
      <c r="C3" s="19"/>
      <c r="F3" s="19" t="s">
        <v>218</v>
      </c>
      <c r="G3" s="19" t="s">
        <v>219</v>
      </c>
      <c r="H3" s="19" t="s">
        <v>52</v>
      </c>
    </row>
    <row r="4" spans="1:8" x14ac:dyDescent="0.3">
      <c r="F4">
        <v>1</v>
      </c>
      <c r="G4">
        <v>1</v>
      </c>
      <c r="H4">
        <f>DR</f>
        <v>0.05</v>
      </c>
    </row>
    <row r="5" spans="1:8" x14ac:dyDescent="0.3">
      <c r="A5" t="s">
        <v>56</v>
      </c>
      <c r="B5">
        <f>G70</f>
        <v>20.119123842489589</v>
      </c>
      <c r="C5" t="s">
        <v>57</v>
      </c>
      <c r="F5">
        <v>2</v>
      </c>
      <c r="G5">
        <f>1/(1+$H$4)^F4</f>
        <v>0.95238095238095233</v>
      </c>
    </row>
    <row r="6" spans="1:8" x14ac:dyDescent="0.3">
      <c r="A6" t="s">
        <v>68</v>
      </c>
      <c r="B6">
        <f>G71</f>
        <v>20.16107032618056</v>
      </c>
      <c r="C6" t="s">
        <v>57</v>
      </c>
      <c r="F6">
        <v>3</v>
      </c>
      <c r="G6">
        <f t="shared" ref="G6:G69" si="0">1/(1+$H$4)^F5</f>
        <v>0.90702947845804982</v>
      </c>
    </row>
    <row r="7" spans="1:8" x14ac:dyDescent="0.3">
      <c r="F7">
        <v>4</v>
      </c>
      <c r="G7">
        <f t="shared" si="0"/>
        <v>0.86383759853147601</v>
      </c>
    </row>
    <row r="8" spans="1:8" x14ac:dyDescent="0.3">
      <c r="A8" s="19" t="s">
        <v>200</v>
      </c>
      <c r="B8" s="19"/>
      <c r="C8" s="19"/>
      <c r="F8">
        <v>5</v>
      </c>
      <c r="G8">
        <f t="shared" si="0"/>
        <v>0.82270247479188197</v>
      </c>
    </row>
    <row r="9" spans="1:8" x14ac:dyDescent="0.3">
      <c r="F9">
        <v>6</v>
      </c>
      <c r="G9">
        <f t="shared" si="0"/>
        <v>0.78352616646845896</v>
      </c>
    </row>
    <row r="10" spans="1:8" x14ac:dyDescent="0.3">
      <c r="A10" t="s">
        <v>9</v>
      </c>
      <c r="B10" s="40" t="e">
        <f>Parameters!#REF!</f>
        <v>#REF!</v>
      </c>
      <c r="F10">
        <v>7</v>
      </c>
      <c r="G10">
        <f t="shared" si="0"/>
        <v>0.74621539663662761</v>
      </c>
    </row>
    <row r="11" spans="1:8" x14ac:dyDescent="0.3">
      <c r="A11" t="s">
        <v>161</v>
      </c>
      <c r="B11" s="40" t="e">
        <f>25%*Parameters!#REF!</f>
        <v>#REF!</v>
      </c>
      <c r="F11">
        <v>8</v>
      </c>
      <c r="G11">
        <f t="shared" si="0"/>
        <v>0.71068133013012147</v>
      </c>
    </row>
    <row r="12" spans="1:8" x14ac:dyDescent="0.3">
      <c r="F12">
        <v>9</v>
      </c>
      <c r="G12">
        <f t="shared" si="0"/>
        <v>0.67683936202868722</v>
      </c>
    </row>
    <row r="13" spans="1:8" x14ac:dyDescent="0.3">
      <c r="A13" s="19" t="s">
        <v>211</v>
      </c>
      <c r="B13" s="19"/>
      <c r="C13" s="19"/>
      <c r="F13">
        <v>10</v>
      </c>
      <c r="G13">
        <f t="shared" si="0"/>
        <v>0.64460891621779726</v>
      </c>
    </row>
    <row r="14" spans="1:8" x14ac:dyDescent="0.3">
      <c r="F14">
        <v>11</v>
      </c>
      <c r="G14">
        <f t="shared" si="0"/>
        <v>0.61391325354075932</v>
      </c>
    </row>
    <row r="15" spans="1:8" x14ac:dyDescent="0.3">
      <c r="A15" t="s">
        <v>9</v>
      </c>
      <c r="B15" s="40" t="e">
        <f>Parameters!#REF!</f>
        <v>#REF!</v>
      </c>
      <c r="F15">
        <v>12</v>
      </c>
      <c r="G15">
        <f t="shared" si="0"/>
        <v>0.5846792890864374</v>
      </c>
    </row>
    <row r="16" spans="1:8" x14ac:dyDescent="0.3">
      <c r="A16" t="s">
        <v>161</v>
      </c>
      <c r="B16" s="40" t="e">
        <f>Parameters!#REF!</f>
        <v>#REF!</v>
      </c>
      <c r="F16">
        <v>13</v>
      </c>
      <c r="G16">
        <f t="shared" si="0"/>
        <v>0.5568374181775595</v>
      </c>
    </row>
    <row r="17" spans="1:7" x14ac:dyDescent="0.3">
      <c r="F17">
        <v>14</v>
      </c>
      <c r="G17">
        <f t="shared" si="0"/>
        <v>0.53032135064529462</v>
      </c>
    </row>
    <row r="18" spans="1:7" x14ac:dyDescent="0.3">
      <c r="A18" s="19" t="s">
        <v>212</v>
      </c>
      <c r="B18" s="19"/>
      <c r="C18" s="19"/>
      <c r="F18">
        <v>15</v>
      </c>
      <c r="G18">
        <f t="shared" si="0"/>
        <v>0.50506795299551888</v>
      </c>
    </row>
    <row r="19" spans="1:7" x14ac:dyDescent="0.3">
      <c r="F19">
        <v>16</v>
      </c>
      <c r="G19">
        <f t="shared" si="0"/>
        <v>0.48101709809097021</v>
      </c>
    </row>
    <row r="20" spans="1:7" x14ac:dyDescent="0.3">
      <c r="A20" t="s">
        <v>9</v>
      </c>
      <c r="F20">
        <v>17</v>
      </c>
      <c r="G20">
        <f t="shared" si="0"/>
        <v>0.45811152199140021</v>
      </c>
    </row>
    <row r="21" spans="1:7" x14ac:dyDescent="0.3">
      <c r="A21" t="s">
        <v>222</v>
      </c>
      <c r="B21">
        <v>0.31</v>
      </c>
      <c r="F21">
        <v>18</v>
      </c>
      <c r="G21">
        <f t="shared" si="0"/>
        <v>0.43629668761085727</v>
      </c>
    </row>
    <row r="22" spans="1:7" x14ac:dyDescent="0.3">
      <c r="F22">
        <v>19</v>
      </c>
      <c r="G22">
        <f t="shared" si="0"/>
        <v>0.41552065486748313</v>
      </c>
    </row>
    <row r="23" spans="1:7" x14ac:dyDescent="0.3">
      <c r="A23" s="19" t="s">
        <v>213</v>
      </c>
      <c r="B23" s="19"/>
      <c r="C23" s="19"/>
      <c r="F23">
        <v>20</v>
      </c>
      <c r="G23">
        <f t="shared" si="0"/>
        <v>0.39573395701665059</v>
      </c>
    </row>
    <row r="24" spans="1:7" x14ac:dyDescent="0.3">
      <c r="F24">
        <v>21</v>
      </c>
      <c r="G24">
        <f t="shared" si="0"/>
        <v>0.37688948287300061</v>
      </c>
    </row>
    <row r="25" spans="1:7" x14ac:dyDescent="0.3">
      <c r="A25" t="s">
        <v>9</v>
      </c>
      <c r="F25">
        <v>22</v>
      </c>
      <c r="G25">
        <f t="shared" si="0"/>
        <v>0.35894236464095297</v>
      </c>
    </row>
    <row r="26" spans="1:7" x14ac:dyDescent="0.3">
      <c r="A26" t="s">
        <v>161</v>
      </c>
      <c r="F26">
        <v>23</v>
      </c>
      <c r="G26">
        <f t="shared" si="0"/>
        <v>0.3418498710866219</v>
      </c>
    </row>
    <row r="27" spans="1:7" x14ac:dyDescent="0.3">
      <c r="F27">
        <v>24</v>
      </c>
      <c r="G27">
        <f t="shared" si="0"/>
        <v>0.32557130579678267</v>
      </c>
    </row>
    <row r="28" spans="1:7" x14ac:dyDescent="0.3">
      <c r="F28">
        <v>25</v>
      </c>
      <c r="G28">
        <f t="shared" si="0"/>
        <v>0.31006791028265024</v>
      </c>
    </row>
    <row r="29" spans="1:7" x14ac:dyDescent="0.3">
      <c r="F29">
        <v>26</v>
      </c>
      <c r="G29">
        <f t="shared" si="0"/>
        <v>0.29530277169776209</v>
      </c>
    </row>
    <row r="30" spans="1:7" x14ac:dyDescent="0.3">
      <c r="F30">
        <v>27</v>
      </c>
      <c r="G30">
        <f t="shared" si="0"/>
        <v>0.28124073495024959</v>
      </c>
    </row>
    <row r="31" spans="1:7" x14ac:dyDescent="0.3">
      <c r="F31">
        <v>28</v>
      </c>
      <c r="G31">
        <f t="shared" si="0"/>
        <v>0.2678483190002377</v>
      </c>
    </row>
    <row r="32" spans="1:7" x14ac:dyDescent="0.3">
      <c r="F32">
        <v>29</v>
      </c>
      <c r="G32">
        <f t="shared" si="0"/>
        <v>0.25509363714308358</v>
      </c>
    </row>
    <row r="33" spans="6:7" x14ac:dyDescent="0.3">
      <c r="F33">
        <v>30</v>
      </c>
      <c r="G33">
        <f t="shared" si="0"/>
        <v>0.24294632108865097</v>
      </c>
    </row>
    <row r="34" spans="6:7" x14ac:dyDescent="0.3">
      <c r="F34">
        <v>31</v>
      </c>
      <c r="G34">
        <f t="shared" si="0"/>
        <v>0.23137744865585813</v>
      </c>
    </row>
    <row r="35" spans="6:7" x14ac:dyDescent="0.3">
      <c r="F35">
        <v>32</v>
      </c>
      <c r="G35">
        <f t="shared" si="0"/>
        <v>0.220359474910341</v>
      </c>
    </row>
    <row r="36" spans="6:7" x14ac:dyDescent="0.3">
      <c r="F36">
        <v>33</v>
      </c>
      <c r="G36">
        <f t="shared" si="0"/>
        <v>0.20986616658127716</v>
      </c>
    </row>
    <row r="37" spans="6:7" x14ac:dyDescent="0.3">
      <c r="F37">
        <v>34</v>
      </c>
      <c r="G37">
        <f t="shared" si="0"/>
        <v>0.19987253960121634</v>
      </c>
    </row>
    <row r="38" spans="6:7" x14ac:dyDescent="0.3">
      <c r="F38">
        <v>35</v>
      </c>
      <c r="G38">
        <f t="shared" si="0"/>
        <v>0.19035479962020604</v>
      </c>
    </row>
    <row r="39" spans="6:7" x14ac:dyDescent="0.3">
      <c r="F39">
        <v>36</v>
      </c>
      <c r="G39">
        <f t="shared" si="0"/>
        <v>0.18129028535257716</v>
      </c>
    </row>
    <row r="40" spans="6:7" x14ac:dyDescent="0.3">
      <c r="F40">
        <v>37</v>
      </c>
      <c r="G40">
        <f t="shared" si="0"/>
        <v>0.17265741462150208</v>
      </c>
    </row>
    <row r="41" spans="6:7" x14ac:dyDescent="0.3">
      <c r="F41">
        <v>38</v>
      </c>
      <c r="G41">
        <f t="shared" si="0"/>
        <v>0.1644356329728591</v>
      </c>
    </row>
    <row r="42" spans="6:7" x14ac:dyDescent="0.3">
      <c r="F42">
        <v>39</v>
      </c>
      <c r="G42">
        <f t="shared" si="0"/>
        <v>0.15660536473605632</v>
      </c>
    </row>
    <row r="43" spans="6:7" x14ac:dyDescent="0.3">
      <c r="F43">
        <v>40</v>
      </c>
      <c r="G43">
        <f t="shared" si="0"/>
        <v>0.14914796641529171</v>
      </c>
    </row>
    <row r="44" spans="6:7" x14ac:dyDescent="0.3">
      <c r="F44">
        <v>41</v>
      </c>
      <c r="G44">
        <f t="shared" si="0"/>
        <v>0.14204568230027784</v>
      </c>
    </row>
    <row r="45" spans="6:7" x14ac:dyDescent="0.3">
      <c r="F45">
        <v>42</v>
      </c>
      <c r="G45">
        <f t="shared" si="0"/>
        <v>0.13528160219074079</v>
      </c>
    </row>
    <row r="46" spans="6:7" x14ac:dyDescent="0.3">
      <c r="F46">
        <v>43</v>
      </c>
      <c r="G46">
        <f t="shared" si="0"/>
        <v>0.12883962113403885</v>
      </c>
    </row>
    <row r="47" spans="6:7" x14ac:dyDescent="0.3">
      <c r="F47">
        <v>44</v>
      </c>
      <c r="G47">
        <f t="shared" si="0"/>
        <v>0.12270440108003698</v>
      </c>
    </row>
    <row r="48" spans="6:7" x14ac:dyDescent="0.3">
      <c r="F48">
        <v>45</v>
      </c>
      <c r="G48">
        <f t="shared" si="0"/>
        <v>0.11686133436193999</v>
      </c>
    </row>
    <row r="49" spans="6:7" x14ac:dyDescent="0.3">
      <c r="F49">
        <v>46</v>
      </c>
      <c r="G49">
        <f t="shared" si="0"/>
        <v>0.1112965089161333</v>
      </c>
    </row>
    <row r="50" spans="6:7" x14ac:dyDescent="0.3">
      <c r="F50">
        <v>47</v>
      </c>
      <c r="G50">
        <f t="shared" si="0"/>
        <v>0.10599667515822221</v>
      </c>
    </row>
    <row r="51" spans="6:7" x14ac:dyDescent="0.3">
      <c r="F51">
        <v>48</v>
      </c>
      <c r="G51">
        <f t="shared" si="0"/>
        <v>0.10094921443640208</v>
      </c>
    </row>
    <row r="52" spans="6:7" x14ac:dyDescent="0.3">
      <c r="F52">
        <v>49</v>
      </c>
      <c r="G52">
        <f t="shared" si="0"/>
        <v>9.6142108987049613E-2</v>
      </c>
    </row>
    <row r="53" spans="6:7" x14ac:dyDescent="0.3">
      <c r="F53">
        <v>50</v>
      </c>
      <c r="G53">
        <f t="shared" si="0"/>
        <v>9.1563913320999626E-2</v>
      </c>
    </row>
    <row r="54" spans="6:7" x14ac:dyDescent="0.3">
      <c r="F54">
        <v>51</v>
      </c>
      <c r="G54">
        <f t="shared" si="0"/>
        <v>8.7203726972380588E-2</v>
      </c>
    </row>
    <row r="55" spans="6:7" x14ac:dyDescent="0.3">
      <c r="F55">
        <v>52</v>
      </c>
      <c r="G55">
        <f t="shared" si="0"/>
        <v>8.3051168545124371E-2</v>
      </c>
    </row>
    <row r="56" spans="6:7" x14ac:dyDescent="0.3">
      <c r="F56">
        <v>53</v>
      </c>
      <c r="G56">
        <f t="shared" si="0"/>
        <v>7.9096350995356543E-2</v>
      </c>
    </row>
    <row r="57" spans="6:7" x14ac:dyDescent="0.3">
      <c r="F57">
        <v>54</v>
      </c>
      <c r="G57">
        <f t="shared" si="0"/>
        <v>7.5329858090815757E-2</v>
      </c>
    </row>
    <row r="58" spans="6:7" x14ac:dyDescent="0.3">
      <c r="F58">
        <v>55</v>
      </c>
      <c r="G58">
        <f t="shared" si="0"/>
        <v>7.1742721991253117E-2</v>
      </c>
    </row>
    <row r="59" spans="6:7" x14ac:dyDescent="0.3">
      <c r="F59">
        <v>56</v>
      </c>
      <c r="G59">
        <f t="shared" si="0"/>
        <v>6.8326401896431521E-2</v>
      </c>
    </row>
    <row r="60" spans="6:7" x14ac:dyDescent="0.3">
      <c r="F60">
        <v>57</v>
      </c>
      <c r="G60">
        <f t="shared" si="0"/>
        <v>6.5072763710887174E-2</v>
      </c>
    </row>
    <row r="61" spans="6:7" x14ac:dyDescent="0.3">
      <c r="F61">
        <v>58</v>
      </c>
      <c r="G61">
        <f t="shared" si="0"/>
        <v>6.1974060677035397E-2</v>
      </c>
    </row>
    <row r="62" spans="6:7" x14ac:dyDescent="0.3">
      <c r="F62">
        <v>59</v>
      </c>
      <c r="G62">
        <f t="shared" si="0"/>
        <v>5.9022914930509894E-2</v>
      </c>
    </row>
    <row r="63" spans="6:7" x14ac:dyDescent="0.3">
      <c r="F63">
        <v>60</v>
      </c>
      <c r="G63">
        <f t="shared" si="0"/>
        <v>5.6212299933818946E-2</v>
      </c>
    </row>
    <row r="64" spans="6:7" x14ac:dyDescent="0.3">
      <c r="F64">
        <v>61</v>
      </c>
      <c r="G64">
        <f t="shared" si="0"/>
        <v>5.3535523746494243E-2</v>
      </c>
    </row>
    <row r="65" spans="6:7" x14ac:dyDescent="0.3">
      <c r="F65">
        <v>62</v>
      </c>
      <c r="G65">
        <f t="shared" si="0"/>
        <v>5.0986213091899268E-2</v>
      </c>
    </row>
    <row r="66" spans="6:7" x14ac:dyDescent="0.3">
      <c r="F66">
        <v>63</v>
      </c>
      <c r="G66">
        <f t="shared" si="0"/>
        <v>4.855829818276123E-2</v>
      </c>
    </row>
    <row r="67" spans="6:7" x14ac:dyDescent="0.3">
      <c r="F67">
        <v>64</v>
      </c>
      <c r="G67">
        <f t="shared" si="0"/>
        <v>4.6245998269296387E-2</v>
      </c>
    </row>
    <row r="68" spans="6:7" x14ac:dyDescent="0.3">
      <c r="F68">
        <v>65</v>
      </c>
      <c r="G68">
        <f t="shared" si="0"/>
        <v>4.4043807875520369E-2</v>
      </c>
    </row>
    <row r="69" spans="6:7" x14ac:dyDescent="0.3">
      <c r="F69">
        <v>66</v>
      </c>
      <c r="G69">
        <f t="shared" si="0"/>
        <v>4.1946483690971779E-2</v>
      </c>
    </row>
    <row r="70" spans="6:7" x14ac:dyDescent="0.3">
      <c r="G70">
        <f>SUM(G4:G68)</f>
        <v>20.119123842489589</v>
      </c>
    </row>
    <row r="71" spans="6:7" x14ac:dyDescent="0.3">
      <c r="G71">
        <f>SUM(G4:G69)</f>
        <v>20.16107032618056</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31"/>
  <sheetViews>
    <sheetView topLeftCell="A18" workbookViewId="0">
      <selection activeCell="B29" sqref="B29"/>
    </sheetView>
  </sheetViews>
  <sheetFormatPr defaultRowHeight="14.4" x14ac:dyDescent="0.3"/>
  <cols>
    <col min="1" max="1" width="51.21875" bestFit="1" customWidth="1"/>
    <col min="2" max="2" width="24" bestFit="1" customWidth="1"/>
    <col min="3" max="3" width="21.21875" customWidth="1"/>
    <col min="4" max="4" width="17.21875" customWidth="1"/>
    <col min="6" max="6" width="10.77734375" bestFit="1" customWidth="1"/>
    <col min="9" max="9" width="9.6640625" bestFit="1" customWidth="1"/>
    <col min="10" max="10" width="11.77734375" bestFit="1" customWidth="1"/>
    <col min="12" max="12" width="10.77734375" bestFit="1" customWidth="1"/>
    <col min="13" max="13" width="12.5546875" bestFit="1" customWidth="1"/>
  </cols>
  <sheetData>
    <row r="1" spans="1:13" x14ac:dyDescent="0.3">
      <c r="A1" s="63" t="s">
        <v>271</v>
      </c>
    </row>
    <row r="2" spans="1:13" x14ac:dyDescent="0.3">
      <c r="A2" s="63" t="s">
        <v>256</v>
      </c>
      <c r="B2" s="63" t="s">
        <v>258</v>
      </c>
      <c r="C2" s="63" t="s">
        <v>259</v>
      </c>
      <c r="D2" s="63" t="s">
        <v>323</v>
      </c>
      <c r="E2" s="63" t="s">
        <v>265</v>
      </c>
      <c r="F2" s="63" t="s">
        <v>262</v>
      </c>
      <c r="G2" s="63" t="s">
        <v>266</v>
      </c>
      <c r="H2" s="63" t="s">
        <v>200</v>
      </c>
      <c r="I2" s="63" t="s">
        <v>267</v>
      </c>
      <c r="J2" s="63" t="s">
        <v>263</v>
      </c>
      <c r="K2" s="63" t="s">
        <v>268</v>
      </c>
      <c r="L2" s="63" t="s">
        <v>264</v>
      </c>
      <c r="M2" s="63" t="s">
        <v>269</v>
      </c>
    </row>
    <row r="4" spans="1:13" x14ac:dyDescent="0.3">
      <c r="A4" t="s">
        <v>257</v>
      </c>
      <c r="B4">
        <v>2859792.32</v>
      </c>
      <c r="C4">
        <v>36.96</v>
      </c>
      <c r="D4">
        <v>1425739.32</v>
      </c>
      <c r="E4">
        <v>18.43</v>
      </c>
      <c r="F4">
        <v>1434053</v>
      </c>
      <c r="G4">
        <v>18.53</v>
      </c>
      <c r="H4">
        <v>39760.870000000003</v>
      </c>
      <c r="I4">
        <v>0.51</v>
      </c>
      <c r="J4">
        <v>0</v>
      </c>
      <c r="K4">
        <v>0</v>
      </c>
      <c r="L4">
        <v>0</v>
      </c>
      <c r="M4">
        <v>0</v>
      </c>
    </row>
    <row r="5" spans="1:13" x14ac:dyDescent="0.3">
      <c r="A5" t="s">
        <v>322</v>
      </c>
      <c r="B5">
        <v>21550976.800000001</v>
      </c>
      <c r="C5">
        <v>278.52999999999997</v>
      </c>
      <c r="D5">
        <v>11354711.939999999</v>
      </c>
      <c r="E5">
        <v>146.75</v>
      </c>
      <c r="F5">
        <v>10196264.85</v>
      </c>
      <c r="G5">
        <v>131.78</v>
      </c>
      <c r="H5">
        <v>461069.26</v>
      </c>
      <c r="I5">
        <v>5.96</v>
      </c>
      <c r="J5">
        <v>262405182.28</v>
      </c>
      <c r="K5">
        <v>3391.36</v>
      </c>
      <c r="L5">
        <v>36979267.259999998</v>
      </c>
      <c r="M5">
        <v>477.92</v>
      </c>
    </row>
    <row r="6" spans="1:13" x14ac:dyDescent="0.3">
      <c r="A6" t="s">
        <v>260</v>
      </c>
      <c r="B6">
        <v>566975.71</v>
      </c>
      <c r="C6">
        <v>7.33</v>
      </c>
      <c r="D6">
        <v>50368250.700000003</v>
      </c>
      <c r="E6">
        <v>650.97</v>
      </c>
      <c r="F6">
        <v>2988362.42</v>
      </c>
      <c r="G6">
        <v>38.619999999999997</v>
      </c>
      <c r="H6">
        <v>566975.71</v>
      </c>
      <c r="I6">
        <v>7.33</v>
      </c>
      <c r="J6">
        <v>10567814.689999999</v>
      </c>
      <c r="K6">
        <v>136.58000000000001</v>
      </c>
      <c r="L6">
        <v>1378698.93</v>
      </c>
      <c r="M6">
        <v>17.82</v>
      </c>
    </row>
    <row r="8" spans="1:13" x14ac:dyDescent="0.3">
      <c r="A8" s="63" t="s">
        <v>256</v>
      </c>
      <c r="B8" s="63" t="s">
        <v>258</v>
      </c>
      <c r="C8" s="63" t="s">
        <v>261</v>
      </c>
      <c r="D8" s="63" t="s">
        <v>262</v>
      </c>
      <c r="E8" s="63" t="s">
        <v>200</v>
      </c>
    </row>
    <row r="10" spans="1:13" x14ac:dyDescent="0.3">
      <c r="A10" t="s">
        <v>257</v>
      </c>
      <c r="B10">
        <f>(Demographics!B4/100000)*C4</f>
        <v>22036.420559999999</v>
      </c>
      <c r="C10">
        <f>(Demographics!B4/100000)*E4</f>
        <v>10988.399104999999</v>
      </c>
      <c r="D10">
        <f>(Demographics!B4/100000)*G4</f>
        <v>11048.021455</v>
      </c>
      <c r="E10">
        <f>(Demographics!B4/100000)*I4</f>
        <v>304.07398499999999</v>
      </c>
    </row>
    <row r="11" spans="1:13" x14ac:dyDescent="0.3">
      <c r="A11" t="s">
        <v>322</v>
      </c>
      <c r="B11">
        <f>(Demographics!B4/100000)*C5</f>
        <v>166066.13145499997</v>
      </c>
      <c r="C11">
        <f>(Demographics!B4/100000)*E5</f>
        <v>87495.798624999996</v>
      </c>
      <c r="D11">
        <f>(Demographics!B4/100000)*G5</f>
        <v>78570.332829999999</v>
      </c>
      <c r="E11">
        <f>(Demographics!B4/100000)*I5</f>
        <v>3553.4920599999996</v>
      </c>
    </row>
    <row r="12" spans="1:13" x14ac:dyDescent="0.3">
      <c r="A12" t="s">
        <v>260</v>
      </c>
      <c r="B12">
        <f>(Demographics!B4/100000)*C6</f>
        <v>4370.3182549999992</v>
      </c>
      <c r="C12">
        <f>(Demographics!B4/100000)*E6</f>
        <v>388123.61179499998</v>
      </c>
      <c r="D12">
        <f>(Demographics!B4/100000)*G6</f>
        <v>23026.151569999995</v>
      </c>
      <c r="E12">
        <f>(Demographics!B4/100000)*I6</f>
        <v>4370.3182549999992</v>
      </c>
    </row>
    <row r="15" spans="1:13" x14ac:dyDescent="0.3">
      <c r="A15" s="20" t="s">
        <v>691</v>
      </c>
      <c r="B15" t="s">
        <v>695</v>
      </c>
    </row>
    <row r="17" spans="1:3" x14ac:dyDescent="0.3">
      <c r="A17" t="s">
        <v>694</v>
      </c>
      <c r="B17">
        <v>6.0999999999999999E-2</v>
      </c>
      <c r="C17" t="s">
        <v>700</v>
      </c>
    </row>
    <row r="18" spans="1:3" x14ac:dyDescent="0.3">
      <c r="A18" t="s">
        <v>693</v>
      </c>
      <c r="B18">
        <v>30</v>
      </c>
      <c r="C18" t="s">
        <v>696</v>
      </c>
    </row>
    <row r="19" spans="1:3" x14ac:dyDescent="0.3">
      <c r="A19" t="s">
        <v>211</v>
      </c>
      <c r="B19">
        <f>B24/(B17*B18)</f>
        <v>0.5191256830601092</v>
      </c>
    </row>
    <row r="20" spans="1:3" x14ac:dyDescent="0.3">
      <c r="A20" t="s">
        <v>692</v>
      </c>
      <c r="B20">
        <v>40.89</v>
      </c>
    </row>
    <row r="21" spans="1:3" x14ac:dyDescent="0.3">
      <c r="A21" t="s">
        <v>200</v>
      </c>
      <c r="B21">
        <f>B23/B20</f>
        <v>9.4888725849841038E-2</v>
      </c>
    </row>
    <row r="23" spans="1:3" x14ac:dyDescent="0.3">
      <c r="A23" t="s">
        <v>689</v>
      </c>
      <c r="B23">
        <v>3.88</v>
      </c>
    </row>
    <row r="24" spans="1:3" x14ac:dyDescent="0.3">
      <c r="A24" t="s">
        <v>690</v>
      </c>
      <c r="B24">
        <v>0.95</v>
      </c>
    </row>
    <row r="25" spans="1:3" x14ac:dyDescent="0.3">
      <c r="A25" s="80" t="s">
        <v>65</v>
      </c>
      <c r="B25" s="80">
        <v>4.83</v>
      </c>
    </row>
    <row r="29" spans="1:3" x14ac:dyDescent="0.3">
      <c r="C29" t="s">
        <v>698</v>
      </c>
    </row>
    <row r="30" spans="1:3" x14ac:dyDescent="0.3">
      <c r="C30" t="s">
        <v>699</v>
      </c>
    </row>
    <row r="31" spans="1:3" x14ac:dyDescent="0.3">
      <c r="C31" s="84"/>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2:D71"/>
  <sheetViews>
    <sheetView workbookViewId="0">
      <selection activeCell="H64" sqref="H64"/>
    </sheetView>
  </sheetViews>
  <sheetFormatPr defaultRowHeight="14.4" x14ac:dyDescent="0.3"/>
  <cols>
    <col min="1" max="1" width="8.77734375" customWidth="1"/>
    <col min="2" max="2" width="10.77734375" customWidth="1"/>
    <col min="3" max="3" width="12.6640625" customWidth="1"/>
    <col min="4" max="4" width="13.21875" customWidth="1"/>
  </cols>
  <sheetData>
    <row r="2" spans="1:4" x14ac:dyDescent="0.3">
      <c r="A2" s="80" t="s">
        <v>702</v>
      </c>
      <c r="B2" s="80" t="s">
        <v>701</v>
      </c>
      <c r="C2" s="80" t="s">
        <v>697</v>
      </c>
      <c r="D2" s="80"/>
    </row>
    <row r="3" spans="1:4" x14ac:dyDescent="0.3">
      <c r="A3">
        <v>0</v>
      </c>
      <c r="B3">
        <v>0</v>
      </c>
      <c r="C3">
        <f>1/(1+0.05)^A3</f>
        <v>1</v>
      </c>
      <c r="D3">
        <f>C3*B3</f>
        <v>0</v>
      </c>
    </row>
    <row r="4" spans="1:4" x14ac:dyDescent="0.3">
      <c r="A4">
        <v>1</v>
      </c>
      <c r="B4">
        <f>A4-A3</f>
        <v>1</v>
      </c>
      <c r="C4">
        <f>1/(1+0.05)^A4</f>
        <v>0.95238095238095233</v>
      </c>
      <c r="D4">
        <f t="shared" ref="D4:D67" si="0">C4*B4</f>
        <v>0.95238095238095233</v>
      </c>
    </row>
    <row r="5" spans="1:4" x14ac:dyDescent="0.3">
      <c r="A5">
        <v>2</v>
      </c>
      <c r="B5">
        <f t="shared" ref="B5:B68" si="1">A5-A4</f>
        <v>1</v>
      </c>
      <c r="C5">
        <f t="shared" ref="C5:C68" si="2">1/(1+0.05)^A5</f>
        <v>0.90702947845804982</v>
      </c>
      <c r="D5">
        <f t="shared" si="0"/>
        <v>0.90702947845804982</v>
      </c>
    </row>
    <row r="6" spans="1:4" x14ac:dyDescent="0.3">
      <c r="A6">
        <v>3</v>
      </c>
      <c r="B6">
        <f t="shared" si="1"/>
        <v>1</v>
      </c>
      <c r="C6">
        <f t="shared" si="2"/>
        <v>0.86383759853147601</v>
      </c>
      <c r="D6">
        <f t="shared" si="0"/>
        <v>0.86383759853147601</v>
      </c>
    </row>
    <row r="7" spans="1:4" x14ac:dyDescent="0.3">
      <c r="A7">
        <v>4</v>
      </c>
      <c r="B7">
        <f t="shared" si="1"/>
        <v>1</v>
      </c>
      <c r="C7">
        <f t="shared" si="2"/>
        <v>0.82270247479188197</v>
      </c>
      <c r="D7">
        <f t="shared" si="0"/>
        <v>0.82270247479188197</v>
      </c>
    </row>
    <row r="8" spans="1:4" x14ac:dyDescent="0.3">
      <c r="A8">
        <v>5</v>
      </c>
      <c r="B8">
        <f t="shared" si="1"/>
        <v>1</v>
      </c>
      <c r="C8">
        <f t="shared" si="2"/>
        <v>0.78352616646845896</v>
      </c>
      <c r="D8">
        <f t="shared" si="0"/>
        <v>0.78352616646845896</v>
      </c>
    </row>
    <row r="9" spans="1:4" x14ac:dyDescent="0.3">
      <c r="A9">
        <v>6</v>
      </c>
      <c r="B9">
        <f t="shared" si="1"/>
        <v>1</v>
      </c>
      <c r="C9">
        <f t="shared" si="2"/>
        <v>0.74621539663662761</v>
      </c>
      <c r="D9">
        <f t="shared" si="0"/>
        <v>0.74621539663662761</v>
      </c>
    </row>
    <row r="10" spans="1:4" x14ac:dyDescent="0.3">
      <c r="A10">
        <v>7</v>
      </c>
      <c r="B10">
        <f t="shared" si="1"/>
        <v>1</v>
      </c>
      <c r="C10">
        <f t="shared" si="2"/>
        <v>0.71068133013012147</v>
      </c>
      <c r="D10">
        <f t="shared" si="0"/>
        <v>0.71068133013012147</v>
      </c>
    </row>
    <row r="11" spans="1:4" x14ac:dyDescent="0.3">
      <c r="A11">
        <v>8</v>
      </c>
      <c r="B11">
        <f t="shared" si="1"/>
        <v>1</v>
      </c>
      <c r="C11">
        <f t="shared" si="2"/>
        <v>0.67683936202868722</v>
      </c>
      <c r="D11">
        <f t="shared" si="0"/>
        <v>0.67683936202868722</v>
      </c>
    </row>
    <row r="12" spans="1:4" x14ac:dyDescent="0.3">
      <c r="A12">
        <v>9</v>
      </c>
      <c r="B12">
        <f t="shared" si="1"/>
        <v>1</v>
      </c>
      <c r="C12">
        <f t="shared" si="2"/>
        <v>0.64460891621779726</v>
      </c>
      <c r="D12">
        <f t="shared" si="0"/>
        <v>0.64460891621779726</v>
      </c>
    </row>
    <row r="13" spans="1:4" x14ac:dyDescent="0.3">
      <c r="A13">
        <v>10</v>
      </c>
      <c r="B13">
        <f t="shared" si="1"/>
        <v>1</v>
      </c>
      <c r="C13">
        <f t="shared" si="2"/>
        <v>0.61391325354075932</v>
      </c>
      <c r="D13">
        <f t="shared" si="0"/>
        <v>0.61391325354075932</v>
      </c>
    </row>
    <row r="14" spans="1:4" x14ac:dyDescent="0.3">
      <c r="A14">
        <v>11</v>
      </c>
      <c r="B14">
        <f t="shared" si="1"/>
        <v>1</v>
      </c>
      <c r="C14">
        <f t="shared" si="2"/>
        <v>0.5846792890864374</v>
      </c>
      <c r="D14">
        <f t="shared" si="0"/>
        <v>0.5846792890864374</v>
      </c>
    </row>
    <row r="15" spans="1:4" x14ac:dyDescent="0.3">
      <c r="A15">
        <v>12</v>
      </c>
      <c r="B15">
        <f t="shared" si="1"/>
        <v>1</v>
      </c>
      <c r="C15">
        <f t="shared" si="2"/>
        <v>0.5568374181775595</v>
      </c>
      <c r="D15">
        <f t="shared" si="0"/>
        <v>0.5568374181775595</v>
      </c>
    </row>
    <row r="16" spans="1:4" x14ac:dyDescent="0.3">
      <c r="A16">
        <v>13</v>
      </c>
      <c r="B16">
        <f t="shared" si="1"/>
        <v>1</v>
      </c>
      <c r="C16">
        <f t="shared" si="2"/>
        <v>0.53032135064529462</v>
      </c>
      <c r="D16">
        <f t="shared" si="0"/>
        <v>0.53032135064529462</v>
      </c>
    </row>
    <row r="17" spans="1:4" x14ac:dyDescent="0.3">
      <c r="A17">
        <v>14</v>
      </c>
      <c r="B17">
        <f t="shared" si="1"/>
        <v>1</v>
      </c>
      <c r="C17">
        <f t="shared" si="2"/>
        <v>0.50506795299551888</v>
      </c>
      <c r="D17">
        <f t="shared" si="0"/>
        <v>0.50506795299551888</v>
      </c>
    </row>
    <row r="18" spans="1:4" x14ac:dyDescent="0.3">
      <c r="A18">
        <v>15</v>
      </c>
      <c r="B18">
        <f t="shared" si="1"/>
        <v>1</v>
      </c>
      <c r="C18">
        <f t="shared" si="2"/>
        <v>0.48101709809097021</v>
      </c>
      <c r="D18">
        <f t="shared" si="0"/>
        <v>0.48101709809097021</v>
      </c>
    </row>
    <row r="19" spans="1:4" x14ac:dyDescent="0.3">
      <c r="A19">
        <v>16</v>
      </c>
      <c r="B19">
        <f t="shared" si="1"/>
        <v>1</v>
      </c>
      <c r="C19">
        <f t="shared" si="2"/>
        <v>0.45811152199140021</v>
      </c>
      <c r="D19">
        <f t="shared" si="0"/>
        <v>0.45811152199140021</v>
      </c>
    </row>
    <row r="20" spans="1:4" x14ac:dyDescent="0.3">
      <c r="A20">
        <v>17</v>
      </c>
      <c r="B20">
        <f t="shared" si="1"/>
        <v>1</v>
      </c>
      <c r="C20">
        <f t="shared" si="2"/>
        <v>0.43629668761085727</v>
      </c>
      <c r="D20">
        <f t="shared" si="0"/>
        <v>0.43629668761085727</v>
      </c>
    </row>
    <row r="21" spans="1:4" x14ac:dyDescent="0.3">
      <c r="A21">
        <v>18</v>
      </c>
      <c r="B21">
        <f t="shared" si="1"/>
        <v>1</v>
      </c>
      <c r="C21">
        <f t="shared" si="2"/>
        <v>0.41552065486748313</v>
      </c>
      <c r="D21">
        <f t="shared" si="0"/>
        <v>0.41552065486748313</v>
      </c>
    </row>
    <row r="22" spans="1:4" x14ac:dyDescent="0.3">
      <c r="A22">
        <v>19</v>
      </c>
      <c r="B22">
        <f t="shared" si="1"/>
        <v>1</v>
      </c>
      <c r="C22">
        <f t="shared" si="2"/>
        <v>0.39573395701665059</v>
      </c>
      <c r="D22">
        <f t="shared" si="0"/>
        <v>0.39573395701665059</v>
      </c>
    </row>
    <row r="23" spans="1:4" x14ac:dyDescent="0.3">
      <c r="A23">
        <v>20</v>
      </c>
      <c r="B23">
        <f t="shared" si="1"/>
        <v>1</v>
      </c>
      <c r="C23">
        <f t="shared" si="2"/>
        <v>0.37688948287300061</v>
      </c>
      <c r="D23">
        <f t="shared" si="0"/>
        <v>0.37688948287300061</v>
      </c>
    </row>
    <row r="24" spans="1:4" x14ac:dyDescent="0.3">
      <c r="A24">
        <v>21</v>
      </c>
      <c r="B24">
        <f t="shared" si="1"/>
        <v>1</v>
      </c>
      <c r="C24">
        <f t="shared" si="2"/>
        <v>0.35894236464095297</v>
      </c>
      <c r="D24">
        <f t="shared" si="0"/>
        <v>0.35894236464095297</v>
      </c>
    </row>
    <row r="25" spans="1:4" x14ac:dyDescent="0.3">
      <c r="A25">
        <v>22</v>
      </c>
      <c r="B25">
        <f t="shared" si="1"/>
        <v>1</v>
      </c>
      <c r="C25">
        <f t="shared" si="2"/>
        <v>0.3418498710866219</v>
      </c>
      <c r="D25">
        <f t="shared" si="0"/>
        <v>0.3418498710866219</v>
      </c>
    </row>
    <row r="26" spans="1:4" x14ac:dyDescent="0.3">
      <c r="A26">
        <v>23</v>
      </c>
      <c r="B26">
        <f t="shared" si="1"/>
        <v>1</v>
      </c>
      <c r="C26">
        <f t="shared" si="2"/>
        <v>0.32557130579678267</v>
      </c>
      <c r="D26">
        <f t="shared" si="0"/>
        <v>0.32557130579678267</v>
      </c>
    </row>
    <row r="27" spans="1:4" x14ac:dyDescent="0.3">
      <c r="A27">
        <v>24</v>
      </c>
      <c r="B27">
        <f t="shared" si="1"/>
        <v>1</v>
      </c>
      <c r="C27">
        <f t="shared" si="2"/>
        <v>0.31006791028265024</v>
      </c>
      <c r="D27">
        <f t="shared" si="0"/>
        <v>0.31006791028265024</v>
      </c>
    </row>
    <row r="28" spans="1:4" x14ac:dyDescent="0.3">
      <c r="A28">
        <v>25</v>
      </c>
      <c r="B28">
        <f t="shared" si="1"/>
        <v>1</v>
      </c>
      <c r="C28">
        <f t="shared" si="2"/>
        <v>0.29530277169776209</v>
      </c>
      <c r="D28">
        <f t="shared" si="0"/>
        <v>0.29530277169776209</v>
      </c>
    </row>
    <row r="29" spans="1:4" x14ac:dyDescent="0.3">
      <c r="A29">
        <v>26</v>
      </c>
      <c r="B29">
        <f t="shared" si="1"/>
        <v>1</v>
      </c>
      <c r="C29">
        <f t="shared" si="2"/>
        <v>0.28124073495024959</v>
      </c>
      <c r="D29">
        <f t="shared" si="0"/>
        <v>0.28124073495024959</v>
      </c>
    </row>
    <row r="30" spans="1:4" x14ac:dyDescent="0.3">
      <c r="A30">
        <v>27</v>
      </c>
      <c r="B30">
        <f t="shared" si="1"/>
        <v>1</v>
      </c>
      <c r="C30">
        <f t="shared" si="2"/>
        <v>0.2678483190002377</v>
      </c>
      <c r="D30">
        <f t="shared" si="0"/>
        <v>0.2678483190002377</v>
      </c>
    </row>
    <row r="31" spans="1:4" x14ac:dyDescent="0.3">
      <c r="A31">
        <v>28</v>
      </c>
      <c r="B31">
        <f t="shared" si="1"/>
        <v>1</v>
      </c>
      <c r="C31">
        <f t="shared" si="2"/>
        <v>0.25509363714308358</v>
      </c>
      <c r="D31">
        <f t="shared" si="0"/>
        <v>0.25509363714308358</v>
      </c>
    </row>
    <row r="32" spans="1:4" x14ac:dyDescent="0.3">
      <c r="A32">
        <v>29</v>
      </c>
      <c r="B32">
        <f t="shared" si="1"/>
        <v>1</v>
      </c>
      <c r="C32">
        <f t="shared" si="2"/>
        <v>0.24294632108865097</v>
      </c>
      <c r="D32">
        <f t="shared" si="0"/>
        <v>0.24294632108865097</v>
      </c>
    </row>
    <row r="33" spans="1:4" x14ac:dyDescent="0.3">
      <c r="A33">
        <v>30</v>
      </c>
      <c r="B33">
        <f t="shared" si="1"/>
        <v>1</v>
      </c>
      <c r="C33">
        <f t="shared" si="2"/>
        <v>0.23137744865585813</v>
      </c>
      <c r="D33">
        <f t="shared" si="0"/>
        <v>0.23137744865585813</v>
      </c>
    </row>
    <row r="34" spans="1:4" x14ac:dyDescent="0.3">
      <c r="A34">
        <v>31</v>
      </c>
      <c r="B34">
        <f t="shared" si="1"/>
        <v>1</v>
      </c>
      <c r="C34">
        <f t="shared" si="2"/>
        <v>0.220359474910341</v>
      </c>
      <c r="D34">
        <f t="shared" si="0"/>
        <v>0.220359474910341</v>
      </c>
    </row>
    <row r="35" spans="1:4" x14ac:dyDescent="0.3">
      <c r="A35">
        <v>32</v>
      </c>
      <c r="B35">
        <f t="shared" si="1"/>
        <v>1</v>
      </c>
      <c r="C35">
        <f t="shared" si="2"/>
        <v>0.20986616658127716</v>
      </c>
      <c r="D35">
        <f t="shared" si="0"/>
        <v>0.20986616658127716</v>
      </c>
    </row>
    <row r="36" spans="1:4" x14ac:dyDescent="0.3">
      <c r="A36">
        <v>33</v>
      </c>
      <c r="B36">
        <f t="shared" si="1"/>
        <v>1</v>
      </c>
      <c r="C36">
        <f t="shared" si="2"/>
        <v>0.19987253960121634</v>
      </c>
      <c r="D36">
        <f t="shared" si="0"/>
        <v>0.19987253960121634</v>
      </c>
    </row>
    <row r="37" spans="1:4" x14ac:dyDescent="0.3">
      <c r="A37">
        <v>34</v>
      </c>
      <c r="B37">
        <f t="shared" si="1"/>
        <v>1</v>
      </c>
      <c r="C37">
        <f t="shared" si="2"/>
        <v>0.19035479962020604</v>
      </c>
      <c r="D37">
        <f t="shared" si="0"/>
        <v>0.19035479962020604</v>
      </c>
    </row>
    <row r="38" spans="1:4" x14ac:dyDescent="0.3">
      <c r="A38">
        <v>35</v>
      </c>
      <c r="B38">
        <f t="shared" si="1"/>
        <v>1</v>
      </c>
      <c r="C38">
        <f t="shared" si="2"/>
        <v>0.18129028535257716</v>
      </c>
      <c r="D38">
        <f t="shared" si="0"/>
        <v>0.18129028535257716</v>
      </c>
    </row>
    <row r="39" spans="1:4" x14ac:dyDescent="0.3">
      <c r="A39">
        <v>36</v>
      </c>
      <c r="B39">
        <f t="shared" si="1"/>
        <v>1</v>
      </c>
      <c r="C39">
        <f t="shared" si="2"/>
        <v>0.17265741462150208</v>
      </c>
      <c r="D39">
        <f t="shared" si="0"/>
        <v>0.17265741462150208</v>
      </c>
    </row>
    <row r="40" spans="1:4" x14ac:dyDescent="0.3">
      <c r="A40">
        <v>37</v>
      </c>
      <c r="B40">
        <f t="shared" si="1"/>
        <v>1</v>
      </c>
      <c r="C40">
        <f t="shared" si="2"/>
        <v>0.1644356329728591</v>
      </c>
      <c r="D40">
        <f t="shared" si="0"/>
        <v>0.1644356329728591</v>
      </c>
    </row>
    <row r="41" spans="1:4" x14ac:dyDescent="0.3">
      <c r="A41">
        <v>38</v>
      </c>
      <c r="B41">
        <f t="shared" si="1"/>
        <v>1</v>
      </c>
      <c r="C41">
        <f t="shared" si="2"/>
        <v>0.15660536473605632</v>
      </c>
      <c r="D41">
        <f t="shared" si="0"/>
        <v>0.15660536473605632</v>
      </c>
    </row>
    <row r="42" spans="1:4" x14ac:dyDescent="0.3">
      <c r="A42">
        <v>39</v>
      </c>
      <c r="B42">
        <f t="shared" si="1"/>
        <v>1</v>
      </c>
      <c r="C42">
        <f t="shared" si="2"/>
        <v>0.14914796641529171</v>
      </c>
      <c r="D42">
        <f t="shared" si="0"/>
        <v>0.14914796641529171</v>
      </c>
    </row>
    <row r="43" spans="1:4" x14ac:dyDescent="0.3">
      <c r="A43">
        <v>40</v>
      </c>
      <c r="B43">
        <f t="shared" si="1"/>
        <v>1</v>
      </c>
      <c r="C43">
        <f t="shared" si="2"/>
        <v>0.14204568230027784</v>
      </c>
      <c r="D43">
        <f t="shared" si="0"/>
        <v>0.14204568230027784</v>
      </c>
    </row>
    <row r="44" spans="1:4" x14ac:dyDescent="0.3">
      <c r="A44">
        <v>41</v>
      </c>
      <c r="B44">
        <f t="shared" si="1"/>
        <v>1</v>
      </c>
      <c r="C44">
        <f t="shared" si="2"/>
        <v>0.13528160219074079</v>
      </c>
      <c r="D44">
        <f t="shared" si="0"/>
        <v>0.13528160219074079</v>
      </c>
    </row>
    <row r="45" spans="1:4" x14ac:dyDescent="0.3">
      <c r="A45">
        <v>42</v>
      </c>
      <c r="B45">
        <f t="shared" si="1"/>
        <v>1</v>
      </c>
      <c r="C45">
        <f t="shared" si="2"/>
        <v>0.12883962113403885</v>
      </c>
      <c r="D45">
        <f t="shared" si="0"/>
        <v>0.12883962113403885</v>
      </c>
    </row>
    <row r="46" spans="1:4" x14ac:dyDescent="0.3">
      <c r="A46">
        <v>43</v>
      </c>
      <c r="B46">
        <f t="shared" si="1"/>
        <v>1</v>
      </c>
      <c r="C46">
        <f t="shared" si="2"/>
        <v>0.12270440108003698</v>
      </c>
      <c r="D46">
        <f t="shared" si="0"/>
        <v>0.12270440108003698</v>
      </c>
    </row>
    <row r="47" spans="1:4" x14ac:dyDescent="0.3">
      <c r="A47">
        <v>44</v>
      </c>
      <c r="B47">
        <f t="shared" si="1"/>
        <v>1</v>
      </c>
      <c r="C47">
        <f t="shared" si="2"/>
        <v>0.11686133436193999</v>
      </c>
      <c r="D47">
        <f t="shared" si="0"/>
        <v>0.11686133436193999</v>
      </c>
    </row>
    <row r="48" spans="1:4" x14ac:dyDescent="0.3">
      <c r="A48">
        <v>45</v>
      </c>
      <c r="B48">
        <f t="shared" si="1"/>
        <v>1</v>
      </c>
      <c r="C48">
        <f t="shared" si="2"/>
        <v>0.1112965089161333</v>
      </c>
      <c r="D48">
        <f t="shared" si="0"/>
        <v>0.1112965089161333</v>
      </c>
    </row>
    <row r="49" spans="1:4" x14ac:dyDescent="0.3">
      <c r="A49">
        <v>46</v>
      </c>
      <c r="B49">
        <f t="shared" si="1"/>
        <v>1</v>
      </c>
      <c r="C49">
        <f t="shared" si="2"/>
        <v>0.10599667515822221</v>
      </c>
      <c r="D49">
        <f t="shared" si="0"/>
        <v>0.10599667515822221</v>
      </c>
    </row>
    <row r="50" spans="1:4" x14ac:dyDescent="0.3">
      <c r="A50">
        <v>47</v>
      </c>
      <c r="B50">
        <f t="shared" si="1"/>
        <v>1</v>
      </c>
      <c r="C50">
        <f t="shared" si="2"/>
        <v>0.10094921443640208</v>
      </c>
      <c r="D50">
        <f t="shared" si="0"/>
        <v>0.10094921443640208</v>
      </c>
    </row>
    <row r="51" spans="1:4" x14ac:dyDescent="0.3">
      <c r="A51">
        <v>48</v>
      </c>
      <c r="B51">
        <f t="shared" si="1"/>
        <v>1</v>
      </c>
      <c r="C51">
        <f t="shared" si="2"/>
        <v>9.6142108987049613E-2</v>
      </c>
      <c r="D51">
        <f t="shared" si="0"/>
        <v>9.6142108987049613E-2</v>
      </c>
    </row>
    <row r="52" spans="1:4" x14ac:dyDescent="0.3">
      <c r="A52">
        <v>49</v>
      </c>
      <c r="B52">
        <f t="shared" si="1"/>
        <v>1</v>
      </c>
      <c r="C52">
        <f t="shared" si="2"/>
        <v>9.1563913320999626E-2</v>
      </c>
      <c r="D52">
        <f t="shared" si="0"/>
        <v>9.1563913320999626E-2</v>
      </c>
    </row>
    <row r="53" spans="1:4" x14ac:dyDescent="0.3">
      <c r="A53">
        <v>50</v>
      </c>
      <c r="B53">
        <f t="shared" si="1"/>
        <v>1</v>
      </c>
      <c r="C53">
        <f t="shared" si="2"/>
        <v>8.7203726972380588E-2</v>
      </c>
      <c r="D53">
        <f t="shared" si="0"/>
        <v>8.7203726972380588E-2</v>
      </c>
    </row>
    <row r="54" spans="1:4" x14ac:dyDescent="0.3">
      <c r="A54">
        <v>51</v>
      </c>
      <c r="B54">
        <f t="shared" si="1"/>
        <v>1</v>
      </c>
      <c r="C54">
        <f t="shared" si="2"/>
        <v>8.3051168545124371E-2</v>
      </c>
      <c r="D54">
        <f t="shared" si="0"/>
        <v>8.3051168545124371E-2</v>
      </c>
    </row>
    <row r="55" spans="1:4" x14ac:dyDescent="0.3">
      <c r="A55">
        <v>52</v>
      </c>
      <c r="B55">
        <f t="shared" si="1"/>
        <v>1</v>
      </c>
      <c r="C55">
        <f t="shared" si="2"/>
        <v>7.9096350995356543E-2</v>
      </c>
      <c r="D55">
        <f t="shared" si="0"/>
        <v>7.9096350995356543E-2</v>
      </c>
    </row>
    <row r="56" spans="1:4" x14ac:dyDescent="0.3">
      <c r="A56">
        <v>53</v>
      </c>
      <c r="B56">
        <f t="shared" si="1"/>
        <v>1</v>
      </c>
      <c r="C56">
        <f t="shared" si="2"/>
        <v>7.5329858090815757E-2</v>
      </c>
      <c r="D56">
        <f t="shared" si="0"/>
        <v>7.5329858090815757E-2</v>
      </c>
    </row>
    <row r="57" spans="1:4" x14ac:dyDescent="0.3">
      <c r="A57">
        <v>54</v>
      </c>
      <c r="B57">
        <f t="shared" si="1"/>
        <v>1</v>
      </c>
      <c r="C57">
        <f t="shared" si="2"/>
        <v>7.1742721991253117E-2</v>
      </c>
      <c r="D57">
        <f t="shared" si="0"/>
        <v>7.1742721991253117E-2</v>
      </c>
    </row>
    <row r="58" spans="1:4" x14ac:dyDescent="0.3">
      <c r="A58">
        <v>55</v>
      </c>
      <c r="B58">
        <f t="shared" si="1"/>
        <v>1</v>
      </c>
      <c r="C58">
        <f t="shared" si="2"/>
        <v>6.8326401896431521E-2</v>
      </c>
      <c r="D58">
        <f t="shared" si="0"/>
        <v>6.8326401896431521E-2</v>
      </c>
    </row>
    <row r="59" spans="1:4" x14ac:dyDescent="0.3">
      <c r="A59">
        <v>56</v>
      </c>
      <c r="B59">
        <f t="shared" si="1"/>
        <v>1</v>
      </c>
      <c r="C59">
        <f t="shared" si="2"/>
        <v>6.5072763710887174E-2</v>
      </c>
      <c r="D59">
        <f t="shared" si="0"/>
        <v>6.5072763710887174E-2</v>
      </c>
    </row>
    <row r="60" spans="1:4" x14ac:dyDescent="0.3">
      <c r="A60">
        <v>57</v>
      </c>
      <c r="B60">
        <f t="shared" si="1"/>
        <v>1</v>
      </c>
      <c r="C60">
        <f t="shared" si="2"/>
        <v>6.1974060677035397E-2</v>
      </c>
      <c r="D60">
        <f t="shared" si="0"/>
        <v>6.1974060677035397E-2</v>
      </c>
    </row>
    <row r="61" spans="1:4" x14ac:dyDescent="0.3">
      <c r="A61">
        <v>58</v>
      </c>
      <c r="B61">
        <f t="shared" si="1"/>
        <v>1</v>
      </c>
      <c r="C61">
        <f t="shared" si="2"/>
        <v>5.9022914930509894E-2</v>
      </c>
      <c r="D61">
        <f t="shared" si="0"/>
        <v>5.9022914930509894E-2</v>
      </c>
    </row>
    <row r="62" spans="1:4" x14ac:dyDescent="0.3">
      <c r="A62">
        <v>59</v>
      </c>
      <c r="B62">
        <f t="shared" si="1"/>
        <v>1</v>
      </c>
      <c r="C62">
        <f t="shared" si="2"/>
        <v>5.6212299933818946E-2</v>
      </c>
      <c r="D62">
        <f t="shared" si="0"/>
        <v>5.6212299933818946E-2</v>
      </c>
    </row>
    <row r="63" spans="1:4" x14ac:dyDescent="0.3">
      <c r="A63">
        <v>60</v>
      </c>
      <c r="B63">
        <f t="shared" si="1"/>
        <v>1</v>
      </c>
      <c r="C63">
        <f t="shared" si="2"/>
        <v>5.3535523746494243E-2</v>
      </c>
      <c r="D63">
        <f t="shared" si="0"/>
        <v>5.3535523746494243E-2</v>
      </c>
    </row>
    <row r="64" spans="1:4" x14ac:dyDescent="0.3">
      <c r="A64">
        <v>61</v>
      </c>
      <c r="B64">
        <f t="shared" si="1"/>
        <v>1</v>
      </c>
      <c r="C64">
        <f t="shared" si="2"/>
        <v>5.0986213091899268E-2</v>
      </c>
      <c r="D64">
        <f t="shared" si="0"/>
        <v>5.0986213091899268E-2</v>
      </c>
    </row>
    <row r="65" spans="1:4" x14ac:dyDescent="0.3">
      <c r="A65">
        <v>62</v>
      </c>
      <c r="B65">
        <f t="shared" si="1"/>
        <v>1</v>
      </c>
      <c r="C65">
        <f t="shared" si="2"/>
        <v>4.855829818276123E-2</v>
      </c>
      <c r="D65">
        <f t="shared" si="0"/>
        <v>4.855829818276123E-2</v>
      </c>
    </row>
    <row r="66" spans="1:4" x14ac:dyDescent="0.3">
      <c r="A66">
        <v>63</v>
      </c>
      <c r="B66">
        <f t="shared" si="1"/>
        <v>1</v>
      </c>
      <c r="C66">
        <f t="shared" si="2"/>
        <v>4.6245998269296387E-2</v>
      </c>
      <c r="D66">
        <f t="shared" si="0"/>
        <v>4.6245998269296387E-2</v>
      </c>
    </row>
    <row r="67" spans="1:4" x14ac:dyDescent="0.3">
      <c r="A67">
        <v>64</v>
      </c>
      <c r="B67">
        <f t="shared" si="1"/>
        <v>1</v>
      </c>
      <c r="C67">
        <f t="shared" si="2"/>
        <v>4.4043807875520369E-2</v>
      </c>
      <c r="D67">
        <f t="shared" si="0"/>
        <v>4.4043807875520369E-2</v>
      </c>
    </row>
    <row r="68" spans="1:4" x14ac:dyDescent="0.3">
      <c r="A68">
        <v>65</v>
      </c>
      <c r="B68">
        <f t="shared" si="1"/>
        <v>1</v>
      </c>
      <c r="C68">
        <f t="shared" si="2"/>
        <v>4.1946483690971779E-2</v>
      </c>
      <c r="D68">
        <f t="shared" ref="D68:D69" si="3">C68*B68</f>
        <v>4.1946483690971779E-2</v>
      </c>
    </row>
    <row r="69" spans="1:4" x14ac:dyDescent="0.3">
      <c r="A69">
        <v>65.5</v>
      </c>
      <c r="B69">
        <f t="shared" ref="B69" si="4">A69-A68</f>
        <v>0.5</v>
      </c>
      <c r="C69">
        <f t="shared" ref="C69" si="5">1/(1+0.05)^A69</f>
        <v>4.0935576493953726E-2</v>
      </c>
      <c r="D69">
        <f t="shared" si="3"/>
        <v>2.0467788246976863E-2</v>
      </c>
    </row>
    <row r="71" spans="1:4" x14ac:dyDescent="0.3">
      <c r="D71">
        <f>SUM(D3:D69)</f>
        <v>19.181538114427529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81"/>
  <sheetViews>
    <sheetView workbookViewId="0">
      <selection activeCell="B4" sqref="B4"/>
    </sheetView>
  </sheetViews>
  <sheetFormatPr defaultRowHeight="14.4" x14ac:dyDescent="0.3"/>
  <cols>
    <col min="1" max="1" width="36.77734375" bestFit="1" customWidth="1"/>
    <col min="2" max="2" width="37.109375" bestFit="1" customWidth="1"/>
    <col min="4" max="5" width="11.77734375" bestFit="1" customWidth="1"/>
  </cols>
  <sheetData>
    <row r="1" spans="1:5" x14ac:dyDescent="0.3">
      <c r="A1" s="20" t="s">
        <v>221</v>
      </c>
      <c r="B1" t="s">
        <v>695</v>
      </c>
    </row>
    <row r="3" spans="1:5" ht="20.399999999999999" x14ac:dyDescent="0.3">
      <c r="A3" t="s">
        <v>694</v>
      </c>
      <c r="B3">
        <v>0.13300000000000001</v>
      </c>
      <c r="C3" s="85" t="s">
        <v>708</v>
      </c>
    </row>
    <row r="4" spans="1:5" x14ac:dyDescent="0.3">
      <c r="A4" t="s">
        <v>693</v>
      </c>
      <c r="B4">
        <f>B6</f>
        <v>65.5</v>
      </c>
    </row>
    <row r="5" spans="1:5" x14ac:dyDescent="0.3">
      <c r="A5" t="s">
        <v>692</v>
      </c>
      <c r="B5">
        <f>B6-0</f>
        <v>65.5</v>
      </c>
      <c r="C5" t="s">
        <v>710</v>
      </c>
    </row>
    <row r="6" spans="1:5" x14ac:dyDescent="0.3">
      <c r="A6" t="s">
        <v>709</v>
      </c>
      <c r="B6">
        <f>Average_life_expectancy_at_birth</f>
        <v>65.5</v>
      </c>
    </row>
    <row r="8" spans="1:5" x14ac:dyDescent="0.3">
      <c r="A8" t="s">
        <v>689</v>
      </c>
      <c r="B8">
        <v>0</v>
      </c>
    </row>
    <row r="9" spans="1:5" x14ac:dyDescent="0.3">
      <c r="A9" t="s">
        <v>690</v>
      </c>
      <c r="B9">
        <f>E81</f>
        <v>0.53465956747782661</v>
      </c>
    </row>
    <row r="10" spans="1:5" x14ac:dyDescent="0.3">
      <c r="A10" s="80" t="s">
        <v>65</v>
      </c>
      <c r="B10" s="80">
        <f>B8+B9</f>
        <v>0.53465956747782661</v>
      </c>
    </row>
    <row r="12" spans="1:5" x14ac:dyDescent="0.3">
      <c r="A12" t="s">
        <v>262</v>
      </c>
    </row>
    <row r="13" spans="1:5" x14ac:dyDescent="0.3">
      <c r="A13" s="80" t="s">
        <v>704</v>
      </c>
      <c r="B13" s="80" t="s">
        <v>702</v>
      </c>
      <c r="C13" s="80" t="s">
        <v>705</v>
      </c>
      <c r="D13" s="80" t="s">
        <v>697</v>
      </c>
      <c r="E13" s="80" t="s">
        <v>706</v>
      </c>
    </row>
    <row r="14" spans="1:5" x14ac:dyDescent="0.3">
      <c r="A14">
        <v>1</v>
      </c>
      <c r="B14">
        <v>0</v>
      </c>
      <c r="C14">
        <v>0</v>
      </c>
      <c r="D14">
        <f>1/(1+0.05)^B14</f>
        <v>1</v>
      </c>
      <c r="E14">
        <f>Parameters!$B$257*D14</f>
        <v>0.13300000000000001</v>
      </c>
    </row>
    <row r="15" spans="1:5" x14ac:dyDescent="0.3">
      <c r="A15">
        <v>2</v>
      </c>
      <c r="B15">
        <v>1</v>
      </c>
      <c r="C15">
        <f>B15-B14</f>
        <v>1</v>
      </c>
      <c r="D15">
        <f t="shared" ref="D15:D78" si="0">1/(1+0.05)^B15</f>
        <v>0.95238095238095233</v>
      </c>
      <c r="E15">
        <f>Parameters!$B$257*D15</f>
        <v>0.12666666666666668</v>
      </c>
    </row>
    <row r="16" spans="1:5" x14ac:dyDescent="0.3">
      <c r="A16">
        <v>3</v>
      </c>
      <c r="B16">
        <v>2</v>
      </c>
      <c r="C16">
        <f t="shared" ref="C16:C43" si="1">B16-B15</f>
        <v>1</v>
      </c>
      <c r="D16">
        <f t="shared" si="0"/>
        <v>0.90702947845804982</v>
      </c>
      <c r="E16">
        <f>Parameters!$B$257*D16</f>
        <v>0.12063492063492064</v>
      </c>
    </row>
    <row r="17" spans="1:5" x14ac:dyDescent="0.3">
      <c r="A17">
        <v>4</v>
      </c>
      <c r="B17">
        <v>3</v>
      </c>
      <c r="C17">
        <f t="shared" si="1"/>
        <v>1</v>
      </c>
      <c r="D17">
        <f t="shared" si="0"/>
        <v>0.86383759853147601</v>
      </c>
      <c r="E17">
        <f>Parameters!$B$257*D17</f>
        <v>0.11489040060468632</v>
      </c>
    </row>
    <row r="18" spans="1:5" x14ac:dyDescent="0.3">
      <c r="A18">
        <v>5</v>
      </c>
      <c r="B18">
        <v>4</v>
      </c>
      <c r="C18">
        <f t="shared" si="1"/>
        <v>1</v>
      </c>
      <c r="D18">
        <f t="shared" si="0"/>
        <v>0.82270247479188197</v>
      </c>
      <c r="E18">
        <f>Parameters!$B$257*D18</f>
        <v>0.10941942914732031</v>
      </c>
    </row>
    <row r="19" spans="1:5" x14ac:dyDescent="0.3">
      <c r="A19">
        <v>6</v>
      </c>
      <c r="B19">
        <v>5</v>
      </c>
      <c r="C19">
        <f t="shared" si="1"/>
        <v>1</v>
      </c>
      <c r="D19">
        <f t="shared" si="0"/>
        <v>0.78352616646845896</v>
      </c>
      <c r="E19">
        <f>Parameters!$B$257*D19</f>
        <v>0.10420898014030505</v>
      </c>
    </row>
    <row r="20" spans="1:5" x14ac:dyDescent="0.3">
      <c r="A20">
        <v>7</v>
      </c>
      <c r="B20">
        <v>6</v>
      </c>
      <c r="C20">
        <f t="shared" si="1"/>
        <v>1</v>
      </c>
      <c r="D20">
        <f t="shared" si="0"/>
        <v>0.74621539663662761</v>
      </c>
      <c r="E20">
        <f>Parameters!$B$257*D20</f>
        <v>9.9246647752671474E-2</v>
      </c>
    </row>
    <row r="21" spans="1:5" x14ac:dyDescent="0.3">
      <c r="A21">
        <v>8</v>
      </c>
      <c r="B21">
        <v>7</v>
      </c>
      <c r="C21">
        <f t="shared" si="1"/>
        <v>1</v>
      </c>
      <c r="D21">
        <f t="shared" si="0"/>
        <v>0.71068133013012147</v>
      </c>
      <c r="E21">
        <f>Parameters!$B$257*D21</f>
        <v>9.4520616907306163E-2</v>
      </c>
    </row>
    <row r="22" spans="1:5" x14ac:dyDescent="0.3">
      <c r="A22">
        <v>9</v>
      </c>
      <c r="B22">
        <v>8</v>
      </c>
      <c r="C22">
        <f t="shared" si="1"/>
        <v>1</v>
      </c>
      <c r="D22">
        <f t="shared" si="0"/>
        <v>0.67683936202868722</v>
      </c>
      <c r="E22">
        <f>Parameters!$B$257*D22</f>
        <v>9.0019635149815411E-2</v>
      </c>
    </row>
    <row r="23" spans="1:5" x14ac:dyDescent="0.3">
      <c r="A23">
        <v>10</v>
      </c>
      <c r="B23">
        <v>9</v>
      </c>
      <c r="C23">
        <f t="shared" si="1"/>
        <v>1</v>
      </c>
      <c r="D23">
        <f t="shared" si="0"/>
        <v>0.64460891621779726</v>
      </c>
      <c r="E23">
        <f>Parameters!$B$257*D23</f>
        <v>8.5732985856967037E-2</v>
      </c>
    </row>
    <row r="24" spans="1:5" x14ac:dyDescent="0.3">
      <c r="A24">
        <v>11</v>
      </c>
      <c r="B24">
        <v>10</v>
      </c>
      <c r="C24">
        <f t="shared" si="1"/>
        <v>1</v>
      </c>
      <c r="D24">
        <f t="shared" si="0"/>
        <v>0.61391325354075932</v>
      </c>
      <c r="E24">
        <f>Parameters!$B$257*D24</f>
        <v>8.1650462720920997E-2</v>
      </c>
    </row>
    <row r="25" spans="1:5" x14ac:dyDescent="0.3">
      <c r="A25">
        <v>12</v>
      </c>
      <c r="B25">
        <v>11</v>
      </c>
      <c r="C25">
        <f t="shared" si="1"/>
        <v>1</v>
      </c>
      <c r="D25">
        <f t="shared" si="0"/>
        <v>0.5846792890864374</v>
      </c>
      <c r="E25">
        <f>Parameters!$B$257*D25</f>
        <v>7.7762345448496181E-2</v>
      </c>
    </row>
    <row r="26" spans="1:5" x14ac:dyDescent="0.3">
      <c r="A26">
        <v>13</v>
      </c>
      <c r="B26">
        <v>12</v>
      </c>
      <c r="C26">
        <f t="shared" si="1"/>
        <v>1</v>
      </c>
      <c r="D26">
        <f t="shared" si="0"/>
        <v>0.5568374181775595</v>
      </c>
      <c r="E26">
        <f>Parameters!$B$257*D26</f>
        <v>7.4059376617615413E-2</v>
      </c>
    </row>
    <row r="27" spans="1:5" x14ac:dyDescent="0.3">
      <c r="A27">
        <v>14</v>
      </c>
      <c r="B27">
        <v>13</v>
      </c>
      <c r="C27">
        <f t="shared" si="1"/>
        <v>1</v>
      </c>
      <c r="D27">
        <f t="shared" si="0"/>
        <v>0.53032135064529462</v>
      </c>
      <c r="E27">
        <f>Parameters!$B$257*D27</f>
        <v>7.0532739635824182E-2</v>
      </c>
    </row>
    <row r="28" spans="1:5" x14ac:dyDescent="0.3">
      <c r="A28">
        <v>15</v>
      </c>
      <c r="B28">
        <v>14</v>
      </c>
      <c r="C28">
        <f t="shared" si="1"/>
        <v>1</v>
      </c>
      <c r="D28">
        <f t="shared" si="0"/>
        <v>0.50506795299551888</v>
      </c>
      <c r="E28">
        <f>Parameters!$B$257*D28</f>
        <v>6.7174037748404011E-2</v>
      </c>
    </row>
    <row r="29" spans="1:5" x14ac:dyDescent="0.3">
      <c r="A29">
        <v>16</v>
      </c>
      <c r="B29">
        <v>15</v>
      </c>
      <c r="C29">
        <f t="shared" si="1"/>
        <v>1</v>
      </c>
      <c r="D29">
        <f t="shared" si="0"/>
        <v>0.48101709809097021</v>
      </c>
      <c r="E29">
        <f>Parameters!$B$257*D29</f>
        <v>6.397527404609904E-2</v>
      </c>
    </row>
    <row r="30" spans="1:5" x14ac:dyDescent="0.3">
      <c r="A30">
        <v>17</v>
      </c>
      <c r="B30">
        <v>16</v>
      </c>
      <c r="C30">
        <f t="shared" si="1"/>
        <v>1</v>
      </c>
      <c r="D30">
        <f t="shared" si="0"/>
        <v>0.45811152199140021</v>
      </c>
      <c r="E30">
        <f>Parameters!$B$257*D30</f>
        <v>6.0928832424856229E-2</v>
      </c>
    </row>
    <row r="31" spans="1:5" x14ac:dyDescent="0.3">
      <c r="A31">
        <v>18</v>
      </c>
      <c r="B31">
        <v>17</v>
      </c>
      <c r="C31">
        <f t="shared" si="1"/>
        <v>1</v>
      </c>
      <c r="D31">
        <f t="shared" si="0"/>
        <v>0.43629668761085727</v>
      </c>
      <c r="E31">
        <f>Parameters!$B$257*D31</f>
        <v>5.8027459452244023E-2</v>
      </c>
    </row>
    <row r="32" spans="1:5" x14ac:dyDescent="0.3">
      <c r="A32">
        <v>19</v>
      </c>
      <c r="B32">
        <v>18</v>
      </c>
      <c r="C32">
        <f t="shared" si="1"/>
        <v>1</v>
      </c>
      <c r="D32">
        <f t="shared" si="0"/>
        <v>0.41552065486748313</v>
      </c>
      <c r="E32">
        <f>Parameters!$B$257*D32</f>
        <v>5.5264247097375256E-2</v>
      </c>
    </row>
    <row r="33" spans="1:5" x14ac:dyDescent="0.3">
      <c r="A33">
        <v>20</v>
      </c>
      <c r="B33">
        <v>19</v>
      </c>
      <c r="C33">
        <f t="shared" si="1"/>
        <v>1</v>
      </c>
      <c r="D33">
        <f t="shared" si="0"/>
        <v>0.39573395701665059</v>
      </c>
      <c r="E33">
        <f>Parameters!$B$257*D33</f>
        <v>5.2632616283214535E-2</v>
      </c>
    </row>
    <row r="34" spans="1:5" x14ac:dyDescent="0.3">
      <c r="A34">
        <v>21</v>
      </c>
      <c r="B34">
        <v>20</v>
      </c>
      <c r="C34">
        <f t="shared" si="1"/>
        <v>1</v>
      </c>
      <c r="D34">
        <f t="shared" si="0"/>
        <v>0.37688948287300061</v>
      </c>
      <c r="E34">
        <f>Parameters!$B$257*D34</f>
        <v>5.0126301222109086E-2</v>
      </c>
    </row>
    <row r="35" spans="1:5" x14ac:dyDescent="0.3">
      <c r="A35">
        <v>22</v>
      </c>
      <c r="B35">
        <v>21</v>
      </c>
      <c r="C35">
        <f t="shared" si="1"/>
        <v>1</v>
      </c>
      <c r="D35">
        <f t="shared" si="0"/>
        <v>0.35894236464095297</v>
      </c>
      <c r="E35">
        <f>Parameters!$B$257*D35</f>
        <v>4.7739334497246745E-2</v>
      </c>
    </row>
    <row r="36" spans="1:5" x14ac:dyDescent="0.3">
      <c r="A36">
        <v>23</v>
      </c>
      <c r="B36">
        <v>22</v>
      </c>
      <c r="C36">
        <f t="shared" si="1"/>
        <v>1</v>
      </c>
      <c r="D36">
        <f t="shared" si="0"/>
        <v>0.3418498710866219</v>
      </c>
      <c r="E36">
        <f>Parameters!$B$257*D36</f>
        <v>4.5466032854520715E-2</v>
      </c>
    </row>
    <row r="37" spans="1:5" x14ac:dyDescent="0.3">
      <c r="A37">
        <v>24</v>
      </c>
      <c r="B37">
        <v>23</v>
      </c>
      <c r="C37">
        <f t="shared" si="1"/>
        <v>1</v>
      </c>
      <c r="D37">
        <f t="shared" si="0"/>
        <v>0.32557130579678267</v>
      </c>
      <c r="E37">
        <f>Parameters!$B$257*D37</f>
        <v>4.3300983670972099E-2</v>
      </c>
    </row>
    <row r="38" spans="1:5" x14ac:dyDescent="0.3">
      <c r="A38">
        <v>25</v>
      </c>
      <c r="B38">
        <v>24</v>
      </c>
      <c r="C38">
        <f t="shared" si="1"/>
        <v>1</v>
      </c>
      <c r="D38">
        <f t="shared" si="0"/>
        <v>0.31006791028265024</v>
      </c>
      <c r="E38">
        <f>Parameters!$B$257*D38</f>
        <v>4.1239032067592482E-2</v>
      </c>
    </row>
    <row r="39" spans="1:5" x14ac:dyDescent="0.3">
      <c r="A39">
        <v>26</v>
      </c>
      <c r="B39">
        <v>25</v>
      </c>
      <c r="C39">
        <f t="shared" si="1"/>
        <v>1</v>
      </c>
      <c r="D39">
        <f t="shared" si="0"/>
        <v>0.29530277169776209</v>
      </c>
      <c r="E39">
        <f>Parameters!$B$257*D39</f>
        <v>3.9275268635802357E-2</v>
      </c>
    </row>
    <row r="40" spans="1:5" x14ac:dyDescent="0.3">
      <c r="A40">
        <v>27</v>
      </c>
      <c r="B40">
        <v>26</v>
      </c>
      <c r="C40">
        <f t="shared" si="1"/>
        <v>1</v>
      </c>
      <c r="D40">
        <f t="shared" si="0"/>
        <v>0.28124073495024959</v>
      </c>
      <c r="E40">
        <f>Parameters!$B$257*D40</f>
        <v>3.7405017748383201E-2</v>
      </c>
    </row>
    <row r="41" spans="1:5" x14ac:dyDescent="0.3">
      <c r="A41">
        <v>28</v>
      </c>
      <c r="B41">
        <v>27</v>
      </c>
      <c r="C41">
        <f t="shared" si="1"/>
        <v>1</v>
      </c>
      <c r="D41">
        <f t="shared" si="0"/>
        <v>0.2678483190002377</v>
      </c>
      <c r="E41">
        <f>Parameters!$B$257*D41</f>
        <v>3.5623826427031616E-2</v>
      </c>
    </row>
    <row r="42" spans="1:5" x14ac:dyDescent="0.3">
      <c r="A42">
        <v>29</v>
      </c>
      <c r="B42">
        <v>28</v>
      </c>
      <c r="C42">
        <f t="shared" si="1"/>
        <v>1</v>
      </c>
      <c r="D42">
        <f t="shared" si="0"/>
        <v>0.25509363714308358</v>
      </c>
      <c r="E42">
        <f>Parameters!$B$257*D42</f>
        <v>3.3927453740030117E-2</v>
      </c>
    </row>
    <row r="43" spans="1:5" x14ac:dyDescent="0.3">
      <c r="A43">
        <v>30</v>
      </c>
      <c r="B43">
        <v>29</v>
      </c>
      <c r="C43">
        <f t="shared" si="1"/>
        <v>1</v>
      </c>
      <c r="D43">
        <f t="shared" si="0"/>
        <v>0.24294632108865097</v>
      </c>
      <c r="E43">
        <f>Parameters!$B$257*D43</f>
        <v>3.2311860704790578E-2</v>
      </c>
    </row>
    <row r="44" spans="1:5" x14ac:dyDescent="0.3">
      <c r="A44">
        <v>31</v>
      </c>
      <c r="B44">
        <v>30</v>
      </c>
      <c r="C44">
        <v>0</v>
      </c>
      <c r="D44">
        <f t="shared" si="0"/>
        <v>0.23137744865585813</v>
      </c>
      <c r="E44">
        <f>Parameters!$B$257*D44</f>
        <v>3.0773200671229132E-2</v>
      </c>
    </row>
    <row r="45" spans="1:5" x14ac:dyDescent="0.3">
      <c r="A45">
        <v>32</v>
      </c>
      <c r="B45">
        <v>31</v>
      </c>
      <c r="C45">
        <f>B45-B44</f>
        <v>1</v>
      </c>
      <c r="D45">
        <f t="shared" si="0"/>
        <v>0.220359474910341</v>
      </c>
      <c r="E45">
        <f>Parameters!$B$257*D45</f>
        <v>2.9307810163075355E-2</v>
      </c>
    </row>
    <row r="46" spans="1:5" x14ac:dyDescent="0.3">
      <c r="A46">
        <v>33</v>
      </c>
      <c r="B46">
        <v>32</v>
      </c>
      <c r="C46">
        <f t="shared" ref="C46:C79" si="2">B46-B45</f>
        <v>1</v>
      </c>
      <c r="D46">
        <f t="shared" si="0"/>
        <v>0.20986616658127716</v>
      </c>
      <c r="E46">
        <f>Parameters!$B$257*D46</f>
        <v>2.7912200155309864E-2</v>
      </c>
    </row>
    <row r="47" spans="1:5" x14ac:dyDescent="0.3">
      <c r="A47">
        <v>34</v>
      </c>
      <c r="B47">
        <v>33</v>
      </c>
      <c r="C47">
        <f t="shared" si="2"/>
        <v>1</v>
      </c>
      <c r="D47">
        <f t="shared" si="0"/>
        <v>0.19987253960121634</v>
      </c>
      <c r="E47">
        <f>Parameters!$B$257*D47</f>
        <v>2.6583047766961774E-2</v>
      </c>
    </row>
    <row r="48" spans="1:5" x14ac:dyDescent="0.3">
      <c r="A48">
        <v>35</v>
      </c>
      <c r="B48">
        <v>34</v>
      </c>
      <c r="C48">
        <f t="shared" si="2"/>
        <v>1</v>
      </c>
      <c r="D48">
        <f t="shared" si="0"/>
        <v>0.19035479962020604</v>
      </c>
      <c r="E48">
        <f>Parameters!$B$257*D48</f>
        <v>2.5317188349487405E-2</v>
      </c>
    </row>
    <row r="49" spans="1:5" x14ac:dyDescent="0.3">
      <c r="A49">
        <v>36</v>
      </c>
      <c r="B49">
        <v>35</v>
      </c>
      <c r="C49">
        <f t="shared" si="2"/>
        <v>1</v>
      </c>
      <c r="D49">
        <f t="shared" si="0"/>
        <v>0.18129028535257716</v>
      </c>
      <c r="E49">
        <f>Parameters!$B$257*D49</f>
        <v>2.4111607951892763E-2</v>
      </c>
    </row>
    <row r="50" spans="1:5" x14ac:dyDescent="0.3">
      <c r="A50">
        <v>37</v>
      </c>
      <c r="B50">
        <v>36</v>
      </c>
      <c r="C50">
        <f t="shared" si="2"/>
        <v>1</v>
      </c>
      <c r="D50">
        <f t="shared" si="0"/>
        <v>0.17265741462150208</v>
      </c>
      <c r="E50">
        <f>Parameters!$B$257*D50</f>
        <v>2.2963436144659777E-2</v>
      </c>
    </row>
    <row r="51" spans="1:5" x14ac:dyDescent="0.3">
      <c r="A51">
        <v>38</v>
      </c>
      <c r="B51">
        <v>37</v>
      </c>
      <c r="C51">
        <f t="shared" si="2"/>
        <v>1</v>
      </c>
      <c r="D51">
        <f t="shared" si="0"/>
        <v>0.1644356329728591</v>
      </c>
      <c r="E51">
        <f>Parameters!$B$257*D51</f>
        <v>2.186993918539026E-2</v>
      </c>
    </row>
    <row r="52" spans="1:5" x14ac:dyDescent="0.3">
      <c r="A52">
        <v>39</v>
      </c>
      <c r="B52">
        <v>38</v>
      </c>
      <c r="C52">
        <f t="shared" si="2"/>
        <v>1</v>
      </c>
      <c r="D52">
        <f t="shared" si="0"/>
        <v>0.15660536473605632</v>
      </c>
      <c r="E52">
        <f>Parameters!$B$257*D52</f>
        <v>2.0828513509895494E-2</v>
      </c>
    </row>
    <row r="53" spans="1:5" x14ac:dyDescent="0.3">
      <c r="A53">
        <v>40</v>
      </c>
      <c r="B53">
        <v>39</v>
      </c>
      <c r="C53">
        <f t="shared" si="2"/>
        <v>1</v>
      </c>
      <c r="D53">
        <f t="shared" si="0"/>
        <v>0.14914796641529171</v>
      </c>
      <c r="E53">
        <f>Parameters!$B$257*D53</f>
        <v>1.98366795332338E-2</v>
      </c>
    </row>
    <row r="54" spans="1:5" x14ac:dyDescent="0.3">
      <c r="A54">
        <v>41</v>
      </c>
      <c r="B54">
        <v>40</v>
      </c>
      <c r="C54">
        <f t="shared" si="2"/>
        <v>1</v>
      </c>
      <c r="D54">
        <f t="shared" si="0"/>
        <v>0.14204568230027784</v>
      </c>
      <c r="E54">
        <f>Parameters!$B$257*D54</f>
        <v>1.8892075745936952E-2</v>
      </c>
    </row>
    <row r="55" spans="1:5" x14ac:dyDescent="0.3">
      <c r="A55">
        <v>42</v>
      </c>
      <c r="B55">
        <v>41</v>
      </c>
      <c r="C55">
        <f t="shared" si="2"/>
        <v>1</v>
      </c>
      <c r="D55">
        <f t="shared" si="0"/>
        <v>0.13528160219074079</v>
      </c>
      <c r="E55">
        <f>Parameters!$B$257*D55</f>
        <v>1.7992453091368526E-2</v>
      </c>
    </row>
    <row r="56" spans="1:5" x14ac:dyDescent="0.3">
      <c r="A56">
        <v>43</v>
      </c>
      <c r="B56">
        <v>42</v>
      </c>
      <c r="C56">
        <f t="shared" si="2"/>
        <v>1</v>
      </c>
      <c r="D56">
        <f t="shared" si="0"/>
        <v>0.12883962113403885</v>
      </c>
      <c r="E56">
        <f>Parameters!$B$257*D56</f>
        <v>1.7135669610827169E-2</v>
      </c>
    </row>
    <row r="57" spans="1:5" x14ac:dyDescent="0.3">
      <c r="A57">
        <v>44</v>
      </c>
      <c r="B57">
        <v>43</v>
      </c>
      <c r="C57">
        <f t="shared" si="2"/>
        <v>1</v>
      </c>
      <c r="D57">
        <f t="shared" si="0"/>
        <v>0.12270440108003698</v>
      </c>
      <c r="E57">
        <f>Parameters!$B$257*D57</f>
        <v>1.6319685343644919E-2</v>
      </c>
    </row>
    <row r="58" spans="1:5" x14ac:dyDescent="0.3">
      <c r="A58">
        <v>45</v>
      </c>
      <c r="B58">
        <v>44</v>
      </c>
      <c r="C58">
        <f t="shared" si="2"/>
        <v>1</v>
      </c>
      <c r="D58">
        <f t="shared" si="0"/>
        <v>0.11686133436193999</v>
      </c>
      <c r="E58">
        <f>Parameters!$B$257*D58</f>
        <v>1.5542557470138019E-2</v>
      </c>
    </row>
    <row r="59" spans="1:5" x14ac:dyDescent="0.3">
      <c r="A59">
        <v>46</v>
      </c>
      <c r="B59">
        <v>45</v>
      </c>
      <c r="C59">
        <f t="shared" si="2"/>
        <v>1</v>
      </c>
      <c r="D59">
        <f t="shared" si="0"/>
        <v>0.1112965089161333</v>
      </c>
      <c r="E59">
        <f>Parameters!$B$257*D59</f>
        <v>1.4802435685845728E-2</v>
      </c>
    </row>
    <row r="60" spans="1:5" x14ac:dyDescent="0.3">
      <c r="A60">
        <v>47</v>
      </c>
      <c r="B60">
        <v>46</v>
      </c>
      <c r="C60">
        <f t="shared" si="2"/>
        <v>1</v>
      </c>
      <c r="D60">
        <f t="shared" si="0"/>
        <v>0.10599667515822221</v>
      </c>
      <c r="E60">
        <f>Parameters!$B$257*D60</f>
        <v>1.4097557796043554E-2</v>
      </c>
    </row>
    <row r="61" spans="1:5" x14ac:dyDescent="0.3">
      <c r="A61">
        <v>48</v>
      </c>
      <c r="B61">
        <v>47</v>
      </c>
      <c r="C61">
        <f t="shared" si="2"/>
        <v>1</v>
      </c>
      <c r="D61">
        <f t="shared" si="0"/>
        <v>0.10094921443640208</v>
      </c>
      <c r="E61">
        <f>Parameters!$B$257*D61</f>
        <v>1.3426245520041477E-2</v>
      </c>
    </row>
    <row r="62" spans="1:5" x14ac:dyDescent="0.3">
      <c r="A62">
        <v>49</v>
      </c>
      <c r="B62">
        <v>48</v>
      </c>
      <c r="C62">
        <f t="shared" si="2"/>
        <v>1</v>
      </c>
      <c r="D62">
        <f t="shared" si="0"/>
        <v>9.6142108987049613E-2</v>
      </c>
      <c r="E62">
        <f>Parameters!$B$257*D62</f>
        <v>1.2786900495277599E-2</v>
      </c>
    </row>
    <row r="63" spans="1:5" x14ac:dyDescent="0.3">
      <c r="A63">
        <v>50</v>
      </c>
      <c r="B63">
        <v>49</v>
      </c>
      <c r="C63">
        <f t="shared" si="2"/>
        <v>1</v>
      </c>
      <c r="D63">
        <f t="shared" si="0"/>
        <v>9.1563913320999626E-2</v>
      </c>
      <c r="E63">
        <f>Parameters!$B$257*D63</f>
        <v>1.2178000471692952E-2</v>
      </c>
    </row>
    <row r="64" spans="1:5" x14ac:dyDescent="0.3">
      <c r="A64">
        <v>51</v>
      </c>
      <c r="B64">
        <v>50</v>
      </c>
      <c r="C64">
        <f t="shared" si="2"/>
        <v>1</v>
      </c>
      <c r="D64">
        <f t="shared" si="0"/>
        <v>8.7203726972380588E-2</v>
      </c>
      <c r="E64">
        <f>Parameters!$B$257*D64</f>
        <v>1.1598095687326618E-2</v>
      </c>
    </row>
    <row r="65" spans="1:5" x14ac:dyDescent="0.3">
      <c r="A65">
        <v>52</v>
      </c>
      <c r="B65">
        <v>51</v>
      </c>
      <c r="C65">
        <f t="shared" si="2"/>
        <v>1</v>
      </c>
      <c r="D65">
        <f t="shared" si="0"/>
        <v>8.3051168545124371E-2</v>
      </c>
      <c r="E65">
        <f>Parameters!$B$257*D65</f>
        <v>1.1045805416501542E-2</v>
      </c>
    </row>
    <row r="66" spans="1:5" x14ac:dyDescent="0.3">
      <c r="A66">
        <v>53</v>
      </c>
      <c r="B66">
        <v>52</v>
      </c>
      <c r="C66">
        <f t="shared" si="2"/>
        <v>1</v>
      </c>
      <c r="D66">
        <f t="shared" si="0"/>
        <v>7.9096350995356543E-2</v>
      </c>
      <c r="E66">
        <f>Parameters!$B$257*D66</f>
        <v>1.051981468238242E-2</v>
      </c>
    </row>
    <row r="67" spans="1:5" x14ac:dyDescent="0.3">
      <c r="A67">
        <v>54</v>
      </c>
      <c r="B67">
        <v>53</v>
      </c>
      <c r="C67">
        <f t="shared" si="2"/>
        <v>1</v>
      </c>
      <c r="D67">
        <f t="shared" si="0"/>
        <v>7.5329858090815757E-2</v>
      </c>
      <c r="E67">
        <f>Parameters!$B$257*D67</f>
        <v>1.0018871126078497E-2</v>
      </c>
    </row>
    <row r="68" spans="1:5" x14ac:dyDescent="0.3">
      <c r="A68">
        <v>55</v>
      </c>
      <c r="B68">
        <v>54</v>
      </c>
      <c r="C68">
        <f t="shared" si="2"/>
        <v>1</v>
      </c>
      <c r="D68">
        <f t="shared" si="0"/>
        <v>7.1742721991253117E-2</v>
      </c>
      <c r="E68">
        <f>Parameters!$B$257*D68</f>
        <v>9.5417820248366644E-3</v>
      </c>
    </row>
    <row r="69" spans="1:5" x14ac:dyDescent="0.3">
      <c r="A69">
        <v>56</v>
      </c>
      <c r="B69">
        <v>55</v>
      </c>
      <c r="C69">
        <f t="shared" si="2"/>
        <v>1</v>
      </c>
      <c r="D69">
        <f t="shared" si="0"/>
        <v>6.8326401896431521E-2</v>
      </c>
      <c r="E69">
        <f>Parameters!$B$257*D69</f>
        <v>9.0874114522253926E-3</v>
      </c>
    </row>
    <row r="70" spans="1:5" x14ac:dyDescent="0.3">
      <c r="A70">
        <v>57</v>
      </c>
      <c r="B70">
        <v>56</v>
      </c>
      <c r="C70">
        <f t="shared" si="2"/>
        <v>1</v>
      </c>
      <c r="D70">
        <f t="shared" si="0"/>
        <v>6.5072763710887174E-2</v>
      </c>
      <c r="E70">
        <f>Parameters!$B$257*D70</f>
        <v>8.6546775735479951E-3</v>
      </c>
    </row>
    <row r="71" spans="1:5" x14ac:dyDescent="0.3">
      <c r="A71">
        <v>58</v>
      </c>
      <c r="B71">
        <v>57</v>
      </c>
      <c r="C71">
        <f t="shared" si="2"/>
        <v>1</v>
      </c>
      <c r="D71">
        <f t="shared" si="0"/>
        <v>6.1974060677035397E-2</v>
      </c>
      <c r="E71">
        <f>Parameters!$B$257*D71</f>
        <v>8.2425500700457083E-3</v>
      </c>
    </row>
    <row r="72" spans="1:5" x14ac:dyDescent="0.3">
      <c r="A72">
        <v>59</v>
      </c>
      <c r="B72">
        <v>58</v>
      </c>
      <c r="C72">
        <f t="shared" si="2"/>
        <v>1</v>
      </c>
      <c r="D72">
        <f t="shared" si="0"/>
        <v>5.9022914930509894E-2</v>
      </c>
      <c r="E72">
        <f>Parameters!$B$257*D72</f>
        <v>7.8500476857578157E-3</v>
      </c>
    </row>
    <row r="73" spans="1:5" x14ac:dyDescent="0.3">
      <c r="A73">
        <v>60</v>
      </c>
      <c r="B73">
        <v>59</v>
      </c>
      <c r="C73">
        <f t="shared" si="2"/>
        <v>1</v>
      </c>
      <c r="D73">
        <f t="shared" si="0"/>
        <v>5.6212299933818946E-2</v>
      </c>
      <c r="E73">
        <f>Parameters!$B$257*D73</f>
        <v>7.4762358911979205E-3</v>
      </c>
    </row>
    <row r="74" spans="1:5" x14ac:dyDescent="0.3">
      <c r="A74">
        <v>61</v>
      </c>
      <c r="B74">
        <v>60</v>
      </c>
      <c r="C74">
        <f t="shared" si="2"/>
        <v>1</v>
      </c>
      <c r="D74">
        <f t="shared" si="0"/>
        <v>5.3535523746494243E-2</v>
      </c>
      <c r="E74">
        <f>Parameters!$B$257*D74</f>
        <v>7.1202246582837345E-3</v>
      </c>
    </row>
    <row r="75" spans="1:5" x14ac:dyDescent="0.3">
      <c r="A75">
        <v>62</v>
      </c>
      <c r="B75">
        <v>61</v>
      </c>
      <c r="C75">
        <f t="shared" si="2"/>
        <v>1</v>
      </c>
      <c r="D75">
        <f t="shared" si="0"/>
        <v>5.0986213091899268E-2</v>
      </c>
      <c r="E75">
        <f>Parameters!$B$257*D75</f>
        <v>6.7811663412226031E-3</v>
      </c>
    </row>
    <row r="76" spans="1:5" x14ac:dyDescent="0.3">
      <c r="A76">
        <v>63</v>
      </c>
      <c r="B76">
        <v>62</v>
      </c>
      <c r="C76">
        <f t="shared" si="2"/>
        <v>1</v>
      </c>
      <c r="D76">
        <f t="shared" si="0"/>
        <v>4.855829818276123E-2</v>
      </c>
      <c r="E76">
        <f>Parameters!$B$257*D76</f>
        <v>6.4582536583072435E-3</v>
      </c>
    </row>
    <row r="77" spans="1:5" x14ac:dyDescent="0.3">
      <c r="A77">
        <v>64</v>
      </c>
      <c r="B77">
        <v>63</v>
      </c>
      <c r="C77">
        <f t="shared" si="2"/>
        <v>1</v>
      </c>
      <c r="D77">
        <f t="shared" si="0"/>
        <v>4.6245998269296387E-2</v>
      </c>
      <c r="E77">
        <f>Parameters!$B$257*D77</f>
        <v>6.1507177698164198E-3</v>
      </c>
    </row>
    <row r="78" spans="1:5" x14ac:dyDescent="0.3">
      <c r="A78">
        <v>65</v>
      </c>
      <c r="B78">
        <v>64</v>
      </c>
      <c r="C78">
        <f t="shared" si="2"/>
        <v>1</v>
      </c>
      <c r="D78">
        <f t="shared" si="0"/>
        <v>4.4043807875520369E-2</v>
      </c>
      <c r="E78">
        <f>Parameters!$B$257*D78</f>
        <v>5.8578264474442093E-3</v>
      </c>
    </row>
    <row r="79" spans="1:5" x14ac:dyDescent="0.3">
      <c r="A79">
        <v>65.5</v>
      </c>
      <c r="B79">
        <v>65</v>
      </c>
      <c r="C79">
        <f t="shared" si="2"/>
        <v>1</v>
      </c>
      <c r="D79">
        <f t="shared" ref="D79" si="3">1/(1+0.05)^B79</f>
        <v>4.1946483690971779E-2</v>
      </c>
      <c r="E79">
        <f>Parameters!$B$257*D79</f>
        <v>5.5788823308992467E-3</v>
      </c>
    </row>
    <row r="81" spans="3:5" x14ac:dyDescent="0.3">
      <c r="C81">
        <f>SUM(C44:C79)</f>
        <v>35</v>
      </c>
      <c r="D81">
        <f>SUM(D44:D79)</f>
        <v>4.0199967479535825</v>
      </c>
      <c r="E81">
        <f>SUM(E44:E79)</f>
        <v>0.53465956747782661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86"/>
  <sheetViews>
    <sheetView workbookViewId="0">
      <selection activeCell="E86" sqref="E86"/>
    </sheetView>
  </sheetViews>
  <sheetFormatPr defaultRowHeight="14.4" x14ac:dyDescent="0.3"/>
  <cols>
    <col min="1" max="1" width="36.77734375" bestFit="1" customWidth="1"/>
    <col min="2" max="2" width="37.109375" bestFit="1" customWidth="1"/>
    <col min="3" max="3" width="37.109375" customWidth="1"/>
    <col min="4" max="5" width="11.77734375" bestFit="1" customWidth="1"/>
  </cols>
  <sheetData>
    <row r="1" spans="1:5" x14ac:dyDescent="0.3">
      <c r="A1" s="20" t="s">
        <v>691</v>
      </c>
      <c r="B1" t="s">
        <v>695</v>
      </c>
    </row>
    <row r="3" spans="1:5" x14ac:dyDescent="0.3">
      <c r="A3" t="s">
        <v>694</v>
      </c>
      <c r="B3">
        <v>6.0999999999999999E-2</v>
      </c>
      <c r="C3" t="s">
        <v>703</v>
      </c>
    </row>
    <row r="4" spans="1:5" x14ac:dyDescent="0.3">
      <c r="A4" t="s">
        <v>693</v>
      </c>
      <c r="B4">
        <v>30</v>
      </c>
    </row>
    <row r="5" spans="1:5" x14ac:dyDescent="0.3">
      <c r="A5" t="s">
        <v>692</v>
      </c>
      <c r="B5">
        <v>40.89</v>
      </c>
    </row>
    <row r="6" spans="1:5" x14ac:dyDescent="0.3">
      <c r="A6" t="s">
        <v>707</v>
      </c>
      <c r="B6">
        <f>Average_life_expectancy_at_birth</f>
        <v>65.5</v>
      </c>
    </row>
    <row r="8" spans="1:5" x14ac:dyDescent="0.3">
      <c r="A8" t="s">
        <v>689</v>
      </c>
      <c r="B8">
        <f>E86</f>
        <v>16.285787639013609</v>
      </c>
    </row>
    <row r="9" spans="1:5" x14ac:dyDescent="0.3">
      <c r="A9" t="s">
        <v>690</v>
      </c>
      <c r="B9">
        <f>E45</f>
        <v>0.9846054882718458</v>
      </c>
    </row>
    <row r="10" spans="1:5" x14ac:dyDescent="0.3">
      <c r="A10" s="80" t="s">
        <v>65</v>
      </c>
      <c r="B10" s="80">
        <f>B8+B9</f>
        <v>17.270393127285455</v>
      </c>
      <c r="C10" s="80"/>
    </row>
    <row r="12" spans="1:5" x14ac:dyDescent="0.3">
      <c r="A12" t="s">
        <v>262</v>
      </c>
    </row>
    <row r="13" spans="1:5" x14ac:dyDescent="0.3">
      <c r="A13" s="80" t="s">
        <v>704</v>
      </c>
      <c r="B13" s="80" t="s">
        <v>702</v>
      </c>
      <c r="C13" s="80" t="s">
        <v>705</v>
      </c>
      <c r="D13" s="80" t="s">
        <v>697</v>
      </c>
      <c r="E13" s="80" t="s">
        <v>706</v>
      </c>
    </row>
    <row r="14" spans="1:5" x14ac:dyDescent="0.3">
      <c r="A14">
        <v>1</v>
      </c>
      <c r="B14">
        <v>0</v>
      </c>
      <c r="C14">
        <v>0</v>
      </c>
      <c r="D14">
        <f>1/(1+0.05)^B14</f>
        <v>1</v>
      </c>
      <c r="E14">
        <f>Parameters!$B$258*D14</f>
        <v>6.0999999999999999E-2</v>
      </c>
    </row>
    <row r="15" spans="1:5" x14ac:dyDescent="0.3">
      <c r="A15">
        <v>2</v>
      </c>
      <c r="B15">
        <v>1</v>
      </c>
      <c r="C15">
        <f>B15-B14</f>
        <v>1</v>
      </c>
      <c r="D15">
        <f t="shared" ref="D15:D43" si="0">1/(1+0.05)^B15</f>
        <v>0.95238095238095233</v>
      </c>
      <c r="E15">
        <f>Parameters!$B$258*D15</f>
        <v>5.8095238095238089E-2</v>
      </c>
    </row>
    <row r="16" spans="1:5" x14ac:dyDescent="0.3">
      <c r="A16">
        <v>3</v>
      </c>
      <c r="B16">
        <v>2</v>
      </c>
      <c r="C16">
        <f t="shared" ref="C16:C43" si="1">B16-B15</f>
        <v>1</v>
      </c>
      <c r="D16">
        <f t="shared" si="0"/>
        <v>0.90702947845804982</v>
      </c>
      <c r="E16">
        <f>Parameters!$B$258*D16</f>
        <v>5.5328798185941039E-2</v>
      </c>
    </row>
    <row r="17" spans="1:5" x14ac:dyDescent="0.3">
      <c r="A17">
        <v>4</v>
      </c>
      <c r="B17">
        <v>3</v>
      </c>
      <c r="C17">
        <f t="shared" si="1"/>
        <v>1</v>
      </c>
      <c r="D17">
        <f t="shared" si="0"/>
        <v>0.86383759853147601</v>
      </c>
      <c r="E17">
        <f>Parameters!$B$258*D17</f>
        <v>5.2694093510420037E-2</v>
      </c>
    </row>
    <row r="18" spans="1:5" x14ac:dyDescent="0.3">
      <c r="A18">
        <v>5</v>
      </c>
      <c r="B18">
        <v>4</v>
      </c>
      <c r="C18">
        <f t="shared" si="1"/>
        <v>1</v>
      </c>
      <c r="D18">
        <f t="shared" si="0"/>
        <v>0.82270247479188197</v>
      </c>
      <c r="E18">
        <f>Parameters!$B$258*D18</f>
        <v>5.0184850962304801E-2</v>
      </c>
    </row>
    <row r="19" spans="1:5" x14ac:dyDescent="0.3">
      <c r="A19">
        <v>6</v>
      </c>
      <c r="B19">
        <v>5</v>
      </c>
      <c r="C19">
        <f t="shared" si="1"/>
        <v>1</v>
      </c>
      <c r="D19">
        <f t="shared" si="0"/>
        <v>0.78352616646845896</v>
      </c>
      <c r="E19">
        <f>Parameters!$B$258*D19</f>
        <v>4.7795096154575993E-2</v>
      </c>
    </row>
    <row r="20" spans="1:5" x14ac:dyDescent="0.3">
      <c r="A20">
        <v>7</v>
      </c>
      <c r="B20">
        <v>6</v>
      </c>
      <c r="C20">
        <f t="shared" si="1"/>
        <v>1</v>
      </c>
      <c r="D20">
        <f t="shared" si="0"/>
        <v>0.74621539663662761</v>
      </c>
      <c r="E20">
        <f>Parameters!$B$258*D20</f>
        <v>4.5519139194834281E-2</v>
      </c>
    </row>
    <row r="21" spans="1:5" x14ac:dyDescent="0.3">
      <c r="A21">
        <v>8</v>
      </c>
      <c r="B21">
        <v>7</v>
      </c>
      <c r="C21">
        <f t="shared" si="1"/>
        <v>1</v>
      </c>
      <c r="D21">
        <f t="shared" si="0"/>
        <v>0.71068133013012147</v>
      </c>
      <c r="E21">
        <f>Parameters!$B$258*D21</f>
        <v>4.3351561137937408E-2</v>
      </c>
    </row>
    <row r="22" spans="1:5" x14ac:dyDescent="0.3">
      <c r="A22">
        <v>9</v>
      </c>
      <c r="B22">
        <v>8</v>
      </c>
      <c r="C22">
        <f t="shared" si="1"/>
        <v>1</v>
      </c>
      <c r="D22">
        <f t="shared" si="0"/>
        <v>0.67683936202868722</v>
      </c>
      <c r="E22">
        <f>Parameters!$B$258*D22</f>
        <v>4.1287201083749919E-2</v>
      </c>
    </row>
    <row r="23" spans="1:5" x14ac:dyDescent="0.3">
      <c r="A23">
        <v>10</v>
      </c>
      <c r="B23">
        <v>9</v>
      </c>
      <c r="C23">
        <f t="shared" si="1"/>
        <v>1</v>
      </c>
      <c r="D23">
        <f t="shared" si="0"/>
        <v>0.64460891621779726</v>
      </c>
      <c r="E23">
        <f>Parameters!$B$258*D23</f>
        <v>3.9321143889285634E-2</v>
      </c>
    </row>
    <row r="24" spans="1:5" x14ac:dyDescent="0.3">
      <c r="A24">
        <v>11</v>
      </c>
      <c r="B24">
        <v>10</v>
      </c>
      <c r="C24">
        <f t="shared" si="1"/>
        <v>1</v>
      </c>
      <c r="D24">
        <f t="shared" si="0"/>
        <v>0.61391325354075932</v>
      </c>
      <c r="E24">
        <f>Parameters!$B$258*D24</f>
        <v>3.7448708465986316E-2</v>
      </c>
    </row>
    <row r="25" spans="1:5" x14ac:dyDescent="0.3">
      <c r="A25">
        <v>12</v>
      </c>
      <c r="B25">
        <v>11</v>
      </c>
      <c r="C25">
        <f t="shared" si="1"/>
        <v>1</v>
      </c>
      <c r="D25">
        <f t="shared" si="0"/>
        <v>0.5846792890864374</v>
      </c>
      <c r="E25">
        <f>Parameters!$B$258*D25</f>
        <v>3.5665436634272678E-2</v>
      </c>
    </row>
    <row r="26" spans="1:5" x14ac:dyDescent="0.3">
      <c r="A26">
        <v>13</v>
      </c>
      <c r="B26">
        <v>12</v>
      </c>
      <c r="C26">
        <f t="shared" si="1"/>
        <v>1</v>
      </c>
      <c r="D26">
        <f t="shared" si="0"/>
        <v>0.5568374181775595</v>
      </c>
      <c r="E26">
        <f>Parameters!$B$258*D26</f>
        <v>3.3967082508831126E-2</v>
      </c>
    </row>
    <row r="27" spans="1:5" x14ac:dyDescent="0.3">
      <c r="A27">
        <v>14</v>
      </c>
      <c r="B27">
        <v>13</v>
      </c>
      <c r="C27">
        <f t="shared" si="1"/>
        <v>1</v>
      </c>
      <c r="D27">
        <f t="shared" si="0"/>
        <v>0.53032135064529462</v>
      </c>
      <c r="E27">
        <f>Parameters!$B$258*D27</f>
        <v>3.2349602389362971E-2</v>
      </c>
    </row>
    <row r="28" spans="1:5" x14ac:dyDescent="0.3">
      <c r="A28">
        <v>15</v>
      </c>
      <c r="B28">
        <v>14</v>
      </c>
      <c r="C28">
        <f t="shared" si="1"/>
        <v>1</v>
      </c>
      <c r="D28">
        <f t="shared" si="0"/>
        <v>0.50506795299551888</v>
      </c>
      <c r="E28">
        <f>Parameters!$B$258*D28</f>
        <v>3.0809145132726652E-2</v>
      </c>
    </row>
    <row r="29" spans="1:5" x14ac:dyDescent="0.3">
      <c r="A29">
        <v>16</v>
      </c>
      <c r="B29">
        <v>15</v>
      </c>
      <c r="C29">
        <f t="shared" si="1"/>
        <v>1</v>
      </c>
      <c r="D29">
        <f t="shared" si="0"/>
        <v>0.48101709809097021</v>
      </c>
      <c r="E29">
        <f>Parameters!$B$258*D29</f>
        <v>2.9342042983549182E-2</v>
      </c>
    </row>
    <row r="30" spans="1:5" x14ac:dyDescent="0.3">
      <c r="A30">
        <v>17</v>
      </c>
      <c r="B30">
        <v>16</v>
      </c>
      <c r="C30">
        <f t="shared" si="1"/>
        <v>1</v>
      </c>
      <c r="D30">
        <f t="shared" si="0"/>
        <v>0.45811152199140021</v>
      </c>
      <c r="E30">
        <f>Parameters!$B$258*D30</f>
        <v>2.7944802841475411E-2</v>
      </c>
    </row>
    <row r="31" spans="1:5" x14ac:dyDescent="0.3">
      <c r="A31">
        <v>18</v>
      </c>
      <c r="B31">
        <v>17</v>
      </c>
      <c r="C31">
        <f t="shared" si="1"/>
        <v>1</v>
      </c>
      <c r="D31">
        <f t="shared" si="0"/>
        <v>0.43629668761085727</v>
      </c>
      <c r="E31">
        <f>Parameters!$B$258*D31</f>
        <v>2.6614097944262293E-2</v>
      </c>
    </row>
    <row r="32" spans="1:5" x14ac:dyDescent="0.3">
      <c r="A32">
        <v>19</v>
      </c>
      <c r="B32">
        <v>18</v>
      </c>
      <c r="C32">
        <f t="shared" si="1"/>
        <v>1</v>
      </c>
      <c r="D32">
        <f t="shared" si="0"/>
        <v>0.41552065486748313</v>
      </c>
      <c r="E32">
        <f>Parameters!$B$258*D32</f>
        <v>2.5346759946916469E-2</v>
      </c>
    </row>
    <row r="33" spans="1:5" x14ac:dyDescent="0.3">
      <c r="A33">
        <v>20</v>
      </c>
      <c r="B33">
        <v>19</v>
      </c>
      <c r="C33">
        <f t="shared" si="1"/>
        <v>1</v>
      </c>
      <c r="D33">
        <f t="shared" si="0"/>
        <v>0.39573395701665059</v>
      </c>
      <c r="E33">
        <f>Parameters!$B$258*D33</f>
        <v>2.4139771378015686E-2</v>
      </c>
    </row>
    <row r="34" spans="1:5" x14ac:dyDescent="0.3">
      <c r="A34">
        <v>21</v>
      </c>
      <c r="B34">
        <v>20</v>
      </c>
      <c r="C34">
        <f t="shared" si="1"/>
        <v>1</v>
      </c>
      <c r="D34">
        <f t="shared" si="0"/>
        <v>0.37688948287300061</v>
      </c>
      <c r="E34">
        <f>Parameters!$B$258*D34</f>
        <v>2.2990258455253036E-2</v>
      </c>
    </row>
    <row r="35" spans="1:5" x14ac:dyDescent="0.3">
      <c r="A35">
        <v>22</v>
      </c>
      <c r="B35">
        <v>21</v>
      </c>
      <c r="C35">
        <f t="shared" si="1"/>
        <v>1</v>
      </c>
      <c r="D35">
        <f t="shared" si="0"/>
        <v>0.35894236464095297</v>
      </c>
      <c r="E35">
        <f>Parameters!$B$258*D35</f>
        <v>2.1895484243098132E-2</v>
      </c>
    </row>
    <row r="36" spans="1:5" x14ac:dyDescent="0.3">
      <c r="A36">
        <v>23</v>
      </c>
      <c r="B36">
        <v>22</v>
      </c>
      <c r="C36">
        <f t="shared" si="1"/>
        <v>1</v>
      </c>
      <c r="D36">
        <f t="shared" si="0"/>
        <v>0.3418498710866219</v>
      </c>
      <c r="E36">
        <f>Parameters!$B$258*D36</f>
        <v>2.0852842136283935E-2</v>
      </c>
    </row>
    <row r="37" spans="1:5" x14ac:dyDescent="0.3">
      <c r="A37">
        <v>24</v>
      </c>
      <c r="B37">
        <v>23</v>
      </c>
      <c r="C37">
        <f t="shared" si="1"/>
        <v>1</v>
      </c>
      <c r="D37">
        <f t="shared" si="0"/>
        <v>0.32557130579678267</v>
      </c>
      <c r="E37">
        <f>Parameters!$B$258*D37</f>
        <v>1.9859849653603743E-2</v>
      </c>
    </row>
    <row r="38" spans="1:5" x14ac:dyDescent="0.3">
      <c r="A38">
        <v>25</v>
      </c>
      <c r="B38">
        <v>24</v>
      </c>
      <c r="C38">
        <f t="shared" si="1"/>
        <v>1</v>
      </c>
      <c r="D38">
        <f t="shared" si="0"/>
        <v>0.31006791028265024</v>
      </c>
      <c r="E38">
        <f>Parameters!$B$258*D38</f>
        <v>1.8914142527241665E-2</v>
      </c>
    </row>
    <row r="39" spans="1:5" x14ac:dyDescent="0.3">
      <c r="A39">
        <v>26</v>
      </c>
      <c r="B39">
        <v>25</v>
      </c>
      <c r="C39">
        <f t="shared" si="1"/>
        <v>1</v>
      </c>
      <c r="D39">
        <f t="shared" si="0"/>
        <v>0.29530277169776209</v>
      </c>
      <c r="E39">
        <f>Parameters!$B$258*D39</f>
        <v>1.8013469073563486E-2</v>
      </c>
    </row>
    <row r="40" spans="1:5" x14ac:dyDescent="0.3">
      <c r="A40">
        <v>27</v>
      </c>
      <c r="B40">
        <v>26</v>
      </c>
      <c r="C40">
        <f t="shared" si="1"/>
        <v>1</v>
      </c>
      <c r="D40">
        <f t="shared" si="0"/>
        <v>0.28124073495024959</v>
      </c>
      <c r="E40">
        <f>Parameters!$B$258*D40</f>
        <v>1.7155684831965223E-2</v>
      </c>
    </row>
    <row r="41" spans="1:5" x14ac:dyDescent="0.3">
      <c r="A41">
        <v>28</v>
      </c>
      <c r="B41">
        <v>27</v>
      </c>
      <c r="C41">
        <f t="shared" si="1"/>
        <v>1</v>
      </c>
      <c r="D41">
        <f t="shared" si="0"/>
        <v>0.2678483190002377</v>
      </c>
      <c r="E41">
        <f>Parameters!$B$258*D41</f>
        <v>1.6338747459014501E-2</v>
      </c>
    </row>
    <row r="42" spans="1:5" x14ac:dyDescent="0.3">
      <c r="A42">
        <v>29</v>
      </c>
      <c r="B42">
        <v>28</v>
      </c>
      <c r="C42">
        <f t="shared" si="1"/>
        <v>1</v>
      </c>
      <c r="D42">
        <f t="shared" si="0"/>
        <v>0.25509363714308358</v>
      </c>
      <c r="E42">
        <f>Parameters!$B$258*D42</f>
        <v>1.5560711865728098E-2</v>
      </c>
    </row>
    <row r="43" spans="1:5" x14ac:dyDescent="0.3">
      <c r="A43">
        <v>30</v>
      </c>
      <c r="B43">
        <v>29</v>
      </c>
      <c r="C43">
        <f t="shared" si="1"/>
        <v>1</v>
      </c>
      <c r="D43">
        <f t="shared" si="0"/>
        <v>0.24294632108865097</v>
      </c>
      <c r="E43">
        <f>Parameters!$B$258*D43</f>
        <v>1.4819725586407709E-2</v>
      </c>
    </row>
    <row r="45" spans="1:5" x14ac:dyDescent="0.3">
      <c r="D45">
        <f>SUM(D14:D43)</f>
        <v>16.141073578226983</v>
      </c>
      <c r="E45">
        <f>SUM(E14:E43)</f>
        <v>0.9846054882718458</v>
      </c>
    </row>
    <row r="47" spans="1:5" x14ac:dyDescent="0.3">
      <c r="A47" t="s">
        <v>323</v>
      </c>
    </row>
    <row r="48" spans="1:5" x14ac:dyDescent="0.3">
      <c r="A48" s="80" t="s">
        <v>701</v>
      </c>
      <c r="B48" s="80" t="s">
        <v>702</v>
      </c>
      <c r="C48" s="80" t="s">
        <v>701</v>
      </c>
      <c r="D48" s="80" t="s">
        <v>697</v>
      </c>
      <c r="E48" s="80"/>
    </row>
    <row r="49" spans="1:5" x14ac:dyDescent="0.3">
      <c r="A49">
        <v>31</v>
      </c>
      <c r="B49">
        <v>0</v>
      </c>
      <c r="C49">
        <v>0</v>
      </c>
      <c r="D49">
        <f>1/(1+0.05)^B49</f>
        <v>1</v>
      </c>
      <c r="E49">
        <f>D49*C49</f>
        <v>0</v>
      </c>
    </row>
    <row r="50" spans="1:5" x14ac:dyDescent="0.3">
      <c r="A50">
        <v>32</v>
      </c>
      <c r="B50">
        <v>1</v>
      </c>
      <c r="C50">
        <f>B50-B49</f>
        <v>1</v>
      </c>
      <c r="D50">
        <f>1/(1+0.05)^B50</f>
        <v>0.95238095238095233</v>
      </c>
      <c r="E50">
        <f t="shared" ref="E50:E84" si="2">D50*C50</f>
        <v>0.95238095238095233</v>
      </c>
    </row>
    <row r="51" spans="1:5" x14ac:dyDescent="0.3">
      <c r="A51">
        <v>33</v>
      </c>
      <c r="B51">
        <v>2</v>
      </c>
      <c r="C51">
        <f t="shared" ref="C51:C84" si="3">B51-B50</f>
        <v>1</v>
      </c>
      <c r="D51">
        <f t="shared" ref="D51:D84" si="4">1/(1+0.05)^B51</f>
        <v>0.90702947845804982</v>
      </c>
      <c r="E51">
        <f t="shared" si="2"/>
        <v>0.90702947845804982</v>
      </c>
    </row>
    <row r="52" spans="1:5" x14ac:dyDescent="0.3">
      <c r="A52">
        <v>34</v>
      </c>
      <c r="B52">
        <v>3</v>
      </c>
      <c r="C52">
        <f t="shared" si="3"/>
        <v>1</v>
      </c>
      <c r="D52">
        <f t="shared" si="4"/>
        <v>0.86383759853147601</v>
      </c>
      <c r="E52">
        <f t="shared" si="2"/>
        <v>0.86383759853147601</v>
      </c>
    </row>
    <row r="53" spans="1:5" x14ac:dyDescent="0.3">
      <c r="A53">
        <v>35</v>
      </c>
      <c r="B53">
        <v>4</v>
      </c>
      <c r="C53">
        <f t="shared" si="3"/>
        <v>1</v>
      </c>
      <c r="D53">
        <f t="shared" si="4"/>
        <v>0.82270247479188197</v>
      </c>
      <c r="E53">
        <f t="shared" si="2"/>
        <v>0.82270247479188197</v>
      </c>
    </row>
    <row r="54" spans="1:5" x14ac:dyDescent="0.3">
      <c r="A54">
        <v>36</v>
      </c>
      <c r="B54">
        <v>5</v>
      </c>
      <c r="C54">
        <f t="shared" si="3"/>
        <v>1</v>
      </c>
      <c r="D54">
        <f t="shared" si="4"/>
        <v>0.78352616646845896</v>
      </c>
      <c r="E54">
        <f t="shared" si="2"/>
        <v>0.78352616646845896</v>
      </c>
    </row>
    <row r="55" spans="1:5" x14ac:dyDescent="0.3">
      <c r="A55">
        <v>37</v>
      </c>
      <c r="B55">
        <v>6</v>
      </c>
      <c r="C55">
        <f t="shared" si="3"/>
        <v>1</v>
      </c>
      <c r="D55">
        <f t="shared" si="4"/>
        <v>0.74621539663662761</v>
      </c>
      <c r="E55">
        <f t="shared" si="2"/>
        <v>0.74621539663662761</v>
      </c>
    </row>
    <row r="56" spans="1:5" x14ac:dyDescent="0.3">
      <c r="A56">
        <v>38</v>
      </c>
      <c r="B56">
        <v>7</v>
      </c>
      <c r="C56">
        <f t="shared" si="3"/>
        <v>1</v>
      </c>
      <c r="D56">
        <f t="shared" si="4"/>
        <v>0.71068133013012147</v>
      </c>
      <c r="E56">
        <f t="shared" si="2"/>
        <v>0.71068133013012147</v>
      </c>
    </row>
    <row r="57" spans="1:5" x14ac:dyDescent="0.3">
      <c r="A57">
        <v>39</v>
      </c>
      <c r="B57">
        <v>8</v>
      </c>
      <c r="C57">
        <f t="shared" si="3"/>
        <v>1</v>
      </c>
      <c r="D57">
        <f t="shared" si="4"/>
        <v>0.67683936202868722</v>
      </c>
      <c r="E57">
        <f t="shared" si="2"/>
        <v>0.67683936202868722</v>
      </c>
    </row>
    <row r="58" spans="1:5" x14ac:dyDescent="0.3">
      <c r="A58">
        <v>40</v>
      </c>
      <c r="B58">
        <v>9</v>
      </c>
      <c r="C58">
        <f t="shared" si="3"/>
        <v>1</v>
      </c>
      <c r="D58">
        <f t="shared" si="4"/>
        <v>0.64460891621779726</v>
      </c>
      <c r="E58">
        <f t="shared" si="2"/>
        <v>0.64460891621779726</v>
      </c>
    </row>
    <row r="59" spans="1:5" x14ac:dyDescent="0.3">
      <c r="A59">
        <v>41</v>
      </c>
      <c r="B59">
        <v>10</v>
      </c>
      <c r="C59">
        <f t="shared" si="3"/>
        <v>1</v>
      </c>
      <c r="D59">
        <f t="shared" si="4"/>
        <v>0.61391325354075932</v>
      </c>
      <c r="E59">
        <f t="shared" si="2"/>
        <v>0.61391325354075932</v>
      </c>
    </row>
    <row r="60" spans="1:5" x14ac:dyDescent="0.3">
      <c r="A60">
        <v>42</v>
      </c>
      <c r="B60">
        <v>11</v>
      </c>
      <c r="C60">
        <f t="shared" si="3"/>
        <v>1</v>
      </c>
      <c r="D60">
        <f t="shared" si="4"/>
        <v>0.5846792890864374</v>
      </c>
      <c r="E60">
        <f t="shared" si="2"/>
        <v>0.5846792890864374</v>
      </c>
    </row>
    <row r="61" spans="1:5" x14ac:dyDescent="0.3">
      <c r="A61">
        <v>43</v>
      </c>
      <c r="B61">
        <v>12</v>
      </c>
      <c r="C61">
        <f t="shared" si="3"/>
        <v>1</v>
      </c>
      <c r="D61">
        <f t="shared" si="4"/>
        <v>0.5568374181775595</v>
      </c>
      <c r="E61">
        <f t="shared" si="2"/>
        <v>0.5568374181775595</v>
      </c>
    </row>
    <row r="62" spans="1:5" x14ac:dyDescent="0.3">
      <c r="A62">
        <v>44</v>
      </c>
      <c r="B62">
        <v>13</v>
      </c>
      <c r="C62">
        <f t="shared" si="3"/>
        <v>1</v>
      </c>
      <c r="D62">
        <f t="shared" si="4"/>
        <v>0.53032135064529462</v>
      </c>
      <c r="E62">
        <f t="shared" si="2"/>
        <v>0.53032135064529462</v>
      </c>
    </row>
    <row r="63" spans="1:5" x14ac:dyDescent="0.3">
      <c r="A63">
        <v>45</v>
      </c>
      <c r="B63">
        <v>14</v>
      </c>
      <c r="C63">
        <f t="shared" si="3"/>
        <v>1</v>
      </c>
      <c r="D63">
        <f t="shared" si="4"/>
        <v>0.50506795299551888</v>
      </c>
      <c r="E63">
        <f t="shared" si="2"/>
        <v>0.50506795299551888</v>
      </c>
    </row>
    <row r="64" spans="1:5" x14ac:dyDescent="0.3">
      <c r="A64">
        <v>46</v>
      </c>
      <c r="B64">
        <v>15</v>
      </c>
      <c r="C64">
        <f t="shared" si="3"/>
        <v>1</v>
      </c>
      <c r="D64">
        <f t="shared" si="4"/>
        <v>0.48101709809097021</v>
      </c>
      <c r="E64">
        <f t="shared" si="2"/>
        <v>0.48101709809097021</v>
      </c>
    </row>
    <row r="65" spans="1:5" x14ac:dyDescent="0.3">
      <c r="A65">
        <v>47</v>
      </c>
      <c r="B65">
        <v>16</v>
      </c>
      <c r="C65">
        <f t="shared" si="3"/>
        <v>1</v>
      </c>
      <c r="D65">
        <f t="shared" si="4"/>
        <v>0.45811152199140021</v>
      </c>
      <c r="E65">
        <f t="shared" si="2"/>
        <v>0.45811152199140021</v>
      </c>
    </row>
    <row r="66" spans="1:5" x14ac:dyDescent="0.3">
      <c r="A66">
        <v>48</v>
      </c>
      <c r="B66">
        <v>17</v>
      </c>
      <c r="C66">
        <f t="shared" si="3"/>
        <v>1</v>
      </c>
      <c r="D66">
        <f t="shared" si="4"/>
        <v>0.43629668761085727</v>
      </c>
      <c r="E66">
        <f t="shared" si="2"/>
        <v>0.43629668761085727</v>
      </c>
    </row>
    <row r="67" spans="1:5" x14ac:dyDescent="0.3">
      <c r="A67">
        <v>49</v>
      </c>
      <c r="B67">
        <v>18</v>
      </c>
      <c r="C67">
        <f t="shared" si="3"/>
        <v>1</v>
      </c>
      <c r="D67">
        <f t="shared" si="4"/>
        <v>0.41552065486748313</v>
      </c>
      <c r="E67">
        <f t="shared" si="2"/>
        <v>0.41552065486748313</v>
      </c>
    </row>
    <row r="68" spans="1:5" x14ac:dyDescent="0.3">
      <c r="A68">
        <v>50</v>
      </c>
      <c r="B68">
        <v>19</v>
      </c>
      <c r="C68">
        <f t="shared" si="3"/>
        <v>1</v>
      </c>
      <c r="D68">
        <f t="shared" si="4"/>
        <v>0.39573395701665059</v>
      </c>
      <c r="E68">
        <f t="shared" si="2"/>
        <v>0.39573395701665059</v>
      </c>
    </row>
    <row r="69" spans="1:5" x14ac:dyDescent="0.3">
      <c r="A69">
        <v>51</v>
      </c>
      <c r="B69">
        <v>20</v>
      </c>
      <c r="C69">
        <f t="shared" si="3"/>
        <v>1</v>
      </c>
      <c r="D69">
        <f t="shared" si="4"/>
        <v>0.37688948287300061</v>
      </c>
      <c r="E69">
        <f t="shared" si="2"/>
        <v>0.37688948287300061</v>
      </c>
    </row>
    <row r="70" spans="1:5" x14ac:dyDescent="0.3">
      <c r="A70">
        <v>52</v>
      </c>
      <c r="B70">
        <v>21</v>
      </c>
      <c r="C70">
        <f t="shared" si="3"/>
        <v>1</v>
      </c>
      <c r="D70">
        <f t="shared" si="4"/>
        <v>0.35894236464095297</v>
      </c>
      <c r="E70">
        <f t="shared" si="2"/>
        <v>0.35894236464095297</v>
      </c>
    </row>
    <row r="71" spans="1:5" x14ac:dyDescent="0.3">
      <c r="A71">
        <v>53</v>
      </c>
      <c r="B71">
        <v>22</v>
      </c>
      <c r="C71">
        <f t="shared" si="3"/>
        <v>1</v>
      </c>
      <c r="D71">
        <f t="shared" si="4"/>
        <v>0.3418498710866219</v>
      </c>
      <c r="E71">
        <f t="shared" si="2"/>
        <v>0.3418498710866219</v>
      </c>
    </row>
    <row r="72" spans="1:5" x14ac:dyDescent="0.3">
      <c r="A72">
        <v>54</v>
      </c>
      <c r="B72">
        <v>23</v>
      </c>
      <c r="C72">
        <f t="shared" si="3"/>
        <v>1</v>
      </c>
      <c r="D72">
        <f t="shared" si="4"/>
        <v>0.32557130579678267</v>
      </c>
      <c r="E72">
        <f t="shared" si="2"/>
        <v>0.32557130579678267</v>
      </c>
    </row>
    <row r="73" spans="1:5" x14ac:dyDescent="0.3">
      <c r="A73">
        <v>55</v>
      </c>
      <c r="B73">
        <v>24</v>
      </c>
      <c r="C73">
        <f t="shared" si="3"/>
        <v>1</v>
      </c>
      <c r="D73">
        <f t="shared" si="4"/>
        <v>0.31006791028265024</v>
      </c>
      <c r="E73">
        <f t="shared" si="2"/>
        <v>0.31006791028265024</v>
      </c>
    </row>
    <row r="74" spans="1:5" x14ac:dyDescent="0.3">
      <c r="A74">
        <v>56</v>
      </c>
      <c r="B74">
        <v>25</v>
      </c>
      <c r="C74">
        <f t="shared" si="3"/>
        <v>1</v>
      </c>
      <c r="D74">
        <f t="shared" si="4"/>
        <v>0.29530277169776209</v>
      </c>
      <c r="E74">
        <f t="shared" si="2"/>
        <v>0.29530277169776209</v>
      </c>
    </row>
    <row r="75" spans="1:5" x14ac:dyDescent="0.3">
      <c r="A75">
        <v>57</v>
      </c>
      <c r="B75">
        <v>26</v>
      </c>
      <c r="C75">
        <f t="shared" si="3"/>
        <v>1</v>
      </c>
      <c r="D75">
        <f t="shared" si="4"/>
        <v>0.28124073495024959</v>
      </c>
      <c r="E75">
        <f t="shared" si="2"/>
        <v>0.28124073495024959</v>
      </c>
    </row>
    <row r="76" spans="1:5" x14ac:dyDescent="0.3">
      <c r="A76">
        <v>58</v>
      </c>
      <c r="B76">
        <v>27</v>
      </c>
      <c r="C76">
        <f t="shared" si="3"/>
        <v>1</v>
      </c>
      <c r="D76">
        <f t="shared" si="4"/>
        <v>0.2678483190002377</v>
      </c>
      <c r="E76">
        <f t="shared" si="2"/>
        <v>0.2678483190002377</v>
      </c>
    </row>
    <row r="77" spans="1:5" x14ac:dyDescent="0.3">
      <c r="A77">
        <v>59</v>
      </c>
      <c r="B77">
        <v>28</v>
      </c>
      <c r="C77">
        <f t="shared" si="3"/>
        <v>1</v>
      </c>
      <c r="D77">
        <f t="shared" si="4"/>
        <v>0.25509363714308358</v>
      </c>
      <c r="E77">
        <f t="shared" si="2"/>
        <v>0.25509363714308358</v>
      </c>
    </row>
    <row r="78" spans="1:5" x14ac:dyDescent="0.3">
      <c r="A78">
        <v>60</v>
      </c>
      <c r="B78">
        <v>29</v>
      </c>
      <c r="C78">
        <f t="shared" si="3"/>
        <v>1</v>
      </c>
      <c r="D78">
        <f t="shared" si="4"/>
        <v>0.24294632108865097</v>
      </c>
      <c r="E78">
        <f t="shared" si="2"/>
        <v>0.24294632108865097</v>
      </c>
    </row>
    <row r="79" spans="1:5" x14ac:dyDescent="0.3">
      <c r="A79">
        <v>61</v>
      </c>
      <c r="B79">
        <v>30</v>
      </c>
      <c r="C79">
        <f t="shared" si="3"/>
        <v>1</v>
      </c>
      <c r="D79">
        <f t="shared" si="4"/>
        <v>0.23137744865585813</v>
      </c>
      <c r="E79">
        <f t="shared" si="2"/>
        <v>0.23137744865585813</v>
      </c>
    </row>
    <row r="80" spans="1:5" x14ac:dyDescent="0.3">
      <c r="A80">
        <v>62</v>
      </c>
      <c r="B80">
        <v>31</v>
      </c>
      <c r="C80">
        <f t="shared" si="3"/>
        <v>1</v>
      </c>
      <c r="D80">
        <f t="shared" si="4"/>
        <v>0.220359474910341</v>
      </c>
      <c r="E80">
        <f t="shared" si="2"/>
        <v>0.220359474910341</v>
      </c>
    </row>
    <row r="81" spans="1:5" x14ac:dyDescent="0.3">
      <c r="A81">
        <v>63</v>
      </c>
      <c r="B81">
        <v>32</v>
      </c>
      <c r="C81">
        <f t="shared" si="3"/>
        <v>1</v>
      </c>
      <c r="D81">
        <f t="shared" si="4"/>
        <v>0.20986616658127716</v>
      </c>
      <c r="E81">
        <f t="shared" si="2"/>
        <v>0.20986616658127716</v>
      </c>
    </row>
    <row r="82" spans="1:5" x14ac:dyDescent="0.3">
      <c r="A82">
        <v>64</v>
      </c>
      <c r="B82">
        <v>33</v>
      </c>
      <c r="C82">
        <f t="shared" si="3"/>
        <v>1</v>
      </c>
      <c r="D82">
        <f t="shared" si="4"/>
        <v>0.19987253960121634</v>
      </c>
      <c r="E82">
        <f t="shared" si="2"/>
        <v>0.19987253960121634</v>
      </c>
    </row>
    <row r="83" spans="1:5" x14ac:dyDescent="0.3">
      <c r="A83">
        <v>65</v>
      </c>
      <c r="B83">
        <v>34</v>
      </c>
      <c r="C83">
        <f t="shared" si="3"/>
        <v>1</v>
      </c>
      <c r="D83">
        <f t="shared" si="4"/>
        <v>0.19035479962020604</v>
      </c>
      <c r="E83">
        <f t="shared" si="2"/>
        <v>0.19035479962020604</v>
      </c>
    </row>
    <row r="84" spans="1:5" x14ac:dyDescent="0.3">
      <c r="A84">
        <v>65.5</v>
      </c>
      <c r="B84">
        <v>34.5</v>
      </c>
      <c r="C84">
        <f t="shared" si="3"/>
        <v>0.5</v>
      </c>
      <c r="D84">
        <f t="shared" si="4"/>
        <v>0.18576726283546227</v>
      </c>
      <c r="E84">
        <f t="shared" si="2"/>
        <v>9.2883631417731136E-2</v>
      </c>
    </row>
    <row r="86" spans="1:5" x14ac:dyDescent="0.3">
      <c r="C86">
        <f>SUM(C49:C84)</f>
        <v>34.5</v>
      </c>
      <c r="D86">
        <f>SUM(D49:D84)</f>
        <v>17.378671270431347</v>
      </c>
      <c r="E86">
        <f>SUM(E49:E84)</f>
        <v>16.285787639013609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104"/>
  <sheetViews>
    <sheetView topLeftCell="A88" workbookViewId="0">
      <selection activeCell="B43" sqref="B43"/>
    </sheetView>
  </sheetViews>
  <sheetFormatPr defaultRowHeight="14.4" x14ac:dyDescent="0.3"/>
  <cols>
    <col min="1" max="1" width="25.21875" bestFit="1" customWidth="1"/>
    <col min="2" max="2" width="10.77734375" bestFit="1" customWidth="1"/>
    <col min="3" max="3" width="17.44140625" bestFit="1" customWidth="1"/>
    <col min="4" max="4" width="18.77734375" customWidth="1"/>
    <col min="6" max="6" width="16.21875" bestFit="1" customWidth="1"/>
    <col min="7" max="7" width="10.77734375" bestFit="1" customWidth="1"/>
    <col min="8" max="8" width="12.44140625" bestFit="1" customWidth="1"/>
    <col min="9" max="9" width="12.88671875" bestFit="1" customWidth="1"/>
  </cols>
  <sheetData>
    <row r="1" spans="1:9" x14ac:dyDescent="0.3">
      <c r="A1" s="19" t="s">
        <v>43</v>
      </c>
      <c r="B1" s="19"/>
      <c r="C1" s="19"/>
    </row>
    <row r="3" spans="1:9" x14ac:dyDescent="0.3">
      <c r="A3" s="65" t="s">
        <v>352</v>
      </c>
      <c r="B3" s="65"/>
      <c r="C3" s="65" t="s">
        <v>353</v>
      </c>
      <c r="D3" s="65" t="s">
        <v>32</v>
      </c>
    </row>
    <row r="5" spans="1:9" x14ac:dyDescent="0.3">
      <c r="A5" t="s">
        <v>202</v>
      </c>
      <c r="B5" s="86">
        <f>'Sensitivity analysis'!C23</f>
        <v>0.83099999999999996</v>
      </c>
      <c r="C5" s="22" t="str">
        <f>Demographics!C15</f>
        <v>69-106%</v>
      </c>
      <c r="D5" s="22" t="str">
        <f>Demographics!F15</f>
        <v>Health barometer 2020 (data error for upper limit - assume 100%)</v>
      </c>
    </row>
    <row r="6" spans="1:9" x14ac:dyDescent="0.3">
      <c r="A6" t="s">
        <v>23</v>
      </c>
      <c r="B6" s="86">
        <f>100%-B5</f>
        <v>0.16900000000000004</v>
      </c>
      <c r="C6" t="s">
        <v>354</v>
      </c>
    </row>
    <row r="7" spans="1:9" x14ac:dyDescent="0.3">
      <c r="B7" s="86"/>
    </row>
    <row r="8" spans="1:9" x14ac:dyDescent="0.3">
      <c r="A8" s="20" t="s">
        <v>365</v>
      </c>
      <c r="B8" s="179"/>
      <c r="C8" s="65" t="s">
        <v>353</v>
      </c>
      <c r="D8" s="65" t="s">
        <v>32</v>
      </c>
      <c r="E8" s="20"/>
      <c r="F8" s="20" t="s">
        <v>366</v>
      </c>
      <c r="G8" s="20"/>
      <c r="H8" s="65" t="s">
        <v>353</v>
      </c>
      <c r="I8" s="65" t="s">
        <v>32</v>
      </c>
    </row>
    <row r="9" spans="1:9" x14ac:dyDescent="0.3">
      <c r="A9" t="s">
        <v>362</v>
      </c>
      <c r="B9" s="86">
        <f>1-B10</f>
        <v>1.6422801402225295E-2</v>
      </c>
      <c r="C9" t="s">
        <v>374</v>
      </c>
      <c r="D9" t="s">
        <v>361</v>
      </c>
      <c r="F9" t="s">
        <v>360</v>
      </c>
      <c r="G9" s="40">
        <f>B15/B20</f>
        <v>3.1562974203338388E-2</v>
      </c>
      <c r="H9" t="s">
        <v>376</v>
      </c>
      <c r="I9" t="s">
        <v>361</v>
      </c>
    </row>
    <row r="10" spans="1:9" x14ac:dyDescent="0.3">
      <c r="A10" t="s">
        <v>363</v>
      </c>
      <c r="B10" s="86">
        <f>'Sensitivity analysis'!C24</f>
        <v>0.9835771985977747</v>
      </c>
      <c r="C10" t="s">
        <v>375</v>
      </c>
      <c r="D10" t="s">
        <v>361</v>
      </c>
      <c r="F10" t="s">
        <v>364</v>
      </c>
      <c r="G10" s="40">
        <f>'Sensitivity analysis'!C25</f>
        <v>0.96843702579666158</v>
      </c>
      <c r="H10" t="s">
        <v>377</v>
      </c>
      <c r="I10" t="s">
        <v>361</v>
      </c>
    </row>
    <row r="11" spans="1:9" x14ac:dyDescent="0.3">
      <c r="B11" s="22"/>
    </row>
    <row r="12" spans="1:9" x14ac:dyDescent="0.3">
      <c r="A12" s="80" t="s">
        <v>382</v>
      </c>
      <c r="B12" s="22"/>
      <c r="G12" s="75"/>
      <c r="H12" s="22"/>
    </row>
    <row r="13" spans="1:9" x14ac:dyDescent="0.3">
      <c r="A13" t="s">
        <v>386</v>
      </c>
      <c r="B13" s="75">
        <f>13+13+405</f>
        <v>431</v>
      </c>
      <c r="G13" s="75"/>
      <c r="H13" s="22"/>
    </row>
    <row r="14" spans="1:9" x14ac:dyDescent="0.3">
      <c r="A14" t="s">
        <v>3</v>
      </c>
      <c r="B14" s="75">
        <f>32+16+487</f>
        <v>535</v>
      </c>
      <c r="C14" s="75"/>
      <c r="G14" s="75"/>
      <c r="H14" s="22"/>
    </row>
    <row r="15" spans="1:9" x14ac:dyDescent="0.3">
      <c r="A15" t="s">
        <v>389</v>
      </c>
      <c r="B15" s="75">
        <f>B14-B13</f>
        <v>104</v>
      </c>
      <c r="C15" s="75"/>
      <c r="G15" s="75"/>
      <c r="H15" s="22"/>
    </row>
    <row r="16" spans="1:9" x14ac:dyDescent="0.3">
      <c r="A16" t="s">
        <v>387</v>
      </c>
      <c r="B16" s="75">
        <f>5799+3647+16367</f>
        <v>25813</v>
      </c>
      <c r="G16" s="75"/>
      <c r="H16" s="22"/>
    </row>
    <row r="17" spans="1:9" x14ac:dyDescent="0.3">
      <c r="A17" t="s">
        <v>388</v>
      </c>
      <c r="B17" s="75">
        <f>7510+4093+17401</f>
        <v>29004</v>
      </c>
      <c r="G17" s="75"/>
      <c r="H17" s="22"/>
    </row>
    <row r="18" spans="1:9" x14ac:dyDescent="0.3">
      <c r="A18" t="s">
        <v>390</v>
      </c>
      <c r="B18" s="75">
        <f>B17-B16</f>
        <v>3191</v>
      </c>
      <c r="G18" s="22"/>
      <c r="H18" s="22"/>
    </row>
    <row r="19" spans="1:9" x14ac:dyDescent="0.3">
      <c r="A19" t="s">
        <v>202</v>
      </c>
      <c r="B19" s="75">
        <f>B13+B16</f>
        <v>26244</v>
      </c>
      <c r="G19" s="22"/>
      <c r="H19" s="22"/>
    </row>
    <row r="20" spans="1:9" x14ac:dyDescent="0.3">
      <c r="A20" t="s">
        <v>23</v>
      </c>
      <c r="B20" s="75">
        <f>B15+B18</f>
        <v>3295</v>
      </c>
      <c r="G20" s="22"/>
      <c r="H20" s="22"/>
    </row>
    <row r="21" spans="1:9" x14ac:dyDescent="0.3">
      <c r="B21" s="22"/>
      <c r="G21" s="22"/>
      <c r="H21" s="22"/>
    </row>
    <row r="22" spans="1:9" x14ac:dyDescent="0.3">
      <c r="A22" t="s">
        <v>378</v>
      </c>
      <c r="B22" s="40">
        <v>1.84E-2</v>
      </c>
      <c r="C22" t="s">
        <v>358</v>
      </c>
      <c r="D22" t="s">
        <v>357</v>
      </c>
    </row>
    <row r="23" spans="1:9" x14ac:dyDescent="0.3">
      <c r="A23" t="s">
        <v>379</v>
      </c>
      <c r="B23" s="40">
        <f>100%-B22</f>
        <v>0.98160000000000003</v>
      </c>
      <c r="C23" t="s">
        <v>354</v>
      </c>
    </row>
    <row r="24" spans="1:9" x14ac:dyDescent="0.3">
      <c r="B24" s="22"/>
    </row>
    <row r="25" spans="1:9" x14ac:dyDescent="0.3">
      <c r="A25" s="20" t="s">
        <v>365</v>
      </c>
      <c r="B25" s="20"/>
      <c r="C25" s="65" t="s">
        <v>353</v>
      </c>
      <c r="D25" s="65" t="s">
        <v>32</v>
      </c>
      <c r="E25" s="20"/>
      <c r="F25" s="20" t="s">
        <v>366</v>
      </c>
      <c r="G25" s="20"/>
      <c r="H25" s="65" t="s">
        <v>353</v>
      </c>
      <c r="I25" s="65" t="s">
        <v>32</v>
      </c>
    </row>
    <row r="26" spans="1:9" x14ac:dyDescent="0.3">
      <c r="A26" t="s">
        <v>393</v>
      </c>
      <c r="B26">
        <f>B30/B36</f>
        <v>0.17481773997569866</v>
      </c>
      <c r="C26" t="s">
        <v>396</v>
      </c>
      <c r="D26" t="s">
        <v>361</v>
      </c>
      <c r="F26" t="s">
        <v>393</v>
      </c>
      <c r="G26">
        <f>B32/B37</f>
        <v>0.1733800350262697</v>
      </c>
      <c r="H26" t="s">
        <v>394</v>
      </c>
      <c r="I26" t="s">
        <v>361</v>
      </c>
    </row>
    <row r="27" spans="1:9" x14ac:dyDescent="0.3">
      <c r="A27" t="s">
        <v>11</v>
      </c>
      <c r="B27">
        <f>'Sensitivity analysis'!C26</f>
        <v>0.82518226002430128</v>
      </c>
      <c r="C27" t="s">
        <v>397</v>
      </c>
      <c r="D27" t="s">
        <v>361</v>
      </c>
      <c r="F27" t="s">
        <v>11</v>
      </c>
      <c r="G27">
        <f>'Sensitivity analysis'!C27</f>
        <v>0.82661996497373025</v>
      </c>
      <c r="H27" t="s">
        <v>395</v>
      </c>
      <c r="I27" t="s">
        <v>361</v>
      </c>
    </row>
    <row r="29" spans="1:9" x14ac:dyDescent="0.3">
      <c r="A29" s="80" t="s">
        <v>382</v>
      </c>
    </row>
    <row r="30" spans="1:9" x14ac:dyDescent="0.3">
      <c r="A30" t="s">
        <v>380</v>
      </c>
      <c r="B30">
        <f>15+38+4551</f>
        <v>4604</v>
      </c>
    </row>
    <row r="31" spans="1:9" x14ac:dyDescent="0.3">
      <c r="A31" t="s">
        <v>381</v>
      </c>
      <c r="B31">
        <f>26+47+5125</f>
        <v>5198</v>
      </c>
    </row>
    <row r="32" spans="1:9" x14ac:dyDescent="0.3">
      <c r="A32" t="s">
        <v>391</v>
      </c>
      <c r="B32">
        <f>B31-B30</f>
        <v>594</v>
      </c>
    </row>
    <row r="33" spans="1:9" x14ac:dyDescent="0.3">
      <c r="A33" t="s">
        <v>383</v>
      </c>
      <c r="B33">
        <f>5798+3616+12318</f>
        <v>21732</v>
      </c>
    </row>
    <row r="34" spans="1:9" x14ac:dyDescent="0.3">
      <c r="A34" t="s">
        <v>11</v>
      </c>
      <c r="B34">
        <f>7517+4058+12989</f>
        <v>24564</v>
      </c>
    </row>
    <row r="35" spans="1:9" x14ac:dyDescent="0.3">
      <c r="A35" t="s">
        <v>392</v>
      </c>
      <c r="B35">
        <f>B34-B33</f>
        <v>2832</v>
      </c>
    </row>
    <row r="36" spans="1:9" x14ac:dyDescent="0.3">
      <c r="A36" t="s">
        <v>202</v>
      </c>
      <c r="B36">
        <f>B30+B33</f>
        <v>26336</v>
      </c>
    </row>
    <row r="37" spans="1:9" x14ac:dyDescent="0.3">
      <c r="A37" t="s">
        <v>23</v>
      </c>
      <c r="B37">
        <f>B32+B35</f>
        <v>3426</v>
      </c>
    </row>
    <row r="39" spans="1:9" x14ac:dyDescent="0.3">
      <c r="A39" t="s">
        <v>384</v>
      </c>
      <c r="B39" s="22">
        <v>0.111</v>
      </c>
      <c r="C39" t="s">
        <v>355</v>
      </c>
      <c r="D39" t="s">
        <v>356</v>
      </c>
    </row>
    <row r="40" spans="1:9" x14ac:dyDescent="0.3">
      <c r="A40" t="s">
        <v>385</v>
      </c>
      <c r="B40" s="22">
        <f>100%-B39</f>
        <v>0.88900000000000001</v>
      </c>
      <c r="C40" t="s">
        <v>354</v>
      </c>
    </row>
    <row r="42" spans="1:9" x14ac:dyDescent="0.3">
      <c r="A42" s="20" t="s">
        <v>381</v>
      </c>
      <c r="B42" s="20"/>
      <c r="C42" s="65" t="s">
        <v>353</v>
      </c>
      <c r="D42" s="65" t="s">
        <v>32</v>
      </c>
      <c r="E42" s="20"/>
      <c r="F42" s="20" t="s">
        <v>11</v>
      </c>
      <c r="G42" s="20"/>
      <c r="H42" s="65" t="s">
        <v>353</v>
      </c>
      <c r="I42" s="65" t="s">
        <v>32</v>
      </c>
    </row>
    <row r="43" spans="1:9" x14ac:dyDescent="0.3">
      <c r="A43" t="s">
        <v>8</v>
      </c>
      <c r="B43" s="40">
        <f>'Sensitivity analysis'!C28</f>
        <v>0.68135593220338986</v>
      </c>
      <c r="C43" t="s">
        <v>402</v>
      </c>
      <c r="D43" t="s">
        <v>405</v>
      </c>
      <c r="F43" t="s">
        <v>8</v>
      </c>
      <c r="G43">
        <f>'Sensitivity analysis'!C29</f>
        <v>0.34769230769230769</v>
      </c>
      <c r="H43" t="s">
        <v>403</v>
      </c>
      <c r="I43" t="s">
        <v>405</v>
      </c>
    </row>
    <row r="44" spans="1:9" x14ac:dyDescent="0.3">
      <c r="A44" t="s">
        <v>371</v>
      </c>
      <c r="B44" s="40">
        <f>1-B43</f>
        <v>0.31864406779661014</v>
      </c>
      <c r="C44" t="s">
        <v>687</v>
      </c>
      <c r="F44" t="s">
        <v>371</v>
      </c>
      <c r="G44" s="40">
        <f>1-G43</f>
        <v>0.65230769230769226</v>
      </c>
      <c r="H44" t="s">
        <v>404</v>
      </c>
      <c r="I44" t="s">
        <v>405</v>
      </c>
    </row>
    <row r="46" spans="1:9" x14ac:dyDescent="0.3">
      <c r="A46" s="80" t="s">
        <v>406</v>
      </c>
    </row>
    <row r="47" spans="1:9" x14ac:dyDescent="0.3">
      <c r="A47" t="s">
        <v>10</v>
      </c>
      <c r="B47">
        <v>295</v>
      </c>
    </row>
    <row r="48" spans="1:9" x14ac:dyDescent="0.3">
      <c r="A48" t="s">
        <v>11</v>
      </c>
      <c r="B48">
        <v>650</v>
      </c>
    </row>
    <row r="49" spans="1:9" x14ac:dyDescent="0.3">
      <c r="A49" t="s">
        <v>398</v>
      </c>
      <c r="B49">
        <v>201</v>
      </c>
    </row>
    <row r="50" spans="1:9" x14ac:dyDescent="0.3">
      <c r="A50" t="s">
        <v>399</v>
      </c>
      <c r="B50">
        <v>226</v>
      </c>
    </row>
    <row r="51" spans="1:9" x14ac:dyDescent="0.3">
      <c r="A51" t="s">
        <v>400</v>
      </c>
      <c r="B51">
        <f>B47-B50</f>
        <v>69</v>
      </c>
    </row>
    <row r="52" spans="1:9" x14ac:dyDescent="0.3">
      <c r="A52" t="s">
        <v>401</v>
      </c>
      <c r="B52">
        <f>B48-B50</f>
        <v>424</v>
      </c>
    </row>
    <row r="54" spans="1:9" x14ac:dyDescent="0.3">
      <c r="A54" s="20" t="s">
        <v>8</v>
      </c>
      <c r="B54" s="20"/>
      <c r="C54" s="65" t="s">
        <v>353</v>
      </c>
      <c r="D54" s="65" t="s">
        <v>32</v>
      </c>
      <c r="E54" s="20"/>
      <c r="F54" s="20" t="s">
        <v>371</v>
      </c>
      <c r="G54" s="20"/>
      <c r="H54" s="65" t="s">
        <v>353</v>
      </c>
      <c r="I54" s="65" t="s">
        <v>32</v>
      </c>
    </row>
    <row r="55" spans="1:9" x14ac:dyDescent="0.3">
      <c r="A55" t="s">
        <v>359</v>
      </c>
      <c r="B55">
        <f>'Sensitivity analysis'!C30</f>
        <v>0.44409547738693467</v>
      </c>
      <c r="C55" t="s">
        <v>419</v>
      </c>
      <c r="D55" t="s">
        <v>423</v>
      </c>
      <c r="F55" t="s">
        <v>359</v>
      </c>
      <c r="G55">
        <v>0</v>
      </c>
      <c r="H55">
        <v>0</v>
      </c>
      <c r="I55" t="s">
        <v>423</v>
      </c>
    </row>
    <row r="56" spans="1:9" x14ac:dyDescent="0.3">
      <c r="A56" t="s">
        <v>414</v>
      </c>
      <c r="B56">
        <f>1-B55</f>
        <v>0.55590452261306533</v>
      </c>
      <c r="C56" t="s">
        <v>420</v>
      </c>
      <c r="D56" t="s">
        <v>423</v>
      </c>
      <c r="F56" t="s">
        <v>414</v>
      </c>
      <c r="G56">
        <v>1</v>
      </c>
      <c r="H56">
        <v>1949</v>
      </c>
      <c r="I56" t="s">
        <v>423</v>
      </c>
    </row>
    <row r="58" spans="1:9" x14ac:dyDescent="0.3">
      <c r="A58" s="20" t="s">
        <v>8</v>
      </c>
      <c r="B58" s="20"/>
      <c r="C58" s="65" t="s">
        <v>353</v>
      </c>
      <c r="D58" s="65" t="s">
        <v>32</v>
      </c>
      <c r="E58" s="20"/>
      <c r="F58" s="20" t="s">
        <v>371</v>
      </c>
      <c r="G58" s="20"/>
      <c r="H58" s="65" t="s">
        <v>353</v>
      </c>
      <c r="I58" s="65" t="s">
        <v>32</v>
      </c>
    </row>
    <row r="59" spans="1:9" x14ac:dyDescent="0.3">
      <c r="A59" t="s">
        <v>409</v>
      </c>
      <c r="B59">
        <v>1</v>
      </c>
      <c r="C59">
        <v>2610</v>
      </c>
      <c r="D59" t="s">
        <v>423</v>
      </c>
      <c r="F59" t="s">
        <v>409</v>
      </c>
      <c r="G59">
        <f>1-G60</f>
        <v>0.18995639845107781</v>
      </c>
      <c r="H59">
        <v>6230</v>
      </c>
      <c r="I59" t="s">
        <v>423</v>
      </c>
    </row>
    <row r="60" spans="1:9" x14ac:dyDescent="0.3">
      <c r="A60" t="s">
        <v>415</v>
      </c>
      <c r="B60">
        <v>0</v>
      </c>
      <c r="C60">
        <v>0</v>
      </c>
      <c r="D60" t="s">
        <v>423</v>
      </c>
      <c r="F60" t="s">
        <v>415</v>
      </c>
      <c r="G60">
        <f>'Sensitivity analysis'!C31</f>
        <v>0.81004360154892219</v>
      </c>
      <c r="H60" s="73">
        <v>26567</v>
      </c>
      <c r="I60" t="s">
        <v>423</v>
      </c>
    </row>
    <row r="62" spans="1:9" x14ac:dyDescent="0.3">
      <c r="A62" s="80" t="s">
        <v>422</v>
      </c>
    </row>
    <row r="63" spans="1:9" x14ac:dyDescent="0.3">
      <c r="A63" t="s">
        <v>410</v>
      </c>
      <c r="B63">
        <f>1949+885+707</f>
        <v>3541</v>
      </c>
    </row>
    <row r="64" spans="1:9" x14ac:dyDescent="0.3">
      <c r="A64" t="s">
        <v>411</v>
      </c>
      <c r="B64">
        <f>26567+6230+2610</f>
        <v>35407</v>
      </c>
    </row>
    <row r="65" spans="1:9" x14ac:dyDescent="0.3">
      <c r="A65" t="s">
        <v>412</v>
      </c>
      <c r="B65">
        <f>707+885+2610</f>
        <v>4202</v>
      </c>
    </row>
    <row r="66" spans="1:9" x14ac:dyDescent="0.3">
      <c r="A66" t="s">
        <v>413</v>
      </c>
      <c r="B66">
        <f>6230+26567+1949</f>
        <v>34746</v>
      </c>
    </row>
    <row r="67" spans="1:9" x14ac:dyDescent="0.3">
      <c r="A67" t="s">
        <v>417</v>
      </c>
      <c r="B67">
        <f>1949+26567+885</f>
        <v>29401</v>
      </c>
    </row>
    <row r="68" spans="1:9" x14ac:dyDescent="0.3">
      <c r="A68" t="s">
        <v>416</v>
      </c>
      <c r="B68">
        <f>2610+707+6230</f>
        <v>9547</v>
      </c>
    </row>
    <row r="69" spans="1:9" x14ac:dyDescent="0.3">
      <c r="A69" t="s">
        <v>418</v>
      </c>
      <c r="B69">
        <f>707+885</f>
        <v>1592</v>
      </c>
    </row>
    <row r="70" spans="1:9" x14ac:dyDescent="0.3">
      <c r="A70" t="s">
        <v>421</v>
      </c>
      <c r="B70">
        <f>26567+6230</f>
        <v>32797</v>
      </c>
    </row>
    <row r="72" spans="1:9" x14ac:dyDescent="0.3">
      <c r="A72" s="20" t="s">
        <v>164</v>
      </c>
      <c r="B72" s="20"/>
      <c r="C72" s="65" t="s">
        <v>353</v>
      </c>
      <c r="D72" s="65" t="s">
        <v>32</v>
      </c>
      <c r="E72" s="20"/>
      <c r="F72" s="20" t="s">
        <v>424</v>
      </c>
      <c r="G72" s="20"/>
      <c r="H72" s="65" t="s">
        <v>353</v>
      </c>
      <c r="I72" s="65" t="s">
        <v>32</v>
      </c>
    </row>
    <row r="73" spans="1:9" x14ac:dyDescent="0.3">
      <c r="C73" t="s">
        <v>428</v>
      </c>
      <c r="H73" t="s">
        <v>428</v>
      </c>
    </row>
    <row r="74" spans="1:9" x14ac:dyDescent="0.3">
      <c r="A74" t="s">
        <v>425</v>
      </c>
      <c r="B74">
        <f>'Sensitivity analysis'!C32</f>
        <v>8.4066666666666665E-2</v>
      </c>
      <c r="C74" s="40">
        <f>AVERAGE(106.5,70.2,75.5)</f>
        <v>84.066666666666663</v>
      </c>
      <c r="D74" t="s">
        <v>423</v>
      </c>
      <c r="F74" t="s">
        <v>426</v>
      </c>
      <c r="G74">
        <f>'Sensitivity analysis'!C34</f>
        <v>3.5174999999999998E-2</v>
      </c>
      <c r="H74" s="40">
        <f>AVERAGE(23.5,64.2,53,0)</f>
        <v>35.174999999999997</v>
      </c>
      <c r="I74" t="s">
        <v>423</v>
      </c>
    </row>
    <row r="75" spans="1:9" x14ac:dyDescent="0.3">
      <c r="A75" t="s">
        <v>429</v>
      </c>
      <c r="B75">
        <f>1-B74</f>
        <v>0.91593333333333338</v>
      </c>
      <c r="C75" s="40" t="s">
        <v>354</v>
      </c>
      <c r="D75" t="s">
        <v>423</v>
      </c>
      <c r="F75" t="s">
        <v>429</v>
      </c>
      <c r="G75">
        <f>1-G74</f>
        <v>0.96482500000000004</v>
      </c>
      <c r="H75" s="40" t="s">
        <v>354</v>
      </c>
      <c r="I75" t="s">
        <v>423</v>
      </c>
    </row>
    <row r="76" spans="1:9" x14ac:dyDescent="0.3">
      <c r="C76" s="40"/>
      <c r="H76" s="40"/>
    </row>
    <row r="77" spans="1:9" x14ac:dyDescent="0.3">
      <c r="A77" t="s">
        <v>427</v>
      </c>
      <c r="B77">
        <f>'Sensitivity analysis'!C33</f>
        <v>1.3200000000000002E-2</v>
      </c>
      <c r="C77">
        <f>AVERAGE(17.6,11.9,10.1)</f>
        <v>13.200000000000001</v>
      </c>
      <c r="D77" t="s">
        <v>423</v>
      </c>
      <c r="F77" t="s">
        <v>427</v>
      </c>
      <c r="G77">
        <f>'Sensitivity analysis'!C35</f>
        <v>6.2333333333333338E-3</v>
      </c>
      <c r="H77" s="40">
        <f>AVERAGE(7.9,8.4,2.4)</f>
        <v>6.2333333333333334</v>
      </c>
      <c r="I77" t="s">
        <v>423</v>
      </c>
    </row>
    <row r="78" spans="1:9" x14ac:dyDescent="0.3">
      <c r="A78" t="s">
        <v>430</v>
      </c>
      <c r="B78">
        <f>1-B77</f>
        <v>0.98680000000000001</v>
      </c>
      <c r="C78" t="s">
        <v>354</v>
      </c>
      <c r="D78" t="s">
        <v>423</v>
      </c>
      <c r="F78" t="s">
        <v>430</v>
      </c>
      <c r="G78">
        <f>1-G77</f>
        <v>0.99376666666666669</v>
      </c>
      <c r="H78" t="s">
        <v>354</v>
      </c>
      <c r="I78" t="s">
        <v>423</v>
      </c>
    </row>
    <row r="80" spans="1:9" x14ac:dyDescent="0.3">
      <c r="A80" s="20" t="s">
        <v>10</v>
      </c>
      <c r="B80" s="20"/>
      <c r="C80" s="65" t="s">
        <v>353</v>
      </c>
      <c r="D80" s="65" t="s">
        <v>32</v>
      </c>
      <c r="E80" s="20"/>
      <c r="F80" s="20" t="s">
        <v>11</v>
      </c>
      <c r="G80" s="20"/>
      <c r="H80" s="65" t="s">
        <v>353</v>
      </c>
      <c r="I80" s="65" t="s">
        <v>32</v>
      </c>
    </row>
    <row r="81" spans="1:9" x14ac:dyDescent="0.3">
      <c r="A81" t="s">
        <v>9</v>
      </c>
      <c r="B81" s="40">
        <f>'Sensitivity analysis'!C36</f>
        <v>0.45</v>
      </c>
      <c r="C81" t="s">
        <v>435</v>
      </c>
      <c r="D81" t="s">
        <v>438</v>
      </c>
      <c r="F81" t="s">
        <v>9</v>
      </c>
      <c r="G81">
        <v>0</v>
      </c>
    </row>
    <row r="82" spans="1:9" x14ac:dyDescent="0.3">
      <c r="A82" t="s">
        <v>203</v>
      </c>
      <c r="B82" s="40">
        <f>1-B81</f>
        <v>0.55000000000000004</v>
      </c>
      <c r="C82" t="s">
        <v>354</v>
      </c>
      <c r="F82" t="s">
        <v>203</v>
      </c>
      <c r="G82">
        <v>1</v>
      </c>
      <c r="H82" t="s">
        <v>437</v>
      </c>
      <c r="I82" t="s">
        <v>436</v>
      </c>
    </row>
    <row r="84" spans="1:9" x14ac:dyDescent="0.3">
      <c r="A84" s="80" t="s">
        <v>439</v>
      </c>
    </row>
    <row r="85" spans="1:9" x14ac:dyDescent="0.3">
      <c r="A85" t="s">
        <v>431</v>
      </c>
      <c r="B85" s="21">
        <v>0.8</v>
      </c>
    </row>
    <row r="86" spans="1:9" x14ac:dyDescent="0.3">
      <c r="A86" t="s">
        <v>432</v>
      </c>
      <c r="B86" s="21">
        <v>0.7</v>
      </c>
    </row>
    <row r="87" spans="1:9" x14ac:dyDescent="0.3">
      <c r="A87" t="s">
        <v>433</v>
      </c>
      <c r="B87" s="21">
        <v>0.25</v>
      </c>
    </row>
    <row r="88" spans="1:9" x14ac:dyDescent="0.3">
      <c r="A88" t="s">
        <v>434</v>
      </c>
      <c r="B88" s="21">
        <v>0.05</v>
      </c>
    </row>
    <row r="90" spans="1:9" x14ac:dyDescent="0.3">
      <c r="A90" s="20" t="s">
        <v>408</v>
      </c>
      <c r="B90" s="20"/>
      <c r="C90" s="65" t="s">
        <v>353</v>
      </c>
      <c r="D90" s="65" t="s">
        <v>32</v>
      </c>
      <c r="E90" s="20"/>
      <c r="F90" s="20" t="s">
        <v>407</v>
      </c>
      <c r="G90" s="20"/>
      <c r="H90" s="65" t="s">
        <v>353</v>
      </c>
      <c r="I90" s="65" t="s">
        <v>32</v>
      </c>
    </row>
    <row r="91" spans="1:9" x14ac:dyDescent="0.3">
      <c r="A91" t="s">
        <v>161</v>
      </c>
      <c r="B91" s="40">
        <f>'Sensitivity analysis'!C37</f>
        <v>0.2155</v>
      </c>
      <c r="C91" t="s">
        <v>443</v>
      </c>
      <c r="D91" t="s">
        <v>444</v>
      </c>
      <c r="F91" t="s">
        <v>161</v>
      </c>
      <c r="G91">
        <f>'Sensitivity analysis'!C38</f>
        <v>0.26</v>
      </c>
      <c r="H91" t="s">
        <v>441</v>
      </c>
      <c r="I91" t="s">
        <v>442</v>
      </c>
    </row>
    <row r="92" spans="1:9" x14ac:dyDescent="0.3">
      <c r="A92" t="s">
        <v>440</v>
      </c>
      <c r="B92" s="40">
        <f>1-B91</f>
        <v>0.78449999999999998</v>
      </c>
      <c r="C92" t="s">
        <v>354</v>
      </c>
      <c r="F92" t="s">
        <v>440</v>
      </c>
      <c r="G92">
        <f>1-G91</f>
        <v>0.74</v>
      </c>
      <c r="H92" t="s">
        <v>354</v>
      </c>
    </row>
    <row r="93" spans="1:9" x14ac:dyDescent="0.3">
      <c r="B93" s="40"/>
    </row>
    <row r="94" spans="1:9" x14ac:dyDescent="0.3">
      <c r="A94" s="20" t="s">
        <v>652</v>
      </c>
      <c r="B94" s="20"/>
      <c r="C94" s="65" t="s">
        <v>353</v>
      </c>
      <c r="D94" s="65" t="s">
        <v>32</v>
      </c>
      <c r="E94" s="65"/>
      <c r="F94" s="65" t="s">
        <v>653</v>
      </c>
      <c r="G94" s="65"/>
      <c r="H94" s="65" t="s">
        <v>353</v>
      </c>
      <c r="I94" s="65" t="s">
        <v>32</v>
      </c>
    </row>
    <row r="95" spans="1:9" x14ac:dyDescent="0.3">
      <c r="A95" t="s">
        <v>161</v>
      </c>
      <c r="B95" s="40">
        <f>'Sensitivity analysis'!C39</f>
        <v>0.15</v>
      </c>
      <c r="C95" t="s">
        <v>656</v>
      </c>
      <c r="D95" t="s">
        <v>657</v>
      </c>
      <c r="F95" t="s">
        <v>161</v>
      </c>
      <c r="G95">
        <v>0</v>
      </c>
      <c r="H95" t="s">
        <v>654</v>
      </c>
      <c r="I95" t="s">
        <v>655</v>
      </c>
    </row>
    <row r="96" spans="1:9" x14ac:dyDescent="0.3">
      <c r="A96" t="s">
        <v>370</v>
      </c>
      <c r="B96" s="40">
        <f>1-B95</f>
        <v>0.85</v>
      </c>
      <c r="F96" t="s">
        <v>370</v>
      </c>
      <c r="G96">
        <v>1</v>
      </c>
    </row>
    <row r="98" spans="1:9" x14ac:dyDescent="0.3">
      <c r="A98" s="20" t="s">
        <v>9</v>
      </c>
      <c r="B98" s="20"/>
      <c r="C98" s="65" t="s">
        <v>353</v>
      </c>
      <c r="D98" s="65" t="s">
        <v>32</v>
      </c>
      <c r="E98" s="20"/>
      <c r="F98" s="20" t="s">
        <v>203</v>
      </c>
      <c r="G98" s="20"/>
      <c r="H98" s="65" t="s">
        <v>353</v>
      </c>
      <c r="I98" s="65" t="s">
        <v>32</v>
      </c>
    </row>
    <row r="99" spans="1:9" x14ac:dyDescent="0.3">
      <c r="A99" t="s">
        <v>367</v>
      </c>
      <c r="B99">
        <f>'Sensitivity analysis'!C40</f>
        <v>0.36099999999999999</v>
      </c>
      <c r="C99" t="s">
        <v>446</v>
      </c>
      <c r="D99" t="s">
        <v>447</v>
      </c>
      <c r="F99" t="s">
        <v>367</v>
      </c>
      <c r="G99">
        <v>0</v>
      </c>
    </row>
    <row r="100" spans="1:9" x14ac:dyDescent="0.3">
      <c r="A100" t="s">
        <v>445</v>
      </c>
      <c r="B100">
        <f>1-B99</f>
        <v>0.63900000000000001</v>
      </c>
      <c r="C100" t="s">
        <v>354</v>
      </c>
      <c r="F100" t="s">
        <v>445</v>
      </c>
      <c r="G100">
        <v>1</v>
      </c>
    </row>
    <row r="102" spans="1:9" x14ac:dyDescent="0.3">
      <c r="A102" s="20" t="s">
        <v>161</v>
      </c>
      <c r="B102" s="20"/>
      <c r="C102" s="65" t="s">
        <v>353</v>
      </c>
      <c r="D102" s="65" t="s">
        <v>32</v>
      </c>
      <c r="E102" s="20"/>
      <c r="F102" s="20" t="s">
        <v>370</v>
      </c>
      <c r="G102" s="20"/>
      <c r="H102" s="65" t="s">
        <v>353</v>
      </c>
      <c r="I102" s="65" t="s">
        <v>32</v>
      </c>
    </row>
    <row r="103" spans="1:9" x14ac:dyDescent="0.3">
      <c r="A103" t="s">
        <v>449</v>
      </c>
      <c r="B103">
        <f>'Sensitivity analysis'!C41</f>
        <v>5.1333333333333335E-2</v>
      </c>
      <c r="C103" t="s">
        <v>448</v>
      </c>
      <c r="D103" t="s">
        <v>452</v>
      </c>
      <c r="F103" t="s">
        <v>449</v>
      </c>
      <c r="G103">
        <f>'Sensitivity analysis'!C42</f>
        <v>3.3085576536761752E-2</v>
      </c>
      <c r="H103" t="s">
        <v>451</v>
      </c>
      <c r="I103" t="s">
        <v>452</v>
      </c>
    </row>
    <row r="104" spans="1:9" x14ac:dyDescent="0.3">
      <c r="A104" t="s">
        <v>450</v>
      </c>
      <c r="B104">
        <f>1-B103</f>
        <v>0.94866666666666666</v>
      </c>
      <c r="C104" t="s">
        <v>354</v>
      </c>
      <c r="F104" t="s">
        <v>450</v>
      </c>
      <c r="G104">
        <f>1-G103</f>
        <v>0.9669144234632383</v>
      </c>
      <c r="H104" t="s">
        <v>354</v>
      </c>
    </row>
  </sheetData>
  <phoneticPr fontId="14"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C2:P25"/>
  <sheetViews>
    <sheetView workbookViewId="0">
      <selection activeCell="H29" sqref="H29"/>
    </sheetView>
  </sheetViews>
  <sheetFormatPr defaultRowHeight="14.4" x14ac:dyDescent="0.3"/>
  <sheetData>
    <row r="2" spans="3:16" x14ac:dyDescent="0.3">
      <c r="E2" s="1" t="s">
        <v>0</v>
      </c>
      <c r="F2" s="2" t="s">
        <v>42</v>
      </c>
    </row>
    <row r="3" spans="3:16" x14ac:dyDescent="0.3">
      <c r="P3" s="4" t="s">
        <v>24</v>
      </c>
    </row>
    <row r="4" spans="3:16" x14ac:dyDescent="0.3">
      <c r="N4" s="2" t="s">
        <v>22</v>
      </c>
    </row>
    <row r="5" spans="3:16" x14ac:dyDescent="0.3">
      <c r="E5" s="2"/>
      <c r="F5" s="2"/>
      <c r="G5" s="2"/>
      <c r="H5" s="2"/>
      <c r="I5" s="2"/>
      <c r="J5" s="2"/>
      <c r="L5" s="2"/>
      <c r="M5" s="2"/>
      <c r="N5" s="2"/>
    </row>
    <row r="6" spans="3:16" x14ac:dyDescent="0.3">
      <c r="C6" s="3"/>
      <c r="D6" s="2"/>
      <c r="E6" s="2"/>
      <c r="F6" s="2"/>
      <c r="G6" s="2"/>
      <c r="H6" s="2"/>
      <c r="I6" s="2"/>
      <c r="J6" s="2"/>
      <c r="K6" s="2"/>
      <c r="L6" s="2"/>
      <c r="M6" s="2"/>
      <c r="N6" s="2"/>
    </row>
    <row r="7" spans="3:16" x14ac:dyDescent="0.3">
      <c r="C7" s="3"/>
      <c r="D7" s="2"/>
      <c r="E7" s="2"/>
      <c r="F7" s="2"/>
      <c r="G7" s="2"/>
      <c r="H7" s="2"/>
      <c r="I7" s="2"/>
      <c r="J7" s="2"/>
      <c r="K7" s="2" t="s">
        <v>20</v>
      </c>
      <c r="L7" s="2"/>
      <c r="M7" s="2"/>
      <c r="N7" s="2"/>
    </row>
    <row r="8" spans="3:16" x14ac:dyDescent="0.3">
      <c r="C8" s="3"/>
      <c r="D8" s="7" t="s">
        <v>4</v>
      </c>
      <c r="E8" s="2"/>
      <c r="F8" s="2"/>
      <c r="G8" s="2"/>
      <c r="H8" s="2"/>
      <c r="I8" s="2"/>
      <c r="J8" s="2"/>
      <c r="L8" s="2"/>
      <c r="M8" s="2"/>
      <c r="N8" s="2"/>
    </row>
    <row r="9" spans="3:16" x14ac:dyDescent="0.3">
      <c r="C9" s="3"/>
      <c r="D9" s="2"/>
      <c r="E9" s="2"/>
      <c r="F9" s="2"/>
      <c r="G9" s="2"/>
      <c r="H9" s="2"/>
      <c r="I9" s="2"/>
      <c r="J9" s="2"/>
      <c r="K9" s="2"/>
      <c r="L9" s="2"/>
      <c r="M9" s="2"/>
      <c r="N9" s="2" t="s">
        <v>23</v>
      </c>
      <c r="P9" s="4" t="s">
        <v>24</v>
      </c>
    </row>
    <row r="10" spans="3:16" x14ac:dyDescent="0.3">
      <c r="C10" s="3"/>
      <c r="D10" s="2"/>
      <c r="E10" s="2"/>
      <c r="F10" s="2"/>
      <c r="G10" s="2"/>
      <c r="H10" s="2"/>
      <c r="I10" s="2"/>
      <c r="J10" s="2"/>
      <c r="K10" s="2"/>
      <c r="L10" s="2"/>
      <c r="M10" s="2"/>
      <c r="N10" s="2"/>
    </row>
    <row r="11" spans="3:16" x14ac:dyDescent="0.3">
      <c r="C11" s="3"/>
      <c r="D11" s="2"/>
      <c r="E11" s="2"/>
      <c r="F11" s="2"/>
      <c r="G11" s="2"/>
      <c r="H11" s="2"/>
      <c r="I11" s="2"/>
      <c r="J11" s="2"/>
      <c r="K11" s="2"/>
      <c r="L11" s="2"/>
      <c r="M11" s="2"/>
      <c r="N11" s="2" t="s">
        <v>22</v>
      </c>
      <c r="P11" s="4" t="s">
        <v>24</v>
      </c>
    </row>
    <row r="12" spans="3:16" x14ac:dyDescent="0.3">
      <c r="C12" s="3"/>
      <c r="D12" s="2"/>
      <c r="E12" s="2"/>
      <c r="F12" s="2"/>
      <c r="G12" s="2"/>
      <c r="H12" s="2"/>
      <c r="I12" s="2"/>
      <c r="J12" s="2"/>
      <c r="K12" s="2"/>
      <c r="L12" s="2"/>
      <c r="M12" s="2"/>
      <c r="N12" s="2"/>
    </row>
    <row r="13" spans="3:16" x14ac:dyDescent="0.3">
      <c r="C13" s="3"/>
      <c r="D13" s="2"/>
      <c r="E13" s="2"/>
      <c r="F13" s="2"/>
      <c r="G13" s="2"/>
      <c r="H13" s="2"/>
      <c r="I13" s="2"/>
      <c r="J13" s="2"/>
      <c r="K13" s="2" t="s">
        <v>21</v>
      </c>
      <c r="L13" s="2"/>
      <c r="M13" s="2"/>
      <c r="N13" s="2"/>
    </row>
    <row r="14" spans="3:16" x14ac:dyDescent="0.3">
      <c r="C14" s="3"/>
      <c r="D14" s="2"/>
      <c r="E14" s="2"/>
      <c r="F14" s="2"/>
      <c r="G14" s="2"/>
      <c r="H14" s="2"/>
      <c r="I14" s="2"/>
      <c r="J14" s="2"/>
      <c r="K14" s="2"/>
      <c r="L14" s="2"/>
      <c r="M14" s="2"/>
      <c r="N14" s="2"/>
    </row>
    <row r="15" spans="3:16" x14ac:dyDescent="0.3">
      <c r="C15" s="3"/>
      <c r="D15" s="2"/>
      <c r="E15" s="2"/>
      <c r="F15" s="2"/>
      <c r="G15" s="2"/>
      <c r="H15" s="2"/>
      <c r="I15" s="2"/>
      <c r="J15" s="2"/>
      <c r="K15" s="2"/>
      <c r="L15" s="2"/>
      <c r="M15" s="2"/>
      <c r="N15" s="2"/>
    </row>
    <row r="16" spans="3:16" x14ac:dyDescent="0.3">
      <c r="C16" s="3"/>
      <c r="D16" s="2"/>
      <c r="E16" s="2"/>
      <c r="F16" s="2"/>
      <c r="G16" s="2"/>
      <c r="H16" s="2"/>
      <c r="I16" s="2"/>
      <c r="J16" s="2"/>
      <c r="K16" s="2"/>
      <c r="L16" s="2"/>
      <c r="M16" s="2"/>
      <c r="N16" s="2" t="s">
        <v>23</v>
      </c>
      <c r="P16" s="4" t="s">
        <v>24</v>
      </c>
    </row>
    <row r="17" spans="3:16" x14ac:dyDescent="0.3">
      <c r="C17" s="3"/>
      <c r="D17" s="2"/>
      <c r="E17" s="2"/>
      <c r="F17" s="2"/>
      <c r="G17" s="2"/>
      <c r="H17" s="2"/>
      <c r="I17" s="2"/>
      <c r="J17" s="2"/>
      <c r="K17" s="2"/>
      <c r="L17" s="2"/>
      <c r="M17" s="2"/>
      <c r="N17" s="2"/>
    </row>
    <row r="18" spans="3:16" x14ac:dyDescent="0.3">
      <c r="C18" s="3"/>
      <c r="D18" s="2"/>
      <c r="E18" s="2"/>
      <c r="F18" s="2"/>
      <c r="G18" s="2"/>
      <c r="H18" s="2"/>
      <c r="I18" s="2"/>
      <c r="J18" s="2"/>
      <c r="K18" s="2"/>
      <c r="L18" s="2"/>
      <c r="M18" s="2"/>
      <c r="N18" s="2"/>
    </row>
    <row r="19" spans="3:16" x14ac:dyDescent="0.3">
      <c r="C19" s="3"/>
      <c r="D19" s="2"/>
      <c r="E19" s="2"/>
      <c r="F19" s="2"/>
      <c r="G19" s="2"/>
      <c r="H19" s="2"/>
      <c r="I19" s="2"/>
      <c r="J19" s="2"/>
      <c r="K19" s="2"/>
      <c r="L19" s="2"/>
      <c r="M19" s="2"/>
      <c r="N19" s="2" t="s">
        <v>22</v>
      </c>
      <c r="P19" s="4" t="s">
        <v>24</v>
      </c>
    </row>
    <row r="20" spans="3:16" x14ac:dyDescent="0.3">
      <c r="C20" s="3"/>
      <c r="D20" s="2"/>
      <c r="E20" s="2"/>
      <c r="F20" s="2"/>
      <c r="G20" s="2"/>
      <c r="H20" s="2"/>
      <c r="I20" s="2"/>
      <c r="J20" s="2"/>
      <c r="K20" s="2"/>
      <c r="L20" s="2"/>
      <c r="M20" s="2"/>
      <c r="N20" s="2"/>
    </row>
    <row r="21" spans="3:16" x14ac:dyDescent="0.3">
      <c r="C21" s="3"/>
      <c r="D21" s="2"/>
      <c r="E21" s="2"/>
      <c r="F21" s="2"/>
      <c r="G21" s="2"/>
      <c r="H21" s="2"/>
      <c r="I21" s="2"/>
      <c r="J21" s="2"/>
      <c r="K21" s="2"/>
      <c r="L21" s="2"/>
      <c r="M21" s="2"/>
      <c r="N21" s="2"/>
    </row>
    <row r="22" spans="3:16" x14ac:dyDescent="0.3">
      <c r="C22" s="3"/>
      <c r="D22" s="2"/>
      <c r="E22" s="2"/>
      <c r="F22" s="2"/>
      <c r="G22" s="2"/>
      <c r="H22" s="2"/>
      <c r="I22" s="2"/>
      <c r="J22" s="2"/>
      <c r="K22" s="2"/>
      <c r="L22" s="2"/>
      <c r="M22" s="2"/>
      <c r="N22" s="2"/>
    </row>
    <row r="23" spans="3:16" x14ac:dyDescent="0.3">
      <c r="C23" s="3"/>
      <c r="D23" s="7" t="s">
        <v>5</v>
      </c>
      <c r="E23" s="2"/>
      <c r="F23" s="2"/>
      <c r="G23" s="2"/>
      <c r="H23" s="2"/>
      <c r="I23" s="2"/>
      <c r="J23" s="2"/>
      <c r="K23" s="2"/>
      <c r="L23" s="2"/>
      <c r="M23" s="2"/>
      <c r="N23" s="2"/>
    </row>
    <row r="24" spans="3:16" x14ac:dyDescent="0.3">
      <c r="C24" s="3"/>
      <c r="D24" s="2"/>
      <c r="E24" s="2"/>
      <c r="F24" s="2"/>
      <c r="G24" s="2"/>
      <c r="H24" s="2"/>
      <c r="I24" s="2"/>
      <c r="J24" s="2"/>
      <c r="K24" s="2"/>
      <c r="L24" s="2"/>
      <c r="M24" s="2"/>
      <c r="N24" s="2" t="s">
        <v>23</v>
      </c>
      <c r="P24" s="4" t="s">
        <v>24</v>
      </c>
    </row>
    <row r="25" spans="3:16" x14ac:dyDescent="0.3">
      <c r="C25" s="3"/>
      <c r="D25" s="2"/>
      <c r="E25" s="2"/>
      <c r="F25" s="2"/>
      <c r="G25" s="2"/>
      <c r="H25" s="2"/>
      <c r="I25" s="2"/>
      <c r="J25" s="2"/>
      <c r="K25" s="2"/>
      <c r="L25" s="2"/>
      <c r="M25" s="2"/>
      <c r="N25" s="2"/>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2:H27"/>
  <sheetViews>
    <sheetView workbookViewId="0">
      <selection activeCell="K18" sqref="K18"/>
    </sheetView>
  </sheetViews>
  <sheetFormatPr defaultRowHeight="14.4" x14ac:dyDescent="0.3"/>
  <sheetData>
    <row r="2" spans="1:8" x14ac:dyDescent="0.3">
      <c r="E2" s="1" t="s">
        <v>25</v>
      </c>
      <c r="F2" s="17" t="s">
        <v>38</v>
      </c>
    </row>
    <row r="3" spans="1:8" x14ac:dyDescent="0.3">
      <c r="B3" s="3"/>
      <c r="C3" s="2"/>
      <c r="D3" s="2"/>
      <c r="E3" s="2"/>
      <c r="F3" s="2"/>
      <c r="G3" s="2"/>
    </row>
    <row r="4" spans="1:8" x14ac:dyDescent="0.3">
      <c r="A4" s="8"/>
      <c r="B4" s="8"/>
      <c r="C4" s="8"/>
      <c r="E4" s="2"/>
      <c r="F4" s="2"/>
      <c r="G4" s="2"/>
    </row>
    <row r="5" spans="1:8" x14ac:dyDescent="0.3">
      <c r="A5" s="8"/>
      <c r="B5" s="8"/>
      <c r="C5" s="8"/>
      <c r="D5" s="18" t="s">
        <v>24</v>
      </c>
      <c r="E5" s="11"/>
      <c r="F5" s="11"/>
      <c r="G5" s="11"/>
      <c r="H5" s="4" t="s">
        <v>34</v>
      </c>
    </row>
    <row r="6" spans="1:8" x14ac:dyDescent="0.3">
      <c r="A6" s="8"/>
      <c r="B6" s="9" t="s">
        <v>22</v>
      </c>
      <c r="C6" s="8"/>
      <c r="D6" s="8"/>
      <c r="E6" s="11"/>
      <c r="F6" s="13" t="s">
        <v>10</v>
      </c>
      <c r="G6" s="11"/>
      <c r="H6" s="11"/>
    </row>
    <row r="7" spans="1:8" x14ac:dyDescent="0.3">
      <c r="A7" s="8"/>
      <c r="B7" s="9"/>
      <c r="C7" s="8"/>
      <c r="D7" s="8"/>
      <c r="E7" s="11"/>
      <c r="F7" s="13"/>
      <c r="G7" s="11"/>
      <c r="H7" s="11"/>
    </row>
    <row r="8" spans="1:8" x14ac:dyDescent="0.3">
      <c r="A8" s="8"/>
      <c r="B8" s="9"/>
      <c r="C8" s="8"/>
      <c r="D8" s="8"/>
      <c r="E8" s="11"/>
      <c r="F8" s="13"/>
      <c r="G8" s="11"/>
      <c r="H8" s="11"/>
    </row>
    <row r="9" spans="1:8" x14ac:dyDescent="0.3">
      <c r="A9" s="8"/>
      <c r="B9" s="9"/>
      <c r="C9" s="8"/>
      <c r="D9" s="8"/>
      <c r="E9" s="11"/>
      <c r="F9" s="13"/>
      <c r="G9" s="11"/>
      <c r="H9" s="11"/>
    </row>
    <row r="10" spans="1:8" x14ac:dyDescent="0.3">
      <c r="A10" s="8"/>
      <c r="B10" s="9"/>
      <c r="C10" s="8"/>
      <c r="D10" s="8"/>
      <c r="E10" s="11"/>
      <c r="F10" s="13"/>
      <c r="G10" s="11"/>
      <c r="H10" s="11"/>
    </row>
    <row r="11" spans="1:8" x14ac:dyDescent="0.3">
      <c r="A11" s="8"/>
      <c r="B11" s="9" t="s">
        <v>23</v>
      </c>
      <c r="C11" s="8"/>
      <c r="D11" s="18" t="s">
        <v>24</v>
      </c>
      <c r="E11" s="11"/>
      <c r="F11" s="13" t="s">
        <v>11</v>
      </c>
      <c r="G11" s="11"/>
      <c r="H11" s="12"/>
    </row>
    <row r="12" spans="1:8" x14ac:dyDescent="0.3">
      <c r="A12" s="8"/>
      <c r="B12" s="9"/>
      <c r="C12" s="8"/>
      <c r="D12" s="8"/>
      <c r="E12" s="11"/>
      <c r="F12" s="13"/>
      <c r="G12" s="11"/>
      <c r="H12" s="11"/>
    </row>
    <row r="13" spans="1:8" x14ac:dyDescent="0.3">
      <c r="A13" s="8"/>
      <c r="B13" s="9" t="s">
        <v>22</v>
      </c>
      <c r="C13" s="8"/>
      <c r="D13" s="18" t="s">
        <v>24</v>
      </c>
      <c r="E13" s="2"/>
      <c r="F13" s="2"/>
      <c r="G13" s="2"/>
    </row>
    <row r="14" spans="1:8" x14ac:dyDescent="0.3">
      <c r="A14" s="8"/>
      <c r="B14" s="9"/>
      <c r="C14" s="8"/>
      <c r="D14" s="8"/>
      <c r="E14" s="2"/>
      <c r="F14" s="2"/>
      <c r="G14" s="2"/>
    </row>
    <row r="15" spans="1:8" x14ac:dyDescent="0.3">
      <c r="A15" s="8"/>
      <c r="B15" s="9"/>
      <c r="C15" s="8"/>
      <c r="D15" s="8"/>
      <c r="E15" s="2"/>
      <c r="F15" s="2"/>
      <c r="G15" s="2"/>
    </row>
    <row r="16" spans="1:8" x14ac:dyDescent="0.3">
      <c r="A16" s="8"/>
      <c r="B16" s="9"/>
      <c r="C16" s="8"/>
      <c r="D16" s="8"/>
      <c r="E16" s="2"/>
      <c r="F16" s="2"/>
      <c r="G16" s="2"/>
    </row>
    <row r="17" spans="1:7" x14ac:dyDescent="0.3">
      <c r="A17" s="8"/>
      <c r="B17" s="9"/>
      <c r="C17" s="8"/>
      <c r="D17" s="8"/>
      <c r="E17" s="2"/>
      <c r="F17" s="2"/>
      <c r="G17" s="2"/>
    </row>
    <row r="18" spans="1:7" x14ac:dyDescent="0.3">
      <c r="A18" s="8"/>
      <c r="B18" s="9" t="s">
        <v>23</v>
      </c>
      <c r="C18" s="8"/>
      <c r="D18" s="18" t="s">
        <v>24</v>
      </c>
      <c r="E18" s="2"/>
      <c r="F18" s="2"/>
      <c r="G18" s="2"/>
    </row>
    <row r="19" spans="1:7" x14ac:dyDescent="0.3">
      <c r="A19" s="8"/>
      <c r="B19" s="9"/>
      <c r="C19" s="8"/>
      <c r="D19" s="8"/>
      <c r="E19" s="2"/>
      <c r="F19" s="2"/>
      <c r="G19" s="2"/>
    </row>
    <row r="20" spans="1:7" x14ac:dyDescent="0.3">
      <c r="A20" s="8"/>
      <c r="B20" s="9"/>
      <c r="C20" s="8"/>
      <c r="D20" s="8"/>
      <c r="E20" s="2"/>
      <c r="F20" s="2"/>
      <c r="G20" s="2"/>
    </row>
    <row r="21" spans="1:7" x14ac:dyDescent="0.3">
      <c r="A21" s="8"/>
      <c r="B21" s="9" t="s">
        <v>22</v>
      </c>
      <c r="C21" s="8"/>
      <c r="D21" s="18" t="s">
        <v>24</v>
      </c>
      <c r="E21" s="2"/>
      <c r="F21" s="2"/>
      <c r="G21" s="2"/>
    </row>
    <row r="22" spans="1:7" x14ac:dyDescent="0.3">
      <c r="A22" s="8"/>
      <c r="B22" s="9"/>
      <c r="C22" s="8"/>
      <c r="D22" s="8"/>
    </row>
    <row r="23" spans="1:7" x14ac:dyDescent="0.3">
      <c r="A23" s="8"/>
      <c r="B23" s="9"/>
      <c r="C23" s="8"/>
      <c r="D23" s="8"/>
    </row>
    <row r="24" spans="1:7" x14ac:dyDescent="0.3">
      <c r="A24" s="8"/>
      <c r="B24" s="9"/>
      <c r="C24" s="8"/>
      <c r="D24" s="8"/>
    </row>
    <row r="25" spans="1:7" x14ac:dyDescent="0.3">
      <c r="A25" s="8"/>
      <c r="B25" s="9"/>
      <c r="C25" s="8"/>
      <c r="D25" s="8"/>
    </row>
    <row r="26" spans="1:7" x14ac:dyDescent="0.3">
      <c r="A26" s="8"/>
      <c r="B26" s="9" t="s">
        <v>23</v>
      </c>
      <c r="C26" s="8"/>
      <c r="D26" s="18" t="s">
        <v>24</v>
      </c>
    </row>
    <row r="27" spans="1:7" x14ac:dyDescent="0.3">
      <c r="A27" s="8"/>
      <c r="B27" s="9"/>
      <c r="C27" s="8"/>
      <c r="D27" s="8"/>
    </row>
  </sheetData>
  <pageMargins left="0.7" right="0.7" top="0.75" bottom="0.75" header="0.3" footer="0.3"/>
  <pageSetup paperSize="9" orientation="portrait" horizontalDpi="4294967293"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2:K26"/>
  <sheetViews>
    <sheetView workbookViewId="0">
      <selection activeCell="B1" sqref="B1"/>
    </sheetView>
  </sheetViews>
  <sheetFormatPr defaultRowHeight="14.4" x14ac:dyDescent="0.3"/>
  <sheetData>
    <row r="2" spans="1:11" x14ac:dyDescent="0.3">
      <c r="E2" s="4" t="s">
        <v>31</v>
      </c>
      <c r="F2" s="17" t="s">
        <v>41</v>
      </c>
    </row>
    <row r="5" spans="1:11" x14ac:dyDescent="0.3">
      <c r="I5" t="s">
        <v>7</v>
      </c>
      <c r="K5" s="12" t="s">
        <v>35</v>
      </c>
    </row>
    <row r="6" spans="1:11" x14ac:dyDescent="0.3">
      <c r="E6" s="2"/>
      <c r="F6" s="2"/>
      <c r="G6" s="2"/>
      <c r="H6" s="2"/>
      <c r="I6" s="2"/>
    </row>
    <row r="7" spans="1:11" x14ac:dyDescent="0.3">
      <c r="E7" s="2"/>
      <c r="F7" s="2"/>
      <c r="G7" s="2"/>
      <c r="H7" s="2"/>
    </row>
    <row r="8" spans="1:11" x14ac:dyDescent="0.3">
      <c r="A8" s="2"/>
      <c r="B8" s="2"/>
      <c r="C8" s="2"/>
      <c r="E8" s="2"/>
      <c r="F8" s="2" t="s">
        <v>1</v>
      </c>
      <c r="G8" s="2"/>
      <c r="H8" s="2"/>
      <c r="I8" s="2" t="s">
        <v>6</v>
      </c>
      <c r="K8" s="12" t="s">
        <v>35</v>
      </c>
    </row>
    <row r="9" spans="1:11" x14ac:dyDescent="0.3">
      <c r="A9" s="2"/>
      <c r="B9" s="2"/>
      <c r="C9" s="2"/>
      <c r="E9" s="2"/>
      <c r="G9" s="2"/>
      <c r="H9" s="2"/>
      <c r="I9" s="2"/>
    </row>
    <row r="10" spans="1:11" x14ac:dyDescent="0.3">
      <c r="A10" s="14"/>
      <c r="B10" s="14"/>
      <c r="C10" s="14"/>
      <c r="D10" s="15"/>
      <c r="E10" s="2"/>
      <c r="F10" s="2"/>
      <c r="G10" s="2"/>
      <c r="H10" s="2"/>
      <c r="I10" s="2"/>
    </row>
    <row r="11" spans="1:11" x14ac:dyDescent="0.3">
      <c r="A11" s="15"/>
      <c r="B11" s="15"/>
      <c r="C11" s="15"/>
      <c r="D11" s="18" t="s">
        <v>34</v>
      </c>
      <c r="E11" s="2"/>
      <c r="F11" s="2"/>
      <c r="G11" s="2"/>
      <c r="H11" s="2"/>
      <c r="I11" s="2" t="s">
        <v>8</v>
      </c>
      <c r="K11" s="12" t="s">
        <v>35</v>
      </c>
    </row>
    <row r="12" spans="1:11" x14ac:dyDescent="0.3">
      <c r="A12" s="15"/>
      <c r="B12" s="14" t="s">
        <v>10</v>
      </c>
      <c r="C12" s="15"/>
      <c r="D12" s="15"/>
      <c r="E12" s="2"/>
      <c r="F12" s="2" t="s">
        <v>2</v>
      </c>
      <c r="G12" s="2"/>
      <c r="H12" s="2"/>
      <c r="I12" s="2"/>
    </row>
    <row r="13" spans="1:11" x14ac:dyDescent="0.3">
      <c r="A13" s="15"/>
      <c r="B13" s="14"/>
      <c r="C13" s="15"/>
      <c r="D13" s="15"/>
      <c r="E13" s="2"/>
      <c r="F13" s="2"/>
      <c r="G13" s="2"/>
      <c r="H13" s="2"/>
      <c r="I13" s="2"/>
    </row>
    <row r="14" spans="1:11" x14ac:dyDescent="0.3">
      <c r="A14" s="15"/>
      <c r="B14" s="14"/>
      <c r="C14" s="15"/>
      <c r="D14" s="15"/>
      <c r="E14" s="2"/>
      <c r="F14" s="2"/>
      <c r="G14" s="2"/>
      <c r="H14" s="2"/>
    </row>
    <row r="15" spans="1:11" x14ac:dyDescent="0.3">
      <c r="A15" s="15"/>
      <c r="B15" s="14"/>
      <c r="C15" s="15"/>
      <c r="D15" s="15"/>
      <c r="E15" s="2"/>
      <c r="F15" s="2" t="s">
        <v>3</v>
      </c>
      <c r="G15" s="2"/>
      <c r="H15" s="2"/>
      <c r="K15" s="12"/>
    </row>
    <row r="16" spans="1:11" x14ac:dyDescent="0.3">
      <c r="A16" s="15"/>
      <c r="B16" s="14"/>
      <c r="C16" s="15"/>
      <c r="D16" s="15"/>
      <c r="E16" s="2"/>
      <c r="F16" s="2"/>
      <c r="G16" s="2"/>
      <c r="H16" s="2"/>
      <c r="I16" s="2"/>
    </row>
    <row r="17" spans="1:11" x14ac:dyDescent="0.3">
      <c r="A17" s="15"/>
      <c r="B17" s="14" t="s">
        <v>11</v>
      </c>
      <c r="C17" s="15"/>
      <c r="D17" s="16"/>
      <c r="E17" s="2"/>
      <c r="F17" s="2"/>
      <c r="G17" s="2"/>
      <c r="H17" s="2"/>
    </row>
    <row r="18" spans="1:11" x14ac:dyDescent="0.3">
      <c r="A18" s="15"/>
      <c r="B18" s="14"/>
      <c r="C18" s="15"/>
      <c r="D18" s="15"/>
      <c r="E18" s="2"/>
      <c r="F18" s="2"/>
      <c r="G18" s="2"/>
      <c r="H18" s="2"/>
      <c r="I18" s="2"/>
      <c r="K18" s="12"/>
    </row>
    <row r="19" spans="1:11" x14ac:dyDescent="0.3">
      <c r="A19" s="14"/>
      <c r="B19" s="14"/>
      <c r="C19" s="14"/>
      <c r="D19" s="15"/>
      <c r="E19" s="2"/>
      <c r="F19" s="2"/>
      <c r="G19" s="2"/>
      <c r="H19" s="2"/>
      <c r="I19" s="2"/>
    </row>
    <row r="20" spans="1:11" x14ac:dyDescent="0.3">
      <c r="A20" s="14"/>
      <c r="B20" s="14"/>
      <c r="C20" s="14"/>
      <c r="D20" s="15"/>
      <c r="E20" s="2"/>
      <c r="F20" s="2"/>
      <c r="G20" s="2"/>
      <c r="H20" s="2"/>
      <c r="I20" s="2"/>
    </row>
    <row r="21" spans="1:11" x14ac:dyDescent="0.3">
      <c r="E21" s="2"/>
      <c r="F21" s="2"/>
      <c r="G21" s="2"/>
      <c r="H21" s="2"/>
      <c r="I21" s="2"/>
      <c r="K21" s="12"/>
    </row>
    <row r="22" spans="1:11" x14ac:dyDescent="0.3">
      <c r="E22" s="2"/>
      <c r="F22" s="2"/>
      <c r="G22" s="2"/>
      <c r="H22" s="2"/>
      <c r="I22" s="2"/>
    </row>
    <row r="23" spans="1:11" x14ac:dyDescent="0.3">
      <c r="E23" s="2"/>
      <c r="F23" s="2"/>
      <c r="G23" s="2"/>
      <c r="H23" s="2"/>
      <c r="I23" s="2"/>
    </row>
    <row r="24" spans="1:11" x14ac:dyDescent="0.3">
      <c r="E24" s="2"/>
      <c r="F24" s="2"/>
      <c r="G24" s="2"/>
      <c r="H24" s="2"/>
      <c r="I24" s="2"/>
    </row>
    <row r="25" spans="1:11" x14ac:dyDescent="0.3">
      <c r="E25" s="2"/>
      <c r="F25" s="2"/>
      <c r="G25" s="2"/>
      <c r="H25" s="2"/>
      <c r="I25" s="2"/>
    </row>
    <row r="26" spans="1:11" x14ac:dyDescent="0.3">
      <c r="E26" s="2"/>
      <c r="F26" s="2"/>
      <c r="G26" s="2"/>
      <c r="H26" s="2"/>
      <c r="I26" s="2"/>
    </row>
  </sheetData>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B2:H30"/>
  <sheetViews>
    <sheetView topLeftCell="A4" workbookViewId="0">
      <selection activeCell="A17" sqref="A17"/>
    </sheetView>
  </sheetViews>
  <sheetFormatPr defaultRowHeight="14.4" x14ac:dyDescent="0.3"/>
  <sheetData>
    <row r="2" spans="2:8" x14ac:dyDescent="0.3">
      <c r="E2" s="4" t="s">
        <v>36</v>
      </c>
      <c r="F2" s="17" t="s">
        <v>38</v>
      </c>
    </row>
    <row r="6" spans="2:8" x14ac:dyDescent="0.3">
      <c r="H6" s="2" t="s">
        <v>12</v>
      </c>
    </row>
    <row r="7" spans="2:8" x14ac:dyDescent="0.3">
      <c r="B7" s="15"/>
      <c r="C7" s="15"/>
      <c r="H7" s="2"/>
    </row>
    <row r="8" spans="2:8" x14ac:dyDescent="0.3">
      <c r="B8" s="15"/>
      <c r="C8" s="15"/>
      <c r="H8" s="2"/>
    </row>
    <row r="9" spans="2:8" x14ac:dyDescent="0.3">
      <c r="B9" s="15" t="s">
        <v>7</v>
      </c>
      <c r="C9" s="15"/>
      <c r="D9" s="18" t="s">
        <v>35</v>
      </c>
      <c r="F9" s="2" t="s">
        <v>9</v>
      </c>
      <c r="H9" s="2"/>
    </row>
    <row r="10" spans="2:8" x14ac:dyDescent="0.3">
      <c r="B10" s="14"/>
      <c r="C10" s="15"/>
      <c r="D10" s="8"/>
      <c r="E10" s="2"/>
      <c r="F10" s="2"/>
      <c r="H10" s="2"/>
    </row>
    <row r="11" spans="2:8" x14ac:dyDescent="0.3">
      <c r="B11" s="15"/>
      <c r="C11" s="15"/>
      <c r="D11" s="8"/>
      <c r="E11" s="2"/>
      <c r="F11" s="2"/>
      <c r="H11" s="2" t="s">
        <v>37</v>
      </c>
    </row>
    <row r="12" spans="2:8" x14ac:dyDescent="0.3">
      <c r="B12" s="14" t="s">
        <v>6</v>
      </c>
      <c r="C12" s="15"/>
      <c r="D12" s="18" t="s">
        <v>35</v>
      </c>
      <c r="E12" s="2"/>
      <c r="F12" s="2"/>
      <c r="H12" s="2"/>
    </row>
    <row r="13" spans="2:8" x14ac:dyDescent="0.3">
      <c r="B13" s="14"/>
      <c r="C13" s="15"/>
      <c r="D13" s="8"/>
      <c r="E13" s="2"/>
      <c r="F13" s="2"/>
    </row>
    <row r="14" spans="2:8" x14ac:dyDescent="0.3">
      <c r="B14" s="14"/>
      <c r="C14" s="15"/>
      <c r="D14" s="8"/>
      <c r="E14" s="2"/>
      <c r="F14" s="2" t="s">
        <v>37</v>
      </c>
    </row>
    <row r="15" spans="2:8" x14ac:dyDescent="0.3">
      <c r="B15" s="14" t="s">
        <v>8</v>
      </c>
      <c r="C15" s="15"/>
      <c r="D15" s="18" t="s">
        <v>35</v>
      </c>
      <c r="E15" s="2"/>
      <c r="F15" s="2"/>
    </row>
    <row r="16" spans="2:8" x14ac:dyDescent="0.3">
      <c r="B16" s="14"/>
      <c r="C16" s="15"/>
      <c r="D16" s="8"/>
    </row>
    <row r="17" spans="2:8" x14ac:dyDescent="0.3">
      <c r="B17" s="14"/>
      <c r="C17" s="15"/>
      <c r="H17" s="2" t="s">
        <v>12</v>
      </c>
    </row>
    <row r="18" spans="2:8" x14ac:dyDescent="0.3">
      <c r="B18" s="15"/>
      <c r="C18" s="15"/>
      <c r="H18" s="2"/>
    </row>
    <row r="19" spans="2:8" x14ac:dyDescent="0.3">
      <c r="B19" s="15"/>
      <c r="C19" s="15"/>
      <c r="D19" s="12"/>
      <c r="F19" s="11" t="s">
        <v>40</v>
      </c>
      <c r="H19" s="2"/>
    </row>
    <row r="20" spans="2:8" x14ac:dyDescent="0.3">
      <c r="B20" s="14"/>
      <c r="C20" s="15"/>
      <c r="H20" s="2"/>
    </row>
    <row r="21" spans="2:8" x14ac:dyDescent="0.3">
      <c r="B21" s="15"/>
      <c r="C21" s="15"/>
      <c r="H21" s="2"/>
    </row>
    <row r="22" spans="2:8" x14ac:dyDescent="0.3">
      <c r="B22" s="14"/>
      <c r="C22" s="15"/>
      <c r="D22" s="12"/>
      <c r="F22" s="12"/>
      <c r="H22" s="2" t="s">
        <v>37</v>
      </c>
    </row>
    <row r="23" spans="2:8" x14ac:dyDescent="0.3">
      <c r="B23" s="14"/>
      <c r="C23" s="15"/>
    </row>
    <row r="24" spans="2:8" x14ac:dyDescent="0.3">
      <c r="B24" s="14"/>
      <c r="C24" s="15"/>
      <c r="H24" s="2" t="s">
        <v>12</v>
      </c>
    </row>
    <row r="25" spans="2:8" x14ac:dyDescent="0.3">
      <c r="B25" s="14"/>
      <c r="C25" s="15"/>
      <c r="D25" s="12"/>
      <c r="H25" s="2"/>
    </row>
    <row r="26" spans="2:8" x14ac:dyDescent="0.3">
      <c r="B26" s="14"/>
      <c r="C26" s="15"/>
      <c r="F26" t="s">
        <v>39</v>
      </c>
      <c r="H26" s="2"/>
    </row>
    <row r="27" spans="2:8" x14ac:dyDescent="0.3">
      <c r="B27" s="2"/>
      <c r="H27" s="2"/>
    </row>
    <row r="28" spans="2:8" x14ac:dyDescent="0.3">
      <c r="B28" s="2"/>
      <c r="H28" s="2"/>
    </row>
    <row r="29" spans="2:8" x14ac:dyDescent="0.3">
      <c r="H29" s="2" t="s">
        <v>37</v>
      </c>
    </row>
    <row r="30" spans="2:8" x14ac:dyDescent="0.3">
      <c r="H30" s="2"/>
    </row>
  </sheetData>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
  <sheetViews>
    <sheetView zoomScale="50" zoomScaleNormal="50" workbookViewId="0">
      <selection activeCell="Y24" sqref="Y24"/>
    </sheetView>
  </sheetViews>
  <sheetFormatPr defaultColWidth="8.88671875" defaultRowHeight="14.4" x14ac:dyDescent="0.3"/>
  <cols>
    <col min="1" max="16384" width="8.88671875" style="24"/>
  </cols>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L272"/>
  <sheetViews>
    <sheetView topLeftCell="A223" zoomScale="70" zoomScaleNormal="70" workbookViewId="0">
      <selection activeCell="C235" sqref="C235:E235"/>
    </sheetView>
  </sheetViews>
  <sheetFormatPr defaultRowHeight="14.4" x14ac:dyDescent="0.3"/>
  <cols>
    <col min="1" max="1" width="26.77734375" customWidth="1"/>
    <col min="2" max="2" width="14.33203125" bestFit="1" customWidth="1"/>
    <col min="3" max="3" width="40.44140625" bestFit="1" customWidth="1"/>
    <col min="4" max="4" width="42" bestFit="1" customWidth="1"/>
    <col min="5" max="5" width="6.77734375" customWidth="1"/>
    <col min="6" max="6" width="34.77734375" customWidth="1"/>
    <col min="7" max="7" width="18" bestFit="1" customWidth="1"/>
    <col min="8" max="8" width="13.44140625" bestFit="1" customWidth="1"/>
    <col min="9" max="9" width="10.21875" bestFit="1" customWidth="1"/>
    <col min="10" max="10" width="11.33203125" bestFit="1" customWidth="1"/>
    <col min="11" max="11" width="10.21875" bestFit="1" customWidth="1"/>
    <col min="12" max="12" width="10.21875" customWidth="1"/>
  </cols>
  <sheetData>
    <row r="1" spans="1:8" x14ac:dyDescent="0.3">
      <c r="A1" s="19" t="s">
        <v>43</v>
      </c>
      <c r="B1" s="19"/>
      <c r="C1" s="19"/>
      <c r="D1" s="19"/>
    </row>
    <row r="3" spans="1:8" x14ac:dyDescent="0.3">
      <c r="A3" s="65" t="s">
        <v>290</v>
      </c>
      <c r="B3" s="65"/>
      <c r="C3" s="65" t="s">
        <v>302</v>
      </c>
      <c r="D3" s="65" t="s">
        <v>644</v>
      </c>
    </row>
    <row r="4" spans="1:8" x14ac:dyDescent="0.3">
      <c r="E4" s="21"/>
    </row>
    <row r="5" spans="1:8" x14ac:dyDescent="0.3">
      <c r="A5" t="s">
        <v>291</v>
      </c>
      <c r="B5" s="40">
        <f>'Base case probabilities'!B5*(1+e_ANC)</f>
        <v>0.91493099999999994</v>
      </c>
      <c r="C5" t="s">
        <v>303</v>
      </c>
      <c r="D5" t="s">
        <v>643</v>
      </c>
      <c r="F5" s="22"/>
      <c r="G5" s="40"/>
      <c r="H5" s="22"/>
    </row>
    <row r="6" spans="1:8" x14ac:dyDescent="0.3">
      <c r="A6" t="s">
        <v>292</v>
      </c>
      <c r="B6" s="40">
        <f>1-G2ANC</f>
        <v>8.5069000000000061E-2</v>
      </c>
      <c r="C6" t="s">
        <v>304</v>
      </c>
      <c r="F6" s="22"/>
      <c r="G6" s="40"/>
      <c r="H6" s="22"/>
    </row>
    <row r="7" spans="1:8" x14ac:dyDescent="0.3">
      <c r="B7" s="40"/>
      <c r="F7" s="22"/>
      <c r="G7" s="40"/>
      <c r="H7" s="22"/>
    </row>
    <row r="8" spans="1:8" x14ac:dyDescent="0.3">
      <c r="A8" s="82" t="s">
        <v>293</v>
      </c>
      <c r="B8" s="40"/>
      <c r="F8" s="22" t="s">
        <v>713</v>
      </c>
      <c r="G8" s="40"/>
      <c r="H8" s="22"/>
    </row>
    <row r="9" spans="1:8" x14ac:dyDescent="0.3">
      <c r="A9" t="s">
        <v>453</v>
      </c>
      <c r="B9" s="40">
        <f>'Base case probabilities'!B9</f>
        <v>1.6422801402225295E-2</v>
      </c>
      <c r="C9" t="s">
        <v>455</v>
      </c>
      <c r="F9" s="22"/>
      <c r="G9" s="40"/>
      <c r="H9" s="22"/>
    </row>
    <row r="10" spans="1:8" x14ac:dyDescent="0.3">
      <c r="A10" t="s">
        <v>454</v>
      </c>
      <c r="B10" s="40">
        <f>'Base case probabilities'!B10</f>
        <v>0.9835771985977747</v>
      </c>
      <c r="C10" t="s">
        <v>456</v>
      </c>
      <c r="F10" s="22"/>
      <c r="G10" s="40"/>
      <c r="H10" s="22"/>
    </row>
    <row r="11" spans="1:8" x14ac:dyDescent="0.3">
      <c r="B11" s="40"/>
      <c r="F11" s="22"/>
      <c r="G11" s="40"/>
      <c r="H11" s="22"/>
    </row>
    <row r="12" spans="1:8" x14ac:dyDescent="0.3">
      <c r="A12" t="s">
        <v>457</v>
      </c>
      <c r="B12" s="40">
        <f>'Base case probabilities'!B26*e_preterm</f>
        <v>0.13286148238153098</v>
      </c>
      <c r="C12" t="s">
        <v>459</v>
      </c>
      <c r="D12" t="s">
        <v>643</v>
      </c>
      <c r="F12" s="22"/>
      <c r="G12" s="40"/>
      <c r="H12" s="22"/>
    </row>
    <row r="13" spans="1:8" x14ac:dyDescent="0.3">
      <c r="A13" t="s">
        <v>458</v>
      </c>
      <c r="B13" s="40">
        <f>1-LB2prem_1</f>
        <v>0.86713851761846905</v>
      </c>
      <c r="C13" t="s">
        <v>460</v>
      </c>
      <c r="F13" s="22"/>
      <c r="G13" s="40"/>
      <c r="H13" s="22"/>
    </row>
    <row r="14" spans="1:8" x14ac:dyDescent="0.3">
      <c r="B14" s="40"/>
      <c r="F14" s="21"/>
    </row>
    <row r="15" spans="1:8" x14ac:dyDescent="0.3">
      <c r="A15" t="s">
        <v>294</v>
      </c>
      <c r="B15" s="40">
        <f>'Base case probabilities'!B43*e_LBW</f>
        <v>0.48376271186440678</v>
      </c>
      <c r="C15" t="s">
        <v>305</v>
      </c>
      <c r="D15" t="s">
        <v>643</v>
      </c>
      <c r="F15" s="21"/>
    </row>
    <row r="16" spans="1:8" x14ac:dyDescent="0.3">
      <c r="A16" t="s">
        <v>469</v>
      </c>
      <c r="B16" s="40">
        <f>1-Prem2LBW_1</f>
        <v>0.51623728813559322</v>
      </c>
      <c r="C16" t="s">
        <v>306</v>
      </c>
      <c r="F16" s="21"/>
    </row>
    <row r="17" spans="1:6" x14ac:dyDescent="0.3">
      <c r="A17" t="s">
        <v>461</v>
      </c>
      <c r="B17" s="40">
        <f>'Base case probabilities'!G43*e_LBW</f>
        <v>0.24686153846153844</v>
      </c>
      <c r="C17" t="s">
        <v>462</v>
      </c>
      <c r="D17" t="s">
        <v>643</v>
      </c>
      <c r="F17" s="22"/>
    </row>
    <row r="18" spans="1:6" x14ac:dyDescent="0.3">
      <c r="A18" t="s">
        <v>470</v>
      </c>
      <c r="B18" s="40">
        <f>1-LBW2norm_1</f>
        <v>0.75313846153846153</v>
      </c>
      <c r="C18" t="s">
        <v>308</v>
      </c>
      <c r="F18" s="21"/>
    </row>
    <row r="19" spans="1:6" x14ac:dyDescent="0.3">
      <c r="B19" s="40"/>
      <c r="F19" s="21"/>
    </row>
    <row r="20" spans="1:6" x14ac:dyDescent="0.3">
      <c r="A20" t="s">
        <v>463</v>
      </c>
      <c r="B20" s="40">
        <f>'Base case probabilities'!B55*e_SGA</f>
        <v>0.39968592964824123</v>
      </c>
      <c r="C20" t="s">
        <v>475</v>
      </c>
      <c r="D20" t="s">
        <v>643</v>
      </c>
      <c r="F20" s="21"/>
    </row>
    <row r="21" spans="1:6" x14ac:dyDescent="0.3">
      <c r="A21" t="s">
        <v>466</v>
      </c>
      <c r="B21" s="40">
        <f>1-LBW_prem_2SGA_1</f>
        <v>0.60031407035175877</v>
      </c>
      <c r="C21" t="s">
        <v>478</v>
      </c>
      <c r="F21" s="21"/>
    </row>
    <row r="22" spans="1:6" x14ac:dyDescent="0.3">
      <c r="A22" t="s">
        <v>467</v>
      </c>
      <c r="B22" s="40">
        <f>'Base case probabilities'!G55*e_SGA</f>
        <v>0</v>
      </c>
      <c r="C22" t="s">
        <v>476</v>
      </c>
      <c r="D22" t="s">
        <v>643</v>
      </c>
    </row>
    <row r="23" spans="1:6" x14ac:dyDescent="0.3">
      <c r="A23" t="s">
        <v>468</v>
      </c>
      <c r="B23" s="40">
        <f>1-NBW_prem_2SGA_1</f>
        <v>1</v>
      </c>
      <c r="C23" t="s">
        <v>477</v>
      </c>
    </row>
    <row r="24" spans="1:6" x14ac:dyDescent="0.3">
      <c r="A24" t="s">
        <v>471</v>
      </c>
      <c r="B24" s="40">
        <f>'Base case probabilities'!B59*e_SGA</f>
        <v>0.9</v>
      </c>
      <c r="C24" t="s">
        <v>479</v>
      </c>
      <c r="D24" t="s">
        <v>643</v>
      </c>
    </row>
    <row r="25" spans="1:6" x14ac:dyDescent="0.3">
      <c r="A25" t="s">
        <v>472</v>
      </c>
      <c r="B25" s="40">
        <f>1-LBW_term_2SGA_1</f>
        <v>9.9999999999999978E-2</v>
      </c>
      <c r="C25" t="s">
        <v>480</v>
      </c>
    </row>
    <row r="26" spans="1:6" x14ac:dyDescent="0.3">
      <c r="A26" t="s">
        <v>473</v>
      </c>
      <c r="B26" s="40">
        <f>'Base case probabilities'!G59*e_SGA</f>
        <v>0.17096075860597004</v>
      </c>
      <c r="C26" t="s">
        <v>481</v>
      </c>
      <c r="D26" t="s">
        <v>643</v>
      </c>
    </row>
    <row r="27" spans="1:6" x14ac:dyDescent="0.3">
      <c r="A27" t="s">
        <v>474</v>
      </c>
      <c r="B27" s="40">
        <f>1-Hypo2cog_1</f>
        <v>0.82903924139402996</v>
      </c>
      <c r="C27" t="s">
        <v>482</v>
      </c>
    </row>
    <row r="28" spans="1:6" x14ac:dyDescent="0.3">
      <c r="B28" s="40"/>
    </row>
    <row r="29" spans="1:6" x14ac:dyDescent="0.3">
      <c r="A29" s="66" t="s">
        <v>483</v>
      </c>
      <c r="B29" s="40">
        <f>'Base case probabilities'!B74-'Base case probabilities'!B74*(e_mortality)</f>
        <v>7.6248466666666667E-2</v>
      </c>
      <c r="C29" t="s">
        <v>491</v>
      </c>
      <c r="D29" t="s">
        <v>643</v>
      </c>
    </row>
    <row r="30" spans="1:6" x14ac:dyDescent="0.3">
      <c r="A30" t="s">
        <v>484</v>
      </c>
      <c r="B30" s="40">
        <f>1-SGA_prem_2d_1</f>
        <v>0.92375153333333337</v>
      </c>
      <c r="C30" t="s">
        <v>492</v>
      </c>
    </row>
    <row r="31" spans="1:6" x14ac:dyDescent="0.3">
      <c r="A31" s="66" t="s">
        <v>485</v>
      </c>
      <c r="B31" s="40">
        <f>'Base case probabilities'!G74-'Base case probabilities'!G74*(e_mortality)</f>
        <v>3.1903725000000001E-2</v>
      </c>
      <c r="C31" t="s">
        <v>493</v>
      </c>
      <c r="D31" t="s">
        <v>643</v>
      </c>
    </row>
    <row r="32" spans="1:6" x14ac:dyDescent="0.3">
      <c r="A32" t="s">
        <v>486</v>
      </c>
      <c r="B32" s="40">
        <f>1-AGA_prem_2d_1</f>
        <v>0.96809627499999995</v>
      </c>
      <c r="C32" t="s">
        <v>494</v>
      </c>
    </row>
    <row r="33" spans="1:6" x14ac:dyDescent="0.3">
      <c r="A33" s="66" t="s">
        <v>487</v>
      </c>
      <c r="B33" s="40">
        <f>'Base case probabilities'!B77-'Base case probabilities'!B77*(e_mortality)</f>
        <v>1.1972400000000001E-2</v>
      </c>
      <c r="C33" t="s">
        <v>495</v>
      </c>
      <c r="D33" t="s">
        <v>643</v>
      </c>
    </row>
    <row r="34" spans="1:6" x14ac:dyDescent="0.3">
      <c r="A34" t="s">
        <v>488</v>
      </c>
      <c r="B34" s="40">
        <f>1-SGA_term_2d_1</f>
        <v>0.98802760000000001</v>
      </c>
      <c r="C34" t="s">
        <v>496</v>
      </c>
    </row>
    <row r="35" spans="1:6" x14ac:dyDescent="0.3">
      <c r="A35" s="66" t="s">
        <v>489</v>
      </c>
      <c r="B35" s="88">
        <f>'Base case probabilities'!G77-'Base case probabilities'!G77*(e_mortality)</f>
        <v>5.6536333333333339E-3</v>
      </c>
      <c r="C35" t="s">
        <v>497</v>
      </c>
      <c r="D35" t="s">
        <v>643</v>
      </c>
      <c r="E35" t="b">
        <f>F35=AGA_term_2d_1</f>
        <v>0</v>
      </c>
      <c r="F35">
        <f>'Base case probabilities'!G77</f>
        <v>6.2333333333333338E-3</v>
      </c>
    </row>
    <row r="36" spans="1:6" x14ac:dyDescent="0.3">
      <c r="A36" t="s">
        <v>490</v>
      </c>
      <c r="B36" s="40">
        <f>1-AGA_term_2d_1</f>
        <v>0.99434636666666665</v>
      </c>
      <c r="C36" t="s">
        <v>498</v>
      </c>
    </row>
    <row r="37" spans="1:6" x14ac:dyDescent="0.3">
      <c r="B37" s="40"/>
    </row>
    <row r="38" spans="1:6" x14ac:dyDescent="0.3">
      <c r="A38" t="s">
        <v>499</v>
      </c>
      <c r="B38" s="40">
        <f>'Base case probabilities'!B81</f>
        <v>0.45</v>
      </c>
      <c r="C38" t="s">
        <v>503</v>
      </c>
    </row>
    <row r="39" spans="1:6" x14ac:dyDescent="0.3">
      <c r="A39" t="s">
        <v>500</v>
      </c>
      <c r="B39" s="40">
        <f>'Base case probabilities'!B82</f>
        <v>0.55000000000000004</v>
      </c>
      <c r="C39" t="s">
        <v>504</v>
      </c>
    </row>
    <row r="40" spans="1:6" x14ac:dyDescent="0.3">
      <c r="A40" t="s">
        <v>501</v>
      </c>
      <c r="B40" s="40">
        <f>'Base case probabilities'!G81</f>
        <v>0</v>
      </c>
      <c r="C40" t="s">
        <v>505</v>
      </c>
    </row>
    <row r="41" spans="1:6" x14ac:dyDescent="0.3">
      <c r="A41" t="s">
        <v>502</v>
      </c>
      <c r="B41" s="40">
        <f>'Base case probabilities'!G82</f>
        <v>1</v>
      </c>
      <c r="C41" t="s">
        <v>506</v>
      </c>
    </row>
    <row r="42" spans="1:6" x14ac:dyDescent="0.3">
      <c r="B42" s="40"/>
    </row>
    <row r="43" spans="1:6" x14ac:dyDescent="0.3">
      <c r="A43" t="s">
        <v>507</v>
      </c>
      <c r="B43" s="40">
        <f>'Base case probabilities'!B91</f>
        <v>0.2155</v>
      </c>
      <c r="C43" t="s">
        <v>514</v>
      </c>
    </row>
    <row r="44" spans="1:6" x14ac:dyDescent="0.3">
      <c r="A44" t="s">
        <v>512</v>
      </c>
      <c r="B44" s="40">
        <f>'Base case probabilities'!B92</f>
        <v>0.78449999999999998</v>
      </c>
      <c r="C44" t="s">
        <v>515</v>
      </c>
    </row>
    <row r="45" spans="1:6" x14ac:dyDescent="0.3">
      <c r="A45" t="s">
        <v>510</v>
      </c>
      <c r="B45" s="40">
        <f>'Base case probabilities'!G91</f>
        <v>0.26</v>
      </c>
      <c r="C45" t="s">
        <v>516</v>
      </c>
    </row>
    <row r="46" spans="1:6" x14ac:dyDescent="0.3">
      <c r="A46" t="s">
        <v>513</v>
      </c>
      <c r="B46" s="40">
        <f>'Base case probabilities'!G92</f>
        <v>0.74</v>
      </c>
      <c r="C46" t="s">
        <v>517</v>
      </c>
    </row>
    <row r="47" spans="1:6" x14ac:dyDescent="0.3">
      <c r="A47" t="s">
        <v>675</v>
      </c>
      <c r="B47" s="40">
        <f>'Base case probabilities'!B95</f>
        <v>0.15</v>
      </c>
      <c r="C47" t="s">
        <v>662</v>
      </c>
    </row>
    <row r="48" spans="1:6" x14ac:dyDescent="0.3">
      <c r="A48" t="s">
        <v>676</v>
      </c>
      <c r="B48" s="40">
        <f>'Base case probabilities'!B96</f>
        <v>0.85</v>
      </c>
      <c r="C48" t="s">
        <v>663</v>
      </c>
    </row>
    <row r="49" spans="1:6" x14ac:dyDescent="0.3">
      <c r="A49" t="s">
        <v>677</v>
      </c>
      <c r="B49" s="40">
        <f>'Base case probabilities'!G95</f>
        <v>0</v>
      </c>
      <c r="C49" t="s">
        <v>660</v>
      </c>
    </row>
    <row r="50" spans="1:6" x14ac:dyDescent="0.3">
      <c r="A50" t="s">
        <v>678</v>
      </c>
      <c r="B50" s="40">
        <f>'Base case probabilities'!G96</f>
        <v>1</v>
      </c>
      <c r="C50" t="s">
        <v>661</v>
      </c>
    </row>
    <row r="51" spans="1:6" x14ac:dyDescent="0.3">
      <c r="B51" s="40"/>
    </row>
    <row r="52" spans="1:6" x14ac:dyDescent="0.3">
      <c r="A52" t="s">
        <v>518</v>
      </c>
      <c r="B52" s="40">
        <f>'Base case probabilities'!B99</f>
        <v>0.36099999999999999</v>
      </c>
      <c r="C52" t="s">
        <v>307</v>
      </c>
    </row>
    <row r="53" spans="1:6" x14ac:dyDescent="0.3">
      <c r="A53" t="s">
        <v>520</v>
      </c>
      <c r="B53" s="40">
        <f>'Base case probabilities'!B100</f>
        <v>0.63900000000000001</v>
      </c>
      <c r="C53" t="s">
        <v>522</v>
      </c>
    </row>
    <row r="54" spans="1:6" x14ac:dyDescent="0.3">
      <c r="A54" t="s">
        <v>521</v>
      </c>
      <c r="B54" s="40">
        <f>'Base case probabilities'!G99</f>
        <v>0</v>
      </c>
      <c r="C54" t="s">
        <v>523</v>
      </c>
    </row>
    <row r="55" spans="1:6" x14ac:dyDescent="0.3">
      <c r="A55" t="s">
        <v>519</v>
      </c>
      <c r="B55" s="40">
        <f>'Base case probabilities'!G100</f>
        <v>1</v>
      </c>
      <c r="C55" t="s">
        <v>524</v>
      </c>
    </row>
    <row r="56" spans="1:6" x14ac:dyDescent="0.3">
      <c r="B56" s="40"/>
    </row>
    <row r="57" spans="1:6" x14ac:dyDescent="0.3">
      <c r="A57" t="s">
        <v>529</v>
      </c>
      <c r="B57" s="40">
        <f>'Base case probabilities'!B103</f>
        <v>5.1333333333333335E-2</v>
      </c>
      <c r="C57" t="s">
        <v>525</v>
      </c>
    </row>
    <row r="58" spans="1:6" x14ac:dyDescent="0.3">
      <c r="A58" t="s">
        <v>530</v>
      </c>
      <c r="B58" s="40">
        <f>'Base case probabilities'!B104</f>
        <v>0.94866666666666666</v>
      </c>
      <c r="C58" t="s">
        <v>526</v>
      </c>
    </row>
    <row r="59" spans="1:6" x14ac:dyDescent="0.3">
      <c r="A59" t="s">
        <v>531</v>
      </c>
      <c r="B59" s="40">
        <f>'Base case probabilities'!G103</f>
        <v>3.3085576536761752E-2</v>
      </c>
      <c r="C59" t="s">
        <v>527</v>
      </c>
    </row>
    <row r="60" spans="1:6" x14ac:dyDescent="0.3">
      <c r="A60" t="s">
        <v>532</v>
      </c>
      <c r="B60" s="40">
        <f>'Base case probabilities'!G104</f>
        <v>0.9669144234632383</v>
      </c>
      <c r="C60" t="s">
        <v>528</v>
      </c>
    </row>
    <row r="61" spans="1:6" x14ac:dyDescent="0.3">
      <c r="B61" s="40"/>
    </row>
    <row r="62" spans="1:6" x14ac:dyDescent="0.3">
      <c r="A62" s="20" t="s">
        <v>295</v>
      </c>
      <c r="B62" s="40"/>
      <c r="F62" s="22" t="s">
        <v>713</v>
      </c>
    </row>
    <row r="63" spans="1:6" x14ac:dyDescent="0.3">
      <c r="A63" t="s">
        <v>646</v>
      </c>
      <c r="B63" s="40">
        <f>'Base case probabilities'!G9</f>
        <v>3.1562974203338388E-2</v>
      </c>
      <c r="C63" t="s">
        <v>648</v>
      </c>
      <c r="F63" s="22"/>
    </row>
    <row r="64" spans="1:6" x14ac:dyDescent="0.3">
      <c r="A64" t="s">
        <v>647</v>
      </c>
      <c r="B64" s="40">
        <f>'Base case probabilities'!G10</f>
        <v>0.96843702579666158</v>
      </c>
      <c r="C64" t="s">
        <v>649</v>
      </c>
      <c r="F64" s="22"/>
    </row>
    <row r="65" spans="1:6" x14ac:dyDescent="0.3">
      <c r="B65" s="40"/>
      <c r="F65" s="22"/>
    </row>
    <row r="66" spans="1:6" x14ac:dyDescent="0.3">
      <c r="A66" t="s">
        <v>535</v>
      </c>
      <c r="B66" s="40">
        <f>'Base case probabilities'!G26*e_preterm</f>
        <v>0.13176882661996497</v>
      </c>
      <c r="C66" t="s">
        <v>459</v>
      </c>
      <c r="D66" t="s">
        <v>643</v>
      </c>
      <c r="F66" s="22"/>
    </row>
    <row r="67" spans="1:6" x14ac:dyDescent="0.3">
      <c r="A67" t="s">
        <v>536</v>
      </c>
      <c r="B67" s="40">
        <f>1-LB2prem_2</f>
        <v>0.86823117338003497</v>
      </c>
      <c r="C67" t="s">
        <v>460</v>
      </c>
      <c r="F67" s="22"/>
    </row>
    <row r="68" spans="1:6" x14ac:dyDescent="0.3">
      <c r="B68" s="40"/>
      <c r="F68" s="21"/>
    </row>
    <row r="69" spans="1:6" x14ac:dyDescent="0.3">
      <c r="A69" t="s">
        <v>296</v>
      </c>
      <c r="B69" s="40">
        <f>'Base case probabilities'!B43*e_LBW</f>
        <v>0.48376271186440678</v>
      </c>
      <c r="C69" t="s">
        <v>305</v>
      </c>
      <c r="D69" t="s">
        <v>643</v>
      </c>
      <c r="F69" s="21"/>
    </row>
    <row r="70" spans="1:6" x14ac:dyDescent="0.3">
      <c r="A70" t="s">
        <v>537</v>
      </c>
      <c r="B70" s="40">
        <f>1-Prem2LBW_2</f>
        <v>0.51623728813559322</v>
      </c>
      <c r="C70" t="s">
        <v>306</v>
      </c>
      <c r="F70" s="21"/>
    </row>
    <row r="71" spans="1:6" x14ac:dyDescent="0.3">
      <c r="A71" t="s">
        <v>538</v>
      </c>
      <c r="B71" s="40">
        <f>'Base case probabilities'!G43*e_LBW</f>
        <v>0.24686153846153844</v>
      </c>
      <c r="C71" t="s">
        <v>462</v>
      </c>
      <c r="D71" t="s">
        <v>643</v>
      </c>
      <c r="F71" s="22"/>
    </row>
    <row r="72" spans="1:6" x14ac:dyDescent="0.3">
      <c r="A72" t="s">
        <v>539</v>
      </c>
      <c r="B72" s="40">
        <f>1-Term2LBW_2</f>
        <v>0.75313846153846153</v>
      </c>
      <c r="C72" t="s">
        <v>308</v>
      </c>
      <c r="F72" s="21"/>
    </row>
    <row r="73" spans="1:6" x14ac:dyDescent="0.3">
      <c r="B73" s="40"/>
      <c r="F73" s="21"/>
    </row>
    <row r="74" spans="1:6" x14ac:dyDescent="0.3">
      <c r="A74" t="s">
        <v>464</v>
      </c>
      <c r="B74" s="40">
        <f>'Base case probabilities'!B55*e_SGA</f>
        <v>0.39968592964824123</v>
      </c>
      <c r="C74" t="s">
        <v>475</v>
      </c>
      <c r="D74" t="s">
        <v>643</v>
      </c>
      <c r="F74" s="21"/>
    </row>
    <row r="75" spans="1:6" x14ac:dyDescent="0.3">
      <c r="A75" t="s">
        <v>465</v>
      </c>
      <c r="B75" s="40">
        <f>1-LBW_prem_2SGA_2</f>
        <v>0.60031407035175877</v>
      </c>
      <c r="C75" t="s">
        <v>478</v>
      </c>
      <c r="F75" s="21"/>
    </row>
    <row r="76" spans="1:6" x14ac:dyDescent="0.3">
      <c r="A76" t="s">
        <v>540</v>
      </c>
      <c r="B76" s="40">
        <f>'Base case probabilities'!G55*e_SGA</f>
        <v>0</v>
      </c>
      <c r="C76" t="s">
        <v>476</v>
      </c>
      <c r="D76" t="s">
        <v>643</v>
      </c>
    </row>
    <row r="77" spans="1:6" x14ac:dyDescent="0.3">
      <c r="A77" t="s">
        <v>541</v>
      </c>
      <c r="B77" s="40">
        <f>1-NBW_prem_2SGA_2</f>
        <v>1</v>
      </c>
      <c r="C77" t="s">
        <v>477</v>
      </c>
    </row>
    <row r="78" spans="1:6" x14ac:dyDescent="0.3">
      <c r="A78" t="s">
        <v>542</v>
      </c>
      <c r="B78" s="40">
        <f>'Base case probabilities'!B59*e_SGA</f>
        <v>0.9</v>
      </c>
      <c r="C78" t="s">
        <v>479</v>
      </c>
      <c r="D78" t="s">
        <v>643</v>
      </c>
    </row>
    <row r="79" spans="1:6" x14ac:dyDescent="0.3">
      <c r="A79" t="s">
        <v>543</v>
      </c>
      <c r="B79" s="40">
        <f>1-LBW_term_2SGA_2</f>
        <v>9.9999999999999978E-2</v>
      </c>
      <c r="C79" t="s">
        <v>480</v>
      </c>
    </row>
    <row r="80" spans="1:6" x14ac:dyDescent="0.3">
      <c r="A80" t="s">
        <v>544</v>
      </c>
      <c r="B80" s="40">
        <f>'Base case probabilities'!G59*e_SGA</f>
        <v>0.17096075860597004</v>
      </c>
      <c r="C80" t="s">
        <v>481</v>
      </c>
      <c r="D80" t="s">
        <v>643</v>
      </c>
    </row>
    <row r="81" spans="1:4" x14ac:dyDescent="0.3">
      <c r="A81" t="s">
        <v>545</v>
      </c>
      <c r="B81" s="40">
        <f>1-NBW_term_2SGA_2</f>
        <v>0.82903924139402996</v>
      </c>
      <c r="C81" t="s">
        <v>482</v>
      </c>
    </row>
    <row r="82" spans="1:4" x14ac:dyDescent="0.3">
      <c r="B82" s="40"/>
    </row>
    <row r="83" spans="1:4" x14ac:dyDescent="0.3">
      <c r="A83" s="66" t="s">
        <v>546</v>
      </c>
      <c r="B83" s="40">
        <f>'Base case probabilities'!B74-'Base case probabilities'!B74*(e_mortality)</f>
        <v>7.6248466666666667E-2</v>
      </c>
      <c r="C83" t="s">
        <v>491</v>
      </c>
      <c r="D83" t="s">
        <v>643</v>
      </c>
    </row>
    <row r="84" spans="1:4" x14ac:dyDescent="0.3">
      <c r="A84" t="s">
        <v>547</v>
      </c>
      <c r="B84" s="40">
        <f>1-SGA_prem_2d_2</f>
        <v>0.92375153333333337</v>
      </c>
      <c r="C84" t="s">
        <v>492</v>
      </c>
    </row>
    <row r="85" spans="1:4" x14ac:dyDescent="0.3">
      <c r="A85" s="66" t="s">
        <v>548</v>
      </c>
      <c r="B85" s="40">
        <f>'Base case probabilities'!G74-'Base case probabilities'!G74*(e_mortality)</f>
        <v>3.1903725000000001E-2</v>
      </c>
      <c r="C85" t="s">
        <v>493</v>
      </c>
      <c r="D85" t="s">
        <v>643</v>
      </c>
    </row>
    <row r="86" spans="1:4" x14ac:dyDescent="0.3">
      <c r="A86" t="s">
        <v>549</v>
      </c>
      <c r="B86" s="40">
        <f>1-AGA_prem_2d_2</f>
        <v>0.96809627499999995</v>
      </c>
      <c r="C86" t="s">
        <v>494</v>
      </c>
    </row>
    <row r="87" spans="1:4" x14ac:dyDescent="0.3">
      <c r="A87" s="66" t="s">
        <v>550</v>
      </c>
      <c r="B87" s="88">
        <f>'Base case probabilities'!B77-'Base case probabilities'!B77*(e_mortality)</f>
        <v>1.1972400000000001E-2</v>
      </c>
      <c r="C87" t="s">
        <v>495</v>
      </c>
      <c r="D87" t="s">
        <v>643</v>
      </c>
    </row>
    <row r="88" spans="1:4" x14ac:dyDescent="0.3">
      <c r="A88" t="s">
        <v>551</v>
      </c>
      <c r="B88" s="40">
        <f>1-SGA_term_2d_2</f>
        <v>0.98802760000000001</v>
      </c>
      <c r="C88" t="s">
        <v>496</v>
      </c>
    </row>
    <row r="89" spans="1:4" x14ac:dyDescent="0.3">
      <c r="A89" s="66" t="s">
        <v>552</v>
      </c>
      <c r="B89" s="40">
        <f>'Base case probabilities'!G77-'Base case probabilities'!G77*(e_mortality)</f>
        <v>5.6536333333333339E-3</v>
      </c>
      <c r="C89" t="s">
        <v>497</v>
      </c>
      <c r="D89" t="s">
        <v>643</v>
      </c>
    </row>
    <row r="90" spans="1:4" x14ac:dyDescent="0.3">
      <c r="A90" t="s">
        <v>553</v>
      </c>
      <c r="B90" s="40">
        <f>1-AGA_term_2d_2</f>
        <v>0.99434636666666665</v>
      </c>
      <c r="C90" t="s">
        <v>498</v>
      </c>
    </row>
    <row r="91" spans="1:4" x14ac:dyDescent="0.3">
      <c r="B91" s="40"/>
    </row>
    <row r="92" spans="1:4" x14ac:dyDescent="0.3">
      <c r="A92" t="s">
        <v>554</v>
      </c>
      <c r="B92" s="40">
        <f>'Base case probabilities'!B81</f>
        <v>0.45</v>
      </c>
      <c r="C92" t="s">
        <v>503</v>
      </c>
    </row>
    <row r="93" spans="1:4" x14ac:dyDescent="0.3">
      <c r="A93" t="s">
        <v>555</v>
      </c>
      <c r="B93" s="40">
        <f>'Base case probabilities'!B82</f>
        <v>0.55000000000000004</v>
      </c>
      <c r="C93" t="s">
        <v>504</v>
      </c>
    </row>
    <row r="94" spans="1:4" x14ac:dyDescent="0.3">
      <c r="A94" t="s">
        <v>556</v>
      </c>
      <c r="B94" s="40">
        <f>'Base case probabilities'!G81</f>
        <v>0</v>
      </c>
      <c r="C94" t="s">
        <v>505</v>
      </c>
    </row>
    <row r="95" spans="1:4" x14ac:dyDescent="0.3">
      <c r="A95" t="s">
        <v>557</v>
      </c>
      <c r="B95" s="40">
        <f>'Base case probabilities'!G82</f>
        <v>1</v>
      </c>
      <c r="C95" t="s">
        <v>506</v>
      </c>
    </row>
    <row r="96" spans="1:4" x14ac:dyDescent="0.3">
      <c r="B96" s="40"/>
    </row>
    <row r="97" spans="1:3" x14ac:dyDescent="0.3">
      <c r="A97" t="s">
        <v>508</v>
      </c>
      <c r="B97" s="40">
        <f>'Base case probabilities'!B91</f>
        <v>0.2155</v>
      </c>
      <c r="C97" t="s">
        <v>514</v>
      </c>
    </row>
    <row r="98" spans="1:3" x14ac:dyDescent="0.3">
      <c r="A98" t="s">
        <v>509</v>
      </c>
      <c r="B98" s="40">
        <f>'Base case probabilities'!B92</f>
        <v>0.78449999999999998</v>
      </c>
      <c r="C98" t="s">
        <v>515</v>
      </c>
    </row>
    <row r="99" spans="1:3" x14ac:dyDescent="0.3">
      <c r="A99" t="s">
        <v>558</v>
      </c>
      <c r="B99" s="40">
        <f>'Base case probabilities'!G91</f>
        <v>0.26</v>
      </c>
      <c r="C99" t="s">
        <v>516</v>
      </c>
    </row>
    <row r="100" spans="1:3" x14ac:dyDescent="0.3">
      <c r="A100" t="s">
        <v>511</v>
      </c>
      <c r="B100" s="40">
        <f>'Base case probabilities'!G92</f>
        <v>0.74</v>
      </c>
      <c r="C100" t="s">
        <v>517</v>
      </c>
    </row>
    <row r="101" spans="1:3" x14ac:dyDescent="0.3">
      <c r="A101" t="s">
        <v>679</v>
      </c>
      <c r="B101" s="40">
        <f>'Base case probabilities'!B95</f>
        <v>0.15</v>
      </c>
      <c r="C101" t="s">
        <v>662</v>
      </c>
    </row>
    <row r="102" spans="1:3" x14ac:dyDescent="0.3">
      <c r="A102" t="s">
        <v>680</v>
      </c>
      <c r="B102" s="40">
        <f>'Base case probabilities'!B96</f>
        <v>0.85</v>
      </c>
      <c r="C102" t="s">
        <v>663</v>
      </c>
    </row>
    <row r="103" spans="1:3" x14ac:dyDescent="0.3">
      <c r="A103" t="s">
        <v>681</v>
      </c>
      <c r="B103" s="40">
        <f>'Base case probabilities'!G95</f>
        <v>0</v>
      </c>
      <c r="C103" t="s">
        <v>660</v>
      </c>
    </row>
    <row r="104" spans="1:3" x14ac:dyDescent="0.3">
      <c r="A104" t="s">
        <v>682</v>
      </c>
      <c r="B104" s="40">
        <f>'Base case probabilities'!G96</f>
        <v>1</v>
      </c>
      <c r="C104" t="s">
        <v>661</v>
      </c>
    </row>
    <row r="105" spans="1:3" x14ac:dyDescent="0.3">
      <c r="B105" s="40"/>
    </row>
    <row r="106" spans="1:3" x14ac:dyDescent="0.3">
      <c r="A106" t="s">
        <v>559</v>
      </c>
      <c r="B106" s="40">
        <f>'Base case probabilities'!B99</f>
        <v>0.36099999999999999</v>
      </c>
      <c r="C106" t="s">
        <v>307</v>
      </c>
    </row>
    <row r="107" spans="1:3" x14ac:dyDescent="0.3">
      <c r="A107" t="s">
        <v>560</v>
      </c>
      <c r="B107" s="40">
        <f>'Base case probabilities'!B100</f>
        <v>0.63900000000000001</v>
      </c>
      <c r="C107" t="s">
        <v>522</v>
      </c>
    </row>
    <row r="108" spans="1:3" x14ac:dyDescent="0.3">
      <c r="A108" t="s">
        <v>561</v>
      </c>
      <c r="B108" s="40">
        <f>'Base case probabilities'!G99</f>
        <v>0</v>
      </c>
      <c r="C108" t="s">
        <v>523</v>
      </c>
    </row>
    <row r="109" spans="1:3" x14ac:dyDescent="0.3">
      <c r="A109" t="s">
        <v>562</v>
      </c>
      <c r="B109" s="40">
        <f>'Base case probabilities'!G100</f>
        <v>1</v>
      </c>
      <c r="C109" t="s">
        <v>524</v>
      </c>
    </row>
    <row r="110" spans="1:3" x14ac:dyDescent="0.3">
      <c r="B110" s="40"/>
    </row>
    <row r="111" spans="1:3" x14ac:dyDescent="0.3">
      <c r="A111" t="s">
        <v>563</v>
      </c>
      <c r="B111" s="40">
        <f>'Base case probabilities'!B103</f>
        <v>5.1333333333333335E-2</v>
      </c>
      <c r="C111" t="s">
        <v>525</v>
      </c>
    </row>
    <row r="112" spans="1:3" x14ac:dyDescent="0.3">
      <c r="A112" t="s">
        <v>564</v>
      </c>
      <c r="B112" s="40">
        <f>'Base case probabilities'!B104</f>
        <v>0.94866666666666666</v>
      </c>
      <c r="C112" t="s">
        <v>526</v>
      </c>
    </row>
    <row r="113" spans="1:6" x14ac:dyDescent="0.3">
      <c r="A113" t="s">
        <v>565</v>
      </c>
      <c r="B113" s="40">
        <f>'Base case probabilities'!G103</f>
        <v>3.3085576536761752E-2</v>
      </c>
      <c r="C113" t="s">
        <v>527</v>
      </c>
    </row>
    <row r="114" spans="1:6" x14ac:dyDescent="0.3">
      <c r="A114" t="s">
        <v>566</v>
      </c>
      <c r="B114" s="40">
        <f>'Base case probabilities'!G104</f>
        <v>0.9669144234632383</v>
      </c>
      <c r="C114" t="s">
        <v>528</v>
      </c>
    </row>
    <row r="115" spans="1:6" x14ac:dyDescent="0.3">
      <c r="B115" s="40"/>
    </row>
    <row r="116" spans="1:6" x14ac:dyDescent="0.3">
      <c r="A116" s="65" t="s">
        <v>297</v>
      </c>
      <c r="B116" s="65"/>
      <c r="C116" s="65" t="s">
        <v>302</v>
      </c>
      <c r="D116" s="65"/>
    </row>
    <row r="117" spans="1:6" x14ac:dyDescent="0.3">
      <c r="E117" s="21"/>
    </row>
    <row r="118" spans="1:6" x14ac:dyDescent="0.3">
      <c r="A118" t="s">
        <v>533</v>
      </c>
      <c r="B118" s="40">
        <f>'Base case probabilities'!B5</f>
        <v>0.83099999999999996</v>
      </c>
      <c r="C118" t="s">
        <v>309</v>
      </c>
      <c r="D118">
        <f>G2ANC</f>
        <v>0.91493099999999994</v>
      </c>
      <c r="F118" t="b">
        <f>D118=B118</f>
        <v>0</v>
      </c>
    </row>
    <row r="119" spans="1:6" x14ac:dyDescent="0.3">
      <c r="A119" t="s">
        <v>534</v>
      </c>
      <c r="B119" s="40">
        <f>'Base case probabilities'!B6</f>
        <v>0.16900000000000004</v>
      </c>
      <c r="C119" t="s">
        <v>310</v>
      </c>
    </row>
    <row r="120" spans="1:6" x14ac:dyDescent="0.3">
      <c r="B120" s="40"/>
    </row>
    <row r="121" spans="1:6" x14ac:dyDescent="0.3">
      <c r="A121" s="82" t="s">
        <v>298</v>
      </c>
      <c r="B121" s="40"/>
      <c r="F121" t="s">
        <v>713</v>
      </c>
    </row>
    <row r="122" spans="1:6" x14ac:dyDescent="0.3">
      <c r="A122" t="s">
        <v>567</v>
      </c>
      <c r="B122" s="40">
        <f>'Base case probabilities'!B9</f>
        <v>1.6422801402225295E-2</v>
      </c>
      <c r="C122" t="s">
        <v>455</v>
      </c>
    </row>
    <row r="123" spans="1:6" x14ac:dyDescent="0.3">
      <c r="A123" t="s">
        <v>568</v>
      </c>
      <c r="B123" s="40">
        <f>'Base case probabilities'!B10</f>
        <v>0.9835771985977747</v>
      </c>
      <c r="C123" t="s">
        <v>456</v>
      </c>
      <c r="D123">
        <f>ANC2LB_1</f>
        <v>0.9835771985977747</v>
      </c>
      <c r="F123" t="b">
        <f>D123=B123</f>
        <v>1</v>
      </c>
    </row>
    <row r="124" spans="1:6" x14ac:dyDescent="0.3">
      <c r="B124" s="40"/>
    </row>
    <row r="125" spans="1:6" x14ac:dyDescent="0.3">
      <c r="A125" t="s">
        <v>569</v>
      </c>
      <c r="B125" s="40">
        <f>'Base case probabilities'!B26</f>
        <v>0.17481773997569866</v>
      </c>
      <c r="C125" t="s">
        <v>459</v>
      </c>
    </row>
    <row r="126" spans="1:6" x14ac:dyDescent="0.3">
      <c r="A126" t="s">
        <v>570</v>
      </c>
      <c r="B126" s="40">
        <f>'Base case probabilities'!B27</f>
        <v>0.82518226002430128</v>
      </c>
      <c r="C126" t="s">
        <v>460</v>
      </c>
      <c r="D126">
        <f>LB2term_1</f>
        <v>0.86713851761846905</v>
      </c>
      <c r="F126" t="b">
        <f>D126=B126</f>
        <v>0</v>
      </c>
    </row>
    <row r="127" spans="1:6" x14ac:dyDescent="0.3">
      <c r="B127" s="40"/>
    </row>
    <row r="128" spans="1:6" x14ac:dyDescent="0.3">
      <c r="A128" t="s">
        <v>299</v>
      </c>
      <c r="B128" s="40">
        <f>'Base case probabilities'!B43</f>
        <v>0.68135593220338986</v>
      </c>
      <c r="C128" t="s">
        <v>305</v>
      </c>
    </row>
    <row r="129" spans="1:8" x14ac:dyDescent="0.3">
      <c r="A129" t="s">
        <v>571</v>
      </c>
      <c r="B129" s="40">
        <f>'Base case probabilities'!B44</f>
        <v>0.31864406779661014</v>
      </c>
      <c r="C129" t="s">
        <v>306</v>
      </c>
    </row>
    <row r="130" spans="1:8" x14ac:dyDescent="0.3">
      <c r="A130" t="s">
        <v>572</v>
      </c>
      <c r="B130" s="40">
        <f>'Base case probabilities'!G43</f>
        <v>0.34769230769230769</v>
      </c>
      <c r="C130" t="s">
        <v>462</v>
      </c>
    </row>
    <row r="131" spans="1:8" x14ac:dyDescent="0.3">
      <c r="A131" t="s">
        <v>573</v>
      </c>
      <c r="B131" s="40">
        <f>'Base case probabilities'!G44</f>
        <v>0.65230769230769226</v>
      </c>
      <c r="C131" t="s">
        <v>308</v>
      </c>
      <c r="D131">
        <f>Term2NBW_1</f>
        <v>0.75313846153846153</v>
      </c>
      <c r="F131" t="b">
        <f>D131=B131</f>
        <v>0</v>
      </c>
    </row>
    <row r="132" spans="1:8" x14ac:dyDescent="0.3">
      <c r="B132" s="40"/>
    </row>
    <row r="133" spans="1:8" x14ac:dyDescent="0.3">
      <c r="A133" t="s">
        <v>574</v>
      </c>
      <c r="B133" s="40">
        <f>'Base case probabilities'!B55</f>
        <v>0.44409547738693467</v>
      </c>
      <c r="C133" t="s">
        <v>475</v>
      </c>
    </row>
    <row r="134" spans="1:8" x14ac:dyDescent="0.3">
      <c r="A134" t="s">
        <v>575</v>
      </c>
      <c r="B134" s="40">
        <f>'Base case probabilities'!B56</f>
        <v>0.55590452261306533</v>
      </c>
      <c r="C134" t="s">
        <v>478</v>
      </c>
      <c r="D134">
        <f>LBW_prem_2AGA_1</f>
        <v>0.60031407035175877</v>
      </c>
      <c r="F134" t="b">
        <f>D134=B134</f>
        <v>0</v>
      </c>
    </row>
    <row r="135" spans="1:8" x14ac:dyDescent="0.3">
      <c r="A135" t="s">
        <v>576</v>
      </c>
      <c r="B135" s="40">
        <f>'Base case probabilities'!G55</f>
        <v>0</v>
      </c>
      <c r="C135" t="s">
        <v>476</v>
      </c>
    </row>
    <row r="136" spans="1:8" x14ac:dyDescent="0.3">
      <c r="A136" t="s">
        <v>577</v>
      </c>
      <c r="B136" s="40">
        <f>'Base case probabilities'!G56</f>
        <v>1</v>
      </c>
      <c r="C136" t="s">
        <v>477</v>
      </c>
    </row>
    <row r="137" spans="1:8" x14ac:dyDescent="0.3">
      <c r="A137" t="s">
        <v>578</v>
      </c>
      <c r="B137" s="40">
        <f>'Base case probabilities'!B59</f>
        <v>1</v>
      </c>
      <c r="C137" t="s">
        <v>479</v>
      </c>
      <c r="D137">
        <f>NBW_term_2AGA_3</f>
        <v>0.81004360154892219</v>
      </c>
    </row>
    <row r="138" spans="1:8" x14ac:dyDescent="0.3">
      <c r="A138" t="s">
        <v>579</v>
      </c>
      <c r="B138" s="40">
        <f>'Base case probabilities'!B60</f>
        <v>0</v>
      </c>
      <c r="C138" t="s">
        <v>480</v>
      </c>
    </row>
    <row r="139" spans="1:8" x14ac:dyDescent="0.3">
      <c r="A139" t="s">
        <v>580</v>
      </c>
      <c r="B139" s="40">
        <f>'Base case probabilities'!G59</f>
        <v>0.18995639845107781</v>
      </c>
      <c r="C139" t="s">
        <v>481</v>
      </c>
      <c r="H139" s="41"/>
    </row>
    <row r="140" spans="1:8" x14ac:dyDescent="0.3">
      <c r="A140" t="s">
        <v>581</v>
      </c>
      <c r="B140" s="40">
        <f>'Base case probabilities'!G60</f>
        <v>0.81004360154892219</v>
      </c>
      <c r="C140" t="s">
        <v>482</v>
      </c>
    </row>
    <row r="141" spans="1:8" x14ac:dyDescent="0.3">
      <c r="B141" s="40"/>
    </row>
    <row r="142" spans="1:8" x14ac:dyDescent="0.3">
      <c r="A142" s="66" t="s">
        <v>582</v>
      </c>
      <c r="B142" s="40">
        <f>'Base case probabilities'!B74</f>
        <v>8.4066666666666665E-2</v>
      </c>
      <c r="C142" t="s">
        <v>491</v>
      </c>
    </row>
    <row r="143" spans="1:8" x14ac:dyDescent="0.3">
      <c r="A143" t="s">
        <v>583</v>
      </c>
      <c r="B143" s="40">
        <f>'Base case probabilities'!B75</f>
        <v>0.91593333333333338</v>
      </c>
      <c r="C143" t="s">
        <v>492</v>
      </c>
      <c r="D143">
        <f>SGA_prem_2s_1</f>
        <v>0.92375153333333337</v>
      </c>
      <c r="F143" t="b">
        <f>D143=B143</f>
        <v>0</v>
      </c>
    </row>
    <row r="144" spans="1:8" x14ac:dyDescent="0.3">
      <c r="A144" s="66" t="s">
        <v>584</v>
      </c>
      <c r="B144" s="40">
        <f>'Base case probabilities'!G74</f>
        <v>3.5174999999999998E-2</v>
      </c>
      <c r="C144" t="s">
        <v>493</v>
      </c>
    </row>
    <row r="145" spans="1:7" x14ac:dyDescent="0.3">
      <c r="A145" t="s">
        <v>585</v>
      </c>
      <c r="B145" s="40">
        <f>'Base case probabilities'!G75</f>
        <v>0.96482500000000004</v>
      </c>
      <c r="C145" t="s">
        <v>494</v>
      </c>
      <c r="D145">
        <f>AGA_prem_2s_1</f>
        <v>0.96809627499999995</v>
      </c>
      <c r="F145" t="b">
        <f>D145=B145</f>
        <v>0</v>
      </c>
    </row>
    <row r="146" spans="1:7" x14ac:dyDescent="0.3">
      <c r="A146" s="66" t="s">
        <v>586</v>
      </c>
      <c r="B146" s="40">
        <f>'Base case probabilities'!B77</f>
        <v>1.3200000000000002E-2</v>
      </c>
      <c r="C146" t="s">
        <v>495</v>
      </c>
    </row>
    <row r="147" spans="1:7" x14ac:dyDescent="0.3">
      <c r="A147" t="s">
        <v>587</v>
      </c>
      <c r="B147" s="40">
        <f>'Base case probabilities'!B78</f>
        <v>0.98680000000000001</v>
      </c>
      <c r="C147" t="s">
        <v>496</v>
      </c>
    </row>
    <row r="148" spans="1:7" x14ac:dyDescent="0.3">
      <c r="A148" s="66" t="s">
        <v>588</v>
      </c>
      <c r="B148" s="40">
        <f>'Base case probabilities'!G77</f>
        <v>6.2333333333333338E-3</v>
      </c>
      <c r="C148" t="s">
        <v>497</v>
      </c>
      <c r="D148">
        <f>AGA_term_2d_1</f>
        <v>5.6536333333333339E-3</v>
      </c>
    </row>
    <row r="149" spans="1:7" x14ac:dyDescent="0.3">
      <c r="A149" t="s">
        <v>589</v>
      </c>
      <c r="B149" s="40">
        <f>'Base case probabilities'!G78</f>
        <v>0.99376666666666669</v>
      </c>
      <c r="C149" t="s">
        <v>498</v>
      </c>
    </row>
    <row r="150" spans="1:7" x14ac:dyDescent="0.3">
      <c r="B150" s="40"/>
    </row>
    <row r="151" spans="1:7" x14ac:dyDescent="0.3">
      <c r="A151" t="s">
        <v>590</v>
      </c>
      <c r="B151" s="40">
        <f>'Base case probabilities'!B81</f>
        <v>0.45</v>
      </c>
      <c r="C151" t="s">
        <v>503</v>
      </c>
      <c r="D151">
        <f>S_prem_2RDS_1</f>
        <v>0.45</v>
      </c>
      <c r="F151" t="b">
        <f t="shared" ref="F151:F152" si="0">D151=B151</f>
        <v>1</v>
      </c>
    </row>
    <row r="152" spans="1:7" x14ac:dyDescent="0.3">
      <c r="A152" t="s">
        <v>591</v>
      </c>
      <c r="B152" s="87">
        <f>'Base case probabilities'!B82</f>
        <v>0.55000000000000004</v>
      </c>
      <c r="C152" t="s">
        <v>504</v>
      </c>
      <c r="D152" s="86">
        <f>S_prem_2noRDS_1</f>
        <v>0.55000000000000004</v>
      </c>
      <c r="F152" t="b">
        <f t="shared" si="0"/>
        <v>1</v>
      </c>
    </row>
    <row r="153" spans="1:7" ht="15.6" x14ac:dyDescent="0.3">
      <c r="A153" t="s">
        <v>592</v>
      </c>
      <c r="B153" s="40">
        <f>'Base case probabilities'!G81</f>
        <v>0</v>
      </c>
      <c r="C153" t="s">
        <v>505</v>
      </c>
      <c r="G153" s="23"/>
    </row>
    <row r="154" spans="1:7" ht="15.6" x14ac:dyDescent="0.3">
      <c r="A154" t="s">
        <v>593</v>
      </c>
      <c r="B154" s="40">
        <f>'Base case probabilities'!G82</f>
        <v>1</v>
      </c>
      <c r="C154" t="s">
        <v>506</v>
      </c>
      <c r="G154" s="23"/>
    </row>
    <row r="155" spans="1:7" x14ac:dyDescent="0.3">
      <c r="B155" s="40"/>
    </row>
    <row r="156" spans="1:7" x14ac:dyDescent="0.3">
      <c r="A156" t="s">
        <v>594</v>
      </c>
      <c r="B156" s="40">
        <f>'Base case probabilities'!B91</f>
        <v>0.2155</v>
      </c>
      <c r="C156" t="s">
        <v>514</v>
      </c>
    </row>
    <row r="157" spans="1:7" x14ac:dyDescent="0.3">
      <c r="A157" t="s">
        <v>595</v>
      </c>
      <c r="B157" s="40">
        <f>'Base case probabilities'!B92</f>
        <v>0.78449999999999998</v>
      </c>
      <c r="C157" t="s">
        <v>515</v>
      </c>
    </row>
    <row r="158" spans="1:7" x14ac:dyDescent="0.3">
      <c r="A158" t="s">
        <v>596</v>
      </c>
      <c r="B158" s="40">
        <f>'Base case probabilities'!G91</f>
        <v>0.26</v>
      </c>
      <c r="C158" t="s">
        <v>516</v>
      </c>
    </row>
    <row r="159" spans="1:7" x14ac:dyDescent="0.3">
      <c r="A159" t="s">
        <v>597</v>
      </c>
      <c r="B159" s="40">
        <f>'Base case probabilities'!G92</f>
        <v>0.74</v>
      </c>
      <c r="C159" t="s">
        <v>517</v>
      </c>
    </row>
    <row r="160" spans="1:7" x14ac:dyDescent="0.3">
      <c r="A160" t="s">
        <v>683</v>
      </c>
      <c r="B160" s="40">
        <f>'Base case probabilities'!B95</f>
        <v>0.15</v>
      </c>
      <c r="C160" t="s">
        <v>662</v>
      </c>
      <c r="D160">
        <f>AGA_prem_2hypoglycaemia_1</f>
        <v>0.15</v>
      </c>
      <c r="F160" t="b">
        <f t="shared" ref="F160" si="1">D160=B160</f>
        <v>1</v>
      </c>
    </row>
    <row r="161" spans="1:6" x14ac:dyDescent="0.3">
      <c r="A161" t="s">
        <v>684</v>
      </c>
      <c r="B161" s="40">
        <f>'Base case probabilities'!B96</f>
        <v>0.85</v>
      </c>
      <c r="C161" t="s">
        <v>663</v>
      </c>
    </row>
    <row r="162" spans="1:6" x14ac:dyDescent="0.3">
      <c r="A162" t="s">
        <v>685</v>
      </c>
      <c r="B162" s="40">
        <f>'Base case probabilities'!G95</f>
        <v>0</v>
      </c>
      <c r="C162" t="s">
        <v>660</v>
      </c>
    </row>
    <row r="163" spans="1:6" x14ac:dyDescent="0.3">
      <c r="A163" t="s">
        <v>686</v>
      </c>
      <c r="B163" s="40">
        <f>'Base case probabilities'!G96</f>
        <v>1</v>
      </c>
      <c r="C163" t="s">
        <v>661</v>
      </c>
    </row>
    <row r="164" spans="1:6" x14ac:dyDescent="0.3">
      <c r="B164" s="40"/>
    </row>
    <row r="165" spans="1:6" x14ac:dyDescent="0.3">
      <c r="A165" t="s">
        <v>598</v>
      </c>
      <c r="B165" s="40">
        <f>'Base case probabilities'!B99</f>
        <v>0.36099999999999999</v>
      </c>
      <c r="C165" t="s">
        <v>307</v>
      </c>
      <c r="D165">
        <f>RDS2CLD_1</f>
        <v>0.36099999999999999</v>
      </c>
      <c r="F165" t="b">
        <f t="shared" ref="F165" si="2">D165=B165</f>
        <v>1</v>
      </c>
    </row>
    <row r="166" spans="1:6" x14ac:dyDescent="0.3">
      <c r="A166" t="s">
        <v>599</v>
      </c>
      <c r="B166" s="40">
        <f>'Base case probabilities'!B100</f>
        <v>0.63900000000000001</v>
      </c>
      <c r="C166" t="s">
        <v>522</v>
      </c>
    </row>
    <row r="167" spans="1:6" x14ac:dyDescent="0.3">
      <c r="A167" t="s">
        <v>600</v>
      </c>
      <c r="B167" s="40">
        <f>'Base case probabilities'!G99</f>
        <v>0</v>
      </c>
      <c r="C167" t="s">
        <v>523</v>
      </c>
    </row>
    <row r="168" spans="1:6" x14ac:dyDescent="0.3">
      <c r="A168" t="s">
        <v>601</v>
      </c>
      <c r="B168" s="40">
        <f>'Base case probabilities'!G100</f>
        <v>1</v>
      </c>
      <c r="C168" t="s">
        <v>524</v>
      </c>
    </row>
    <row r="169" spans="1:6" x14ac:dyDescent="0.3">
      <c r="B169" s="40"/>
    </row>
    <row r="170" spans="1:6" x14ac:dyDescent="0.3">
      <c r="A170" t="s">
        <v>602</v>
      </c>
      <c r="B170" s="40">
        <f>'Base case probabilities'!B103</f>
        <v>5.1333333333333335E-2</v>
      </c>
      <c r="C170" t="s">
        <v>525</v>
      </c>
      <c r="D170">
        <f>Hypo2CI_1</f>
        <v>5.1333333333333335E-2</v>
      </c>
      <c r="F170" t="b">
        <f t="shared" ref="F170" si="3">D170=B170</f>
        <v>1</v>
      </c>
    </row>
    <row r="171" spans="1:6" x14ac:dyDescent="0.3">
      <c r="A171" t="s">
        <v>603</v>
      </c>
      <c r="B171" s="40">
        <f>'Base case probabilities'!B104</f>
        <v>0.94866666666666666</v>
      </c>
      <c r="C171" t="s">
        <v>526</v>
      </c>
    </row>
    <row r="172" spans="1:6" x14ac:dyDescent="0.3">
      <c r="A172" t="s">
        <v>604</v>
      </c>
      <c r="B172" s="40">
        <f>'Base case probabilities'!G103</f>
        <v>3.3085576536761752E-2</v>
      </c>
      <c r="C172" t="s">
        <v>527</v>
      </c>
    </row>
    <row r="173" spans="1:6" x14ac:dyDescent="0.3">
      <c r="A173" t="s">
        <v>605</v>
      </c>
      <c r="B173" s="40">
        <f>'Base case probabilities'!G104</f>
        <v>0.9669144234632383</v>
      </c>
      <c r="C173" t="s">
        <v>528</v>
      </c>
    </row>
    <row r="174" spans="1:6" x14ac:dyDescent="0.3">
      <c r="B174" s="40"/>
    </row>
    <row r="175" spans="1:6" x14ac:dyDescent="0.3">
      <c r="A175" s="20" t="s">
        <v>300</v>
      </c>
      <c r="B175" s="40"/>
      <c r="F175" t="s">
        <v>713</v>
      </c>
    </row>
    <row r="176" spans="1:6" x14ac:dyDescent="0.3">
      <c r="A176" t="s">
        <v>650</v>
      </c>
      <c r="B176" s="40">
        <f>'Base case probabilities'!G9</f>
        <v>3.1562974203338388E-2</v>
      </c>
      <c r="C176" t="s">
        <v>648</v>
      </c>
    </row>
    <row r="177" spans="1:3" x14ac:dyDescent="0.3">
      <c r="A177" t="s">
        <v>651</v>
      </c>
      <c r="B177" s="40">
        <f>'Base case probabilities'!G10</f>
        <v>0.96843702579666158</v>
      </c>
      <c r="C177" t="s">
        <v>649</v>
      </c>
    </row>
    <row r="178" spans="1:3" x14ac:dyDescent="0.3">
      <c r="B178" s="40"/>
    </row>
    <row r="179" spans="1:3" x14ac:dyDescent="0.3">
      <c r="A179" t="s">
        <v>606</v>
      </c>
      <c r="B179" s="40">
        <f>'Base case probabilities'!G26</f>
        <v>0.1733800350262697</v>
      </c>
      <c r="C179" t="s">
        <v>459</v>
      </c>
    </row>
    <row r="180" spans="1:3" x14ac:dyDescent="0.3">
      <c r="A180" t="s">
        <v>607</v>
      </c>
      <c r="B180" s="40">
        <f>'Base case probabilities'!G27</f>
        <v>0.82661996497373025</v>
      </c>
      <c r="C180" t="s">
        <v>460</v>
      </c>
    </row>
    <row r="181" spans="1:3" x14ac:dyDescent="0.3">
      <c r="B181" s="40"/>
    </row>
    <row r="182" spans="1:3" x14ac:dyDescent="0.3">
      <c r="A182" t="s">
        <v>301</v>
      </c>
      <c r="B182" s="40">
        <f>'Base case probabilities'!B43</f>
        <v>0.68135593220338986</v>
      </c>
      <c r="C182" t="s">
        <v>305</v>
      </c>
    </row>
    <row r="183" spans="1:3" x14ac:dyDescent="0.3">
      <c r="A183" t="s">
        <v>608</v>
      </c>
      <c r="B183" s="40">
        <f>'Base case probabilities'!B44</f>
        <v>0.31864406779661014</v>
      </c>
      <c r="C183" t="s">
        <v>306</v>
      </c>
    </row>
    <row r="184" spans="1:3" x14ac:dyDescent="0.3">
      <c r="A184" t="s">
        <v>609</v>
      </c>
      <c r="B184" s="40">
        <f>'Base case probabilities'!G43</f>
        <v>0.34769230769230769</v>
      </c>
      <c r="C184" t="s">
        <v>462</v>
      </c>
    </row>
    <row r="185" spans="1:3" x14ac:dyDescent="0.3">
      <c r="A185" t="s">
        <v>610</v>
      </c>
      <c r="B185" s="40">
        <f>'Base case probabilities'!G44</f>
        <v>0.65230769230769226</v>
      </c>
      <c r="C185" t="s">
        <v>308</v>
      </c>
    </row>
    <row r="186" spans="1:3" x14ac:dyDescent="0.3">
      <c r="B186" s="40"/>
    </row>
    <row r="187" spans="1:3" x14ac:dyDescent="0.3">
      <c r="A187" t="s">
        <v>611</v>
      </c>
      <c r="B187" s="40">
        <f>'Base case probabilities'!B55</f>
        <v>0.44409547738693467</v>
      </c>
      <c r="C187" t="s">
        <v>475</v>
      </c>
    </row>
    <row r="188" spans="1:3" x14ac:dyDescent="0.3">
      <c r="A188" t="s">
        <v>612</v>
      </c>
      <c r="B188" s="40">
        <f>'Base case probabilities'!B56</f>
        <v>0.55590452261306533</v>
      </c>
      <c r="C188" t="s">
        <v>478</v>
      </c>
    </row>
    <row r="189" spans="1:3" x14ac:dyDescent="0.3">
      <c r="A189" t="s">
        <v>613</v>
      </c>
      <c r="B189" s="40">
        <f>'Base case probabilities'!G55</f>
        <v>0</v>
      </c>
      <c r="C189" t="s">
        <v>476</v>
      </c>
    </row>
    <row r="190" spans="1:3" x14ac:dyDescent="0.3">
      <c r="A190" t="s">
        <v>614</v>
      </c>
      <c r="B190" s="40">
        <f>'Base case probabilities'!G56</f>
        <v>1</v>
      </c>
      <c r="C190" t="s">
        <v>477</v>
      </c>
    </row>
    <row r="191" spans="1:3" x14ac:dyDescent="0.3">
      <c r="A191" t="s">
        <v>615</v>
      </c>
      <c r="B191" s="40">
        <f>'Base case probabilities'!B59</f>
        <v>1</v>
      </c>
      <c r="C191" t="s">
        <v>479</v>
      </c>
    </row>
    <row r="192" spans="1:3" x14ac:dyDescent="0.3">
      <c r="A192" t="s">
        <v>616</v>
      </c>
      <c r="B192" s="40">
        <f>'Base case probabilities'!C60</f>
        <v>0</v>
      </c>
      <c r="C192" t="s">
        <v>480</v>
      </c>
    </row>
    <row r="193" spans="1:3" x14ac:dyDescent="0.3">
      <c r="A193" t="s">
        <v>617</v>
      </c>
      <c r="B193" s="40">
        <f>'Base case probabilities'!G59</f>
        <v>0.18995639845107781</v>
      </c>
      <c r="C193" t="s">
        <v>481</v>
      </c>
    </row>
    <row r="194" spans="1:3" x14ac:dyDescent="0.3">
      <c r="A194" t="s">
        <v>618</v>
      </c>
      <c r="B194" s="40">
        <f>'Base case probabilities'!G60</f>
        <v>0.81004360154892219</v>
      </c>
      <c r="C194" t="s">
        <v>482</v>
      </c>
    </row>
    <row r="195" spans="1:3" x14ac:dyDescent="0.3">
      <c r="B195" s="40"/>
    </row>
    <row r="196" spans="1:3" x14ac:dyDescent="0.3">
      <c r="A196" s="66" t="s">
        <v>619</v>
      </c>
      <c r="B196" s="40">
        <f>'Base case probabilities'!B74</f>
        <v>8.4066666666666665E-2</v>
      </c>
      <c r="C196" t="s">
        <v>491</v>
      </c>
    </row>
    <row r="197" spans="1:3" x14ac:dyDescent="0.3">
      <c r="A197" t="s">
        <v>620</v>
      </c>
      <c r="B197" s="40">
        <f>'Base case probabilities'!B75</f>
        <v>0.91593333333333338</v>
      </c>
      <c r="C197" t="s">
        <v>492</v>
      </c>
    </row>
    <row r="198" spans="1:3" x14ac:dyDescent="0.3">
      <c r="A198" s="66" t="s">
        <v>621</v>
      </c>
      <c r="B198" s="40">
        <f>'Base case probabilities'!G74</f>
        <v>3.5174999999999998E-2</v>
      </c>
      <c r="C198" t="s">
        <v>493</v>
      </c>
    </row>
    <row r="199" spans="1:3" x14ac:dyDescent="0.3">
      <c r="A199" t="s">
        <v>622</v>
      </c>
      <c r="B199" s="40">
        <f>'Base case probabilities'!G75</f>
        <v>0.96482500000000004</v>
      </c>
      <c r="C199" t="s">
        <v>494</v>
      </c>
    </row>
    <row r="200" spans="1:3" x14ac:dyDescent="0.3">
      <c r="A200" s="66" t="s">
        <v>623</v>
      </c>
      <c r="B200" s="40">
        <f>'Base case probabilities'!B77</f>
        <v>1.3200000000000002E-2</v>
      </c>
      <c r="C200" t="s">
        <v>495</v>
      </c>
    </row>
    <row r="201" spans="1:3" x14ac:dyDescent="0.3">
      <c r="A201" t="s">
        <v>624</v>
      </c>
      <c r="B201" s="40">
        <f>'Base case probabilities'!B78</f>
        <v>0.98680000000000001</v>
      </c>
      <c r="C201" t="s">
        <v>496</v>
      </c>
    </row>
    <row r="202" spans="1:3" x14ac:dyDescent="0.3">
      <c r="A202" s="66" t="s">
        <v>625</v>
      </c>
      <c r="B202" s="40">
        <f>'Base case probabilities'!G77</f>
        <v>6.2333333333333338E-3</v>
      </c>
      <c r="C202" t="s">
        <v>497</v>
      </c>
    </row>
    <row r="203" spans="1:3" x14ac:dyDescent="0.3">
      <c r="A203" t="s">
        <v>626</v>
      </c>
      <c r="B203" s="40">
        <f>'Base case probabilities'!G78</f>
        <v>0.99376666666666669</v>
      </c>
      <c r="C203" t="s">
        <v>498</v>
      </c>
    </row>
    <row r="204" spans="1:3" x14ac:dyDescent="0.3">
      <c r="B204" s="40"/>
    </row>
    <row r="205" spans="1:3" x14ac:dyDescent="0.3">
      <c r="A205" t="s">
        <v>627</v>
      </c>
      <c r="B205" s="40">
        <f>'Base case probabilities'!B81</f>
        <v>0.45</v>
      </c>
      <c r="C205" t="s">
        <v>503</v>
      </c>
    </row>
    <row r="206" spans="1:3" x14ac:dyDescent="0.3">
      <c r="A206" t="s">
        <v>628</v>
      </c>
      <c r="B206" s="40">
        <f>'Base case probabilities'!B82</f>
        <v>0.55000000000000004</v>
      </c>
      <c r="C206" t="s">
        <v>504</v>
      </c>
    </row>
    <row r="207" spans="1:3" x14ac:dyDescent="0.3">
      <c r="A207" t="s">
        <v>629</v>
      </c>
      <c r="B207" s="40">
        <f>'Base case probabilities'!G81</f>
        <v>0</v>
      </c>
      <c r="C207" t="s">
        <v>505</v>
      </c>
    </row>
    <row r="208" spans="1:3" x14ac:dyDescent="0.3">
      <c r="A208" t="s">
        <v>630</v>
      </c>
      <c r="B208" s="40">
        <f>'Base case probabilities'!G82</f>
        <v>1</v>
      </c>
      <c r="C208" t="s">
        <v>506</v>
      </c>
    </row>
    <row r="209" spans="1:3" x14ac:dyDescent="0.3">
      <c r="B209" s="40"/>
    </row>
    <row r="210" spans="1:3" x14ac:dyDescent="0.3">
      <c r="A210" t="s">
        <v>631</v>
      </c>
      <c r="B210" s="40">
        <f>'Base case probabilities'!B91</f>
        <v>0.2155</v>
      </c>
      <c r="C210" t="s">
        <v>514</v>
      </c>
    </row>
    <row r="211" spans="1:3" x14ac:dyDescent="0.3">
      <c r="A211" t="s">
        <v>632</v>
      </c>
      <c r="B211" s="40">
        <f>'Base case probabilities'!B92</f>
        <v>0.78449999999999998</v>
      </c>
      <c r="C211" t="s">
        <v>515</v>
      </c>
    </row>
    <row r="212" spans="1:3" x14ac:dyDescent="0.3">
      <c r="A212" t="s">
        <v>633</v>
      </c>
      <c r="B212" s="40">
        <f>'Base case probabilities'!G91</f>
        <v>0.26</v>
      </c>
      <c r="C212" t="s">
        <v>516</v>
      </c>
    </row>
    <row r="213" spans="1:3" x14ac:dyDescent="0.3">
      <c r="A213" t="s">
        <v>634</v>
      </c>
      <c r="B213" s="40">
        <f>'Base case probabilities'!G92</f>
        <v>0.74</v>
      </c>
      <c r="C213" t="s">
        <v>517</v>
      </c>
    </row>
    <row r="214" spans="1:3" x14ac:dyDescent="0.3">
      <c r="A214" t="s">
        <v>659</v>
      </c>
      <c r="B214" s="40">
        <f>'Base case probabilities'!B95</f>
        <v>0.15</v>
      </c>
      <c r="C214" t="s">
        <v>662</v>
      </c>
    </row>
    <row r="215" spans="1:3" x14ac:dyDescent="0.3">
      <c r="A215" t="s">
        <v>658</v>
      </c>
      <c r="B215" s="40">
        <f>'Base case probabilities'!B96</f>
        <v>0.85</v>
      </c>
      <c r="C215" t="s">
        <v>663</v>
      </c>
    </row>
    <row r="216" spans="1:3" x14ac:dyDescent="0.3">
      <c r="A216" t="s">
        <v>664</v>
      </c>
      <c r="B216" s="40">
        <f>'Base case probabilities'!G95</f>
        <v>0</v>
      </c>
      <c r="C216" t="s">
        <v>660</v>
      </c>
    </row>
    <row r="217" spans="1:3" x14ac:dyDescent="0.3">
      <c r="A217" t="s">
        <v>665</v>
      </c>
      <c r="B217" s="40">
        <f>'Base case probabilities'!G96</f>
        <v>1</v>
      </c>
      <c r="C217" t="s">
        <v>661</v>
      </c>
    </row>
    <row r="218" spans="1:3" x14ac:dyDescent="0.3">
      <c r="B218" s="40"/>
    </row>
    <row r="219" spans="1:3" x14ac:dyDescent="0.3">
      <c r="A219" t="s">
        <v>635</v>
      </c>
      <c r="B219" s="40">
        <f>'Base case probabilities'!B99</f>
        <v>0.36099999999999999</v>
      </c>
      <c r="C219" t="s">
        <v>307</v>
      </c>
    </row>
    <row r="220" spans="1:3" x14ac:dyDescent="0.3">
      <c r="A220" t="s">
        <v>636</v>
      </c>
      <c r="B220" s="40">
        <f>'Base case probabilities'!B100</f>
        <v>0.63900000000000001</v>
      </c>
      <c r="C220" t="s">
        <v>522</v>
      </c>
    </row>
    <row r="221" spans="1:3" x14ac:dyDescent="0.3">
      <c r="A221" t="s">
        <v>637</v>
      </c>
      <c r="B221" s="40">
        <f>'Base case probabilities'!G99</f>
        <v>0</v>
      </c>
      <c r="C221" t="s">
        <v>523</v>
      </c>
    </row>
    <row r="222" spans="1:3" x14ac:dyDescent="0.3">
      <c r="A222" t="s">
        <v>638</v>
      </c>
      <c r="B222" s="40">
        <f>'Base case probabilities'!G100</f>
        <v>1</v>
      </c>
      <c r="C222" t="s">
        <v>524</v>
      </c>
    </row>
    <row r="223" spans="1:3" x14ac:dyDescent="0.3">
      <c r="B223" s="40"/>
    </row>
    <row r="224" spans="1:3" x14ac:dyDescent="0.3">
      <c r="A224" t="s">
        <v>639</v>
      </c>
      <c r="B224" s="40">
        <f>'Base case probabilities'!B103</f>
        <v>5.1333333333333335E-2</v>
      </c>
      <c r="C224" t="s">
        <v>525</v>
      </c>
    </row>
    <row r="225" spans="1:10" x14ac:dyDescent="0.3">
      <c r="A225" t="s">
        <v>640</v>
      </c>
      <c r="B225" s="40">
        <f>'Base case probabilities'!B104</f>
        <v>0.94866666666666666</v>
      </c>
      <c r="C225" t="s">
        <v>526</v>
      </c>
    </row>
    <row r="226" spans="1:10" x14ac:dyDescent="0.3">
      <c r="A226" t="s">
        <v>641</v>
      </c>
      <c r="B226" s="40">
        <f>'Base case probabilities'!G103</f>
        <v>3.3085576536761752E-2</v>
      </c>
      <c r="C226" t="s">
        <v>527</v>
      </c>
    </row>
    <row r="227" spans="1:10" x14ac:dyDescent="0.3">
      <c r="A227" t="s">
        <v>642</v>
      </c>
      <c r="B227" s="40">
        <f>'Base case probabilities'!G104</f>
        <v>0.9669144234632383</v>
      </c>
      <c r="C227" t="s">
        <v>528</v>
      </c>
    </row>
    <row r="228" spans="1:10" x14ac:dyDescent="0.3">
      <c r="B228" s="40"/>
    </row>
    <row r="229" spans="1:10" x14ac:dyDescent="0.3">
      <c r="A229" s="65" t="s">
        <v>311</v>
      </c>
      <c r="B229" s="65"/>
      <c r="C229" s="65"/>
      <c r="D229" s="65" t="s">
        <v>302</v>
      </c>
      <c r="E229" s="65" t="s">
        <v>32</v>
      </c>
    </row>
    <row r="231" spans="1:10" ht="28.8" x14ac:dyDescent="0.3">
      <c r="A231" t="s">
        <v>314</v>
      </c>
      <c r="B231" s="86">
        <f>'Sensitivity analysis'!C15</f>
        <v>0.10100000000000001</v>
      </c>
      <c r="C231" s="22"/>
      <c r="D231" s="35" t="s">
        <v>666</v>
      </c>
      <c r="E231" t="s">
        <v>667</v>
      </c>
    </row>
    <row r="232" spans="1:10" x14ac:dyDescent="0.3">
      <c r="A232" t="s">
        <v>645</v>
      </c>
      <c r="B232" s="86">
        <f>'Sensitivity analysis'!C16</f>
        <v>0.76</v>
      </c>
      <c r="C232" t="s">
        <v>670</v>
      </c>
      <c r="D232" t="s">
        <v>312</v>
      </c>
      <c r="E232" t="s">
        <v>668</v>
      </c>
    </row>
    <row r="233" spans="1:10" x14ac:dyDescent="0.3">
      <c r="A233" t="s">
        <v>315</v>
      </c>
      <c r="B233" s="86">
        <f>'Sensitivity analysis'!C17</f>
        <v>0.71</v>
      </c>
      <c r="C233" t="s">
        <v>669</v>
      </c>
      <c r="D233" t="s">
        <v>313</v>
      </c>
      <c r="E233" t="s">
        <v>672</v>
      </c>
    </row>
    <row r="234" spans="1:10" x14ac:dyDescent="0.3">
      <c r="A234" t="s">
        <v>316</v>
      </c>
      <c r="B234" s="86">
        <f>'Sensitivity analysis'!C18</f>
        <v>0.9</v>
      </c>
      <c r="C234" t="s">
        <v>671</v>
      </c>
      <c r="D234" t="s">
        <v>317</v>
      </c>
      <c r="E234" t="s">
        <v>673</v>
      </c>
    </row>
    <row r="235" spans="1:10" x14ac:dyDescent="0.3">
      <c r="A235" t="s">
        <v>674</v>
      </c>
      <c r="B235" s="86">
        <f>'Sensitivity analysis'!C19</f>
        <v>9.2999999999999999E-2</v>
      </c>
      <c r="D235" t="s">
        <v>849</v>
      </c>
      <c r="E235" t="s">
        <v>848</v>
      </c>
    </row>
    <row r="237" spans="1:10" x14ac:dyDescent="0.3">
      <c r="A237" s="20" t="s">
        <v>58</v>
      </c>
      <c r="B237" s="20"/>
      <c r="C237" s="20"/>
      <c r="D237" s="20"/>
      <c r="E237" s="20"/>
    </row>
    <row r="238" spans="1:10" x14ac:dyDescent="0.3">
      <c r="B238" s="21"/>
      <c r="C238" s="21"/>
      <c r="D238" t="s">
        <v>843</v>
      </c>
      <c r="E238" s="21"/>
    </row>
    <row r="239" spans="1:10" ht="15.6" x14ac:dyDescent="0.3">
      <c r="A239" t="s">
        <v>278</v>
      </c>
      <c r="B239" s="42">
        <f>'Sensitivity analysis'!C10</f>
        <v>2300</v>
      </c>
      <c r="C239" s="193">
        <v>14.795500000000001</v>
      </c>
      <c r="D239" s="194">
        <f t="shared" ref="D239:D251" si="4">B239/$C$239</f>
        <v>155.45267142036428</v>
      </c>
      <c r="F239" s="195">
        <v>1150</v>
      </c>
      <c r="G239" s="195">
        <v>3450</v>
      </c>
      <c r="I239" s="196">
        <f>F239/C239</f>
        <v>77.726335710182141</v>
      </c>
      <c r="J239" s="196">
        <f>G239/C239</f>
        <v>233.17900713054644</v>
      </c>
    </row>
    <row r="240" spans="1:10" ht="15.6" x14ac:dyDescent="0.3">
      <c r="A240" t="s">
        <v>738</v>
      </c>
      <c r="B240" s="42">
        <f>'Sensitivity analysis'!C43</f>
        <v>11040</v>
      </c>
      <c r="C240" s="193">
        <v>14.795500000000001</v>
      </c>
      <c r="D240" s="194">
        <f t="shared" si="4"/>
        <v>746.17282281774862</v>
      </c>
      <c r="F240" s="195">
        <v>5520</v>
      </c>
      <c r="G240" s="195">
        <v>11040</v>
      </c>
      <c r="I240" s="196">
        <f t="shared" ref="I240:I253" si="5">F240/C240</f>
        <v>373.08641140887431</v>
      </c>
      <c r="J240" s="196">
        <f t="shared" ref="J240:J251" si="6">G240/C240</f>
        <v>746.17282281774862</v>
      </c>
    </row>
    <row r="241" spans="1:12" ht="15.6" x14ac:dyDescent="0.3">
      <c r="A241" t="s">
        <v>279</v>
      </c>
      <c r="B241" s="42">
        <f>'Sensitivity analysis'!C44</f>
        <v>177</v>
      </c>
      <c r="C241" s="193">
        <v>14.795500000000001</v>
      </c>
      <c r="D241" s="194">
        <f t="shared" si="4"/>
        <v>11.963096887567165</v>
      </c>
      <c r="F241" s="195">
        <v>88.5</v>
      </c>
      <c r="G241" s="195">
        <v>265.5</v>
      </c>
      <c r="I241" s="196">
        <f t="shared" si="5"/>
        <v>5.9815484437835824</v>
      </c>
      <c r="J241" s="196">
        <f t="shared" si="6"/>
        <v>17.944645331350749</v>
      </c>
    </row>
    <row r="242" spans="1:12" ht="15.6" x14ac:dyDescent="0.3">
      <c r="A242" t="s">
        <v>280</v>
      </c>
      <c r="B242" s="42">
        <f>'Sensitivity analysis'!C45</f>
        <v>577.9017081081081</v>
      </c>
      <c r="C242" s="193">
        <v>14.795500000000001</v>
      </c>
      <c r="D242" s="194">
        <f t="shared" si="4"/>
        <v>39.059288845129132</v>
      </c>
      <c r="F242" s="195">
        <v>288.95</v>
      </c>
      <c r="G242" s="195">
        <v>866.85</v>
      </c>
      <c r="I242" s="196">
        <f t="shared" si="5"/>
        <v>19.529586698658374</v>
      </c>
      <c r="J242" s="196">
        <f t="shared" si="6"/>
        <v>58.588760095975125</v>
      </c>
    </row>
    <row r="243" spans="1:12" ht="15.6" x14ac:dyDescent="0.3">
      <c r="A243" t="s">
        <v>281</v>
      </c>
      <c r="B243" s="42">
        <f>'Sensitivity analysis'!C46</f>
        <v>254701.55809999997</v>
      </c>
      <c r="C243" s="193">
        <v>14.795500000000001</v>
      </c>
      <c r="D243" s="194">
        <f t="shared" si="4"/>
        <v>17214.798965901791</v>
      </c>
      <c r="F243" s="195">
        <v>99325.88</v>
      </c>
      <c r="G243" s="195">
        <v>297977.65000000002</v>
      </c>
      <c r="I243" s="196">
        <f t="shared" si="5"/>
        <v>6713.2492987732758</v>
      </c>
      <c r="J243" s="196">
        <f t="shared" si="6"/>
        <v>20139.74857220101</v>
      </c>
    </row>
    <row r="244" spans="1:12" ht="15.6" x14ac:dyDescent="0.3">
      <c r="A244" t="s">
        <v>729</v>
      </c>
      <c r="B244" s="42">
        <f>'Sensitivity analysis'!C47</f>
        <v>1255.2</v>
      </c>
      <c r="C244" s="193">
        <v>14.795500000000001</v>
      </c>
      <c r="D244" s="194">
        <f t="shared" si="4"/>
        <v>84.836605724713593</v>
      </c>
      <c r="F244" s="195">
        <v>1549.44</v>
      </c>
      <c r="G244" s="195">
        <v>4648.32</v>
      </c>
      <c r="I244" s="196">
        <f t="shared" si="5"/>
        <v>104.7237335676388</v>
      </c>
      <c r="J244" s="196">
        <f t="shared" si="6"/>
        <v>314.17120070291639</v>
      </c>
    </row>
    <row r="245" spans="1:12" ht="15.6" x14ac:dyDescent="0.3">
      <c r="A245" t="s">
        <v>339</v>
      </c>
      <c r="B245" s="42">
        <f>'Sensitivity analysis'!C48</f>
        <v>1792</v>
      </c>
      <c r="C245" s="193">
        <v>14.795500000000001</v>
      </c>
      <c r="D245" s="194">
        <f t="shared" si="4"/>
        <v>121.11790747186645</v>
      </c>
      <c r="F245" s="195">
        <v>896</v>
      </c>
      <c r="G245" s="195">
        <v>2688</v>
      </c>
      <c r="I245" s="196">
        <f t="shared" si="5"/>
        <v>60.558953735933223</v>
      </c>
      <c r="J245" s="196">
        <f t="shared" si="6"/>
        <v>181.67686120779967</v>
      </c>
    </row>
    <row r="246" spans="1:12" ht="15.6" x14ac:dyDescent="0.3">
      <c r="A246" t="s">
        <v>282</v>
      </c>
      <c r="B246" s="42">
        <f>'Sensitivity analysis'!C49</f>
        <v>30595.610148205637</v>
      </c>
      <c r="C246" s="193">
        <v>14.795500000000001</v>
      </c>
      <c r="D246" s="194">
        <f t="shared" si="4"/>
        <v>2067.8997092498148</v>
      </c>
      <c r="F246" s="195">
        <v>15297.81</v>
      </c>
      <c r="G246" s="195">
        <v>45893.42</v>
      </c>
      <c r="I246" s="196">
        <f t="shared" si="5"/>
        <v>1033.9501875570274</v>
      </c>
      <c r="J246" s="196">
        <f t="shared" si="6"/>
        <v>3101.849886789902</v>
      </c>
    </row>
    <row r="247" spans="1:12" ht="15.6" x14ac:dyDescent="0.3">
      <c r="A247" t="s">
        <v>283</v>
      </c>
      <c r="B247" s="42">
        <f>'Sensitivity analysis'!C50</f>
        <v>2936.2604000000001</v>
      </c>
      <c r="C247" s="193">
        <v>14.795500000000001</v>
      </c>
      <c r="D247" s="194">
        <f t="shared" si="4"/>
        <v>198.45631441992498</v>
      </c>
      <c r="F247" s="195">
        <v>1468.13</v>
      </c>
      <c r="G247" s="195">
        <v>4404.3900000000003</v>
      </c>
      <c r="I247" s="196">
        <f t="shared" si="5"/>
        <v>99.22814369233889</v>
      </c>
      <c r="J247" s="196">
        <f t="shared" si="6"/>
        <v>297.68443107701665</v>
      </c>
    </row>
    <row r="248" spans="1:12" ht="15.6" x14ac:dyDescent="0.3">
      <c r="A248" t="s">
        <v>284</v>
      </c>
      <c r="B248" s="42">
        <f>'Sensitivity analysis'!C51</f>
        <v>42582.510902399998</v>
      </c>
      <c r="C248" s="193">
        <v>14.795500000000001</v>
      </c>
      <c r="D248" s="194">
        <f t="shared" si="4"/>
        <v>2878.0717719847248</v>
      </c>
      <c r="F248" s="195">
        <v>21291.26</v>
      </c>
      <c r="G248" s="195">
        <v>63873.77</v>
      </c>
      <c r="I248" s="196">
        <f>F248/C248</f>
        <v>1439.0361934371936</v>
      </c>
      <c r="J248" s="196">
        <f t="shared" si="6"/>
        <v>4317.1079044304006</v>
      </c>
    </row>
    <row r="249" spans="1:12" ht="15.6" x14ac:dyDescent="0.3">
      <c r="A249" t="s">
        <v>285</v>
      </c>
      <c r="B249" s="42">
        <f>'Sensitivity analysis'!C52</f>
        <v>3819</v>
      </c>
      <c r="C249" s="193">
        <v>14.795500000000001</v>
      </c>
      <c r="D249" s="194">
        <f t="shared" si="4"/>
        <v>258.1190226758136</v>
      </c>
      <c r="F249" s="195">
        <v>1909.5</v>
      </c>
      <c r="G249" s="195">
        <v>5728.5</v>
      </c>
      <c r="I249" s="196">
        <f t="shared" si="5"/>
        <v>129.0595113379068</v>
      </c>
      <c r="J249" s="196">
        <f t="shared" si="6"/>
        <v>387.17853401372037</v>
      </c>
    </row>
    <row r="250" spans="1:12" ht="15.6" x14ac:dyDescent="0.3">
      <c r="A250" t="s">
        <v>286</v>
      </c>
      <c r="B250" s="42">
        <f>'Sensitivity analysis'!C53</f>
        <v>907</v>
      </c>
      <c r="C250" s="193">
        <v>14.795500000000001</v>
      </c>
      <c r="D250" s="194">
        <f t="shared" si="4"/>
        <v>61.302423034030618</v>
      </c>
      <c r="F250" s="195">
        <v>453.5</v>
      </c>
      <c r="G250" s="195">
        <v>1360.5</v>
      </c>
      <c r="I250" s="196">
        <f t="shared" si="5"/>
        <v>30.651211517015309</v>
      </c>
      <c r="J250" s="196">
        <f t="shared" si="6"/>
        <v>91.953634551045923</v>
      </c>
    </row>
    <row r="251" spans="1:12" ht="15.6" x14ac:dyDescent="0.3">
      <c r="A251" t="s">
        <v>287</v>
      </c>
      <c r="B251" s="42">
        <f>'Sensitivity analysis'!C54</f>
        <v>3363</v>
      </c>
      <c r="C251" s="193">
        <v>14.795500000000001</v>
      </c>
      <c r="D251" s="194">
        <f t="shared" si="4"/>
        <v>227.29884086377615</v>
      </c>
      <c r="F251" s="195">
        <v>1681.5</v>
      </c>
      <c r="G251" s="195">
        <v>5044.5</v>
      </c>
      <c r="I251" s="196">
        <f t="shared" si="5"/>
        <v>113.64942043188807</v>
      </c>
      <c r="J251" s="196">
        <f t="shared" si="6"/>
        <v>340.94826129566422</v>
      </c>
    </row>
    <row r="252" spans="1:12" ht="15.6" hidden="1" x14ac:dyDescent="0.3">
      <c r="A252" t="s">
        <v>288</v>
      </c>
      <c r="B252" s="42">
        <f>Cost!D76</f>
        <v>492838.31415600004</v>
      </c>
      <c r="C252" s="193">
        <v>14.795500000000001</v>
      </c>
      <c r="D252" t="e">
        <f t="shared" ref="D252:D253" si="7">A252/$C$239</f>
        <v>#VALUE!</v>
      </c>
      <c r="I252" s="195">
        <f t="shared" si="5"/>
        <v>0</v>
      </c>
    </row>
    <row r="253" spans="1:12" ht="15.6" hidden="1" x14ac:dyDescent="0.3">
      <c r="A253" t="s">
        <v>289</v>
      </c>
      <c r="B253" s="42">
        <f>Cost!D77/(1+DR)^2</f>
        <v>1994562.3061877554</v>
      </c>
      <c r="C253" s="193">
        <v>14.795500000000001</v>
      </c>
      <c r="D253" t="e">
        <f t="shared" si="7"/>
        <v>#VALUE!</v>
      </c>
      <c r="I253" s="195">
        <f t="shared" si="5"/>
        <v>0</v>
      </c>
    </row>
    <row r="254" spans="1:12" x14ac:dyDescent="0.3">
      <c r="B254" s="42"/>
      <c r="C254" s="42"/>
      <c r="D254" s="42"/>
    </row>
    <row r="255" spans="1:12" x14ac:dyDescent="0.3">
      <c r="A255" s="20" t="s">
        <v>50</v>
      </c>
      <c r="B255" s="20"/>
      <c r="C255" s="20"/>
      <c r="D255" s="20"/>
      <c r="E255" s="20"/>
      <c r="F255" s="197" t="s">
        <v>844</v>
      </c>
      <c r="G255" t="s">
        <v>845</v>
      </c>
      <c r="H255" t="s">
        <v>846</v>
      </c>
    </row>
    <row r="256" spans="1:12" x14ac:dyDescent="0.3">
      <c r="B256" s="42"/>
      <c r="C256" s="42"/>
      <c r="D256" s="42"/>
      <c r="F256" s="195">
        <v>2300</v>
      </c>
      <c r="G256" t="s">
        <v>847</v>
      </c>
      <c r="H256" t="s">
        <v>847</v>
      </c>
      <c r="J256" s="196">
        <f>F256/14.7955</f>
        <v>155.45267142036428</v>
      </c>
      <c r="K256" s="196" t="e">
        <f t="shared" ref="K256" si="8">G256/14.7955</f>
        <v>#VALUE!</v>
      </c>
      <c r="L256" s="196" t="e">
        <f>H256/14.7955</f>
        <v>#VALUE!</v>
      </c>
    </row>
    <row r="257" spans="1:12" x14ac:dyDescent="0.3">
      <c r="A257" t="s">
        <v>367</v>
      </c>
      <c r="B257" s="40">
        <f>'Sensitivity analysis'!C21</f>
        <v>0.13300000000000001</v>
      </c>
      <c r="C257" s="40" t="s">
        <v>708</v>
      </c>
      <c r="D257" s="42"/>
      <c r="F257" s="195">
        <v>10714.65</v>
      </c>
      <c r="G257" s="195">
        <v>10650.87</v>
      </c>
      <c r="H257" s="195">
        <v>-63.78</v>
      </c>
      <c r="J257" s="196">
        <f t="shared" ref="J257:J269" si="9">F257/14.7955</f>
        <v>724.18302862356791</v>
      </c>
      <c r="K257" s="196">
        <f t="shared" ref="K257:K269" si="10">G257/14.7955</f>
        <v>719.87225845696332</v>
      </c>
      <c r="L257" s="196">
        <f t="shared" ref="L257:L269" si="11">H257/14.7955</f>
        <v>-4.3107701666047111</v>
      </c>
    </row>
    <row r="258" spans="1:12" x14ac:dyDescent="0.3">
      <c r="A258" t="s">
        <v>711</v>
      </c>
      <c r="B258" s="40">
        <f>'Sensitivity analysis'!C22</f>
        <v>6.0999999999999999E-2</v>
      </c>
      <c r="C258" s="40" t="s">
        <v>703</v>
      </c>
      <c r="D258" s="42"/>
      <c r="F258" s="195">
        <v>161.94</v>
      </c>
      <c r="G258" s="195">
        <v>147.09</v>
      </c>
      <c r="H258" s="195">
        <v>-14.86</v>
      </c>
      <c r="J258" s="196">
        <f t="shared" si="9"/>
        <v>10.945219830353823</v>
      </c>
      <c r="K258" s="196">
        <f t="shared" si="10"/>
        <v>9.9415362779223404</v>
      </c>
      <c r="L258" s="196">
        <f t="shared" si="11"/>
        <v>-1.0043594336115711</v>
      </c>
    </row>
    <row r="259" spans="1:12" x14ac:dyDescent="0.3">
      <c r="A259" t="s">
        <v>165</v>
      </c>
      <c r="B259" s="40">
        <v>1</v>
      </c>
      <c r="C259" s="40"/>
      <c r="D259" s="42"/>
      <c r="F259" s="195">
        <v>75.37</v>
      </c>
      <c r="G259" s="195">
        <v>98.97</v>
      </c>
      <c r="H259" s="195">
        <v>23.6</v>
      </c>
      <c r="J259" s="196">
        <f t="shared" si="9"/>
        <v>5.0941164543273292</v>
      </c>
      <c r="K259" s="196">
        <f t="shared" si="10"/>
        <v>6.6891960393362844</v>
      </c>
      <c r="L259" s="196">
        <f t="shared" si="11"/>
        <v>1.5950795850089554</v>
      </c>
    </row>
    <row r="260" spans="1:12" x14ac:dyDescent="0.3">
      <c r="B260" s="40"/>
      <c r="C260" s="40"/>
      <c r="D260" s="42"/>
      <c r="F260" s="195">
        <v>69631.759999999995</v>
      </c>
      <c r="G260" s="195">
        <v>101431.64</v>
      </c>
      <c r="H260" s="195">
        <v>31799.87</v>
      </c>
      <c r="J260" s="196">
        <f t="shared" si="9"/>
        <v>4706.2796120442017</v>
      </c>
      <c r="K260" s="196">
        <f t="shared" si="10"/>
        <v>6855.5736541515998</v>
      </c>
      <c r="L260" s="196">
        <f t="shared" si="11"/>
        <v>2149.2933662262171</v>
      </c>
    </row>
    <row r="261" spans="1:12" x14ac:dyDescent="0.3">
      <c r="A261" s="20" t="s">
        <v>712</v>
      </c>
      <c r="B261" s="20"/>
      <c r="C261" s="20"/>
      <c r="D261" s="20"/>
      <c r="E261" s="20"/>
      <c r="F261" s="195">
        <v>889.82</v>
      </c>
      <c r="G261" s="195">
        <v>731.51</v>
      </c>
      <c r="H261" s="195">
        <v>-158.31</v>
      </c>
      <c r="J261" s="196">
        <f t="shared" si="9"/>
        <v>60.141259166638505</v>
      </c>
      <c r="K261" s="196">
        <f t="shared" si="10"/>
        <v>49.441384204656821</v>
      </c>
      <c r="L261" s="196">
        <f t="shared" si="11"/>
        <v>-10.699874961981683</v>
      </c>
    </row>
    <row r="262" spans="1:12" x14ac:dyDescent="0.3">
      <c r="B262" s="42"/>
      <c r="C262" s="42"/>
      <c r="D262" s="42"/>
      <c r="F262" s="195">
        <v>31.74</v>
      </c>
      <c r="G262" s="195">
        <v>34.01</v>
      </c>
      <c r="H262" s="195">
        <v>2.2799999999999998</v>
      </c>
      <c r="J262" s="196">
        <f t="shared" si="9"/>
        <v>2.1452468656010271</v>
      </c>
      <c r="K262" s="196">
        <f t="shared" si="10"/>
        <v>2.2986718934811257</v>
      </c>
      <c r="L262" s="196">
        <f t="shared" si="11"/>
        <v>0.1541009090601872</v>
      </c>
    </row>
    <row r="263" spans="1:12" x14ac:dyDescent="0.3">
      <c r="A263" t="s">
        <v>214</v>
      </c>
      <c r="B263" s="40">
        <f>'DALY - SB'!D71</f>
        <v>19.181538114427529</v>
      </c>
      <c r="C263" s="40" t="s">
        <v>697</v>
      </c>
      <c r="D263" s="40"/>
      <c r="E263" t="s">
        <v>327</v>
      </c>
      <c r="F263" s="195">
        <v>21.07</v>
      </c>
      <c r="G263" s="195">
        <v>29.15</v>
      </c>
      <c r="H263" s="195">
        <v>8.08</v>
      </c>
      <c r="J263" s="196">
        <f t="shared" si="9"/>
        <v>1.4240816464465547</v>
      </c>
      <c r="K263" s="196">
        <f t="shared" si="10"/>
        <v>1.9701936399580953</v>
      </c>
      <c r="L263" s="196">
        <f t="shared" si="11"/>
        <v>0.54611199351154061</v>
      </c>
    </row>
    <row r="264" spans="1:12" x14ac:dyDescent="0.3">
      <c r="A264" t="s">
        <v>215</v>
      </c>
      <c r="B264" s="40">
        <v>0</v>
      </c>
      <c r="C264" s="40" t="s">
        <v>697</v>
      </c>
      <c r="D264" s="40"/>
      <c r="E264" t="s">
        <v>327</v>
      </c>
      <c r="F264" s="195">
        <v>1724.28</v>
      </c>
      <c r="G264" s="195">
        <v>2240.14</v>
      </c>
      <c r="H264" s="195">
        <v>515.86</v>
      </c>
      <c r="J264" s="196">
        <f t="shared" si="9"/>
        <v>116.54084012030684</v>
      </c>
      <c r="K264" s="196">
        <f t="shared" si="10"/>
        <v>151.40684667635429</v>
      </c>
      <c r="L264" s="196">
        <f t="shared" si="11"/>
        <v>34.866006556047445</v>
      </c>
    </row>
    <row r="265" spans="1:12" x14ac:dyDescent="0.3">
      <c r="A265" t="s">
        <v>224</v>
      </c>
      <c r="B265" s="40">
        <f>'DALY - CLD'!B10</f>
        <v>0.53465956747782661</v>
      </c>
      <c r="C265" s="40" t="s">
        <v>697</v>
      </c>
      <c r="E265" t="s">
        <v>327</v>
      </c>
      <c r="F265" s="195">
        <v>285.19</v>
      </c>
      <c r="G265" s="195">
        <v>368.48</v>
      </c>
      <c r="H265" s="195">
        <v>83.29</v>
      </c>
      <c r="J265" s="196">
        <f t="shared" si="9"/>
        <v>19.275455374945082</v>
      </c>
      <c r="K265" s="196">
        <f t="shared" si="10"/>
        <v>24.904869723902539</v>
      </c>
      <c r="L265" s="196">
        <f t="shared" si="11"/>
        <v>5.6294143489574537</v>
      </c>
    </row>
    <row r="266" spans="1:12" x14ac:dyDescent="0.3">
      <c r="A266" t="s">
        <v>223</v>
      </c>
      <c r="B266" s="40">
        <f>'DALY - motor impairement'!B10</f>
        <v>17.270393127285455</v>
      </c>
      <c r="C266" s="40" t="s">
        <v>697</v>
      </c>
      <c r="E266" t="s">
        <v>327</v>
      </c>
      <c r="F266" s="195">
        <v>2015.25</v>
      </c>
      <c r="G266" s="195">
        <v>3361.77</v>
      </c>
      <c r="H266" s="195">
        <v>1346.52</v>
      </c>
      <c r="J266" s="196">
        <f t="shared" si="9"/>
        <v>136.2069548173431</v>
      </c>
      <c r="K266" s="196">
        <f t="shared" si="10"/>
        <v>227.21570747862526</v>
      </c>
      <c r="L266" s="196">
        <f t="shared" si="11"/>
        <v>91.008752661282145</v>
      </c>
    </row>
    <row r="267" spans="1:12" x14ac:dyDescent="0.3">
      <c r="A267" s="71" t="s">
        <v>319</v>
      </c>
      <c r="B267" s="72">
        <v>0.92</v>
      </c>
      <c r="C267" s="71" t="s">
        <v>349</v>
      </c>
      <c r="D267" s="71" t="s">
        <v>320</v>
      </c>
      <c r="E267" s="71" t="s">
        <v>321</v>
      </c>
      <c r="F267" s="195">
        <v>152.11000000000001</v>
      </c>
      <c r="G267" s="195">
        <v>148.16999999999999</v>
      </c>
      <c r="H267" s="195">
        <v>-3.94</v>
      </c>
      <c r="J267" s="196">
        <f t="shared" si="9"/>
        <v>10.28082863032679</v>
      </c>
      <c r="K267" s="196">
        <f t="shared" si="10"/>
        <v>10.014531445371903</v>
      </c>
      <c r="L267" s="196">
        <f t="shared" si="11"/>
        <v>-0.26629718495488491</v>
      </c>
    </row>
    <row r="268" spans="1:12" x14ac:dyDescent="0.3">
      <c r="B268" s="40"/>
      <c r="C268" s="40"/>
      <c r="F268" s="195">
        <v>80.34</v>
      </c>
      <c r="G268" s="195">
        <v>135.21</v>
      </c>
      <c r="H268" s="195">
        <v>54.87</v>
      </c>
      <c r="J268" s="196">
        <f t="shared" si="9"/>
        <v>5.4300294008313337</v>
      </c>
      <c r="K268" s="196">
        <f t="shared" si="10"/>
        <v>9.1385894359771562</v>
      </c>
      <c r="L268" s="196">
        <f t="shared" si="11"/>
        <v>3.7085600351458212</v>
      </c>
    </row>
    <row r="269" spans="1:12" x14ac:dyDescent="0.3">
      <c r="A269" s="20" t="s">
        <v>51</v>
      </c>
      <c r="B269" s="20"/>
      <c r="C269" s="20"/>
      <c r="D269" s="20"/>
      <c r="E269" s="20"/>
      <c r="F269" s="195">
        <v>2994.11</v>
      </c>
      <c r="G269" s="195">
        <v>2869.45</v>
      </c>
      <c r="H269" s="195">
        <v>-124.65</v>
      </c>
      <c r="J269" s="196">
        <f t="shared" si="9"/>
        <v>202.36626001148997</v>
      </c>
      <c r="K269" s="196">
        <f t="shared" si="10"/>
        <v>193.94072522050621</v>
      </c>
      <c r="L269" s="196">
        <f t="shared" si="11"/>
        <v>-8.4248589098036568</v>
      </c>
    </row>
    <row r="271" spans="1:12" x14ac:dyDescent="0.3">
      <c r="A271" t="s">
        <v>52</v>
      </c>
      <c r="B271" s="21">
        <v>0.05</v>
      </c>
      <c r="C271" s="21"/>
      <c r="D271" s="21" t="s">
        <v>318</v>
      </c>
      <c r="E271" t="s">
        <v>55</v>
      </c>
    </row>
    <row r="272" spans="1:12" x14ac:dyDescent="0.3">
      <c r="A272" t="s">
        <v>861</v>
      </c>
      <c r="B272">
        <v>14.795500000000001</v>
      </c>
    </row>
  </sheetData>
  <phoneticPr fontId="14" type="noConversion"/>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X131"/>
  <sheetViews>
    <sheetView zoomScale="50" zoomScaleNormal="50" workbookViewId="0">
      <selection activeCell="H44" sqref="H44"/>
    </sheetView>
  </sheetViews>
  <sheetFormatPr defaultColWidth="8.88671875" defaultRowHeight="14.4" x14ac:dyDescent="0.3"/>
  <cols>
    <col min="1" max="1" width="11.21875" bestFit="1" customWidth="1"/>
    <col min="4" max="4" width="10.77734375" bestFit="1" customWidth="1"/>
    <col min="6" max="6" width="13.109375" bestFit="1" customWidth="1"/>
    <col min="8" max="8" width="18.109375" bestFit="1" customWidth="1"/>
    <col min="10" max="10" width="21" bestFit="1" customWidth="1"/>
    <col min="12" max="12" width="25.88671875" style="44" bestFit="1" customWidth="1"/>
    <col min="13" max="13" width="28.77734375" bestFit="1" customWidth="1"/>
    <col min="14" max="14" width="14.44140625" style="42" bestFit="1" customWidth="1"/>
    <col min="15" max="15" width="14.5546875" bestFit="1" customWidth="1"/>
    <col min="16" max="16" width="17.6640625" style="42" bestFit="1" customWidth="1"/>
    <col min="17" max="17" width="20.109375" bestFit="1" customWidth="1"/>
  </cols>
  <sheetData>
    <row r="1" spans="4:17" x14ac:dyDescent="0.3">
      <c r="L1" s="50" t="s">
        <v>59</v>
      </c>
      <c r="M1" s="51" t="s">
        <v>60</v>
      </c>
      <c r="N1" s="52" t="s">
        <v>67</v>
      </c>
      <c r="O1" s="51" t="s">
        <v>63</v>
      </c>
      <c r="P1" s="53" t="s">
        <v>66</v>
      </c>
      <c r="Q1" s="51" t="s">
        <v>64</v>
      </c>
    </row>
    <row r="2" spans="4:17" x14ac:dyDescent="0.3">
      <c r="L2" s="54" t="s">
        <v>4</v>
      </c>
      <c r="M2" s="55"/>
      <c r="N2" s="53"/>
      <c r="O2" s="55"/>
      <c r="P2" s="53"/>
      <c r="Q2" s="55"/>
    </row>
    <row r="3" spans="4:17" x14ac:dyDescent="0.3">
      <c r="L3"/>
      <c r="N3"/>
      <c r="P3"/>
    </row>
    <row r="4" spans="4:17" x14ac:dyDescent="0.3">
      <c r="J4" s="19" t="s">
        <v>221</v>
      </c>
      <c r="K4" s="19"/>
      <c r="L4">
        <v>1</v>
      </c>
      <c r="M4" s="57" t="e">
        <f>B22*D14*F11*H8*J5</f>
        <v>#REF!</v>
      </c>
      <c r="N4" s="42">
        <f>A29+B23+D15+F12+H9+J6</f>
        <v>331841.58085871371</v>
      </c>
      <c r="O4">
        <f>u_ChronicResp</f>
        <v>0.53465956747782661</v>
      </c>
      <c r="P4" s="58" t="e">
        <f>M4*N4</f>
        <v>#REF!</v>
      </c>
      <c r="Q4" s="60" t="e">
        <f>M4*O4</f>
        <v>#REF!</v>
      </c>
    </row>
    <row r="5" spans="4:17" x14ac:dyDescent="0.3">
      <c r="J5" s="45" t="e">
        <f>Rate_of_chronic_lung_disease</f>
        <v>#REF!</v>
      </c>
      <c r="L5"/>
      <c r="N5"/>
      <c r="P5"/>
    </row>
    <row r="6" spans="4:17" x14ac:dyDescent="0.3">
      <c r="J6" s="46">
        <f>ChronicResp_cost</f>
        <v>42582.510902399998</v>
      </c>
      <c r="L6" s="56"/>
      <c r="M6" s="57"/>
      <c r="N6" s="57"/>
      <c r="O6" s="57"/>
      <c r="P6" s="57"/>
      <c r="Q6" s="57"/>
    </row>
    <row r="7" spans="4:17" x14ac:dyDescent="0.3">
      <c r="H7" s="19" t="s">
        <v>9</v>
      </c>
      <c r="I7" s="19"/>
      <c r="J7" s="19" t="s">
        <v>220</v>
      </c>
      <c r="K7" s="19"/>
      <c r="L7" s="44">
        <v>2</v>
      </c>
      <c r="M7" s="57" t="e">
        <f>B22*D14*F11*H8*J8</f>
        <v>#REF!</v>
      </c>
      <c r="N7" s="58">
        <f>A29+B23+D15+F12+H9+J9</f>
        <v>289259.0699563137</v>
      </c>
      <c r="O7" s="57">
        <f>u_Healthy</f>
        <v>0</v>
      </c>
      <c r="P7" s="58" t="e">
        <f>M7*N7</f>
        <v>#REF!</v>
      </c>
      <c r="Q7" s="57" t="e">
        <f>M7*O7</f>
        <v>#REF!</v>
      </c>
    </row>
    <row r="8" spans="4:17" x14ac:dyDescent="0.3">
      <c r="H8" s="45" t="e">
        <f>RDS_rate</f>
        <v>#REF!</v>
      </c>
      <c r="J8" s="45" t="e">
        <f>1-J5</f>
        <v>#REF!</v>
      </c>
      <c r="L8" s="59"/>
      <c r="M8" s="57"/>
      <c r="N8" s="58"/>
      <c r="O8" s="57"/>
      <c r="P8" s="58"/>
      <c r="Q8" s="60"/>
    </row>
    <row r="9" spans="4:17" x14ac:dyDescent="0.3">
      <c r="H9" s="46">
        <f>RDS_cost+follow_up__hosp__cost</f>
        <v>31502.610148205637</v>
      </c>
      <c r="J9" s="46"/>
      <c r="L9" s="59"/>
      <c r="M9" s="57"/>
      <c r="N9" s="58"/>
      <c r="O9" s="57"/>
      <c r="P9" s="58"/>
      <c r="Q9" s="60"/>
    </row>
    <row r="10" spans="4:17" x14ac:dyDescent="0.3">
      <c r="F10" s="19" t="s">
        <v>8</v>
      </c>
      <c r="H10" s="19" t="s">
        <v>203</v>
      </c>
      <c r="I10" s="19"/>
      <c r="J10" s="19"/>
      <c r="K10" s="19"/>
      <c r="L10" s="44">
        <v>3</v>
      </c>
      <c r="M10" s="57" t="e">
        <f>B22*D14*F11*H11</f>
        <v>#REF!</v>
      </c>
      <c r="N10" s="58">
        <f>A29+B23+D15+F12+H12</f>
        <v>258663.45980810808</v>
      </c>
      <c r="O10" s="57">
        <f>u_Healthy</f>
        <v>0</v>
      </c>
      <c r="P10" s="58" t="e">
        <f>M10*N10</f>
        <v>#REF!</v>
      </c>
      <c r="Q10" s="60" t="e">
        <f>M10*O10</f>
        <v>#REF!</v>
      </c>
    </row>
    <row r="11" spans="4:17" x14ac:dyDescent="0.3">
      <c r="F11" s="45" t="e">
        <f>LBW__reduction</f>
        <v>#REF!</v>
      </c>
      <c r="H11" s="45" t="e">
        <f>1-H8-H14</f>
        <v>#REF!</v>
      </c>
      <c r="L11"/>
      <c r="M11" s="57"/>
      <c r="N11" s="58"/>
      <c r="O11" s="57"/>
      <c r="P11" s="58"/>
      <c r="Q11" s="60"/>
    </row>
    <row r="12" spans="4:17" x14ac:dyDescent="0.3">
      <c r="F12" s="46">
        <f>LBW_cost</f>
        <v>254701.55809999997</v>
      </c>
      <c r="H12" s="46">
        <f>follow_up__hosp__cost</f>
        <v>907</v>
      </c>
      <c r="L12"/>
      <c r="M12" s="57"/>
      <c r="N12" s="58"/>
      <c r="O12" s="57"/>
      <c r="P12" s="58"/>
      <c r="Q12" s="60"/>
    </row>
    <row r="13" spans="4:17" x14ac:dyDescent="0.3">
      <c r="D13" s="19" t="s">
        <v>10</v>
      </c>
      <c r="H13" s="19" t="s">
        <v>165</v>
      </c>
      <c r="I13" s="19"/>
      <c r="J13" s="19"/>
      <c r="K13" s="19"/>
      <c r="L13" s="56">
        <v>4</v>
      </c>
      <c r="M13" s="57" t="e">
        <f>B22*D14*F11*H14</f>
        <v>#REF!</v>
      </c>
      <c r="N13" s="58">
        <f>A29+B23+D15+F12</f>
        <v>257756.45980810808</v>
      </c>
      <c r="O13" s="57">
        <f>u_Death</f>
        <v>19.181538114427529</v>
      </c>
      <c r="P13" s="58" t="e">
        <f>M13*N13</f>
        <v>#REF!</v>
      </c>
      <c r="Q13" s="60" t="e">
        <f>M13*O13</f>
        <v>#REF!</v>
      </c>
    </row>
    <row r="14" spans="4:17" x14ac:dyDescent="0.3">
      <c r="D14" s="45" t="e">
        <f>Preterm__ANC_and_PSG</f>
        <v>#REF!</v>
      </c>
      <c r="H14" s="45" t="e">
        <f>Rate_of_prem_death</f>
        <v>#REF!</v>
      </c>
      <c r="M14" s="57"/>
      <c r="N14" s="58"/>
      <c r="O14" s="57"/>
      <c r="P14" s="58"/>
      <c r="Q14" s="60"/>
    </row>
    <row r="15" spans="4:17" x14ac:dyDescent="0.3">
      <c r="D15" s="46">
        <f>Preterm_cost</f>
        <v>577.9017081081081</v>
      </c>
      <c r="L15" s="59"/>
      <c r="M15" s="57"/>
      <c r="N15" s="58"/>
      <c r="O15" s="57"/>
      <c r="P15" s="58"/>
      <c r="Q15" s="60"/>
    </row>
    <row r="16" spans="4:17" x14ac:dyDescent="0.3">
      <c r="F16" s="19" t="s">
        <v>201</v>
      </c>
      <c r="G16" s="19"/>
      <c r="H16" s="19"/>
      <c r="I16" s="19"/>
      <c r="J16" s="19"/>
      <c r="K16" s="19"/>
      <c r="L16" s="59">
        <v>5</v>
      </c>
      <c r="M16" s="57" t="e">
        <f>B22*D14*F17</f>
        <v>#REF!</v>
      </c>
      <c r="N16" s="58">
        <f>A29+B23+D15+F21</f>
        <v>3054.9017081081083</v>
      </c>
      <c r="O16" s="57">
        <f>u_Healthy</f>
        <v>0</v>
      </c>
      <c r="P16" s="58" t="e">
        <f>M16*N16</f>
        <v>#REF!</v>
      </c>
      <c r="Q16" s="60" t="e">
        <f>M16*O16</f>
        <v>#REF!</v>
      </c>
    </row>
    <row r="17" spans="1:17" x14ac:dyDescent="0.3">
      <c r="F17" s="45" t="e">
        <f>1-F11</f>
        <v>#REF!</v>
      </c>
      <c r="M17" s="57"/>
      <c r="N17" s="58"/>
      <c r="O17" s="57"/>
      <c r="P17" s="58"/>
      <c r="Q17" s="60"/>
    </row>
    <row r="18" spans="1:17" x14ac:dyDescent="0.3">
      <c r="F18" s="46">
        <f>follow_up__clinic__cost</f>
        <v>3363</v>
      </c>
      <c r="L18"/>
      <c r="M18" s="57"/>
      <c r="N18" s="58"/>
      <c r="O18" s="57"/>
      <c r="P18" s="58"/>
      <c r="Q18" s="60"/>
    </row>
    <row r="19" spans="1:17" x14ac:dyDescent="0.3">
      <c r="J19" s="19" t="s">
        <v>226</v>
      </c>
      <c r="K19" s="19"/>
      <c r="L19">
        <v>6</v>
      </c>
      <c r="M19" s="57" t="e">
        <f>B22*D28*F26*H23*J20</f>
        <v>#REF!</v>
      </c>
      <c r="N19" s="58">
        <f>A29+B23+H24+J21</f>
        <v>12595.260399999999</v>
      </c>
      <c r="O19" s="57">
        <f>u_CongnitiveImpairement</f>
        <v>17.270393127285455</v>
      </c>
      <c r="P19" s="58" t="e">
        <f>M19*N19</f>
        <v>#REF!</v>
      </c>
      <c r="Q19" s="60" t="e">
        <f>M19*O19</f>
        <v>#REF!</v>
      </c>
    </row>
    <row r="20" spans="1:17" x14ac:dyDescent="0.3">
      <c r="J20" s="45" t="e">
        <f>Rate_of_cognitive_impairement</f>
        <v>#REF!</v>
      </c>
      <c r="L20" s="56"/>
      <c r="M20" s="57"/>
      <c r="N20" s="58"/>
      <c r="O20" s="57"/>
      <c r="P20" s="58"/>
      <c r="Q20" s="60"/>
    </row>
    <row r="21" spans="1:17" x14ac:dyDescent="0.3">
      <c r="B21" s="19" t="s">
        <v>202</v>
      </c>
      <c r="J21" s="46">
        <f>Cognitive_impairement_cost</f>
        <v>3819</v>
      </c>
      <c r="M21" s="57"/>
      <c r="N21" s="58"/>
      <c r="O21" s="57"/>
      <c r="P21" s="58"/>
      <c r="Q21" s="60"/>
    </row>
    <row r="22" spans="1:17" x14ac:dyDescent="0.3">
      <c r="B22" s="45" t="e">
        <f>ANC_first_vist__increase</f>
        <v>#REF!</v>
      </c>
      <c r="H22" s="19" t="s">
        <v>161</v>
      </c>
      <c r="I22" s="19"/>
      <c r="J22" s="19" t="s">
        <v>204</v>
      </c>
      <c r="K22" s="19"/>
      <c r="L22" s="59">
        <v>7</v>
      </c>
      <c r="M22" s="57" t="e">
        <f>B22*D28*F26*H23*J23</f>
        <v>#REF!</v>
      </c>
      <c r="N22" s="58">
        <f>A29+B23+H24+J24</f>
        <v>8776.2603999999992</v>
      </c>
      <c r="O22" s="57">
        <f>u_Healthy</f>
        <v>0</v>
      </c>
      <c r="P22" s="58" t="e">
        <f>M22*N22</f>
        <v>#REF!</v>
      </c>
      <c r="Q22" s="60" t="e">
        <f>M22*O22</f>
        <v>#REF!</v>
      </c>
    </row>
    <row r="23" spans="1:17" x14ac:dyDescent="0.3">
      <c r="B23" s="46">
        <f>ANC_cost</f>
        <v>177</v>
      </c>
      <c r="H23" s="45" t="e">
        <f>Hypoglycaemia</f>
        <v>#REF!</v>
      </c>
      <c r="J23" s="45" t="e">
        <f>1-J20</f>
        <v>#REF!</v>
      </c>
      <c r="L23" s="59"/>
      <c r="M23" s="57"/>
      <c r="N23" s="58"/>
      <c r="O23" s="57"/>
      <c r="P23" s="58"/>
      <c r="Q23" s="60"/>
    </row>
    <row r="24" spans="1:17" x14ac:dyDescent="0.3">
      <c r="H24" s="46">
        <f>Hypoglycaemia_cost+follow_up__clinic__cost</f>
        <v>6299.2604000000001</v>
      </c>
      <c r="M24" s="57"/>
      <c r="N24" s="58"/>
      <c r="O24" s="57"/>
      <c r="P24" s="58"/>
      <c r="Q24" s="60"/>
    </row>
    <row r="25" spans="1:17" x14ac:dyDescent="0.3">
      <c r="F25" s="19" t="s">
        <v>164</v>
      </c>
      <c r="H25" s="19" t="s">
        <v>204</v>
      </c>
      <c r="I25" s="19"/>
      <c r="J25" s="19"/>
      <c r="K25" s="19"/>
      <c r="L25">
        <v>8</v>
      </c>
      <c r="M25" s="57" t="e">
        <f>B22*D28*F26*H26</f>
        <v>#REF!</v>
      </c>
      <c r="N25" s="58">
        <f>A29+B23+H27</f>
        <v>5840</v>
      </c>
      <c r="O25" s="57">
        <f>u_Healthy</f>
        <v>0</v>
      </c>
      <c r="P25" s="58" t="e">
        <f>M25*N25</f>
        <v>#REF!</v>
      </c>
      <c r="Q25" s="60" t="e">
        <f>M25*O25</f>
        <v>#REF!</v>
      </c>
    </row>
    <row r="26" spans="1:17" x14ac:dyDescent="0.3">
      <c r="F26" s="45" t="e">
        <f>SGA__reduction</f>
        <v>#REF!</v>
      </c>
      <c r="H26" s="45" t="e">
        <f>1-H23</f>
        <v>#REF!</v>
      </c>
      <c r="L26"/>
      <c r="M26" s="57"/>
      <c r="N26" s="58"/>
      <c r="O26" s="57"/>
      <c r="P26" s="58"/>
      <c r="Q26" s="60"/>
    </row>
    <row r="27" spans="1:17" x14ac:dyDescent="0.3">
      <c r="D27" s="19" t="s">
        <v>11</v>
      </c>
      <c r="H27" s="46">
        <f>follow_up__clinic__cost</f>
        <v>3363</v>
      </c>
      <c r="L27" s="56"/>
      <c r="M27" s="57"/>
      <c r="N27" s="58"/>
      <c r="O27" s="57"/>
      <c r="P27" s="58"/>
      <c r="Q27" s="60"/>
    </row>
    <row r="28" spans="1:17" x14ac:dyDescent="0.3">
      <c r="A28" s="19" t="s">
        <v>205</v>
      </c>
      <c r="D28" s="45" t="e">
        <f>1-D14</f>
        <v>#REF!</v>
      </c>
      <c r="F28" s="19" t="s">
        <v>201</v>
      </c>
      <c r="G28" s="19"/>
      <c r="H28" s="19"/>
      <c r="I28" s="19"/>
      <c r="J28" s="19"/>
      <c r="K28" s="19"/>
      <c r="L28" s="44">
        <v>9</v>
      </c>
      <c r="M28" s="57" t="e">
        <f>B22*D28*F29</f>
        <v>#REF!</v>
      </c>
      <c r="N28" s="58">
        <f>A29+B23+F30</f>
        <v>5840</v>
      </c>
      <c r="O28" s="57">
        <f>u_Healthy</f>
        <v>0</v>
      </c>
      <c r="P28" s="58" t="e">
        <f>M28*N28</f>
        <v>#REF!</v>
      </c>
      <c r="Q28" s="60" t="e">
        <f>M28*O28</f>
        <v>#REF!</v>
      </c>
    </row>
    <row r="29" spans="1:17" x14ac:dyDescent="0.3">
      <c r="A29" s="46">
        <f>Grant_cost</f>
        <v>2300</v>
      </c>
      <c r="F29" s="45" t="e">
        <f>1-F26-F32</f>
        <v>#REF!</v>
      </c>
      <c r="L29" s="59"/>
      <c r="M29" s="57"/>
      <c r="N29" s="58"/>
      <c r="O29" s="57"/>
      <c r="P29" s="58"/>
      <c r="Q29" s="60"/>
    </row>
    <row r="30" spans="1:17" x14ac:dyDescent="0.3">
      <c r="F30" s="46">
        <f>follow_up__clinic__cost</f>
        <v>3363</v>
      </c>
      <c r="L30" s="59"/>
      <c r="M30" s="57"/>
      <c r="N30" s="58"/>
      <c r="O30" s="57"/>
      <c r="P30" s="58"/>
      <c r="Q30" s="60"/>
    </row>
    <row r="31" spans="1:17" x14ac:dyDescent="0.3">
      <c r="F31" s="19" t="s">
        <v>207</v>
      </c>
      <c r="G31" s="19"/>
      <c r="H31" s="19"/>
      <c r="I31" s="19"/>
      <c r="J31" s="19"/>
      <c r="K31" s="19"/>
      <c r="L31" s="44">
        <v>10</v>
      </c>
      <c r="M31" s="57" t="e">
        <f>B22*D28*F32</f>
        <v>#REF!</v>
      </c>
      <c r="N31" s="58">
        <f>A29+B23</f>
        <v>2477</v>
      </c>
      <c r="O31" s="57">
        <f>u_Death</f>
        <v>19.181538114427529</v>
      </c>
      <c r="P31" s="58" t="e">
        <f>M31*N31</f>
        <v>#REF!</v>
      </c>
      <c r="Q31" s="60" t="e">
        <f>M31*O31</f>
        <v>#REF!</v>
      </c>
    </row>
    <row r="32" spans="1:17" x14ac:dyDescent="0.3">
      <c r="F32" s="45" t="e">
        <f>Term_stillbirth</f>
        <v>#REF!</v>
      </c>
      <c r="L32"/>
      <c r="M32" s="57"/>
      <c r="N32" s="58"/>
      <c r="O32" s="57"/>
      <c r="P32" s="58"/>
      <c r="Q32" s="60"/>
    </row>
    <row r="33" spans="4:17" x14ac:dyDescent="0.3">
      <c r="L33"/>
      <c r="M33" s="57"/>
      <c r="N33" s="58"/>
      <c r="O33" s="57"/>
      <c r="P33" s="58"/>
      <c r="Q33" s="60"/>
    </row>
    <row r="34" spans="4:17" x14ac:dyDescent="0.3">
      <c r="J34" s="19" t="s">
        <v>221</v>
      </c>
      <c r="K34" s="19"/>
      <c r="L34" s="56">
        <v>11</v>
      </c>
      <c r="M34" s="57" t="e">
        <f>B52*D44*F41*H38*J35</f>
        <v>#REF!</v>
      </c>
      <c r="N34" s="58">
        <f>A29+D45+F42+H39+J36</f>
        <v>334120.58085871371</v>
      </c>
      <c r="O34" s="57">
        <f>u_ChronicResp</f>
        <v>0.53465956747782661</v>
      </c>
      <c r="P34" s="58" t="e">
        <f>M34*N34</f>
        <v>#REF!</v>
      </c>
      <c r="Q34" s="60" t="e">
        <f>M34*O34</f>
        <v>#REF!</v>
      </c>
    </row>
    <row r="35" spans="4:17" x14ac:dyDescent="0.3">
      <c r="J35" s="45" t="e">
        <f>Rate_of_chronic_lung_disease</f>
        <v>#REF!</v>
      </c>
      <c r="M35" s="57"/>
      <c r="N35" s="58"/>
      <c r="O35" s="57"/>
      <c r="P35" s="58"/>
      <c r="Q35" s="60"/>
    </row>
    <row r="36" spans="4:17" x14ac:dyDescent="0.3">
      <c r="J36" s="46">
        <f>ChronicResp_cost</f>
        <v>42582.510902399998</v>
      </c>
      <c r="L36" s="59"/>
      <c r="M36" s="57"/>
      <c r="N36" s="58"/>
      <c r="O36" s="57"/>
      <c r="P36" s="58"/>
      <c r="Q36" s="60"/>
    </row>
    <row r="37" spans="4:17" x14ac:dyDescent="0.3">
      <c r="H37" s="19" t="s">
        <v>9</v>
      </c>
      <c r="I37" s="19"/>
      <c r="J37" s="19" t="s">
        <v>220</v>
      </c>
      <c r="K37" s="19"/>
      <c r="L37" s="59">
        <v>12</v>
      </c>
      <c r="M37" s="57" t="e">
        <f>B52*D44*F41*H38*J38</f>
        <v>#REF!</v>
      </c>
      <c r="N37" s="58">
        <f>A29+D45+F42+H39+J39</f>
        <v>291538.0699563137</v>
      </c>
      <c r="O37" s="57">
        <f>u_Healthy</f>
        <v>0</v>
      </c>
      <c r="P37" s="58" t="e">
        <f>M37*N37</f>
        <v>#REF!</v>
      </c>
      <c r="Q37" s="60" t="e">
        <f>M37*O37</f>
        <v>#REF!</v>
      </c>
    </row>
    <row r="38" spans="4:17" x14ac:dyDescent="0.3">
      <c r="H38" s="45" t="e">
        <f>RDS_rate</f>
        <v>#REF!</v>
      </c>
      <c r="J38" s="45" t="e">
        <f>1-J35</f>
        <v>#REF!</v>
      </c>
      <c r="M38" s="57"/>
      <c r="N38" s="58"/>
      <c r="O38" s="57"/>
      <c r="P38" s="58"/>
      <c r="Q38" s="60"/>
    </row>
    <row r="39" spans="4:17" x14ac:dyDescent="0.3">
      <c r="H39" s="46">
        <f>RDS_cost+follow_up__clinic__cost</f>
        <v>33958.61014820564</v>
      </c>
      <c r="J39" s="46"/>
      <c r="L39"/>
      <c r="M39" s="57"/>
      <c r="N39" s="58"/>
      <c r="O39" s="57"/>
      <c r="P39" s="58"/>
      <c r="Q39" s="60"/>
    </row>
    <row r="40" spans="4:17" x14ac:dyDescent="0.3">
      <c r="F40" s="19" t="s">
        <v>8</v>
      </c>
      <c r="H40" s="19" t="s">
        <v>203</v>
      </c>
      <c r="I40" s="19"/>
      <c r="J40" s="19"/>
      <c r="K40" s="19"/>
      <c r="L40">
        <v>13</v>
      </c>
      <c r="M40" s="57" t="e">
        <f>B52*D44*F41*H41</f>
        <v>#REF!</v>
      </c>
      <c r="N40" s="58">
        <f>A29+D45+F42+H42</f>
        <v>258486.45980810808</v>
      </c>
      <c r="O40" s="57">
        <f>u_Healthy</f>
        <v>0</v>
      </c>
      <c r="P40" s="58" t="e">
        <f>M40*N40</f>
        <v>#REF!</v>
      </c>
      <c r="Q40" s="60" t="e">
        <f>M40*O40</f>
        <v>#REF!</v>
      </c>
    </row>
    <row r="41" spans="4:17" x14ac:dyDescent="0.3">
      <c r="F41" s="45" t="e">
        <f>LBW__reduction</f>
        <v>#REF!</v>
      </c>
      <c r="H41" s="45" t="e">
        <f>1-H38-H44</f>
        <v>#REF!</v>
      </c>
      <c r="L41" s="56"/>
      <c r="M41" s="57"/>
      <c r="N41" s="58"/>
      <c r="O41" s="57"/>
      <c r="P41" s="58"/>
      <c r="Q41" s="60"/>
    </row>
    <row r="42" spans="4:17" x14ac:dyDescent="0.3">
      <c r="F42" s="46">
        <f>LBW_cost</f>
        <v>254701.55809999997</v>
      </c>
      <c r="H42" s="46">
        <f>follow_up__hosp__cost</f>
        <v>907</v>
      </c>
      <c r="M42" s="57"/>
      <c r="N42" s="58"/>
      <c r="O42" s="57"/>
      <c r="P42" s="58"/>
      <c r="Q42" s="60"/>
    </row>
    <row r="43" spans="4:17" x14ac:dyDescent="0.3">
      <c r="D43" s="19" t="s">
        <v>10</v>
      </c>
      <c r="H43" s="19" t="s">
        <v>165</v>
      </c>
      <c r="I43" s="19"/>
      <c r="J43" s="19"/>
      <c r="K43" s="19"/>
      <c r="L43" s="59">
        <v>14</v>
      </c>
      <c r="M43" s="57" t="e">
        <f>B52*D44*F41*H44</f>
        <v>#REF!</v>
      </c>
      <c r="N43" s="58">
        <f>A29+D45+F42</f>
        <v>257579.45980810808</v>
      </c>
      <c r="O43" s="57">
        <f>u_Death</f>
        <v>19.181538114427529</v>
      </c>
      <c r="P43" s="58" t="e">
        <f>M43*N43</f>
        <v>#REF!</v>
      </c>
      <c r="Q43" s="60" t="e">
        <f>M43*O43</f>
        <v>#REF!</v>
      </c>
    </row>
    <row r="44" spans="4:17" x14ac:dyDescent="0.3">
      <c r="D44" s="45" t="e">
        <f>Preterm__reduction</f>
        <v>#REF!</v>
      </c>
      <c r="H44" s="45" t="e">
        <f>Rate_of_prem_death</f>
        <v>#REF!</v>
      </c>
      <c r="L44" s="59"/>
      <c r="M44" s="57"/>
      <c r="N44" s="58"/>
      <c r="O44" s="57"/>
      <c r="P44" s="58"/>
      <c r="Q44" s="60"/>
    </row>
    <row r="45" spans="4:17" x14ac:dyDescent="0.3">
      <c r="D45" s="46">
        <f>Preterm_cost</f>
        <v>577.9017081081081</v>
      </c>
      <c r="M45" s="57"/>
      <c r="N45" s="58"/>
      <c r="O45" s="57"/>
      <c r="P45" s="58"/>
      <c r="Q45" s="60"/>
    </row>
    <row r="46" spans="4:17" x14ac:dyDescent="0.3">
      <c r="F46" s="19" t="s">
        <v>201</v>
      </c>
      <c r="G46" s="19"/>
      <c r="H46" s="19"/>
      <c r="I46" s="19"/>
      <c r="J46" s="19"/>
      <c r="K46" s="19"/>
      <c r="L46">
        <v>15</v>
      </c>
      <c r="M46" s="57" t="e">
        <f>B52*D44*F47</f>
        <v>#REF!</v>
      </c>
      <c r="N46" s="58">
        <f>A29+D45+F48</f>
        <v>6240.9017081081083</v>
      </c>
      <c r="O46" s="57">
        <f>u_Healthy</f>
        <v>0</v>
      </c>
      <c r="P46" s="58" t="e">
        <f>M46*N46</f>
        <v>#REF!</v>
      </c>
      <c r="Q46" s="60" t="e">
        <f>M46*O46</f>
        <v>#REF!</v>
      </c>
    </row>
    <row r="47" spans="4:17" x14ac:dyDescent="0.3">
      <c r="F47" s="45" t="e">
        <f>1-F41</f>
        <v>#REF!</v>
      </c>
      <c r="L47"/>
      <c r="M47" s="57"/>
      <c r="N47" s="58"/>
      <c r="O47" s="57"/>
      <c r="P47" s="58"/>
      <c r="Q47" s="60"/>
    </row>
    <row r="48" spans="4:17" x14ac:dyDescent="0.3">
      <c r="F48" s="46">
        <f>follow_up__clinic__cost</f>
        <v>3363</v>
      </c>
      <c r="L48" s="56"/>
      <c r="M48" s="57"/>
      <c r="N48" s="58"/>
      <c r="O48" s="57"/>
      <c r="P48" s="58"/>
      <c r="Q48" s="60"/>
    </row>
    <row r="49" spans="1:17" x14ac:dyDescent="0.3">
      <c r="J49" s="19" t="s">
        <v>226</v>
      </c>
      <c r="K49" s="19"/>
      <c r="L49" s="44">
        <v>16</v>
      </c>
      <c r="M49" s="57" t="e">
        <f>B52*D60*F56*H53*J50</f>
        <v>#REF!</v>
      </c>
      <c r="N49" s="58">
        <f>A29+H54+J51</f>
        <v>12418.260399999999</v>
      </c>
      <c r="O49" s="57">
        <f>u_CongnitiveImpairement</f>
        <v>17.270393127285455</v>
      </c>
      <c r="P49" s="58" t="e">
        <f>M49*N49</f>
        <v>#REF!</v>
      </c>
      <c r="Q49" s="60" t="e">
        <f>M49*O49</f>
        <v>#REF!</v>
      </c>
    </row>
    <row r="50" spans="1:17" x14ac:dyDescent="0.3">
      <c r="J50" s="45" t="e">
        <f>Rate_of_cognitive_impairement</f>
        <v>#REF!</v>
      </c>
      <c r="L50" s="59"/>
      <c r="M50" s="57"/>
      <c r="N50" s="58"/>
      <c r="O50" s="57"/>
      <c r="P50" s="58"/>
      <c r="Q50" s="60"/>
    </row>
    <row r="51" spans="1:17" x14ac:dyDescent="0.3">
      <c r="B51" s="19" t="s">
        <v>23</v>
      </c>
      <c r="J51" s="46">
        <f>Cognitive_impairement_cost</f>
        <v>3819</v>
      </c>
      <c r="L51" s="59"/>
      <c r="M51" s="57"/>
      <c r="N51" s="58"/>
      <c r="O51" s="57"/>
      <c r="P51" s="58"/>
      <c r="Q51" s="60"/>
    </row>
    <row r="52" spans="1:17" x14ac:dyDescent="0.3">
      <c r="B52" s="45" t="e">
        <f>1-B22</f>
        <v>#REF!</v>
      </c>
      <c r="H52" s="19" t="s">
        <v>161</v>
      </c>
      <c r="I52" s="19"/>
      <c r="J52" s="19" t="s">
        <v>204</v>
      </c>
      <c r="K52" s="19"/>
      <c r="L52" s="44">
        <v>17</v>
      </c>
      <c r="M52" s="57" t="e">
        <f>B52*D60*F56*H53*J53</f>
        <v>#REF!</v>
      </c>
      <c r="N52" s="58">
        <f>A29+H54+J54</f>
        <v>8599.2603999999992</v>
      </c>
      <c r="O52" s="57">
        <f>u_Healthy</f>
        <v>0</v>
      </c>
      <c r="P52" s="58" t="e">
        <f>M52*N52</f>
        <v>#REF!</v>
      </c>
      <c r="Q52" s="60" t="e">
        <f>M52*O52</f>
        <v>#REF!</v>
      </c>
    </row>
    <row r="53" spans="1:17" x14ac:dyDescent="0.3">
      <c r="H53" s="45" t="e">
        <f>Hypoglycaemia</f>
        <v>#REF!</v>
      </c>
      <c r="J53" s="45" t="e">
        <f>1-J50</f>
        <v>#REF!</v>
      </c>
      <c r="L53"/>
      <c r="M53" s="57"/>
      <c r="N53" s="58"/>
      <c r="O53" s="57"/>
      <c r="P53" s="58"/>
      <c r="Q53" s="60"/>
    </row>
    <row r="54" spans="1:17" x14ac:dyDescent="0.3">
      <c r="H54" s="46">
        <f>Hypoglycaemia_cost+follow_up__clinic__cost</f>
        <v>6299.2604000000001</v>
      </c>
      <c r="L54"/>
      <c r="M54" s="57"/>
      <c r="N54" s="58"/>
      <c r="O54" s="57"/>
      <c r="P54" s="58"/>
      <c r="Q54" s="60"/>
    </row>
    <row r="55" spans="1:17" x14ac:dyDescent="0.3">
      <c r="F55" s="19" t="s">
        <v>164</v>
      </c>
      <c r="H55" s="19" t="s">
        <v>204</v>
      </c>
      <c r="I55" s="19"/>
      <c r="J55" s="19"/>
      <c r="K55" s="19"/>
      <c r="L55" s="56">
        <v>18</v>
      </c>
      <c r="M55" s="57" t="e">
        <f>B52*D60*F56*H56</f>
        <v>#REF!</v>
      </c>
      <c r="N55" s="58">
        <f>A29+H57</f>
        <v>5663</v>
      </c>
      <c r="O55" s="57">
        <f>u_Healthy</f>
        <v>0</v>
      </c>
      <c r="P55" s="58" t="e">
        <f>M55*N55</f>
        <v>#REF!</v>
      </c>
      <c r="Q55" s="60" t="e">
        <f>M55*O55</f>
        <v>#REF!</v>
      </c>
    </row>
    <row r="56" spans="1:17" x14ac:dyDescent="0.3">
      <c r="F56" s="45" t="e">
        <f>SGA__reduction</f>
        <v>#REF!</v>
      </c>
      <c r="H56" s="45" t="e">
        <f>1-H53</f>
        <v>#REF!</v>
      </c>
      <c r="M56" s="57"/>
      <c r="N56" s="58"/>
      <c r="O56" s="57"/>
      <c r="P56" s="58"/>
      <c r="Q56" s="60"/>
    </row>
    <row r="57" spans="1:17" x14ac:dyDescent="0.3">
      <c r="H57" s="46">
        <f>follow_up__clinic__cost</f>
        <v>3363</v>
      </c>
      <c r="L57" s="59"/>
      <c r="M57" s="57"/>
      <c r="N57" s="58"/>
      <c r="O57" s="57"/>
      <c r="P57" s="58"/>
      <c r="Q57" s="60"/>
    </row>
    <row r="58" spans="1:17" x14ac:dyDescent="0.3">
      <c r="F58" s="19" t="s">
        <v>201</v>
      </c>
      <c r="G58" s="19"/>
      <c r="H58" s="19"/>
      <c r="I58" s="19"/>
      <c r="J58" s="19"/>
      <c r="K58" s="19"/>
      <c r="L58" s="59">
        <v>19</v>
      </c>
      <c r="M58" s="57" t="e">
        <f>B52*D60*F59</f>
        <v>#REF!</v>
      </c>
      <c r="N58" s="58">
        <f>A29+F60</f>
        <v>5663</v>
      </c>
      <c r="O58" s="57">
        <f>u_Healthy</f>
        <v>0</v>
      </c>
      <c r="P58" s="58" t="e">
        <f>M58*N58</f>
        <v>#REF!</v>
      </c>
      <c r="Q58" s="60" t="e">
        <f>M58*O58</f>
        <v>#REF!</v>
      </c>
    </row>
    <row r="59" spans="1:17" x14ac:dyDescent="0.3">
      <c r="D59" s="19" t="s">
        <v>11</v>
      </c>
      <c r="F59" s="45" t="e">
        <f>1-F56-F62</f>
        <v>#REF!</v>
      </c>
      <c r="L59" s="59"/>
      <c r="M59" s="57"/>
      <c r="N59" s="58"/>
      <c r="O59" s="57"/>
      <c r="P59" s="58"/>
      <c r="Q59" s="60"/>
    </row>
    <row r="60" spans="1:17" x14ac:dyDescent="0.3">
      <c r="D60" s="45" t="e">
        <f>1-D44</f>
        <v>#REF!</v>
      </c>
      <c r="F60" s="46">
        <f>follow_up__clinic__cost</f>
        <v>3363</v>
      </c>
      <c r="L60" s="59"/>
      <c r="M60" s="57"/>
      <c r="N60" s="58"/>
      <c r="O60" s="57"/>
      <c r="P60" s="58"/>
      <c r="Q60" s="60"/>
    </row>
    <row r="61" spans="1:17" x14ac:dyDescent="0.3">
      <c r="F61" s="19" t="s">
        <v>207</v>
      </c>
      <c r="G61" s="19"/>
      <c r="H61" s="19"/>
      <c r="I61" s="19"/>
      <c r="J61" s="19"/>
      <c r="K61" s="19"/>
      <c r="L61" s="59">
        <v>20</v>
      </c>
      <c r="M61" s="57" t="e">
        <f>B52*D60*F62</f>
        <v>#REF!</v>
      </c>
      <c r="N61" s="58">
        <f>A29</f>
        <v>2300</v>
      </c>
      <c r="O61" s="57">
        <f>u_Death</f>
        <v>19.181538114427529</v>
      </c>
      <c r="P61" s="58" t="e">
        <f>M61*N61</f>
        <v>#REF!</v>
      </c>
      <c r="Q61" s="60" t="e">
        <f>M61*O61</f>
        <v>#REF!</v>
      </c>
    </row>
    <row r="62" spans="1:17" x14ac:dyDescent="0.3">
      <c r="F62" s="45" t="e">
        <f>Term_stillbirth</f>
        <v>#REF!</v>
      </c>
      <c r="L62" s="59"/>
      <c r="M62" s="57"/>
      <c r="N62" s="58"/>
      <c r="O62" s="57"/>
      <c r="P62" s="58"/>
      <c r="Q62" s="60"/>
    </row>
    <row r="63" spans="1:17" x14ac:dyDescent="0.3">
      <c r="O63" s="57"/>
      <c r="P63" s="58"/>
      <c r="Q63" s="60"/>
    </row>
    <row r="64" spans="1:17" x14ac:dyDescent="0.3">
      <c r="A64" s="20"/>
      <c r="B64" s="20"/>
      <c r="C64" s="20"/>
      <c r="D64" s="20"/>
      <c r="E64" s="20"/>
      <c r="F64" s="20"/>
      <c r="G64" s="20"/>
      <c r="H64" s="20"/>
      <c r="I64" s="20"/>
      <c r="J64" s="20"/>
      <c r="K64" s="20"/>
      <c r="L64" s="47" t="s">
        <v>206</v>
      </c>
      <c r="M64" s="20" t="e">
        <f>SUM(M4:M61)</f>
        <v>#REF!</v>
      </c>
      <c r="N64" s="20">
        <f>SUM(N3:N61)</f>
        <v>2358712.9858787037</v>
      </c>
      <c r="O64" s="20">
        <f>SUM(O4:O61)</f>
        <v>112.33625784723668</v>
      </c>
      <c r="P64" s="48" t="e">
        <f>SUM(P3:P61)</f>
        <v>#REF!</v>
      </c>
      <c r="Q64" s="20" t="e">
        <f>SUM(Q4:Q61)</f>
        <v>#REF!</v>
      </c>
    </row>
    <row r="65" spans="4:24" x14ac:dyDescent="0.3">
      <c r="L65" s="47" t="s">
        <v>5</v>
      </c>
      <c r="M65" s="47"/>
      <c r="N65" s="49"/>
      <c r="O65" s="47"/>
      <c r="P65" s="49"/>
      <c r="Q65" s="47"/>
    </row>
    <row r="66" spans="4:24" x14ac:dyDescent="0.3">
      <c r="L66"/>
      <c r="N66"/>
      <c r="P66"/>
    </row>
    <row r="67" spans="4:24" x14ac:dyDescent="0.3">
      <c r="J67" s="19" t="s">
        <v>221</v>
      </c>
      <c r="K67" s="19"/>
      <c r="L67">
        <v>1</v>
      </c>
      <c r="M67" s="61" t="e">
        <f>B86*D77*F74*H71*J68</f>
        <v>#REF!</v>
      </c>
      <c r="N67" s="42">
        <f>B87+D78+F75+H72+J69</f>
        <v>329541.58085871371</v>
      </c>
      <c r="O67">
        <f>u_ChronicResp</f>
        <v>0.53465956747782661</v>
      </c>
      <c r="P67" s="58" t="e">
        <f>M67*N67</f>
        <v>#REF!</v>
      </c>
      <c r="Q67" s="60" t="e">
        <f>M67*O67</f>
        <v>#REF!</v>
      </c>
    </row>
    <row r="68" spans="4:24" x14ac:dyDescent="0.3">
      <c r="J68" s="45" t="e">
        <f>Rate_of_chronic_lung_disease</f>
        <v>#REF!</v>
      </c>
      <c r="L68"/>
      <c r="M68" s="61"/>
      <c r="N68"/>
      <c r="P68"/>
    </row>
    <row r="69" spans="4:24" x14ac:dyDescent="0.3">
      <c r="J69" s="46">
        <f>ChronicResp_cost</f>
        <v>42582.510902399998</v>
      </c>
      <c r="L69"/>
      <c r="M69" s="61"/>
      <c r="N69"/>
      <c r="P69"/>
    </row>
    <row r="70" spans="4:24" x14ac:dyDescent="0.3">
      <c r="H70" s="19" t="s">
        <v>9</v>
      </c>
      <c r="I70" s="19"/>
      <c r="J70" s="19" t="s">
        <v>220</v>
      </c>
      <c r="K70" s="19"/>
      <c r="L70" s="44">
        <v>2</v>
      </c>
      <c r="M70" s="61" t="e">
        <f>B86*D77*F74*H71*J71</f>
        <v>#REF!</v>
      </c>
      <c r="N70" s="42">
        <f>B87+D78+F75+H72+J72</f>
        <v>286959.0699563137</v>
      </c>
      <c r="O70" s="57">
        <f>u_Healthy</f>
        <v>0</v>
      </c>
      <c r="P70" s="58" t="e">
        <f>M70*N70</f>
        <v>#REF!</v>
      </c>
      <c r="Q70" s="60" t="e">
        <f>M70*O70</f>
        <v>#REF!</v>
      </c>
    </row>
    <row r="71" spans="4:24" x14ac:dyDescent="0.3">
      <c r="H71" s="45" t="e">
        <f>RDS_rate</f>
        <v>#REF!</v>
      </c>
      <c r="J71" s="45" t="e">
        <f>1-J68</f>
        <v>#REF!</v>
      </c>
      <c r="L71" s="59"/>
      <c r="M71" s="61"/>
      <c r="O71" s="57"/>
      <c r="P71" s="58"/>
      <c r="Q71" s="60"/>
      <c r="R71" s="44"/>
      <c r="S71" s="44"/>
      <c r="T71" s="44"/>
      <c r="U71" s="44"/>
      <c r="V71" s="44"/>
      <c r="W71" s="44"/>
      <c r="X71" s="44"/>
    </row>
    <row r="72" spans="4:24" x14ac:dyDescent="0.3">
      <c r="H72" s="46">
        <f>RDS_cost+follow_up__hosp__cost</f>
        <v>31502.610148205637</v>
      </c>
      <c r="J72" s="46"/>
      <c r="L72" s="59"/>
      <c r="M72" s="61"/>
      <c r="O72" s="57"/>
      <c r="P72" s="58"/>
      <c r="Q72" s="60"/>
    </row>
    <row r="73" spans="4:24" x14ac:dyDescent="0.3">
      <c r="F73" s="19" t="s">
        <v>8</v>
      </c>
      <c r="H73" s="19" t="s">
        <v>203</v>
      </c>
      <c r="I73" s="19"/>
      <c r="J73" s="19"/>
      <c r="K73" s="19"/>
      <c r="L73" s="44">
        <v>3</v>
      </c>
      <c r="M73" s="61" t="e">
        <f>B86*D77*F74*H74</f>
        <v>#REF!</v>
      </c>
      <c r="N73" s="42">
        <f>B87+D78+F75+H75</f>
        <v>256363.45980810808</v>
      </c>
      <c r="O73" s="57">
        <f>u_Healthy</f>
        <v>0</v>
      </c>
      <c r="P73" s="58" t="e">
        <f>M73*N73</f>
        <v>#REF!</v>
      </c>
      <c r="Q73" s="60" t="e">
        <f>M73*O73</f>
        <v>#REF!</v>
      </c>
    </row>
    <row r="74" spans="4:24" x14ac:dyDescent="0.3">
      <c r="F74" s="45" t="e">
        <f>Rate_of_LBW</f>
        <v>#REF!</v>
      </c>
      <c r="H74" s="45" t="e">
        <f>1-H71-H77</f>
        <v>#REF!</v>
      </c>
      <c r="L74" s="59"/>
      <c r="M74" s="61"/>
      <c r="O74" s="57"/>
      <c r="P74" s="58"/>
      <c r="Q74" s="60"/>
    </row>
    <row r="75" spans="4:24" x14ac:dyDescent="0.3">
      <c r="F75" s="46">
        <f>LBW_cost</f>
        <v>254701.55809999997</v>
      </c>
      <c r="H75" s="46">
        <f>follow_up__hosp__cost</f>
        <v>907</v>
      </c>
      <c r="L75" s="59"/>
      <c r="M75" s="61"/>
      <c r="O75" s="57"/>
      <c r="P75" s="58"/>
      <c r="Q75" s="60"/>
    </row>
    <row r="76" spans="4:24" x14ac:dyDescent="0.3">
      <c r="D76" s="19" t="s">
        <v>10</v>
      </c>
      <c r="H76" s="19" t="s">
        <v>165</v>
      </c>
      <c r="I76" s="19"/>
      <c r="J76" s="19"/>
      <c r="K76" s="19"/>
      <c r="L76" s="59">
        <v>4</v>
      </c>
      <c r="M76" s="61" t="e">
        <f>B86*D77*F74*H77</f>
        <v>#REF!</v>
      </c>
      <c r="N76" s="42">
        <f>B87+D78+F75</f>
        <v>255456.45980810808</v>
      </c>
      <c r="O76" s="57">
        <f>u_Death</f>
        <v>19.181538114427529</v>
      </c>
      <c r="P76" s="58" t="e">
        <f>M76*N76</f>
        <v>#REF!</v>
      </c>
      <c r="Q76" s="60" t="e">
        <f>M76*O76</f>
        <v>#REF!</v>
      </c>
    </row>
    <row r="77" spans="4:24" x14ac:dyDescent="0.3">
      <c r="D77" s="45" t="e">
        <f>Preterm_reduction_with_ANC</f>
        <v>#REF!</v>
      </c>
      <c r="H77" s="45" t="e">
        <f>Rate_of_prem_death</f>
        <v>#REF!</v>
      </c>
      <c r="L77" s="59"/>
      <c r="M77" s="61"/>
      <c r="O77" s="57"/>
      <c r="P77" s="58"/>
      <c r="Q77" s="60"/>
    </row>
    <row r="78" spans="4:24" x14ac:dyDescent="0.3">
      <c r="D78" s="46">
        <f>Preterm_cost</f>
        <v>577.9017081081081</v>
      </c>
      <c r="L78" s="59"/>
      <c r="M78" s="61"/>
      <c r="O78" s="57"/>
      <c r="P78" s="58"/>
      <c r="Q78" s="60"/>
    </row>
    <row r="79" spans="4:24" x14ac:dyDescent="0.3">
      <c r="F79" s="19" t="s">
        <v>201</v>
      </c>
      <c r="G79" s="19"/>
      <c r="H79" s="19"/>
      <c r="I79" s="19"/>
      <c r="J79" s="19"/>
      <c r="K79" s="19"/>
      <c r="L79" s="59">
        <v>5</v>
      </c>
      <c r="M79" s="61" t="e">
        <f>B86*D77*F80</f>
        <v>#REF!</v>
      </c>
      <c r="N79" s="42">
        <f>B87+D78+F84</f>
        <v>754.9017081081081</v>
      </c>
      <c r="O79" s="57">
        <f>u_Healthy</f>
        <v>0</v>
      </c>
      <c r="P79" s="58" t="e">
        <f>M79*N79</f>
        <v>#REF!</v>
      </c>
      <c r="Q79" s="60" t="e">
        <f>M79*O79</f>
        <v>#REF!</v>
      </c>
    </row>
    <row r="80" spans="4:24" x14ac:dyDescent="0.3">
      <c r="F80" s="45" t="e">
        <f>1-F74</f>
        <v>#REF!</v>
      </c>
      <c r="L80" s="59"/>
      <c r="M80" s="61"/>
      <c r="O80" s="57"/>
      <c r="P80" s="58"/>
      <c r="Q80" s="60"/>
    </row>
    <row r="81" spans="2:17" x14ac:dyDescent="0.3">
      <c r="F81" s="46">
        <f>follow_up__clinic__cost</f>
        <v>3363</v>
      </c>
      <c r="L81" s="59"/>
      <c r="M81" s="61"/>
      <c r="O81" s="57"/>
      <c r="P81" s="58"/>
      <c r="Q81" s="60"/>
    </row>
    <row r="82" spans="2:17" x14ac:dyDescent="0.3">
      <c r="J82" s="19" t="s">
        <v>226</v>
      </c>
      <c r="K82" s="19"/>
      <c r="L82" s="59">
        <v>6</v>
      </c>
      <c r="M82" s="61" t="e">
        <f>B86*D93*F89*H86*J83</f>
        <v>#REF!</v>
      </c>
      <c r="N82" s="42">
        <f>B87+H87+J84</f>
        <v>10295.260399999999</v>
      </c>
      <c r="O82" s="57">
        <f>u_CongnitiveImpairement</f>
        <v>17.270393127285455</v>
      </c>
      <c r="P82" s="58" t="e">
        <f>M82*N82</f>
        <v>#REF!</v>
      </c>
      <c r="Q82" s="60" t="e">
        <f>M82*O82</f>
        <v>#REF!</v>
      </c>
    </row>
    <row r="83" spans="2:17" x14ac:dyDescent="0.3">
      <c r="J83" s="45" t="e">
        <f>Rate_of_cognitive_impairement</f>
        <v>#REF!</v>
      </c>
      <c r="L83" s="59"/>
      <c r="M83" s="61"/>
      <c r="O83" s="57"/>
      <c r="P83" s="58"/>
      <c r="Q83" s="60"/>
    </row>
    <row r="84" spans="2:17" x14ac:dyDescent="0.3">
      <c r="J84" s="46">
        <f>Cognitive_impairement_cost</f>
        <v>3819</v>
      </c>
      <c r="L84" s="59"/>
      <c r="M84" s="61"/>
      <c r="O84" s="57"/>
      <c r="P84" s="58"/>
      <c r="Q84" s="60"/>
    </row>
    <row r="85" spans="2:17" x14ac:dyDescent="0.3">
      <c r="B85" s="19" t="s">
        <v>202</v>
      </c>
      <c r="H85" s="19" t="s">
        <v>161</v>
      </c>
      <c r="I85" s="19"/>
      <c r="J85" s="19" t="s">
        <v>204</v>
      </c>
      <c r="K85" s="19"/>
      <c r="L85" s="59">
        <v>7</v>
      </c>
      <c r="M85" s="61" t="e">
        <f>B86*D93*F89*H86*J86</f>
        <v>#REF!</v>
      </c>
      <c r="N85" s="42">
        <f>B87+H87+J87</f>
        <v>6476.2604000000001</v>
      </c>
      <c r="O85" s="57">
        <f>u_Healthy</f>
        <v>0</v>
      </c>
      <c r="P85" s="58" t="e">
        <f>M85*N85</f>
        <v>#REF!</v>
      </c>
      <c r="Q85" s="60" t="e">
        <f>M85*O85</f>
        <v>#REF!</v>
      </c>
    </row>
    <row r="86" spans="2:17" x14ac:dyDescent="0.3">
      <c r="B86" s="45">
        <f>ANC_first_visit_coverage_rate</f>
        <v>0.83099999999999996</v>
      </c>
      <c r="H86" s="45" t="e">
        <f>Hypoglycaemia</f>
        <v>#REF!</v>
      </c>
      <c r="J86" s="45" t="e">
        <f>1-J83</f>
        <v>#REF!</v>
      </c>
      <c r="L86" s="59"/>
      <c r="M86" s="61"/>
      <c r="O86" s="57"/>
      <c r="P86" s="58"/>
      <c r="Q86" s="60"/>
    </row>
    <row r="87" spans="2:17" x14ac:dyDescent="0.3">
      <c r="B87" s="46">
        <f>ANC_cost</f>
        <v>177</v>
      </c>
      <c r="H87" s="46">
        <f>Hypoglycaemia_cost+follow_up__clinic__cost</f>
        <v>6299.2604000000001</v>
      </c>
      <c r="L87" s="59"/>
      <c r="M87" s="61"/>
      <c r="O87" s="57"/>
      <c r="P87" s="58"/>
      <c r="Q87" s="60"/>
    </row>
    <row r="88" spans="2:17" x14ac:dyDescent="0.3">
      <c r="F88" s="19" t="s">
        <v>164</v>
      </c>
      <c r="H88" s="19" t="s">
        <v>204</v>
      </c>
      <c r="I88" s="19"/>
      <c r="J88" s="19"/>
      <c r="K88" s="19"/>
      <c r="L88" s="59">
        <v>8</v>
      </c>
      <c r="M88" s="61" t="e">
        <f>B86*D93*F89*H89</f>
        <v>#REF!</v>
      </c>
      <c r="N88" s="42">
        <f>B87+H90</f>
        <v>3540</v>
      </c>
      <c r="O88" s="57">
        <f>u_Healthy</f>
        <v>0</v>
      </c>
      <c r="P88" s="58" t="e">
        <f>M88*N88</f>
        <v>#REF!</v>
      </c>
      <c r="Q88" s="60" t="e">
        <f>M88*O88</f>
        <v>#REF!</v>
      </c>
    </row>
    <row r="89" spans="2:17" x14ac:dyDescent="0.3">
      <c r="F89" s="45" t="e">
        <f>SGA</f>
        <v>#REF!</v>
      </c>
      <c r="H89" s="45" t="e">
        <f>1-H86</f>
        <v>#REF!</v>
      </c>
      <c r="L89" s="59"/>
      <c r="M89" s="61"/>
      <c r="O89" s="57"/>
      <c r="P89" s="58"/>
      <c r="Q89" s="60"/>
    </row>
    <row r="90" spans="2:17" x14ac:dyDescent="0.3">
      <c r="H90" s="46">
        <f>follow_up__clinic__cost</f>
        <v>3363</v>
      </c>
      <c r="L90" s="59"/>
      <c r="M90" s="61"/>
      <c r="O90" s="57"/>
      <c r="P90" s="58"/>
      <c r="Q90" s="60"/>
    </row>
    <row r="91" spans="2:17" x14ac:dyDescent="0.3">
      <c r="F91" s="19" t="s">
        <v>201</v>
      </c>
      <c r="G91" s="19"/>
      <c r="H91" s="19"/>
      <c r="I91" s="19"/>
      <c r="J91" s="19"/>
      <c r="K91" s="19"/>
      <c r="L91" s="59">
        <v>9</v>
      </c>
      <c r="M91" s="61" t="e">
        <f>B86*D93*F92</f>
        <v>#REF!</v>
      </c>
      <c r="N91" s="42">
        <f>B87+F93</f>
        <v>3540</v>
      </c>
      <c r="O91" s="57">
        <f>u_Healthy</f>
        <v>0</v>
      </c>
      <c r="P91" s="58" t="e">
        <f>M91*N91</f>
        <v>#REF!</v>
      </c>
      <c r="Q91" s="60" t="e">
        <f>M91*O91</f>
        <v>#REF!</v>
      </c>
    </row>
    <row r="92" spans="2:17" x14ac:dyDescent="0.3">
      <c r="D92" s="19" t="s">
        <v>11</v>
      </c>
      <c r="F92" s="45" t="e">
        <f>1-F89-F95</f>
        <v>#REF!</v>
      </c>
      <c r="L92" s="59"/>
      <c r="M92" s="61"/>
      <c r="O92" s="57"/>
      <c r="P92" s="58"/>
      <c r="Q92" s="60"/>
    </row>
    <row r="93" spans="2:17" x14ac:dyDescent="0.3">
      <c r="D93" s="45" t="e">
        <f>1-D77</f>
        <v>#REF!</v>
      </c>
      <c r="F93" s="46">
        <f>follow_up__clinic__cost</f>
        <v>3363</v>
      </c>
      <c r="L93" s="59"/>
      <c r="M93" s="61"/>
      <c r="O93" s="57"/>
      <c r="P93" s="58"/>
      <c r="Q93" s="60"/>
    </row>
    <row r="94" spans="2:17" x14ac:dyDescent="0.3">
      <c r="F94" s="19" t="s">
        <v>207</v>
      </c>
      <c r="G94" s="19"/>
      <c r="H94" s="19"/>
      <c r="I94" s="19"/>
      <c r="J94" s="19"/>
      <c r="K94" s="19"/>
      <c r="L94" s="59">
        <v>10</v>
      </c>
      <c r="M94" s="61" t="e">
        <f>B86*D93*F95</f>
        <v>#REF!</v>
      </c>
      <c r="N94" s="42">
        <f>B87</f>
        <v>177</v>
      </c>
      <c r="O94" s="57">
        <f>u_Death</f>
        <v>19.181538114427529</v>
      </c>
      <c r="P94" s="58" t="e">
        <f>M94*N94</f>
        <v>#REF!</v>
      </c>
      <c r="Q94" s="60" t="e">
        <f>M94*O94</f>
        <v>#REF!</v>
      </c>
    </row>
    <row r="95" spans="2:17" x14ac:dyDescent="0.3">
      <c r="F95" s="45" t="e">
        <f>Term_stillbirth</f>
        <v>#REF!</v>
      </c>
      <c r="L95" s="59"/>
      <c r="M95" s="61"/>
      <c r="O95" s="57"/>
      <c r="P95" s="58"/>
      <c r="Q95" s="60"/>
    </row>
    <row r="96" spans="2:17" x14ac:dyDescent="0.3">
      <c r="L96" s="59"/>
      <c r="M96" s="61"/>
      <c r="O96" s="57"/>
      <c r="P96" s="58"/>
      <c r="Q96" s="60"/>
    </row>
    <row r="97" spans="4:17" x14ac:dyDescent="0.3">
      <c r="J97" s="19" t="s">
        <v>221</v>
      </c>
      <c r="K97" s="19"/>
      <c r="L97" s="59">
        <v>11</v>
      </c>
      <c r="M97" s="61" t="e">
        <f>B119*D110*F104*H101*J98</f>
        <v>#REF!</v>
      </c>
      <c r="N97" s="42">
        <f>D111+F105+H102+J99</f>
        <v>329364.58085871371</v>
      </c>
      <c r="O97" s="57">
        <f>u_ChronicResp</f>
        <v>0.53465956747782661</v>
      </c>
      <c r="P97" s="58" t="e">
        <f>M97*N97</f>
        <v>#REF!</v>
      </c>
      <c r="Q97" s="60" t="e">
        <f>M97*O97</f>
        <v>#REF!</v>
      </c>
    </row>
    <row r="98" spans="4:17" x14ac:dyDescent="0.3">
      <c r="J98" s="45" t="e">
        <f>Rate_of_chronic_lung_disease</f>
        <v>#REF!</v>
      </c>
      <c r="L98" s="59"/>
      <c r="M98" s="61"/>
      <c r="O98" s="57"/>
      <c r="P98" s="58"/>
      <c r="Q98" s="60"/>
    </row>
    <row r="99" spans="4:17" x14ac:dyDescent="0.3">
      <c r="J99" s="46">
        <f>ChronicResp_cost</f>
        <v>42582.510902399998</v>
      </c>
      <c r="L99" s="59"/>
      <c r="M99" s="61"/>
      <c r="O99" s="57"/>
      <c r="P99" s="58"/>
      <c r="Q99" s="60"/>
    </row>
    <row r="100" spans="4:17" x14ac:dyDescent="0.3">
      <c r="H100" s="19" t="s">
        <v>9</v>
      </c>
      <c r="I100" s="19"/>
      <c r="J100" s="19" t="s">
        <v>220</v>
      </c>
      <c r="K100" s="19"/>
      <c r="L100" s="59">
        <v>12</v>
      </c>
      <c r="M100" s="61" t="e">
        <f>B119*D110*F104*H101*J101</f>
        <v>#REF!</v>
      </c>
      <c r="N100" s="42">
        <f>D111+F105+H102+J102</f>
        <v>286782.0699563137</v>
      </c>
      <c r="O100" s="57">
        <f>u_Healthy</f>
        <v>0</v>
      </c>
      <c r="P100" s="58" t="e">
        <f>M100*N100</f>
        <v>#REF!</v>
      </c>
      <c r="Q100" s="60" t="e">
        <f>M100*O100</f>
        <v>#REF!</v>
      </c>
    </row>
    <row r="101" spans="4:17" x14ac:dyDescent="0.3">
      <c r="H101" s="45" t="e">
        <f>RDS_rate</f>
        <v>#REF!</v>
      </c>
      <c r="J101" s="45" t="e">
        <f>1-J98</f>
        <v>#REF!</v>
      </c>
      <c r="L101" s="59"/>
      <c r="M101" s="61"/>
      <c r="O101" s="57"/>
      <c r="P101" s="58"/>
      <c r="Q101" s="60"/>
    </row>
    <row r="102" spans="4:17" x14ac:dyDescent="0.3">
      <c r="H102" s="46">
        <f>RDS_cost+follow_up__hosp__cost</f>
        <v>31502.610148205637</v>
      </c>
      <c r="J102" s="46"/>
      <c r="L102" s="59"/>
      <c r="M102" s="61"/>
      <c r="O102" s="57"/>
      <c r="P102" s="58"/>
      <c r="Q102" s="60"/>
    </row>
    <row r="103" spans="4:17" x14ac:dyDescent="0.3">
      <c r="F103" s="19" t="s">
        <v>8</v>
      </c>
      <c r="H103" s="19" t="s">
        <v>203</v>
      </c>
      <c r="I103" s="19"/>
      <c r="J103" s="19"/>
      <c r="K103" s="19"/>
      <c r="L103" s="59">
        <v>13</v>
      </c>
      <c r="M103" s="61" t="e">
        <f>B119*D110*F104*H104</f>
        <v>#REF!</v>
      </c>
      <c r="N103" s="42">
        <f>D111+F105+H105</f>
        <v>256186.45980810808</v>
      </c>
      <c r="O103" s="57">
        <f>u_Healthy</f>
        <v>0</v>
      </c>
      <c r="P103" s="58" t="e">
        <f>M103*N103</f>
        <v>#REF!</v>
      </c>
      <c r="Q103" s="60" t="e">
        <f>M103*O103</f>
        <v>#REF!</v>
      </c>
    </row>
    <row r="104" spans="4:17" x14ac:dyDescent="0.3">
      <c r="F104" s="45" t="e">
        <f>Rate_of_LBW</f>
        <v>#REF!</v>
      </c>
      <c r="H104" s="45" t="e">
        <f>1-H101-H107</f>
        <v>#REF!</v>
      </c>
      <c r="L104" s="59"/>
      <c r="M104" s="61"/>
      <c r="O104" s="57"/>
      <c r="P104" s="58"/>
      <c r="Q104" s="60"/>
    </row>
    <row r="105" spans="4:17" x14ac:dyDescent="0.3">
      <c r="F105" s="46">
        <f>LBW_cost</f>
        <v>254701.55809999997</v>
      </c>
      <c r="H105" s="46">
        <f>follow_up__hosp__cost</f>
        <v>907</v>
      </c>
      <c r="L105" s="59"/>
      <c r="M105" s="61"/>
      <c r="O105" s="57"/>
      <c r="P105" s="58"/>
      <c r="Q105" s="60"/>
    </row>
    <row r="106" spans="4:17" x14ac:dyDescent="0.3">
      <c r="H106" s="19" t="s">
        <v>165</v>
      </c>
      <c r="I106" s="19"/>
      <c r="J106" s="19"/>
      <c r="K106" s="19"/>
      <c r="L106" s="59">
        <v>14</v>
      </c>
      <c r="M106" s="61" t="e">
        <f>B119*D110*F104*H107</f>
        <v>#REF!</v>
      </c>
      <c r="N106" s="42">
        <f>D111+F105</f>
        <v>255279.45980810808</v>
      </c>
      <c r="O106" s="57">
        <f>u_Death</f>
        <v>19.181538114427529</v>
      </c>
      <c r="P106" s="58" t="e">
        <f>M106*N106</f>
        <v>#REF!</v>
      </c>
      <c r="Q106" s="60" t="e">
        <f>M106*O106</f>
        <v>#REF!</v>
      </c>
    </row>
    <row r="107" spans="4:17" x14ac:dyDescent="0.3">
      <c r="H107" s="45" t="e">
        <f>Rate_of_prem_death</f>
        <v>#REF!</v>
      </c>
      <c r="L107" s="59"/>
      <c r="M107" s="61"/>
      <c r="O107" s="57"/>
      <c r="P107" s="58"/>
      <c r="Q107" s="60"/>
    </row>
    <row r="108" spans="4:17" x14ac:dyDescent="0.3">
      <c r="L108" s="59"/>
      <c r="M108" s="61"/>
      <c r="O108" s="57"/>
      <c r="P108" s="58"/>
      <c r="Q108" s="60"/>
    </row>
    <row r="109" spans="4:17" x14ac:dyDescent="0.3">
      <c r="D109" s="19" t="s">
        <v>10</v>
      </c>
      <c r="F109" s="19" t="s">
        <v>201</v>
      </c>
      <c r="G109" s="19"/>
      <c r="H109" s="19"/>
      <c r="I109" s="19"/>
      <c r="J109" s="19"/>
      <c r="K109" s="19"/>
      <c r="L109" s="59">
        <v>15</v>
      </c>
      <c r="M109" s="61" t="e">
        <f>B119*D110*F110</f>
        <v>#REF!</v>
      </c>
      <c r="N109" s="42">
        <f>D111+F111</f>
        <v>3940.9017081081083</v>
      </c>
      <c r="O109" s="57">
        <f>u_Healthy</f>
        <v>0</v>
      </c>
      <c r="P109" s="58" t="e">
        <f>M109*N109</f>
        <v>#REF!</v>
      </c>
      <c r="Q109" s="60" t="e">
        <f>M109*O109</f>
        <v>#REF!</v>
      </c>
    </row>
    <row r="110" spans="4:17" x14ac:dyDescent="0.3">
      <c r="D110" s="45" t="e">
        <f>Preterm_rate</f>
        <v>#REF!</v>
      </c>
      <c r="F110" s="45" t="e">
        <f>1-F104</f>
        <v>#REF!</v>
      </c>
      <c r="L110" s="59"/>
      <c r="M110" s="61"/>
      <c r="O110" s="57"/>
      <c r="P110" s="58"/>
      <c r="Q110" s="60"/>
    </row>
    <row r="111" spans="4:17" x14ac:dyDescent="0.3">
      <c r="D111" s="46">
        <f>Preterm_cost</f>
        <v>577.9017081081081</v>
      </c>
      <c r="F111" s="46">
        <f>follow_up__clinic__cost</f>
        <v>3363</v>
      </c>
      <c r="L111" s="59"/>
      <c r="M111" s="61"/>
      <c r="O111" s="57"/>
      <c r="P111" s="58"/>
      <c r="Q111" s="60"/>
    </row>
    <row r="112" spans="4:17" x14ac:dyDescent="0.3">
      <c r="J112" s="19" t="s">
        <v>226</v>
      </c>
      <c r="K112" s="19"/>
      <c r="L112" s="59">
        <v>16</v>
      </c>
      <c r="M112" s="61" t="e">
        <f>B119*D123*F119*H116*J113</f>
        <v>#REF!</v>
      </c>
      <c r="N112" s="42">
        <f>H117+J114</f>
        <v>10118.260399999999</v>
      </c>
      <c r="O112" s="57">
        <f>u_CongnitiveImpairement</f>
        <v>17.270393127285455</v>
      </c>
      <c r="P112" s="58" t="e">
        <f>M112*N112</f>
        <v>#REF!</v>
      </c>
      <c r="Q112" s="60" t="e">
        <f>M112*O112</f>
        <v>#REF!</v>
      </c>
    </row>
    <row r="113" spans="1:17" x14ac:dyDescent="0.3">
      <c r="J113" s="45" t="e">
        <f>Rate_of_cognitive_impairement</f>
        <v>#REF!</v>
      </c>
      <c r="L113" s="59"/>
      <c r="M113" s="61"/>
      <c r="O113" s="57"/>
      <c r="P113" s="58"/>
      <c r="Q113" s="60"/>
    </row>
    <row r="114" spans="1:17" x14ac:dyDescent="0.3">
      <c r="J114" s="46">
        <f>Cognitive_impairement_cost</f>
        <v>3819</v>
      </c>
      <c r="L114" s="59"/>
      <c r="M114" s="61"/>
      <c r="O114" s="57"/>
      <c r="P114" s="58"/>
      <c r="Q114" s="60"/>
    </row>
    <row r="115" spans="1:17" x14ac:dyDescent="0.3">
      <c r="H115" s="19" t="s">
        <v>161</v>
      </c>
      <c r="I115" s="19"/>
      <c r="J115" s="19" t="s">
        <v>204</v>
      </c>
      <c r="K115" s="19"/>
      <c r="L115" s="59">
        <v>17</v>
      </c>
      <c r="M115" s="61" t="e">
        <f>B119*D123*F119*H116*J116</f>
        <v>#REF!</v>
      </c>
      <c r="N115" s="42">
        <f>H117+J117</f>
        <v>6299.2604000000001</v>
      </c>
      <c r="O115" s="57">
        <f>u_Healthy</f>
        <v>0</v>
      </c>
      <c r="P115" s="58" t="e">
        <f>M115*N115</f>
        <v>#REF!</v>
      </c>
      <c r="Q115" s="60" t="e">
        <f>M115*O115</f>
        <v>#REF!</v>
      </c>
    </row>
    <row r="116" spans="1:17" x14ac:dyDescent="0.3">
      <c r="H116" s="45" t="e">
        <f>Hypoglycaemia</f>
        <v>#REF!</v>
      </c>
      <c r="J116" s="45" t="e">
        <f>1-J113</f>
        <v>#REF!</v>
      </c>
      <c r="L116" s="59"/>
      <c r="M116" s="61"/>
      <c r="O116" s="57"/>
      <c r="P116" s="58"/>
      <c r="Q116" s="60"/>
    </row>
    <row r="117" spans="1:17" x14ac:dyDescent="0.3">
      <c r="H117" s="46">
        <f>Hypoglycaemia_cost+follow_up__clinic__cost</f>
        <v>6299.2604000000001</v>
      </c>
      <c r="L117" s="59"/>
      <c r="M117" s="61"/>
      <c r="O117" s="57"/>
      <c r="P117" s="58"/>
      <c r="Q117" s="60"/>
    </row>
    <row r="118" spans="1:17" x14ac:dyDescent="0.3">
      <c r="B118" s="19" t="s">
        <v>23</v>
      </c>
      <c r="F118" s="19" t="s">
        <v>164</v>
      </c>
      <c r="H118" s="19" t="s">
        <v>204</v>
      </c>
      <c r="I118" s="19"/>
      <c r="J118" s="19"/>
      <c r="K118" s="19"/>
      <c r="L118" s="59">
        <v>18</v>
      </c>
      <c r="M118" s="61" t="e">
        <f>B119*D123*F119*H119</f>
        <v>#REF!</v>
      </c>
      <c r="N118" s="42">
        <f>H120</f>
        <v>3363</v>
      </c>
      <c r="O118" s="57">
        <f>u_Healthy</f>
        <v>0</v>
      </c>
      <c r="P118" s="58" t="e">
        <f>M118*N118</f>
        <v>#REF!</v>
      </c>
      <c r="Q118" s="60" t="e">
        <f>M118*O118</f>
        <v>#REF!</v>
      </c>
    </row>
    <row r="119" spans="1:17" x14ac:dyDescent="0.3">
      <c r="B119" s="45">
        <f>1-B86</f>
        <v>0.16900000000000004</v>
      </c>
      <c r="F119" s="45" t="e">
        <f>SGA</f>
        <v>#REF!</v>
      </c>
      <c r="H119" s="45" t="e">
        <f>1-H116</f>
        <v>#REF!</v>
      </c>
      <c r="L119" s="59"/>
      <c r="M119" s="61"/>
      <c r="O119" s="57"/>
      <c r="P119" s="58"/>
      <c r="Q119" s="60"/>
    </row>
    <row r="120" spans="1:17" x14ac:dyDescent="0.3">
      <c r="H120" s="46">
        <f>follow_up__clinic__cost</f>
        <v>3363</v>
      </c>
      <c r="L120" s="59"/>
      <c r="M120" s="61"/>
      <c r="O120" s="57"/>
      <c r="P120" s="58"/>
      <c r="Q120" s="60"/>
    </row>
    <row r="121" spans="1:17" x14ac:dyDescent="0.3">
      <c r="F121" s="19" t="s">
        <v>201</v>
      </c>
      <c r="G121" s="19"/>
      <c r="H121" s="19"/>
      <c r="I121" s="19"/>
      <c r="J121" s="19"/>
      <c r="K121" s="19"/>
      <c r="L121" s="59">
        <v>19</v>
      </c>
      <c r="M121" s="61" t="e">
        <f>B119*D123*F122</f>
        <v>#REF!</v>
      </c>
      <c r="N121" s="42">
        <f>F123</f>
        <v>3363</v>
      </c>
      <c r="O121" s="57">
        <f>u_Healthy</f>
        <v>0</v>
      </c>
      <c r="P121" s="58" t="e">
        <f>M121*N121</f>
        <v>#REF!</v>
      </c>
      <c r="Q121" s="60" t="e">
        <f>M121*O121</f>
        <v>#REF!</v>
      </c>
    </row>
    <row r="122" spans="1:17" x14ac:dyDescent="0.3">
      <c r="D122" s="19" t="s">
        <v>11</v>
      </c>
      <c r="F122" s="45" t="e">
        <f>1-F119-F125</f>
        <v>#REF!</v>
      </c>
      <c r="L122" s="59"/>
      <c r="M122" s="61"/>
      <c r="O122" s="57"/>
      <c r="P122" s="58"/>
      <c r="Q122" s="60"/>
    </row>
    <row r="123" spans="1:17" x14ac:dyDescent="0.3">
      <c r="D123" s="45" t="e">
        <f>1-D110</f>
        <v>#REF!</v>
      </c>
      <c r="F123" s="46">
        <f>follow_up__clinic__cost</f>
        <v>3363</v>
      </c>
      <c r="L123" s="59"/>
      <c r="M123" s="61"/>
      <c r="O123" s="57"/>
      <c r="P123" s="58"/>
      <c r="Q123" s="60"/>
    </row>
    <row r="124" spans="1:17" x14ac:dyDescent="0.3">
      <c r="F124" s="19" t="s">
        <v>207</v>
      </c>
      <c r="G124" s="19"/>
      <c r="H124" s="19"/>
      <c r="I124" s="19"/>
      <c r="J124" s="19"/>
      <c r="K124" s="19"/>
      <c r="L124" s="59">
        <v>20</v>
      </c>
      <c r="M124" s="61" t="e">
        <f>B119*D123*F125</f>
        <v>#REF!</v>
      </c>
      <c r="N124" s="42">
        <v>0</v>
      </c>
      <c r="O124" s="57">
        <f>u_Death</f>
        <v>19.181538114427529</v>
      </c>
      <c r="P124" s="58" t="e">
        <f>M124*N124</f>
        <v>#REF!</v>
      </c>
      <c r="Q124" s="60" t="e">
        <f>M124*O124</f>
        <v>#REF!</v>
      </c>
    </row>
    <row r="125" spans="1:17" x14ac:dyDescent="0.3">
      <c r="F125" s="45" t="e">
        <f>Term_stillbirth</f>
        <v>#REF!</v>
      </c>
      <c r="L125" s="59"/>
      <c r="O125" s="57"/>
      <c r="P125" s="58"/>
      <c r="Q125" s="60"/>
    </row>
    <row r="126" spans="1:17" x14ac:dyDescent="0.3">
      <c r="L126" s="59"/>
    </row>
    <row r="127" spans="1:17" x14ac:dyDescent="0.3">
      <c r="A127" s="20"/>
      <c r="B127" s="20"/>
      <c r="C127" s="20"/>
      <c r="D127" s="20"/>
      <c r="E127" s="20"/>
      <c r="F127" s="20"/>
      <c r="G127" s="20"/>
      <c r="H127" s="20"/>
      <c r="I127" s="20"/>
      <c r="J127" s="20"/>
      <c r="K127" s="20"/>
      <c r="L127" s="47" t="s">
        <v>206</v>
      </c>
      <c r="M127" s="20" t="e">
        <f>SUM(M67:M126)</f>
        <v>#REF!</v>
      </c>
      <c r="N127" s="20">
        <f t="shared" ref="N127:Q127" si="0">SUM(N67:N126)</f>
        <v>2307800.9858787037</v>
      </c>
      <c r="O127" s="20">
        <f t="shared" si="0"/>
        <v>112.33625784723668</v>
      </c>
      <c r="P127" s="20" t="e">
        <f t="shared" si="0"/>
        <v>#REF!</v>
      </c>
      <c r="Q127" s="20" t="e">
        <f t="shared" si="0"/>
        <v>#REF!</v>
      </c>
    </row>
    <row r="128" spans="1:17" x14ac:dyDescent="0.3">
      <c r="L128" s="59"/>
    </row>
    <row r="129" spans="12:12" x14ac:dyDescent="0.3">
      <c r="L129" s="59"/>
    </row>
    <row r="130" spans="12:12" x14ac:dyDescent="0.3">
      <c r="L130" s="59"/>
    </row>
    <row r="131" spans="12:12" x14ac:dyDescent="0.3">
      <c r="L131" s="59"/>
    </row>
  </sheetData>
  <pageMargins left="0.7" right="0.7" top="0.75" bottom="0.75" header="0.3" footer="0.3"/>
  <pageSetup paperSize="9" orientation="portrait" horizontalDpi="4294967293"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Q1813"/>
  <sheetViews>
    <sheetView topLeftCell="AD1" zoomScale="52" zoomScaleNormal="55" workbookViewId="0">
      <selection activeCell="AU41" sqref="AU41"/>
    </sheetView>
  </sheetViews>
  <sheetFormatPr defaultRowHeight="14.4" x14ac:dyDescent="0.3"/>
  <cols>
    <col min="1" max="1" width="13.109375" bestFit="1" customWidth="1"/>
    <col min="3" max="3" width="16.21875" bestFit="1" customWidth="1"/>
    <col min="5" max="5" width="12.6640625" bestFit="1" customWidth="1"/>
    <col min="7" max="7" width="14" bestFit="1" customWidth="1"/>
    <col min="11" max="11" width="12" bestFit="1" customWidth="1"/>
    <col min="13" max="13" width="14.21875" bestFit="1" customWidth="1"/>
    <col min="15" max="15" width="16.44140625" bestFit="1" customWidth="1"/>
    <col min="17" max="17" width="28.77734375" bestFit="1" customWidth="1"/>
    <col min="18" max="18" width="5.21875" customWidth="1"/>
    <col min="19" max="19" width="8.77734375" style="24" customWidth="1"/>
    <col min="20" max="20" width="12.44140625" customWidth="1"/>
    <col min="21" max="21" width="20.5546875" bestFit="1" customWidth="1"/>
    <col min="22" max="22" width="20.5546875" customWidth="1"/>
    <col min="23" max="23" width="16.109375" bestFit="1" customWidth="1"/>
    <col min="24" max="24" width="13.77734375" bestFit="1" customWidth="1"/>
    <col min="25" max="25" width="8.5546875" customWidth="1"/>
    <col min="26" max="26" width="21.21875" bestFit="1" customWidth="1"/>
    <col min="27" max="27" width="22.33203125" bestFit="1" customWidth="1"/>
    <col min="28" max="28" width="20.5546875" customWidth="1"/>
    <col min="29" max="29" width="22.33203125" customWidth="1"/>
    <col min="30" max="30" width="11.77734375" bestFit="1" customWidth="1"/>
    <col min="31" max="31" width="15" customWidth="1"/>
    <col min="32" max="32" width="13.5546875" bestFit="1" customWidth="1"/>
    <col min="33" max="33" width="13.5546875" customWidth="1"/>
    <col min="34" max="34" width="9.77734375" customWidth="1"/>
    <col min="35" max="35" width="13.5546875" bestFit="1" customWidth="1"/>
    <col min="36" max="36" width="13.5546875" customWidth="1"/>
    <col min="37" max="37" width="21.21875" bestFit="1" customWidth="1"/>
    <col min="38" max="38" width="11.77734375" bestFit="1" customWidth="1"/>
    <col min="39" max="39" width="12" customWidth="1"/>
    <col min="40" max="40" width="15.6640625" customWidth="1"/>
    <col min="41" max="41" width="13.77734375" customWidth="1"/>
    <col min="42" max="42" width="15.6640625" customWidth="1"/>
    <col min="43" max="43" width="14.77734375" customWidth="1"/>
    <col min="44" max="44" width="11.88671875" customWidth="1"/>
    <col min="45" max="45" width="11.5546875" customWidth="1"/>
    <col min="46" max="46" width="14.77734375" customWidth="1"/>
    <col min="47" max="47" width="15.77734375" customWidth="1"/>
    <col min="48" max="48" width="15.88671875" customWidth="1"/>
    <col min="49" max="49" width="14.44140625" bestFit="1" customWidth="1"/>
    <col min="50" max="50" width="11.77734375" customWidth="1"/>
    <col min="51" max="51" width="11.5546875" customWidth="1"/>
    <col min="52" max="52" width="19.77734375" bestFit="1" customWidth="1"/>
  </cols>
  <sheetData>
    <row r="1" spans="1:52" s="20" customFormat="1" x14ac:dyDescent="0.3">
      <c r="S1" s="24"/>
      <c r="T1" s="79" t="s">
        <v>59</v>
      </c>
      <c r="U1" s="77" t="s">
        <v>60</v>
      </c>
      <c r="V1" s="77"/>
      <c r="W1" s="76" t="s">
        <v>67</v>
      </c>
      <c r="X1" s="77" t="s">
        <v>63</v>
      </c>
      <c r="Y1" s="77"/>
      <c r="Z1" s="76" t="s">
        <v>66</v>
      </c>
      <c r="AA1" s="96" t="s">
        <v>64</v>
      </c>
      <c r="AB1" s="77"/>
      <c r="AC1" s="191"/>
      <c r="AE1" s="188" t="s">
        <v>831</v>
      </c>
      <c r="AF1" s="188"/>
      <c r="AG1" s="188"/>
      <c r="AH1" s="188"/>
      <c r="AI1" s="188"/>
      <c r="AJ1" s="188"/>
      <c r="AK1" s="188" t="s">
        <v>835</v>
      </c>
    </row>
    <row r="2" spans="1:52" s="20" customFormat="1" x14ac:dyDescent="0.3">
      <c r="A2" s="20" t="s">
        <v>373</v>
      </c>
      <c r="S2" s="24"/>
      <c r="T2" s="79" t="s">
        <v>4</v>
      </c>
      <c r="U2" s="77"/>
      <c r="V2" s="77"/>
      <c r="W2" s="76"/>
      <c r="X2" s="77"/>
      <c r="Y2" s="77"/>
      <c r="Z2" s="76"/>
      <c r="AA2" s="96"/>
      <c r="AB2" s="77" t="s">
        <v>838</v>
      </c>
      <c r="AC2" s="191"/>
      <c r="AE2" s="188" t="s">
        <v>3</v>
      </c>
      <c r="AF2" s="188" t="s">
        <v>165</v>
      </c>
      <c r="AH2" s="188" t="s">
        <v>373</v>
      </c>
      <c r="AI2" s="188" t="s">
        <v>5</v>
      </c>
      <c r="AJ2" s="188"/>
      <c r="AK2" s="188"/>
      <c r="AL2" s="188"/>
      <c r="AM2" s="190" t="s">
        <v>836</v>
      </c>
      <c r="AN2" s="190" t="s">
        <v>279</v>
      </c>
      <c r="AO2" s="190" t="s">
        <v>280</v>
      </c>
      <c r="AP2" s="190" t="s">
        <v>281</v>
      </c>
      <c r="AQ2" s="190" t="s">
        <v>729</v>
      </c>
      <c r="AR2" s="190" t="s">
        <v>339</v>
      </c>
      <c r="AS2" s="190" t="s">
        <v>837</v>
      </c>
      <c r="AT2" s="190" t="s">
        <v>282</v>
      </c>
      <c r="AU2" s="190" t="s">
        <v>283</v>
      </c>
      <c r="AV2" s="190" t="s">
        <v>738</v>
      </c>
      <c r="AX2" s="188" t="s">
        <v>373</v>
      </c>
      <c r="AY2" s="188" t="s">
        <v>5</v>
      </c>
      <c r="AZ2" s="190"/>
    </row>
    <row r="3" spans="1:52" x14ac:dyDescent="0.3">
      <c r="C3" s="19" t="s">
        <v>3</v>
      </c>
      <c r="D3" s="19"/>
      <c r="E3" s="19"/>
      <c r="F3" s="19"/>
      <c r="G3" s="19"/>
      <c r="H3" s="19"/>
      <c r="I3" s="19"/>
      <c r="J3" s="19"/>
      <c r="K3" s="19"/>
      <c r="L3" s="19"/>
      <c r="M3" s="19"/>
      <c r="N3" s="19"/>
      <c r="O3" s="19"/>
      <c r="P3" s="19"/>
      <c r="Q3" s="19"/>
      <c r="R3" s="19"/>
      <c r="T3" s="78"/>
      <c r="U3">
        <f>C4*A103</f>
        <v>1.502573010973939E-2</v>
      </c>
      <c r="V3">
        <v>1.3647347965249199E-2</v>
      </c>
      <c r="W3" s="42">
        <f>C5+A104</f>
        <v>4269</v>
      </c>
      <c r="X3">
        <f>u_Death</f>
        <v>19.181538114427529</v>
      </c>
      <c r="Z3" s="42">
        <f>U3*W3</f>
        <v>64.144841838477461</v>
      </c>
      <c r="AA3" s="6">
        <f>U3*X3</f>
        <v>0.28821661479706745</v>
      </c>
      <c r="AB3" s="42"/>
      <c r="AD3" t="s">
        <v>373</v>
      </c>
      <c r="AE3">
        <f>AA3+AA456</f>
        <v>0.3397196325964752</v>
      </c>
      <c r="AF3">
        <f>AA7+AA63+AA120+AA176+AA232+AA288+AA344+AA400+AA460+AA516+AA572+AA628+AA684+AA740+AA796+AA852</f>
        <v>0.229875784616413</v>
      </c>
      <c r="AG3" s="4" t="s">
        <v>367</v>
      </c>
      <c r="AH3">
        <f>AA11+AA24+AA37+AA50+AA67+AA80+AA94+AA107+AA124+AA137+AA150+AA163+AA180+AA193+AA206+AA219+AA236+AA249+AA262+AA275+AA292+AA305+AA318+AA331+AA348+AA361+AA374+AA387+AA404+AA417+AA430+AA443+AA464+AA477+AA490+AA503+AA520+AA533+AA546+AA559+AA576+AA589+AA602+AA615+AA632+AA645+AA658+AA671+AA688+AA701+AA714+AA727+AA744+AA757+AA770+AA783+AA800+AA813+AA826+AA839+AA856+AA869+AA882+AA895</f>
        <v>2.4764426372939019E-2</v>
      </c>
      <c r="AI3">
        <f>AA917+AA930+AA943+AA956+AA973+AA986+AA999+AA1012+AA1029+AA1042+AA1055+AA1068+AA1085+AA1098+AA1111+AA1124+AA1141+AA1154+AA1167+AA1180+AA1197+AA1210+AA1223+AA1236+AA1253+AA1266+AA1279+AA1292+AA1309+AA1322+AA1335+AA1348+AA1369+AA1382+AA1395+AA1408+AA1425+AA1438+AA1451+AA1464+AA1481+AA1494+AA1507+AA1520+AA1537+AA1550+AA1563+AA1576+AA1593+AA1606+AA1619+AA1632+AA1649+AA1662+AA1675+AA1688+AA1705+AA1718+AA1731+AA1744+AA1761+AA1774+AA1787+AA1800</f>
        <v>4.1329619998194886E-2</v>
      </c>
      <c r="AJ3">
        <f>AI3-AH3</f>
        <v>1.6565193625255867E-2</v>
      </c>
      <c r="AL3" s="42"/>
      <c r="AM3" s="189"/>
      <c r="AN3" s="189" t="s">
        <v>373</v>
      </c>
      <c r="AO3" s="189" t="s">
        <v>373</v>
      </c>
      <c r="AP3" s="189" t="s">
        <v>373</v>
      </c>
      <c r="AQ3" s="189" t="s">
        <v>373</v>
      </c>
      <c r="AR3" s="189" t="s">
        <v>373</v>
      </c>
      <c r="AS3" s="189" t="s">
        <v>373</v>
      </c>
      <c r="AT3" s="189" t="s">
        <v>373</v>
      </c>
      <c r="AU3" s="189" t="s">
        <v>373</v>
      </c>
      <c r="AV3" s="189" t="s">
        <v>373</v>
      </c>
      <c r="AW3" s="4" t="s">
        <v>367</v>
      </c>
      <c r="AX3" s="42">
        <f>AC11+AC24+AC37+AC50+AC67+AC80+AC94+AC107+AC124+AC137+AC150+AC163+AC180+AC193+AC206+AC219+AC236+AC249+AC262+AC275+AC292+AC305+AC318+AC331+AC348+AC361+AC374+AC387+AC404+AC417+AC430+AC443+AC464+AC477+AC490+AC503+AC520+AC533+AC546+AC559+AC576+AC589+AC602+AC615+AC632+AC645+AC658+AC671+AC688+AC701+AC714+AC727+AC744+AC757+AC770+AC783+AC800+AC813+AC826+AC839+AC856+AC869+AC882+AC895</f>
        <v>2014.3524145993665</v>
      </c>
      <c r="AY3" s="42">
        <f>AC917+AC930+AC943+AC956+AC973+AC986+AC999+AC1012+AC1029+AC1042+AC1055+AC1068+AC1085+AC1098+AC1111+AC1124+AC1141+AC1154+AC1167+AC1180+AC1197+AC1210+AC1223+AC1236+AC1253+AC1266+AC1279+AC1292+AC1309+AC1322+AC1335+AC1348+AC1369+AC1382+AC1395+AC1408+AC1425+AC1438+AC1451+AC1464+AC1481+AC1494+AC1507+AC1520+AC1537+AC1550+AC1563+AC1576+AC1593+AC1606+AC1619+AC1632+AC1649+AC1662+AC1675+AC1688+AC1705+AC1718+AC1731+AC1744+AC1761+AC1774+AC1787+AC1800</f>
        <v>3361.7746110530184</v>
      </c>
      <c r="AZ3" s="42">
        <f>AY3-AX3</f>
        <v>1347.4221964536518</v>
      </c>
    </row>
    <row r="4" spans="1:52" x14ac:dyDescent="0.3">
      <c r="C4" s="45">
        <f>ANC2SB_1</f>
        <v>1.6422801402225295E-2</v>
      </c>
      <c r="T4" s="78"/>
      <c r="Z4" s="42"/>
      <c r="AA4" s="6"/>
      <c r="AB4" s="42"/>
      <c r="AD4" t="s">
        <v>5</v>
      </c>
      <c r="AE4">
        <f>AA909+AA1361</f>
        <v>0.36409418552022166</v>
      </c>
      <c r="AF4">
        <f>AA913+AA969+AA1025+AA1081+AA1137+AA1193+AA1249+AA1305+AA1365+AA1421+AA1478+AA1533+AA1589+AA1645+AA1701+AA1757</f>
        <v>0.3120032396755249</v>
      </c>
      <c r="AG4" s="4"/>
      <c r="AJ4">
        <f t="shared" ref="AJ4:AJ12" si="0">AI4-AH4</f>
        <v>0</v>
      </c>
      <c r="AL4" s="42"/>
      <c r="AM4" s="42">
        <f>(A103*c_grant)+(A555*c_grant)</f>
        <v>2300</v>
      </c>
      <c r="AN4" s="189">
        <f>(A103*c_ANC)</f>
        <v>161.94278699999998</v>
      </c>
      <c r="AO4" s="42">
        <f>(E78*C148*A103)*c_prem</f>
        <v>69.095516388093969</v>
      </c>
      <c r="AP4" s="42">
        <f>(G40*E78*C148*A103)*c_LBW</f>
        <v>14731.937939186873</v>
      </c>
      <c r="AQ4" s="42">
        <f>(G150*E78*C148*A103)*c_NICU_NBW</f>
        <v>77.474394384702308</v>
      </c>
      <c r="AR4" s="42">
        <f>(C4*A103)*c_SB</f>
        <v>26.926108356652989</v>
      </c>
      <c r="AS4" s="42">
        <f>(K8*I16*G40*E78*C148*A103)*c_SB</f>
        <v>3.158757300584762</v>
      </c>
      <c r="AT4" s="42">
        <f>(M22*K27*I16*G40*E78*C148*A103)*c_RDS</f>
        <v>294.0180164188003</v>
      </c>
      <c r="AU4" s="42">
        <f>(O17*M22*K27*I16*G40*E78*C148*A103)*c_hypo</f>
        <v>6.0807432636551102</v>
      </c>
      <c r="AV4" s="189">
        <f>SUM(AB11:AB904)</f>
        <v>10712.167405527278</v>
      </c>
      <c r="AW4" s="4"/>
      <c r="AX4" s="42"/>
      <c r="AY4" s="42"/>
      <c r="AZ4" s="42">
        <f t="shared" ref="AZ4:AZ12" si="1">AY4-AX4</f>
        <v>0</v>
      </c>
    </row>
    <row r="5" spans="1:52" x14ac:dyDescent="0.3">
      <c r="C5" s="46">
        <f>c_SB</f>
        <v>1792</v>
      </c>
      <c r="T5" s="78"/>
      <c r="Z5" s="42"/>
      <c r="AA5" s="6"/>
      <c r="AB5" s="42"/>
      <c r="AG5" s="4"/>
      <c r="AJ5">
        <f t="shared" si="0"/>
        <v>0</v>
      </c>
      <c r="AM5" s="42"/>
      <c r="AN5" s="189"/>
      <c r="AO5" s="42">
        <f>(E531*C600*A555)*c_prem</f>
        <v>6.2734923052257496</v>
      </c>
      <c r="AP5" s="42">
        <f>(G265*E302*C148*A103)*c_LBW</f>
        <v>49064.830817877286</v>
      </c>
      <c r="AQ5" s="42">
        <f>(G374*E302*C148*A103)*c_NICU_NBW</f>
        <v>737.68852888537708</v>
      </c>
      <c r="AR5" s="42">
        <f>(C457*A555)*c_SB</f>
        <v>4.8115749292868015</v>
      </c>
      <c r="AS5" s="42">
        <f>(K64*I72*G40*E78*C148*A103)*c_SB</f>
        <v>1.9851174181589484</v>
      </c>
      <c r="AT5" s="42">
        <f>(M78*K83*I72*G40*E78*C148*A103)*c_RDS</f>
        <v>462.80387102573479</v>
      </c>
      <c r="AU5" s="42">
        <f>(O40*M42*K27*I16*G40*E78*C148*A103)*c_hypo</f>
        <v>7.4320195444673534</v>
      </c>
      <c r="AV5" s="42"/>
      <c r="AW5" s="4"/>
      <c r="AX5" s="42"/>
      <c r="AY5" s="42"/>
      <c r="AZ5" s="42">
        <f t="shared" si="1"/>
        <v>0</v>
      </c>
    </row>
    <row r="6" spans="1:52" x14ac:dyDescent="0.3">
      <c r="T6" s="78"/>
      <c r="Z6" s="42"/>
      <c r="AA6" s="6"/>
      <c r="AB6" s="42"/>
      <c r="AG6" s="4" t="s">
        <v>833</v>
      </c>
      <c r="AH6">
        <f>AA14+AA27+AA40+AA53+AA70+AA83+AA97+AA110+AA127+AA140+AA153+AA166+AA183+AA196+AA209+AA222+AA239+AA252+AA265+AA278+AA295+AA308+AA321+AA334+AA351+AA364+AA377+AA390+AA407+AA420+AA433+AA446+AA467+AA480+AA493+AA506+AA523+AA536+AA549+AA562+AA579+AA592+AA605+AA618+AA635+AA648+AA661+AA674+AA691+AA704+AA717+AA730+AA747+AA760+AA773+AA786+AA803+AA816+AA829+AA842+AA859+AA872+AA885+AA898</f>
        <v>0.55571707797774594</v>
      </c>
      <c r="AI6">
        <f t="shared" ref="AI6:AI12" si="2">AA920+AA933+AA946+AA959+AA976+AA989+AA1002+AA1015+AA1032+AA1045+AA1058+AA1071+AA1088+AA1101+AA1114+AA1127+AA1144+AA1157+AA1170+AA1183+AA1200+AA1213+AA1226+AA1239+AA1256+AA1269+AA1282+AA1295+AA1312+AA1325+AA1338+AA1351+AA1372+AA1385+AA1398+AA1411+AA1428+AA1441+AA1454+AA1467+AA1484+AA1497+AA1510+AA1523+AA1540+AA1553+AA1566+AA1579+AA1596+AA1609+AA1622+AA1635+AA1652+AA1665+AA1678+AA1691+AA1708+AA1721+AA1734+AA1747+AA1764+AA1777+AA1790+AA1803</f>
        <v>0.54145031045611391</v>
      </c>
      <c r="AJ6">
        <f t="shared" si="0"/>
        <v>-1.4266767521632029E-2</v>
      </c>
      <c r="AM6" s="42"/>
      <c r="AN6" s="189"/>
      <c r="AO6" s="189">
        <f>SUM(AO4:AO5)</f>
        <v>75.369008693319714</v>
      </c>
      <c r="AP6" s="42">
        <f>(G493*E531*C600*A555)*c_LBW</f>
        <v>1337.5788203600052</v>
      </c>
      <c r="AQ6" s="42">
        <f>(G602*E531*C600*A555)*c_NICU_NBW</f>
        <v>7.0342482758867533</v>
      </c>
      <c r="AR6" s="189">
        <f>SUM(AR4:AR5)</f>
        <v>31.737683285939791</v>
      </c>
      <c r="AS6" s="42">
        <f>(K121*I129*G150*E78*C148*A103)*c_SB</f>
        <v>0</v>
      </c>
      <c r="AT6" s="42">
        <f>(M135*K140*I129*G150*E78*C148*A103)*c_RDS</f>
        <v>0</v>
      </c>
      <c r="AU6" s="42">
        <f>(O73*M78*K83*I72*G40*E78*C148*A103)*c_hypo</f>
        <v>6.6622924312195977</v>
      </c>
      <c r="AV6" s="42"/>
      <c r="AW6" s="4" t="s">
        <v>833</v>
      </c>
      <c r="AX6" s="42">
        <f t="shared" ref="AX6:AX12" si="3">AC14+AC27+AC40+AC53+AC70+AC83+AC97+AC110+AC127+AC140+AC153+AC166+AC183+AC196+AC209+AC222+AC239+AC252+AC265+AC278+AC295+AC308+AC321+AC334+AC351+AC364+AC377+AC390+AC407+AC420+AC433+AC446+AC467+AC480+AC493+AC506+AC523+AC536+AC549+AC562+AC579+AC592+AC605+AC618+AC635+AC648+AC661+AC674+AC691+AC704+AC717+AC730+AC747+AC760+AC773+AC786+AC803+AC816+AC829+AC842+AC859+AC872+AC885+AC898</f>
        <v>152.07059220751103</v>
      </c>
      <c r="AY6" s="42">
        <f t="shared" ref="AY6:AY12" si="4">AC920+AC933+AC946+AC959+AC976+AC989+AC1002+AC1015+AC1032+AC1045+AC1058+AC1071+AC1088+AC1101+AC1114+AC1127+AC1144+AC1157+AC1170+AC1183+AC1200+AC1213+AC1226+AC1239+AC1256+AC1269+AC1282+AC1295+AC1312+AC1325+AC1338+AC1351+AC1372+AC1385+AC1398+AC1411+AC1428+AC1441+AC1454+AC1467+AC1484+AC1497+AC1510+AC1523+AC1540+AC1553+AC1566+AC1579+AC1596+AC1609+AC1622+AC1635+AC1652+AC1665+AC1678+AC1691+AC1708+AC1721+AC1734+AC1747+AC1764+AC1777+AC1790+AC1803</f>
        <v>148.16652686225206</v>
      </c>
      <c r="AZ6" s="42">
        <f t="shared" si="1"/>
        <v>-3.9040653452589709</v>
      </c>
    </row>
    <row r="7" spans="1:52" x14ac:dyDescent="0.3">
      <c r="K7" s="19" t="s">
        <v>165</v>
      </c>
      <c r="L7" s="19"/>
      <c r="M7" s="19"/>
      <c r="N7" s="19"/>
      <c r="O7" s="19"/>
      <c r="P7" s="19"/>
      <c r="Q7" s="19"/>
      <c r="R7" s="19"/>
      <c r="T7" s="78"/>
      <c r="U7">
        <f>K8*I16*G40*E78*C148*A103</f>
        <v>1.7626993864870324E-3</v>
      </c>
      <c r="V7">
        <v>3.6347052383081582E-3</v>
      </c>
      <c r="W7" s="42">
        <f>$K$9+$I$17+$G$41+$E$79+$C$149+$A$104</f>
        <v>259548.45980810808</v>
      </c>
      <c r="X7">
        <f>u_Death</f>
        <v>19.181538114427529</v>
      </c>
      <c r="Z7" s="42">
        <f>U7*W7</f>
        <v>457.50591086740633</v>
      </c>
      <c r="AA7" s="6">
        <f>U7*X7</f>
        <v>3.3811285466179036E-2</v>
      </c>
      <c r="AB7" s="42"/>
      <c r="AG7" s="4"/>
      <c r="AJ7">
        <f t="shared" si="0"/>
        <v>0</v>
      </c>
      <c r="AM7" s="42"/>
      <c r="AN7" s="189"/>
      <c r="AO7" s="189"/>
      <c r="AP7" s="42">
        <f>(G717*E754*C600*A555)*c_LBW</f>
        <v>4497.4166225367608</v>
      </c>
      <c r="AQ7" s="42">
        <f>(G826*E754*C600*A555)*c_NICU_NBW</f>
        <v>67.618548698937886</v>
      </c>
      <c r="AR7" s="42"/>
      <c r="AS7" s="42">
        <f>(K177*I185*G150*E78*C148*A103)*c_SB</f>
        <v>3.5287806064372429</v>
      </c>
      <c r="AT7" s="42">
        <f>(M191*K196*I185*G150*E78*C148*A103)*c_RDS</f>
        <v>822.68852699620572</v>
      </c>
      <c r="AU7" s="42">
        <f>(O97*M99*K83*I72*G40*E78*C148*A103)*c_hypo</f>
        <v>8.1428018603795049</v>
      </c>
      <c r="AV7" s="42"/>
      <c r="AW7" s="4"/>
      <c r="AX7" s="42"/>
      <c r="AY7" s="42"/>
      <c r="AZ7" s="42">
        <f t="shared" si="1"/>
        <v>0</v>
      </c>
    </row>
    <row r="8" spans="1:52" x14ac:dyDescent="0.3">
      <c r="K8" s="45">
        <f>SGA_prem_2d_1</f>
        <v>7.6248466666666667E-2</v>
      </c>
      <c r="T8" s="78"/>
      <c r="Z8" s="42"/>
      <c r="AA8" s="6"/>
      <c r="AB8" s="42"/>
      <c r="AG8" s="4"/>
      <c r="AJ8">
        <f t="shared" si="0"/>
        <v>0</v>
      </c>
      <c r="AM8" s="42"/>
      <c r="AN8" s="189"/>
      <c r="AO8" s="189"/>
      <c r="AP8" s="189">
        <f>SUM(AP4:AP7)</f>
        <v>69631.764199960919</v>
      </c>
      <c r="AQ8" s="189">
        <f>SUM(AQ4:AQ7)</f>
        <v>889.81572024490401</v>
      </c>
      <c r="AR8" s="42"/>
      <c r="AS8" s="42">
        <f>(K233*I241*G265*E302*C148*A103)*c_SB</f>
        <v>3.7196359544552049</v>
      </c>
      <c r="AT8" s="42">
        <f>(M475*K480*I469*G493*E531*C600*A555)*c_RDS</f>
        <v>26.695216419555067</v>
      </c>
      <c r="AU8" s="42">
        <f>(O186*M191*K196*I185*G150*E78*C148*A103)*c_hypo</f>
        <v>11.843011456473414</v>
      </c>
      <c r="AV8" s="42"/>
      <c r="AW8" s="4"/>
      <c r="AX8" s="42"/>
      <c r="AY8" s="42"/>
      <c r="AZ8" s="42">
        <f t="shared" si="1"/>
        <v>0</v>
      </c>
    </row>
    <row r="9" spans="1:52" x14ac:dyDescent="0.3">
      <c r="K9" s="46">
        <f>c_SB</f>
        <v>1792</v>
      </c>
      <c r="T9" s="78"/>
      <c r="Z9" s="42"/>
      <c r="AA9" s="6"/>
      <c r="AB9" s="42"/>
      <c r="AE9">
        <f>SUM(AE3:AF3)</f>
        <v>0.5695954172128882</v>
      </c>
      <c r="AF9">
        <f>AE10-AE9</f>
        <v>0.10650200798285836</v>
      </c>
      <c r="AG9" s="4" t="s">
        <v>834</v>
      </c>
      <c r="AH9">
        <f>AA17+AA30+AA43+AA56+AA73+AA86+AA100+AA113+AA130+AA143+AA156+AA169+AA186+AA199+AA212+AA225+AA242+AA255+AA268+AA281+AA298+AA311+AA324+AA337+AA354+AA367+AA380+AA393+AA410+AA423+AA436+AA449+AA470+AA483+AA496+AA509+AA526+AA539+AA552+AA565+AA582+AA595+AA608+AA621+AA638+AA651+AA664+AA677+AA694+AA707+AA720+AA733+AA750+AA763+AA776+AA789+AA806+AA819+AA832+AA845+AA862+AA875+AA888+AA901</f>
        <v>3.0222042377789613E-2</v>
      </c>
      <c r="AI9">
        <f>AA923+AA936+AA949+AA962+AA979+AA992+AA1005+AA1018+AA1035+AA1048+AA1061+AA1074+AA1091+AA1104+AA1117+AA1130+AA1147+AA1160+AA1173+AA1186+AA1203+AA1216+AA1229+AA1242+AA1259+AA1272+AA1285+AA1298+AA1315+AA1328+AA1341+AA1354+AA1375+AA1388+AA1401+AA1414+AA1431+AA1444+AA1457+AA1470+AA1487+AA1500+AA1513+AA1526+AA1543+AA1556+AA1569+AA1582+AA1599+AA1612+AA1625+AA1638+AA1655+AA1668+AA1681+AA1694+AA1711+AA1724+AA1737+AA1750+AA1767+AA1780+AA1793+AA1806</f>
        <v>5.0887146141560501E-2</v>
      </c>
      <c r="AJ9">
        <f t="shared" si="0"/>
        <v>2.0665103763770887E-2</v>
      </c>
      <c r="AM9" s="42"/>
      <c r="AN9" s="189" t="s">
        <v>5</v>
      </c>
      <c r="AO9" s="189" t="s">
        <v>5</v>
      </c>
      <c r="AP9" s="189" t="s">
        <v>5</v>
      </c>
      <c r="AQ9" s="189" t="s">
        <v>5</v>
      </c>
      <c r="AR9" s="189" t="s">
        <v>5</v>
      </c>
      <c r="AS9" s="42">
        <f>(K289*I297*G265*E302*C148*A103)*c_SB</f>
        <v>0.19516608403005703</v>
      </c>
      <c r="AT9" s="42">
        <f>(M531*K536*I525*G493*E531*C600*A555)*c_RDS</f>
        <v>42.020042333874642</v>
      </c>
      <c r="AU9" s="42">
        <f>(O209*M211*K196*I185*G150*E78*C148*A103)*c_hypo</f>
        <v>14.474791780134167</v>
      </c>
      <c r="AV9" s="42"/>
      <c r="AW9" s="4" t="s">
        <v>834</v>
      </c>
      <c r="AX9" s="42">
        <f>AC17+AC30+AC43+AC56+AC73+AC86+AC100+AC113+AC130+AC143+AC156+AC169+AC186+AC199+AC212+AC225+AC242+AC255+AC268+AC281+AC298+AC311+AC324+AC337+AC354+AC367+AC380+AC393+AC410+AC423+AC436+AC449+AC470+AC483+AC496+AC509+AC526+AC539+AC552+AC565+AC582+AC595+AC608+AC621+AC638+AC651+AC664+AC677+AC694+AC707+AC720+AC733+AC750+AC763+AC776+AC789+AC806+AC819+AC832+AC845+AC862+AC875+AC888+AC901</f>
        <v>80.300791344637076</v>
      </c>
      <c r="AY9" s="42">
        <f t="shared" si="4"/>
        <v>135.20853598698341</v>
      </c>
      <c r="AZ9" s="42">
        <f t="shared" si="1"/>
        <v>54.90774464234633</v>
      </c>
    </row>
    <row r="10" spans="1:52" x14ac:dyDescent="0.3">
      <c r="T10" s="78"/>
      <c r="Z10" s="42"/>
      <c r="AA10" s="6"/>
      <c r="AB10" s="42"/>
      <c r="AE10">
        <f>SUM(AE4:AF4)</f>
        <v>0.67609742519574656</v>
      </c>
      <c r="AG10" s="4"/>
      <c r="AJ10">
        <f t="shared" si="0"/>
        <v>0</v>
      </c>
      <c r="AM10" s="42"/>
      <c r="AN10" s="189">
        <f>A1008*A1009</f>
        <v>147.08699999999999</v>
      </c>
      <c r="AO10" s="42">
        <f>(E984*C1053*A1008)*c_prem</f>
        <v>82.575070973868208</v>
      </c>
      <c r="AP10" s="42">
        <f>(G946*E984*C1053*A1008)*c_LBW</f>
        <v>24797.084426898917</v>
      </c>
      <c r="AQ10" s="42">
        <f>(G1055*E984*C1053*A1008)*c_NICU_NBW</f>
        <v>57.149672466146932</v>
      </c>
      <c r="AR10" s="42">
        <f>(C910*A1008)*c_SB</f>
        <v>24.456047553726602</v>
      </c>
      <c r="AS10" s="42">
        <f>(K345*I353*G374*E302*C148*A103)*c_SB</f>
        <v>2.1556376458643842</v>
      </c>
      <c r="AT10" s="42">
        <f>(M587*K592*I581*G602*E531*C600*A555)*c_RDS</f>
        <v>0</v>
      </c>
      <c r="AU10" s="42">
        <f>(O265*M267*K252*I241*G265*E302*C148*A103)*c_hypo</f>
        <v>130.77303587719032</v>
      </c>
      <c r="AV10" s="42"/>
      <c r="AW10" s="4"/>
      <c r="AX10" s="42"/>
      <c r="AY10" s="42"/>
      <c r="AZ10" s="42">
        <f t="shared" si="1"/>
        <v>0</v>
      </c>
    </row>
    <row r="11" spans="1:52" x14ac:dyDescent="0.3">
      <c r="Q11" s="19" t="s">
        <v>367</v>
      </c>
      <c r="R11" s="19"/>
      <c r="T11" s="78"/>
      <c r="U11">
        <f>$Q$12*$O$17*$M$22*$K$27*$I$16*$G$40*$E$78*$C$148*$A$103</f>
        <v>7.0922321393779655E-4</v>
      </c>
      <c r="V11">
        <v>1.3151941396883436E-3</v>
      </c>
      <c r="W11" s="42">
        <f>$K$28+$I$17+$G$41+$E$79+$C$149+$A$104+$M$23+$O$18+Q13</f>
        <v>345817.84125871374</v>
      </c>
      <c r="X11">
        <f>u_ChronicResp</f>
        <v>0.53465956747782661</v>
      </c>
      <c r="Z11" s="42">
        <f>U11*W11</f>
        <v>245.26204081453571</v>
      </c>
      <c r="AA11" s="6">
        <f>U11*X11</f>
        <v>3.791929768092164E-4</v>
      </c>
      <c r="AB11" s="42">
        <f t="shared" ref="AB11:AB42" si="5">U11*c_CSG</f>
        <v>7.8298242818732735</v>
      </c>
      <c r="AC11" s="42">
        <f>U11*(Q13-c_CSG)</f>
        <v>30.843770694782968</v>
      </c>
      <c r="AG11" s="4"/>
      <c r="AJ11">
        <f t="shared" si="0"/>
        <v>0</v>
      </c>
      <c r="AM11" s="42"/>
      <c r="AN11" s="42"/>
      <c r="AO11" s="42">
        <f>(E1436*C1505*A1460)*c_prem</f>
        <v>16.398765453912503</v>
      </c>
      <c r="AP11" s="42">
        <f>(G1170*E1207*C1053*A1008)*c_LBW</f>
        <v>59729.10994464127</v>
      </c>
      <c r="AQ11" s="42">
        <f>(G1279*E1207*C1053*A1008)*c_NICU_NBW</f>
        <v>552.23609509432083</v>
      </c>
      <c r="AR11" s="42">
        <f>(C1362*A1460)*c_SB</f>
        <v>9.5587836115326255</v>
      </c>
      <c r="AS11" s="42">
        <f>(K401*I409*G374*E302*C148*A103)*c_SB</f>
        <v>4.9362918824083719</v>
      </c>
      <c r="AT11" s="42">
        <f>(M643*K648*I637*G602*E531*C600*A555)*c_RDS</f>
        <v>74.695586826781877</v>
      </c>
      <c r="AU11" s="42">
        <f>(O377*M379*K364*I353*E302*G374*C148*A103)*c_hypo</f>
        <v>75.786792754059604</v>
      </c>
      <c r="AV11" s="42"/>
      <c r="AW11" s="4"/>
      <c r="AX11" s="42"/>
      <c r="AY11" s="42"/>
      <c r="AZ11" s="42">
        <f t="shared" si="1"/>
        <v>0</v>
      </c>
    </row>
    <row r="12" spans="1:52" x14ac:dyDescent="0.3">
      <c r="Q12" s="45">
        <f>RDS2CLD_1-(Hypo2CI_1*RDS2CLD_1)</f>
        <v>0.34246866666666664</v>
      </c>
      <c r="R12" s="45"/>
      <c r="T12" s="78"/>
      <c r="Z12" s="42"/>
      <c r="AA12" s="6"/>
      <c r="AB12" s="42">
        <f t="shared" si="5"/>
        <v>0</v>
      </c>
      <c r="AC12" s="42"/>
      <c r="AG12" s="4" t="s">
        <v>832</v>
      </c>
      <c r="AH12">
        <f>AA20+AA33+AA46+AA59+AA76+AA89+AA103+AA116+AA133+AA146+AA159+AA172+AA189+AA202+AA215+AA228+AA245+AA258+AA271+AA284+AA301+AA314+AA327+AA340+AA357+AA370+AA383+AA396+AA413+AA426+AA439+AA452+AA473+AA486+AA499+AA512+AA529+AA542+AA555+AA568+AA585+AA598+AA611+AA624+AA641+AA654+AA667+AA680+AA697+AA710+AA723+AA736+AA753+AA766+AA779+AA792+AA809+AA822+AA835+AA848+AA865+AA878+AA891+AA904</f>
        <v>0</v>
      </c>
      <c r="AI12">
        <f t="shared" si="2"/>
        <v>0</v>
      </c>
      <c r="AJ12">
        <f t="shared" si="0"/>
        <v>0</v>
      </c>
      <c r="AM12" s="42"/>
      <c r="AN12" s="42"/>
      <c r="AO12" s="189">
        <f>SUM(AO10:AO11)</f>
        <v>98.973836427780711</v>
      </c>
      <c r="AP12" s="42">
        <f>(G1398*E1436*C1505*A1460)*c_LBW</f>
        <v>4924.507683272449</v>
      </c>
      <c r="AQ12" s="42">
        <f>(G1507*E1436*C1505*A1460)*c_NICU_NBW</f>
        <v>11.349479491659745</v>
      </c>
      <c r="AR12" s="189">
        <f>SUM(AR10:AR11)</f>
        <v>34.014831165259224</v>
      </c>
      <c r="AS12" s="42">
        <f>(K461*I469*G493*E531*C600*A555)*c_SB</f>
        <v>0.28679776424261283</v>
      </c>
      <c r="AT12" s="189">
        <f>SUM(AT4:AT11)</f>
        <v>1722.9212600209526</v>
      </c>
      <c r="AU12" s="42">
        <f>(O470*M475*K480*I469*G493*E531*C600*A555)*c_hypo</f>
        <v>0.55209799519157998</v>
      </c>
      <c r="AV12" s="42"/>
      <c r="AW12" s="4" t="s">
        <v>832</v>
      </c>
      <c r="AX12" s="42">
        <f t="shared" si="3"/>
        <v>2993.4468911426547</v>
      </c>
      <c r="AY12" s="42">
        <f t="shared" si="4"/>
        <v>2869.4545567613113</v>
      </c>
      <c r="AZ12" s="42">
        <f t="shared" si="1"/>
        <v>-123.99233438134343</v>
      </c>
    </row>
    <row r="13" spans="1:52" x14ac:dyDescent="0.3">
      <c r="Q13" s="46">
        <f>c_lung+c_hosp_fu+c_CSG</f>
        <v>54529.510902399998</v>
      </c>
      <c r="R13" s="46"/>
      <c r="T13" s="78"/>
      <c r="Z13" s="42"/>
      <c r="AA13" s="6"/>
      <c r="AB13" s="42">
        <f t="shared" si="5"/>
        <v>0</v>
      </c>
      <c r="AC13" s="42">
        <f>U13*(Q15-c_CSG)</f>
        <v>0</v>
      </c>
      <c r="AM13" s="42"/>
      <c r="AN13" s="42"/>
      <c r="AO13" s="42"/>
      <c r="AP13" s="42">
        <f>(G1622*E1659*C1505*A1460)*c_LBW</f>
        <v>11980.933688902911</v>
      </c>
      <c r="AQ13" s="42">
        <f>(G1731*E1659*C1505*A1460)*c_NICU_NBW</f>
        <v>110.77185047752978</v>
      </c>
      <c r="AR13" s="42"/>
      <c r="AS13" s="42">
        <f>(K517*I525*G493*E531*C600*A555)*c_SB</f>
        <v>0.18023772740680588</v>
      </c>
      <c r="AT13" s="189" t="s">
        <v>5</v>
      </c>
      <c r="AU13" s="42">
        <f>(O493*M495*K480*I469*G493*E531*C600*A555)*c_hypo</f>
        <v>0.67478643856748644</v>
      </c>
      <c r="AV13" s="42"/>
      <c r="AW13" s="42"/>
      <c r="AX13" s="42"/>
      <c r="AY13" s="42"/>
    </row>
    <row r="14" spans="1:52" x14ac:dyDescent="0.3">
      <c r="Q14" s="19" t="s">
        <v>226</v>
      </c>
      <c r="R14" s="19"/>
      <c r="T14" s="78"/>
      <c r="U14">
        <f>$Q$15*$O$17*$M$22*$K$27*$I$16*$G$40*$E$78*$C$148*$A$103</f>
        <v>6.7930126542732654E-5</v>
      </c>
      <c r="V14">
        <v>1.2597064306629622E-4</v>
      </c>
      <c r="W14" s="42">
        <f>$K$28+$I$17+$G$41+$E$79+$C$149+$A$104+$M$23+$O$18+Q16</f>
        <v>307054.33035631373</v>
      </c>
      <c r="X14">
        <f>u_CongnitiveImpairement</f>
        <v>17.270393127285455</v>
      </c>
      <c r="Z14" s="42">
        <f>U14*W14</f>
        <v>20.858239516598427</v>
      </c>
      <c r="AA14" s="6">
        <f>U14*X14</f>
        <v>1.1731799905792414E-3</v>
      </c>
      <c r="AB14" s="42">
        <f t="shared" si="5"/>
        <v>0.74994859703176853</v>
      </c>
      <c r="AC14" s="42">
        <f>U14*(Q16-c_CSG)</f>
        <v>0.32103777804095451</v>
      </c>
      <c r="AM14" s="42"/>
      <c r="AN14" s="42">
        <f>AN10-AN4</f>
        <v>-14.855786999999992</v>
      </c>
      <c r="AO14" s="42">
        <f>AO12-AO6</f>
        <v>23.604827734460997</v>
      </c>
      <c r="AP14" s="189">
        <f>SUM(AP10:AP13)</f>
        <v>101431.63574371554</v>
      </c>
      <c r="AQ14" s="189">
        <f>SUM(AQ10:AQ13)</f>
        <v>731.50709752965736</v>
      </c>
      <c r="AR14" s="42"/>
      <c r="AS14" s="42">
        <f>(K573*I581*G602*E531*C600*A555)*c_SB</f>
        <v>0</v>
      </c>
      <c r="AT14" s="42">
        <f>(M928*K933*I922*G946*E984*C1053*A1008)*c_RDS</f>
        <v>545.2314088956382</v>
      </c>
      <c r="AU14" s="42">
        <f>(O526*M531*K536*I525*G493*E531*C600*A555)*c_hypo</f>
        <v>0.60489945639398746</v>
      </c>
      <c r="AV14" s="189"/>
      <c r="AW14" s="42"/>
      <c r="AX14" s="42"/>
    </row>
    <row r="15" spans="1:52" x14ac:dyDescent="0.3">
      <c r="I15" s="19" t="s">
        <v>164</v>
      </c>
      <c r="Q15" s="45">
        <f>Hypo2CI_1-(Hypo2CI_1*RDS2CLD_1)</f>
        <v>3.2801999999999998E-2</v>
      </c>
      <c r="R15" s="45"/>
      <c r="T15" s="78"/>
      <c r="Z15" s="42"/>
      <c r="AA15" s="6"/>
      <c r="AB15" s="42">
        <f t="shared" si="5"/>
        <v>0</v>
      </c>
      <c r="AC15" s="42"/>
      <c r="AM15" s="42"/>
      <c r="AN15" s="42"/>
      <c r="AO15" s="42"/>
      <c r="AP15" s="42"/>
      <c r="AQ15" s="42"/>
      <c r="AR15" s="42"/>
      <c r="AS15" s="42">
        <f>(K685*I693*G717*E754*C600*A555)*c_SB</f>
        <v>0.3409520076294022</v>
      </c>
      <c r="AT15" s="42">
        <f>(M984*K989*I978*G946*E984*C1053*A1008)*c_RDS</f>
        <v>718.93463532710405</v>
      </c>
      <c r="AU15" s="42">
        <f>(O549*M551*K536*I525*G493*E531*C600*A555)*c_hypo</f>
        <v>0.73932155781487352</v>
      </c>
      <c r="AV15" s="189"/>
      <c r="AW15" s="42"/>
      <c r="AX15" s="42"/>
    </row>
    <row r="16" spans="1:52" x14ac:dyDescent="0.3">
      <c r="I16" s="45">
        <f>LBW_prem_2SGA_1</f>
        <v>0.39968592964824123</v>
      </c>
      <c r="O16" s="19" t="s">
        <v>161</v>
      </c>
      <c r="Q16" s="46">
        <f>c_cog+c_hosp_fu+c_CSG</f>
        <v>15766</v>
      </c>
      <c r="R16" s="46"/>
      <c r="T16" s="78"/>
      <c r="Z16" s="42"/>
      <c r="AA16" s="6"/>
      <c r="AB16" s="42">
        <f t="shared" si="5"/>
        <v>0</v>
      </c>
      <c r="AC16" s="42">
        <f>U16*(Q18-c_CSG)</f>
        <v>0</v>
      </c>
      <c r="AM16" s="42"/>
      <c r="AN16" s="42"/>
      <c r="AO16" s="42"/>
      <c r="AP16" s="42"/>
      <c r="AQ16" s="42"/>
      <c r="AR16" s="42"/>
      <c r="AS16" s="42">
        <f>(K629*I637*G602*E531*C600*A555)*c_SB</f>
        <v>0.32039384230043205</v>
      </c>
      <c r="AT16" s="42">
        <f>(M1040*K1045*I1034*G1055*E984*C1053*A1008)*c_RDS</f>
        <v>0</v>
      </c>
      <c r="AU16" s="42">
        <f>(O638*M643*K648*I637*G602*E531*C600*A555)*c_hypo</f>
        <v>1.0752802081335724</v>
      </c>
      <c r="AV16" s="189"/>
      <c r="AW16" s="42"/>
      <c r="AX16" s="42"/>
    </row>
    <row r="17" spans="7:52" x14ac:dyDescent="0.3">
      <c r="I17" s="46"/>
      <c r="O17" s="45">
        <f>SGA_prem_2hypoglycaemia_1</f>
        <v>0.2155</v>
      </c>
      <c r="Q17" s="19" t="s">
        <v>368</v>
      </c>
      <c r="R17" s="19"/>
      <c r="T17" s="78"/>
      <c r="U17">
        <f>$Q$18*$O$17*$M$22*$K$27*$I$16*$G$40*$E$78*$C$148*$A$103</f>
        <v>3.837680075418857E-5</v>
      </c>
      <c r="V17">
        <v>7.1166513531976426E-5</v>
      </c>
      <c r="W17" s="42">
        <f>$K$28+$I$17+$G$41+$E$79+$C$149+$A$104+$M$23+$O$18+Q19</f>
        <v>349636.84125871374</v>
      </c>
      <c r="X17">
        <f>u_ChronicResp+u_CongnitiveImpairement</f>
        <v>17.805052694763283</v>
      </c>
      <c r="Z17" s="42">
        <f>U17*W17</f>
        <v>13.417943393309514</v>
      </c>
      <c r="AA17" s="6">
        <f>U17*X17</f>
        <v>6.8330095968475882E-4</v>
      </c>
      <c r="AB17" s="42">
        <f t="shared" si="5"/>
        <v>0.42367988032624182</v>
      </c>
      <c r="AC17" s="42">
        <f>U17*(Q19-c_CSG)</f>
        <v>1.8155492968787623</v>
      </c>
      <c r="AM17" s="42"/>
      <c r="AN17" s="42"/>
      <c r="AO17" s="42"/>
      <c r="AP17" s="42"/>
      <c r="AQ17" s="42"/>
      <c r="AR17" s="42"/>
      <c r="AS17" s="42">
        <f>(K741*I749*G717*E754*C600*A555)*c_SB</f>
        <v>1.7889457190431599E-2</v>
      </c>
      <c r="AT17" s="42">
        <f>(M1096*K1101*I1090*G1055*E984*C1053*A1008)*c_RDS</f>
        <v>604.81283024105699</v>
      </c>
      <c r="AU17" s="42">
        <f>(O661*M663*K648*I637*G602*E531*C600*A555)*c_hypo</f>
        <v>1.3142313654965885</v>
      </c>
      <c r="AV17" s="189"/>
      <c r="AW17" s="42"/>
      <c r="AX17" s="42"/>
    </row>
    <row r="18" spans="7:52" x14ac:dyDescent="0.3">
      <c r="O18" s="46">
        <f>c_hypo</f>
        <v>2936.2604000000001</v>
      </c>
      <c r="Q18" s="45">
        <f>Hypo2CI_1*RDS2CLD_1</f>
        <v>1.8531333333333334E-2</v>
      </c>
      <c r="R18" s="45"/>
      <c r="T18" s="78"/>
      <c r="Z18" s="42"/>
      <c r="AA18" s="6"/>
      <c r="AB18" s="42">
        <f t="shared" si="5"/>
        <v>0</v>
      </c>
      <c r="AC18" s="42"/>
      <c r="AM18" s="42"/>
      <c r="AN18" s="42"/>
      <c r="AO18" s="42"/>
      <c r="AP18" s="42">
        <f>AP14-AP8</f>
        <v>31799.87154375462</v>
      </c>
      <c r="AQ18" s="42">
        <f>AQ14-AQ8</f>
        <v>-158.30862271524666</v>
      </c>
      <c r="AR18" s="42">
        <f>AR12-AR6</f>
        <v>2.2771478793194326</v>
      </c>
      <c r="AS18" s="42">
        <f>(K797*I805*G826*E754*C600*A555)*c_SB</f>
        <v>0.19759164393458156</v>
      </c>
      <c r="AT18" s="42">
        <f>(M1380*K1385*I1374*G1398*E1436*C1505*A1460)*c_RDS</f>
        <v>108.27870793372193</v>
      </c>
      <c r="AU18" s="42">
        <f>(O717*M719*K704*I693*G717*E754*C600*A555)*c_hypo</f>
        <v>11.987014232593188</v>
      </c>
      <c r="AV18" s="42"/>
      <c r="AW18" s="42"/>
      <c r="AX18" s="42"/>
      <c r="AZ18" s="42">
        <f>AN4+AO6+AM4+AP8+AQ8+AR6+AT12+AU20+AV4+AX3+AX6+AX9+AX12+AS20</f>
        <v>91072.454422360941</v>
      </c>
    </row>
    <row r="19" spans="7:52" x14ac:dyDescent="0.3">
      <c r="M19" s="42"/>
      <c r="Q19" s="46">
        <f>c_lung+c_cog+c_hosp_fu+c_CSG</f>
        <v>58348.510902399998</v>
      </c>
      <c r="R19" s="46"/>
      <c r="T19" s="78"/>
      <c r="Z19" s="42"/>
      <c r="AA19" s="6"/>
      <c r="AB19" s="42">
        <f t="shared" si="5"/>
        <v>0</v>
      </c>
      <c r="AC19" s="42">
        <f>U19*(Q21-c_CSG)</f>
        <v>0</v>
      </c>
      <c r="AM19" s="42"/>
      <c r="AN19" s="42"/>
      <c r="AO19" s="42"/>
      <c r="AP19" s="42"/>
      <c r="AQ19" s="42"/>
      <c r="AR19" s="42"/>
      <c r="AS19" s="42">
        <f>(K853*I861*G826*E754*C600*A555)*c_SB</f>
        <v>0.45247401846839086</v>
      </c>
      <c r="AT19" s="42">
        <f>(M1436*K1441*I1430*G1398*E1436*C1505*A1460)*c_RDS</f>
        <v>142.77481475195171</v>
      </c>
      <c r="AU19" s="42">
        <f>(O829*M831*K816*I805*G826*E754*C600*A555)*c_hypo</f>
        <v>6.9468247585736256</v>
      </c>
      <c r="AV19" s="42"/>
      <c r="AW19" s="42"/>
      <c r="AX19" s="42"/>
      <c r="AZ19" s="42">
        <f>AN10+AO12+AP14+AQ14+AR12+AS38+AT22+AU38+AV22+AY3+AY6+AY9+AY12</f>
        <v>122246.46644948145</v>
      </c>
    </row>
    <row r="20" spans="7:52" x14ac:dyDescent="0.3">
      <c r="Q20" s="19" t="s">
        <v>369</v>
      </c>
      <c r="R20" s="19"/>
      <c r="T20" s="78"/>
      <c r="U20">
        <f>$Q$21*$O$17*$M$22*$K$27*$I$16*$G$40*$E$78*$C$148*$A$103</f>
        <v>1.2553840268871247E-3</v>
      </c>
      <c r="V20">
        <v>2.3280029231602536E-3</v>
      </c>
      <c r="W20" s="42">
        <f>$K$28+$I$17+$G$41+$E$79+$C$149+$A$104+$M$23+$O$18+Q22</f>
        <v>305691.33035631373</v>
      </c>
      <c r="X20">
        <f>u_Healthy</f>
        <v>0</v>
      </c>
      <c r="Z20" s="42">
        <f>U20*W20</f>
        <v>383.7600132871915</v>
      </c>
      <c r="AA20" s="6">
        <f>U20*X20</f>
        <v>0</v>
      </c>
      <c r="AB20" s="42">
        <f t="shared" si="5"/>
        <v>13.859439656833857</v>
      </c>
      <c r="AC20" s="42">
        <f>U20*(Q22-c_CSG)</f>
        <v>4.2218564824214004</v>
      </c>
      <c r="AM20" s="42"/>
      <c r="AN20" s="42"/>
      <c r="AO20" s="42"/>
      <c r="AP20" s="42"/>
      <c r="AQ20" s="42"/>
      <c r="AR20" s="42"/>
      <c r="AS20" s="189">
        <f>SUM(AS4:AS19)</f>
        <v>21.475723353111629</v>
      </c>
      <c r="AT20" s="42">
        <f>(M1492*K1497*I1486*G1507*E1436*C1505*A1460)*c_RDS</f>
        <v>0</v>
      </c>
      <c r="AU20" s="189">
        <f>SUM(AU4:AU19)</f>
        <v>285.08994498034394</v>
      </c>
      <c r="AV20" s="42"/>
      <c r="AW20" s="42"/>
      <c r="AX20" s="42"/>
    </row>
    <row r="21" spans="7:52" x14ac:dyDescent="0.3">
      <c r="M21" s="19" t="s">
        <v>9</v>
      </c>
      <c r="Q21" s="45">
        <f>1-Q12-Q15-Q18</f>
        <v>0.60619800000000001</v>
      </c>
      <c r="R21" s="45"/>
      <c r="T21" s="78"/>
      <c r="Z21" s="42"/>
      <c r="AA21" s="6"/>
      <c r="AB21" s="42">
        <f t="shared" si="5"/>
        <v>0</v>
      </c>
      <c r="AC21" s="42">
        <f>U21*(Q23-c_CSG)</f>
        <v>0</v>
      </c>
      <c r="AM21" s="42"/>
      <c r="AN21" s="42"/>
      <c r="AO21" s="42"/>
      <c r="AP21" s="42"/>
      <c r="AQ21" s="42"/>
      <c r="AR21" s="42"/>
      <c r="AS21" s="189" t="s">
        <v>5</v>
      </c>
      <c r="AT21" s="42">
        <f>(M1548*K1553*I1542*G1507*E1436*C1505*A1460)*c_RDS</f>
        <v>120.11111379824078</v>
      </c>
      <c r="AU21" s="189" t="s">
        <v>5</v>
      </c>
      <c r="AV21" s="189" t="s">
        <v>5</v>
      </c>
      <c r="AW21" s="42"/>
      <c r="AX21" s="42"/>
    </row>
    <row r="22" spans="7:52" x14ac:dyDescent="0.3">
      <c r="K22" s="42"/>
      <c r="M22" s="45">
        <f>S_prem_2RDS_1</f>
        <v>0.45</v>
      </c>
      <c r="Q22" s="46">
        <f>c_clinic_fu+c_CSG</f>
        <v>14403</v>
      </c>
      <c r="R22" s="46"/>
      <c r="T22" s="78"/>
      <c r="Z22" s="42"/>
      <c r="AA22" s="6"/>
      <c r="AB22" s="42">
        <f t="shared" si="5"/>
        <v>0</v>
      </c>
      <c r="AC22" s="42"/>
      <c r="AM22" s="42"/>
      <c r="AN22" s="42"/>
      <c r="AO22" s="42"/>
      <c r="AP22" s="42"/>
      <c r="AQ22" s="42"/>
      <c r="AR22" s="42"/>
      <c r="AS22" s="42">
        <f>(K914*I922*G946*E984*C1053*A1008)*c_SB</f>
        <v>6.513391787048219</v>
      </c>
      <c r="AT22" s="189">
        <f>SUM(AT14:AT21)</f>
        <v>2240.1435109477134</v>
      </c>
      <c r="AU22" s="42">
        <f>(O923*M928*K933*I922*G946*E984*C1053*A1008)*c_hypo</f>
        <v>11.276221291326756</v>
      </c>
      <c r="AV22" s="189">
        <f>SUM(AB917:AB1810)</f>
        <v>10650.869809833084</v>
      </c>
      <c r="AW22" s="42"/>
      <c r="AX22" s="42"/>
    </row>
    <row r="23" spans="7:52" x14ac:dyDescent="0.3">
      <c r="K23" s="42"/>
      <c r="M23" s="46">
        <f>c_RDS</f>
        <v>30595.610148205637</v>
      </c>
      <c r="Q23" s="42"/>
      <c r="R23" s="42"/>
      <c r="T23" s="78"/>
      <c r="Z23" s="42"/>
      <c r="AA23" s="6"/>
      <c r="AB23" s="42">
        <f t="shared" si="5"/>
        <v>0</v>
      </c>
      <c r="AC23" s="42">
        <f>U23*(Q25-c_CSG)</f>
        <v>0</v>
      </c>
      <c r="AM23" s="42"/>
      <c r="AN23" s="42"/>
      <c r="AO23" s="42"/>
      <c r="AP23" s="42"/>
      <c r="AQ23" s="42"/>
      <c r="AR23" s="42"/>
      <c r="AS23" s="42">
        <f>(K970*I978*G946*E984*C1053*A1008)*c_SB</f>
        <v>3.4114682812215054</v>
      </c>
      <c r="AT23" s="42"/>
      <c r="AU23" s="42">
        <f>(O946*M948*K933*I922*G946*E984*C1053*A1008)*c_hypo</f>
        <v>13.782048244954924</v>
      </c>
      <c r="AV23" s="42"/>
      <c r="AW23" s="42"/>
      <c r="AX23" s="42"/>
    </row>
    <row r="24" spans="7:52" x14ac:dyDescent="0.3">
      <c r="Q24" s="19" t="s">
        <v>367</v>
      </c>
      <c r="R24" s="19"/>
      <c r="T24" s="78"/>
      <c r="U24">
        <f>$Q$25*$O$27*$M$22*$K$27*$I$16*$G$40*$E$78*$C$148*$A$103</f>
        <v>2.6314978124046809E-3</v>
      </c>
      <c r="V24">
        <v>4.879888917145454E-3</v>
      </c>
      <c r="W24" s="42">
        <f>$K$28+$I$17+$G$41+$E$79+$C$149+$A$104+$M$23+$O$28+Q26</f>
        <v>342881.58085871371</v>
      </c>
      <c r="X24">
        <f>u_ChronicResp</f>
        <v>0.53465956747782661</v>
      </c>
      <c r="Z24" s="42">
        <f>U24*W24</f>
        <v>902.29212994356385</v>
      </c>
      <c r="AA24" s="6">
        <f>U24*X24</f>
        <v>1.4069554821991336E-3</v>
      </c>
      <c r="AB24" s="42">
        <f t="shared" si="5"/>
        <v>29.051735848947676</v>
      </c>
      <c r="AC24" s="42">
        <f>U24*(Q26-c_CSG)</f>
        <v>114.44255280221512</v>
      </c>
      <c r="AM24" s="42"/>
      <c r="AN24" s="42"/>
      <c r="AO24" s="42"/>
      <c r="AP24" s="42"/>
      <c r="AQ24" s="42"/>
      <c r="AR24" s="42"/>
      <c r="AS24" s="42">
        <f>(K1026*I1034*G1055*E984*C1053*A1008)*c_SB</f>
        <v>0</v>
      </c>
      <c r="AT24" s="42"/>
      <c r="AU24" s="42">
        <f>(O979*M984*K989*I978*G946*E984*C1053*A1008)*c_hypo</f>
        <v>10.349422464565006</v>
      </c>
      <c r="AV24" s="42"/>
      <c r="AW24" s="42"/>
      <c r="AX24" s="42"/>
    </row>
    <row r="25" spans="7:52" x14ac:dyDescent="0.3">
      <c r="Q25" s="45">
        <f>RDS2CLD_1-(RDS2CLD_1*noHypo2CI_1)</f>
        <v>0.34905610687022898</v>
      </c>
      <c r="R25" s="45"/>
      <c r="T25" s="78"/>
      <c r="Z25" s="42"/>
      <c r="AA25" s="6"/>
      <c r="AB25" s="42">
        <f t="shared" si="5"/>
        <v>0</v>
      </c>
      <c r="AC25" s="42"/>
      <c r="AM25" s="42"/>
      <c r="AN25" s="42"/>
      <c r="AO25" s="42"/>
      <c r="AP25" s="42"/>
      <c r="AQ25" s="42"/>
      <c r="AR25" s="42"/>
      <c r="AS25" s="42">
        <f>(K1082*I1090*G1055*E984*C1053*A1008)*c_SB</f>
        <v>2.869940722085818</v>
      </c>
      <c r="AT25" s="42"/>
      <c r="AU25" s="42">
        <f>(O1002*M1004*K989*I978*G946*E984*C1053*A1008)*c_hypo</f>
        <v>12.649294123357231</v>
      </c>
      <c r="AV25" s="42"/>
      <c r="AW25" s="42"/>
      <c r="AX25" s="42"/>
    </row>
    <row r="26" spans="7:52" x14ac:dyDescent="0.3">
      <c r="K26" s="19" t="s">
        <v>37</v>
      </c>
      <c r="M26" s="42"/>
      <c r="O26" s="19" t="s">
        <v>370</v>
      </c>
      <c r="Q26" s="46">
        <f>c_lung+c_hosp_fu+c_CSG</f>
        <v>54529.510902399998</v>
      </c>
      <c r="R26" s="46"/>
      <c r="T26" s="78"/>
      <c r="Z26" s="42"/>
      <c r="AA26" s="6"/>
      <c r="AB26" s="42">
        <f t="shared" si="5"/>
        <v>0</v>
      </c>
      <c r="AC26" s="42">
        <f>U26*(Q28-c_CSG)</f>
        <v>0</v>
      </c>
      <c r="AM26" s="42"/>
      <c r="AN26" s="42"/>
      <c r="AO26" s="42"/>
      <c r="AP26" s="42"/>
      <c r="AQ26" s="42"/>
      <c r="AR26" s="42"/>
      <c r="AS26" s="42">
        <f>(K1138*I1146*G1170*E1207*C1053*A1008)*c_SB</f>
        <v>5.5471048894008428</v>
      </c>
      <c r="AT26" s="42"/>
      <c r="AU26" s="42">
        <f>(O1091*M1096*K1101*I1090*G1055*E984*C1053*A1008)*c_hypo</f>
        <v>8.7065821906131688</v>
      </c>
      <c r="AV26" s="42"/>
      <c r="AW26" s="42"/>
      <c r="AX26" s="42"/>
    </row>
    <row r="27" spans="7:52" x14ac:dyDescent="0.3">
      <c r="K27" s="45">
        <f>SGA_prem_2s_1</f>
        <v>0.92375153333333337</v>
      </c>
      <c r="O27" s="45">
        <f>SGA_prem_2normoglycaemia_1</f>
        <v>0.78449999999999998</v>
      </c>
      <c r="Q27" s="19" t="s">
        <v>226</v>
      </c>
      <c r="R27" s="19"/>
      <c r="T27" s="78"/>
      <c r="U27">
        <f>$Q$28*$O$27*$M$22*$K$27*$I$16*$G$40*$E$78*$C$148*$A$103</f>
        <v>1.5938496001369798E-4</v>
      </c>
      <c r="V27">
        <v>2.9556585464905798E-4</v>
      </c>
      <c r="W27" s="42">
        <f>$K$28+$I$17+$G$41+$E$79+$C$149+$A$104+$M$23+$O$28+Q29</f>
        <v>304118.0699563137</v>
      </c>
      <c r="X27">
        <f>u_CongnitiveImpairement</f>
        <v>17.270393127285455</v>
      </c>
      <c r="Z27" s="42">
        <f>U27*W27</f>
        <v>48.471846419430065</v>
      </c>
      <c r="AA27" s="6">
        <f>U27*X27</f>
        <v>2.7526409180132368E-3</v>
      </c>
      <c r="AB27" s="42">
        <f t="shared" si="5"/>
        <v>1.7596099585512257</v>
      </c>
      <c r="AC27" s="42">
        <f>U27*(Q29-c_CSG)</f>
        <v>0.75325332102473663</v>
      </c>
      <c r="AM27" s="42"/>
      <c r="AN27" s="42"/>
      <c r="AO27" s="42"/>
      <c r="AP27" s="42"/>
      <c r="AQ27" s="42"/>
      <c r="AR27" s="42"/>
      <c r="AS27" s="42">
        <f>(K1194*I1202*G1170*E1207*C1053*A1008)*c_SB</f>
        <v>0</v>
      </c>
      <c r="AT27" s="42"/>
      <c r="AU27" s="42">
        <f>(O1114*M1116*K1101*I1090*G1055*E984*C1053*A1008)*c_hypo</f>
        <v>10.641378232971652</v>
      </c>
      <c r="AV27" s="42"/>
      <c r="AW27" s="42"/>
      <c r="AX27" s="42"/>
    </row>
    <row r="28" spans="7:52" x14ac:dyDescent="0.3">
      <c r="K28" s="46"/>
      <c r="O28" s="46"/>
      <c r="Q28" s="45">
        <f>noHypo2CI_1-(RDS2CLD_1*noHypo2CI_1)</f>
        <v>2.1141683406990762E-2</v>
      </c>
      <c r="R28" s="45"/>
      <c r="T28" s="78"/>
      <c r="Z28" s="42"/>
      <c r="AA28" s="6"/>
      <c r="AB28" s="42">
        <f t="shared" si="5"/>
        <v>0</v>
      </c>
      <c r="AC28" s="42"/>
      <c r="AM28" s="42"/>
      <c r="AN28" s="42"/>
      <c r="AO28" s="42"/>
      <c r="AP28" s="42"/>
      <c r="AQ28" s="42"/>
      <c r="AR28" s="42"/>
      <c r="AS28" s="42">
        <f>(K1250*I1258*G1279*E1207*C1053*A1008)*c_SB</f>
        <v>1.9768682311826642</v>
      </c>
      <c r="AT28" s="42"/>
      <c r="AU28" s="42">
        <f>(O1170*M1172*K1157*I1146*G1170*E1207*C1053*A1008)*c_hypo</f>
        <v>176.66539885637494</v>
      </c>
      <c r="AV28" s="42"/>
      <c r="AW28" s="42"/>
      <c r="AX28" s="42"/>
    </row>
    <row r="29" spans="7:52" x14ac:dyDescent="0.3">
      <c r="Q29" s="46">
        <f>c_cog+c_hosp_fu+c_CSG</f>
        <v>15766</v>
      </c>
      <c r="R29" s="46"/>
      <c r="T29" s="78"/>
      <c r="Z29" s="42"/>
      <c r="AA29" s="6"/>
      <c r="AB29" s="42">
        <f t="shared" si="5"/>
        <v>0</v>
      </c>
      <c r="AC29" s="42">
        <f>U29*(Q31-c_CSG)</f>
        <v>0</v>
      </c>
      <c r="AM29" s="42"/>
      <c r="AN29" s="42"/>
      <c r="AO29" s="42"/>
      <c r="AP29" s="42"/>
      <c r="AQ29" s="42"/>
      <c r="AR29" s="42"/>
      <c r="AS29" s="42">
        <f>(K1306*I1314*G1279*E1207*C1053*A1008)*c_SB</f>
        <v>3.9808756512533772</v>
      </c>
      <c r="AT29" s="42"/>
      <c r="AU29">
        <f>(O1282*M1284*K1269*I1258*G1279*E1207*C1053*A1008)*c_hypo</f>
        <v>62.959727914231756</v>
      </c>
      <c r="AV29" s="42"/>
      <c r="AW29" s="42"/>
      <c r="AX29" s="42"/>
    </row>
    <row r="30" spans="7:52" x14ac:dyDescent="0.3">
      <c r="Q30" s="19" t="s">
        <v>368</v>
      </c>
      <c r="R30" s="19"/>
      <c r="T30" s="78"/>
      <c r="U30">
        <f>$Q$31*$O$27*$M$22*$K$27*$I$16*$G$40*$E$78*$C$148*$A$103</f>
        <v>9.0043772402104779E-5</v>
      </c>
      <c r="V30">
        <v>1.6697851882364618E-4</v>
      </c>
      <c r="W30" s="42">
        <f>$K$28+$I$17+$G$41+$E$79+$C$149+$A$104+$M$23+$O$28+Q32</f>
        <v>346700.58085871371</v>
      </c>
      <c r="X30">
        <f>u_ChronicResp+u_CongnitiveImpairement</f>
        <v>17.805052694763283</v>
      </c>
      <c r="Z30" s="42">
        <f>U30*W30</f>
        <v>31.218228194519543</v>
      </c>
      <c r="AA30" s="6">
        <f>U30*X30</f>
        <v>1.6032341124547474E-3</v>
      </c>
      <c r="AB30" s="42">
        <f t="shared" si="5"/>
        <v>0.99408324731923681</v>
      </c>
      <c r="AC30" s="42">
        <f>U30*(Q32-c_CSG)</f>
        <v>4.2598367883781982</v>
      </c>
      <c r="AM30" s="42"/>
      <c r="AN30" s="42"/>
      <c r="AO30" s="42"/>
      <c r="AP30" s="42"/>
      <c r="AQ30" s="42"/>
      <c r="AR30" s="42"/>
      <c r="AS30" s="42">
        <f>(K1366*I1374*G1398*E1436*C1505*A1460)*c_SB</f>
        <v>1.2935088394782666</v>
      </c>
      <c r="AT30" s="42"/>
      <c r="AU30">
        <f>(O1375*M1380*K1385*I1374*G1398*E1436*C1505*A1460)*c_hypo</f>
        <v>2.2393696545704525</v>
      </c>
      <c r="AV30" s="42"/>
      <c r="AW30" s="42"/>
      <c r="AX30" s="42"/>
    </row>
    <row r="31" spans="7:52" x14ac:dyDescent="0.3">
      <c r="G31" s="42"/>
      <c r="Q31" s="45">
        <f>RDS2CLD_1*noHypo2CI_1</f>
        <v>1.1943893129770991E-2</v>
      </c>
      <c r="R31" s="45"/>
      <c r="T31" s="78"/>
      <c r="Z31" s="42"/>
      <c r="AA31" s="6"/>
      <c r="AB31" s="42">
        <f t="shared" si="5"/>
        <v>0</v>
      </c>
      <c r="AC31" s="42"/>
      <c r="AN31" s="42"/>
      <c r="AO31" s="42"/>
      <c r="AP31" s="42"/>
      <c r="AQ31" s="42"/>
      <c r="AR31" s="42"/>
      <c r="AS31">
        <f>(K1422*I1430*G1398*E1436*C1505*A1460)*c_SB</f>
        <v>0.67749100954351638</v>
      </c>
      <c r="AT31" s="42"/>
      <c r="AU31">
        <f>(O1398*M1400*K1385*I1374*E1436*G1398*C1505*A1460)*c_hypo</f>
        <v>2.7370073555861087</v>
      </c>
    </row>
    <row r="32" spans="7:52" x14ac:dyDescent="0.3">
      <c r="G32" s="42"/>
      <c r="Q32" s="46">
        <f>c_cog+c_lung+c_hosp_fu+c_CSG</f>
        <v>58348.510902399998</v>
      </c>
      <c r="R32" s="46"/>
      <c r="T32" s="78"/>
      <c r="Z32" s="42"/>
      <c r="AA32" s="6"/>
      <c r="AB32" s="42">
        <f t="shared" si="5"/>
        <v>0</v>
      </c>
      <c r="AC32" s="42">
        <f>U32*(Q34-c_CSG)</f>
        <v>0</v>
      </c>
      <c r="AN32" s="42"/>
      <c r="AO32" s="42"/>
      <c r="AS32">
        <f>(K1478*I1486*G1507*E1436*C1505*A1460)*c_SB</f>
        <v>0</v>
      </c>
      <c r="AU32">
        <f>(O1431*M1436*K1441*I1430*G1398*E1436*C1505*A1460)*c_hypo</f>
        <v>2.055314631622462</v>
      </c>
    </row>
    <row r="33" spans="7:48" x14ac:dyDescent="0.3">
      <c r="Q33" s="19" t="s">
        <v>369</v>
      </c>
      <c r="R33" s="19"/>
      <c r="T33" s="78"/>
      <c r="U33">
        <f>$Q$34*$O$27*$M$22*$K$27*$I$16*$G$40*$E$78*$C$148*$A$103</f>
        <v>4.6579698119850179E-3</v>
      </c>
      <c r="V33">
        <v>8.6378089142823983E-3</v>
      </c>
      <c r="W33" s="42">
        <f>$K$28+$I$17+$G$41+$E$79+$C$149+$A$104+$M$23+$O$28+Q35</f>
        <v>302755.0699563137</v>
      </c>
      <c r="X33">
        <f>u_Healthy</f>
        <v>0</v>
      </c>
      <c r="Z33" s="42">
        <f>U33*W33</f>
        <v>1410.2239762819215</v>
      </c>
      <c r="AA33" s="6">
        <f>U33*X33</f>
        <v>0</v>
      </c>
      <c r="AB33" s="42">
        <f t="shared" si="5"/>
        <v>51.423986724314595</v>
      </c>
      <c r="AC33" s="42">
        <f>U33*(Q35-c_CSG)</f>
        <v>15.664752477705616</v>
      </c>
      <c r="AN33" s="42"/>
      <c r="AS33">
        <f>(K1534*I1542*G1507*E1436*C1505*A1460)*c_SB</f>
        <v>0.56994785730201036</v>
      </c>
      <c r="AU33">
        <f>(O1454*M1456*K1441*I1430*G1398*E1436*C1505*A1460)*c_hypo</f>
        <v>2.5120512164274542</v>
      </c>
    </row>
    <row r="34" spans="7:48" x14ac:dyDescent="0.3">
      <c r="Q34" s="45">
        <f>1-Q31-Q28-Q25</f>
        <v>0.61785831659300938</v>
      </c>
      <c r="R34" s="45"/>
      <c r="T34" s="78"/>
      <c r="Z34" s="42"/>
      <c r="AA34" s="6"/>
      <c r="AB34" s="42">
        <f t="shared" si="5"/>
        <v>0</v>
      </c>
      <c r="AC34" s="42">
        <f>U34*(Q36-c_CSG)</f>
        <v>0</v>
      </c>
      <c r="AN34" s="42"/>
      <c r="AS34">
        <f>(K1590*I1598*G1622*E1659*C1505*A1460)*c_SB</f>
        <v>1.1126818381673067</v>
      </c>
      <c r="AU34">
        <f>(O1543*M1548*K1553*I1542*G1507*E1436*C1505*A1460)*c_hypo</f>
        <v>1.7290593585352232</v>
      </c>
    </row>
    <row r="35" spans="7:48" x14ac:dyDescent="0.3">
      <c r="Q35" s="46">
        <f>c_clinic_fu+c_CSG</f>
        <v>14403</v>
      </c>
      <c r="R35" s="46"/>
      <c r="T35" s="78"/>
      <c r="Z35" s="42"/>
      <c r="AA35" s="6"/>
      <c r="AB35" s="42">
        <f t="shared" si="5"/>
        <v>0</v>
      </c>
      <c r="AC35" s="42"/>
      <c r="AS35">
        <f>(K1646*I1654*G1622*E1659*C1505*A1460)*c_SB</f>
        <v>0</v>
      </c>
      <c r="AU35">
        <f>(O1566*M1568*K1553*I1542*G1507*E1436*C1505*A1460)*c_hypo</f>
        <v>2.1132947715430515</v>
      </c>
    </row>
    <row r="36" spans="7:48" x14ac:dyDescent="0.3">
      <c r="Q36" s="42"/>
      <c r="R36" s="42"/>
      <c r="T36" s="78"/>
      <c r="Z36" s="42"/>
      <c r="AA36" s="6"/>
      <c r="AB36" s="42">
        <f t="shared" si="5"/>
        <v>0</v>
      </c>
      <c r="AC36" s="42">
        <f>U36*(Q38-c_CSG)</f>
        <v>0</v>
      </c>
      <c r="AS36">
        <f>(K1702*I1710*G1731*E1659*C1505*A1460)*c_SB</f>
        <v>0.39653574632955357</v>
      </c>
      <c r="AU36">
        <f>(O1622*M1624*K1609*I1598*G1622*E1659*C1505*A1460)*c_hypo</f>
        <v>35.436932356493436</v>
      </c>
    </row>
    <row r="37" spans="7:48" x14ac:dyDescent="0.3">
      <c r="Q37" s="19" t="s">
        <v>367</v>
      </c>
      <c r="R37" s="19"/>
      <c r="T37" s="78"/>
      <c r="U37">
        <f>$Q$38*$O$40*$M$42*$K$27*$I$16*$G$40*$E$78*$C$148*$A$103</f>
        <v>0</v>
      </c>
      <c r="V37">
        <v>0</v>
      </c>
      <c r="W37" s="42">
        <f>$K$28+$I$17+$G$41+$E$79+$C$149+$A$104+$M$43+$O$41+Q39</f>
        <v>315222.23111050809</v>
      </c>
      <c r="X37">
        <f>u_ChronicResp</f>
        <v>0.53465956747782661</v>
      </c>
      <c r="Z37" s="42">
        <f>U37*W37</f>
        <v>0</v>
      </c>
      <c r="AA37" s="6">
        <f>U37*X37</f>
        <v>0</v>
      </c>
      <c r="AB37" s="42">
        <f t="shared" si="5"/>
        <v>0</v>
      </c>
      <c r="AC37" s="42">
        <f>U37*(Q39-c_CSG)</f>
        <v>0</v>
      </c>
      <c r="AS37">
        <f>(K1758*I1766*G1731*E1659*C1505*A1460)*c_SB</f>
        <v>0.79851528418286633</v>
      </c>
      <c r="AU37">
        <f>(O1734*M1736*K1721*I1710*G1731*E1659*C1505*A1460)*c_hypo</f>
        <v>12.628956398494859</v>
      </c>
    </row>
    <row r="38" spans="7:48" x14ac:dyDescent="0.3">
      <c r="Q38" s="45">
        <f>noRDS2CLD_1-(Hypo2CI_1*noRDS2CLD_1)</f>
        <v>0</v>
      </c>
      <c r="R38" s="45"/>
      <c r="T38" s="78"/>
      <c r="Z38" s="42"/>
      <c r="AA38" s="6"/>
      <c r="AB38" s="42">
        <f t="shared" si="5"/>
        <v>0</v>
      </c>
      <c r="AC38" s="42"/>
      <c r="AS38" s="189">
        <f>SUM(AS22:AS37)</f>
        <v>29.148330137195952</v>
      </c>
      <c r="AU38" s="189">
        <f>SUM(AU22:AU37)</f>
        <v>368.48205906166845</v>
      </c>
    </row>
    <row r="39" spans="7:48" x14ac:dyDescent="0.3">
      <c r="G39" s="19" t="s">
        <v>8</v>
      </c>
      <c r="O39" s="19" t="s">
        <v>161</v>
      </c>
      <c r="Q39" s="46">
        <f>c_lung+c_hosp_fu+c_CSG</f>
        <v>54529.510902399998</v>
      </c>
      <c r="R39" s="46"/>
      <c r="T39" s="78"/>
      <c r="Z39" s="42"/>
      <c r="AA39" s="6"/>
      <c r="AB39" s="42">
        <f t="shared" si="5"/>
        <v>0</v>
      </c>
      <c r="AC39" s="42">
        <f>U39*(Q41-c_CSG)</f>
        <v>0</v>
      </c>
    </row>
    <row r="40" spans="7:48" x14ac:dyDescent="0.3">
      <c r="G40" s="45">
        <f>Prem2LBW_1</f>
        <v>0.48376271186440678</v>
      </c>
      <c r="O40" s="45">
        <f>SGA_prem_2hypoglycaemia_1</f>
        <v>0.2155</v>
      </c>
      <c r="Q40" s="19" t="s">
        <v>226</v>
      </c>
      <c r="R40" s="19"/>
      <c r="T40" s="78"/>
      <c r="U40">
        <f>$Q$41*$O$40*$M$42*$K$27*$I$16*$G$40*$E$78*$C$148*$A$103</f>
        <v>1.2993068891845931E-4</v>
      </c>
      <c r="V40">
        <v>2.4094541362011101E-4</v>
      </c>
      <c r="W40" s="42">
        <f>$K$28+$I$17+$G$41+$E$79+$C$149+$A$104+$M$43+$O$41+Q42</f>
        <v>276458.72020810808</v>
      </c>
      <c r="X40">
        <f>u_CongnitiveImpairement</f>
        <v>17.270393127285455</v>
      </c>
      <c r="Z40" s="42">
        <f>U40*W40</f>
        <v>35.92047197415507</v>
      </c>
      <c r="AA40" s="6">
        <f>U40*X40</f>
        <v>2.2439540769208241E-3</v>
      </c>
      <c r="AB40" s="42">
        <f t="shared" si="5"/>
        <v>1.4344348056597906</v>
      </c>
      <c r="AC40" s="42">
        <f>U40*(Q42-c_CSG)</f>
        <v>0.61405243582863867</v>
      </c>
    </row>
    <row r="41" spans="7:48" x14ac:dyDescent="0.3">
      <c r="G41" s="46">
        <f>c_LBW</f>
        <v>254701.55809999997</v>
      </c>
      <c r="M41" s="19" t="s">
        <v>203</v>
      </c>
      <c r="O41" s="46">
        <f>c_hypo</f>
        <v>2936.2604000000001</v>
      </c>
      <c r="Q41" s="45">
        <f>Hypo2CI_1-(Hypo2CI_1*noRDS2CLD_1)</f>
        <v>5.1333333333333335E-2</v>
      </c>
      <c r="R41" s="45"/>
      <c r="T41" s="78"/>
      <c r="Z41" s="42"/>
      <c r="AA41" s="6"/>
      <c r="AB41" s="42">
        <f t="shared" si="5"/>
        <v>0</v>
      </c>
      <c r="AC41" s="42"/>
      <c r="AS41" s="42">
        <f>AS38-AS20</f>
        <v>7.6726067840843228</v>
      </c>
      <c r="AT41" s="42">
        <f>AT22-AT12</f>
        <v>517.22225092676081</v>
      </c>
      <c r="AU41" s="42">
        <f>AU38-AU20</f>
        <v>83.392114081324507</v>
      </c>
      <c r="AV41" s="42">
        <f>AV22-AV4</f>
        <v>-61.29759569419366</v>
      </c>
    </row>
    <row r="42" spans="7:48" x14ac:dyDescent="0.3">
      <c r="M42" s="45">
        <f>S_prem_2noRDS_1</f>
        <v>0.55000000000000004</v>
      </c>
      <c r="Q42" s="46">
        <f>c_cog+c_hosp_fu+c_CSG</f>
        <v>15766</v>
      </c>
      <c r="R42" s="46"/>
      <c r="T42" s="78"/>
      <c r="Z42" s="42"/>
      <c r="AA42" s="6"/>
      <c r="AB42" s="42">
        <f t="shared" si="5"/>
        <v>0</v>
      </c>
      <c r="AC42" s="42">
        <f>U42*(Q44-c_CSG)</f>
        <v>0</v>
      </c>
    </row>
    <row r="43" spans="7:48" x14ac:dyDescent="0.3">
      <c r="M43" s="46"/>
      <c r="O43" s="42"/>
      <c r="Q43" s="19" t="s">
        <v>368</v>
      </c>
      <c r="R43" s="19"/>
      <c r="T43" s="78"/>
      <c r="U43">
        <f>$Q$44*$O$40*$M$42*$K$27*$I$16*$G$40*$E$78*$C$148*$A$103</f>
        <v>0</v>
      </c>
      <c r="V43">
        <v>0</v>
      </c>
      <c r="W43" s="42">
        <f>$K$28+$I$17+$G$41+$E$79+$C$149+$A$104+$M$43+$O$41+Q45</f>
        <v>319041.23111050809</v>
      </c>
      <c r="X43">
        <f>u_ChronicResp+u_CongnitiveImpairement</f>
        <v>17.805052694763283</v>
      </c>
      <c r="Z43" s="42">
        <f>U43*W43</f>
        <v>0</v>
      </c>
      <c r="AA43" s="6">
        <f>U43*X43</f>
        <v>0</v>
      </c>
      <c r="AB43" s="42">
        <f t="shared" ref="AB43:AB62" si="6">U43*c_CSG</f>
        <v>0</v>
      </c>
      <c r="AC43" s="42">
        <f>U43*(Q45-c_CSG)</f>
        <v>0</v>
      </c>
    </row>
    <row r="44" spans="7:48" x14ac:dyDescent="0.3">
      <c r="M44" s="42"/>
      <c r="Q44" s="45">
        <f>noRDS2CLD_1*Hypo2CI_1</f>
        <v>0</v>
      </c>
      <c r="R44" s="45"/>
      <c r="T44" s="78"/>
      <c r="Z44" s="42"/>
      <c r="AA44" s="6"/>
      <c r="AB44" s="42">
        <f t="shared" si="6"/>
        <v>0</v>
      </c>
      <c r="AC44" s="42"/>
    </row>
    <row r="45" spans="7:48" x14ac:dyDescent="0.3">
      <c r="M45" s="42"/>
      <c r="Q45" s="46">
        <f>c_lung+c_cog+c_hosp_fu+c_CSG</f>
        <v>58348.510902399998</v>
      </c>
      <c r="R45" s="46"/>
      <c r="T45" s="78"/>
      <c r="Z45" s="42"/>
      <c r="AA45" s="6"/>
      <c r="AB45" s="42">
        <f t="shared" si="6"/>
        <v>0</v>
      </c>
      <c r="AC45" s="42">
        <f>U45*(Q47-c_CSG)</f>
        <v>0</v>
      </c>
    </row>
    <row r="46" spans="7:48" x14ac:dyDescent="0.3">
      <c r="M46" s="42"/>
      <c r="Q46" s="19" t="s">
        <v>369</v>
      </c>
      <c r="R46" s="19"/>
      <c r="T46" s="78"/>
      <c r="U46">
        <f>$Q$47*$O$40*$M$42*$K$27*$I$16*$G$40*$E$78*$C$148*$A$103</f>
        <v>2.4011866276749034E-3</v>
      </c>
      <c r="V46">
        <v>4.4527964101482853E-3</v>
      </c>
      <c r="W46" s="42">
        <f>$K$28+$I$17+$G$41+$E$79+$C$149+$A$104+$M$43+$O$41+Q48</f>
        <v>275095.72020810808</v>
      </c>
      <c r="X46">
        <f>u_Healthy</f>
        <v>0</v>
      </c>
      <c r="Z46" s="42">
        <f>U46*W46</f>
        <v>660.55616469430583</v>
      </c>
      <c r="AA46" s="6">
        <f>U46*X46</f>
        <v>0</v>
      </c>
      <c r="AB46" s="42">
        <f t="shared" si="6"/>
        <v>26.509100369530934</v>
      </c>
      <c r="AC46" s="42">
        <f>U46*(Q48-c_CSG)</f>
        <v>8.0751906288707005</v>
      </c>
    </row>
    <row r="47" spans="7:48" x14ac:dyDescent="0.3">
      <c r="M47" s="42"/>
      <c r="O47" s="42"/>
      <c r="Q47" s="45">
        <f>1-Q44-Q41-Q38</f>
        <v>0.94866666666666666</v>
      </c>
      <c r="R47" s="45"/>
      <c r="T47" s="78"/>
      <c r="Z47" s="42"/>
      <c r="AA47" s="6"/>
      <c r="AB47" s="42">
        <f t="shared" si="6"/>
        <v>0</v>
      </c>
      <c r="AC47" s="42">
        <f>U47*(Q49-c_CSG)</f>
        <v>0</v>
      </c>
    </row>
    <row r="48" spans="7:48" x14ac:dyDescent="0.3">
      <c r="M48" s="42"/>
      <c r="Q48" s="46">
        <f>c_clinic_fu+c_CSG</f>
        <v>14403</v>
      </c>
      <c r="R48" s="46"/>
      <c r="T48" s="78"/>
      <c r="Z48" s="42"/>
      <c r="AA48" s="6"/>
      <c r="AB48" s="42">
        <f t="shared" si="6"/>
        <v>0</v>
      </c>
      <c r="AC48" s="42"/>
    </row>
    <row r="49" spans="11:77" x14ac:dyDescent="0.3">
      <c r="M49" s="42"/>
      <c r="Q49" s="42"/>
      <c r="R49" s="42"/>
      <c r="S49" s="94"/>
      <c r="T49" s="78"/>
      <c r="Z49" s="42"/>
      <c r="AA49" s="6"/>
      <c r="AB49" s="42">
        <f t="shared" si="6"/>
        <v>0</v>
      </c>
      <c r="AC49" s="42">
        <f>U49*(Q51-c_CSG)</f>
        <v>0</v>
      </c>
    </row>
    <row r="50" spans="11:77" x14ac:dyDescent="0.3">
      <c r="M50" s="42"/>
      <c r="Q50" s="19" t="s">
        <v>367</v>
      </c>
      <c r="R50" s="19"/>
      <c r="T50" s="78"/>
      <c r="U50">
        <f>$Q$51*$O$54*$M$42*$K$27*$I$16*$G$40*$E$78*$C$148*$A$103</f>
        <v>0</v>
      </c>
      <c r="V50">
        <v>0</v>
      </c>
      <c r="W50" s="42">
        <f>$K$28+$I$17+$G$41+$E$79+$C$149+$A$104+$M$43+$O$55+Q52</f>
        <v>314315.23111050809</v>
      </c>
      <c r="X50">
        <f>u_ChronicResp</f>
        <v>0.53465956747782661</v>
      </c>
      <c r="Z50" s="42">
        <f>U50*W50</f>
        <v>0</v>
      </c>
      <c r="AA50" s="6">
        <f>U50*X50</f>
        <v>0</v>
      </c>
      <c r="AB50" s="42">
        <f t="shared" si="6"/>
        <v>0</v>
      </c>
      <c r="AC50" s="42">
        <f>U50*(Q52-c_CSG)</f>
        <v>0</v>
      </c>
    </row>
    <row r="51" spans="11:77" x14ac:dyDescent="0.3">
      <c r="M51" s="42"/>
      <c r="Q51" s="45">
        <f>noRDS2CLD_1-(noRDS2CLD_1*noHypo2CI_1)</f>
        <v>0</v>
      </c>
      <c r="R51" s="45"/>
      <c r="T51" s="78"/>
      <c r="Z51" s="42"/>
      <c r="AA51" s="6"/>
      <c r="AB51" s="42">
        <f t="shared" si="6"/>
        <v>0</v>
      </c>
      <c r="AC51" s="42"/>
    </row>
    <row r="52" spans="11:77" x14ac:dyDescent="0.3">
      <c r="M52" s="42"/>
      <c r="Q52" s="46">
        <f>c_lung+c_hypo+c_CSG</f>
        <v>56558.771302399997</v>
      </c>
      <c r="R52" s="46"/>
      <c r="T52" s="78"/>
      <c r="Z52" s="42"/>
      <c r="AA52" s="6"/>
      <c r="AB52" s="42">
        <f t="shared" si="6"/>
        <v>0</v>
      </c>
      <c r="AC52" s="42">
        <f>U52*(Q54-c_CSG)</f>
        <v>0</v>
      </c>
    </row>
    <row r="53" spans="11:77" x14ac:dyDescent="0.3">
      <c r="M53" s="42"/>
      <c r="O53" s="19" t="s">
        <v>370</v>
      </c>
      <c r="Q53" s="19" t="s">
        <v>226</v>
      </c>
      <c r="R53" s="19"/>
      <c r="T53" s="78"/>
      <c r="U53">
        <f>$Q$54*$O$54*$M$42*$K$27*$I$16*$G$40*$E$78*$C$148*$A$103</f>
        <v>3.0485733961931445E-4</v>
      </c>
      <c r="V53">
        <v>5.653320120221941E-4</v>
      </c>
      <c r="W53" s="42">
        <f>$K$28+$I$17+$G$41+$E$79+$C$149+$A$104+$M$43+$O$55+Q55</f>
        <v>273522.45980810805</v>
      </c>
      <c r="X53">
        <f>u_CongnitiveImpairement</f>
        <v>17.270393127285455</v>
      </c>
      <c r="Z53" s="42">
        <f>U53*W53</f>
        <v>83.385329423230687</v>
      </c>
      <c r="AA53" s="6">
        <f>U53*X53</f>
        <v>5.265006102963936E-3</v>
      </c>
      <c r="AB53" s="42">
        <f t="shared" si="6"/>
        <v>3.3656250293972314</v>
      </c>
      <c r="AC53" s="42">
        <f>U53*(Q55-c_CSG)</f>
        <v>1.44075578704088</v>
      </c>
    </row>
    <row r="54" spans="11:77" x14ac:dyDescent="0.3">
      <c r="M54" s="42"/>
      <c r="O54" s="45">
        <f>SGA_prem_2normoglycaemia_1</f>
        <v>0.78449999999999998</v>
      </c>
      <c r="Q54" s="45">
        <f>noHypo2CI_1</f>
        <v>3.3085576536761752E-2</v>
      </c>
      <c r="R54" s="45"/>
      <c r="T54" s="78"/>
      <c r="Z54" s="42"/>
      <c r="AA54" s="6"/>
      <c r="AB54" s="42">
        <f t="shared" si="6"/>
        <v>0</v>
      </c>
      <c r="AC54" s="42"/>
    </row>
    <row r="55" spans="11:77" x14ac:dyDescent="0.3">
      <c r="M55" s="42"/>
      <c r="O55" s="46"/>
      <c r="Q55" s="46">
        <f>c_cog+c_hosp_fu+c_CSG</f>
        <v>15766</v>
      </c>
      <c r="R55" s="46"/>
      <c r="T55" s="78"/>
      <c r="Z55" s="42"/>
      <c r="AA55" s="6"/>
      <c r="AB55" s="42">
        <f t="shared" si="6"/>
        <v>0</v>
      </c>
      <c r="AC55" s="42">
        <f>U55*(Q57-c_CSG)</f>
        <v>0</v>
      </c>
    </row>
    <row r="56" spans="11:77" x14ac:dyDescent="0.3">
      <c r="M56" s="42"/>
      <c r="Q56" s="19" t="s">
        <v>368</v>
      </c>
      <c r="R56" s="19"/>
      <c r="T56" s="78"/>
      <c r="U56">
        <f>$Q$57*$O$54*$M$42*$K$27*$I$16*$G$40*$E$78*$C$148*$A$103</f>
        <v>0</v>
      </c>
      <c r="V56">
        <v>0</v>
      </c>
      <c r="W56" s="42">
        <f>$K$28+$I$17+$G$41+$E$79+$C$149+$A$104+$M$43+$O$55+Q58</f>
        <v>316104.97071050806</v>
      </c>
      <c r="X56">
        <f>u_ChronicResp+u_CongnitiveImpairement</f>
        <v>17.805052694763283</v>
      </c>
      <c r="Z56" s="42">
        <f>U56*W56</f>
        <v>0</v>
      </c>
      <c r="AA56" s="6">
        <f>U56*X56</f>
        <v>0</v>
      </c>
      <c r="AB56" s="42">
        <f t="shared" si="6"/>
        <v>0</v>
      </c>
      <c r="AC56" s="42">
        <f>U56*(Q58-c_CSG)</f>
        <v>0</v>
      </c>
    </row>
    <row r="57" spans="11:77" x14ac:dyDescent="0.3">
      <c r="M57" s="42"/>
      <c r="Q57" s="45">
        <f>noRDS2CLD_1*noHypo2CI_1</f>
        <v>0</v>
      </c>
      <c r="R57" s="45"/>
      <c r="T57" s="78"/>
      <c r="Z57" s="42"/>
      <c r="AA57" s="6"/>
      <c r="AB57" s="42">
        <f t="shared" si="6"/>
        <v>0</v>
      </c>
      <c r="AC57" s="42"/>
    </row>
    <row r="58" spans="11:77" x14ac:dyDescent="0.3">
      <c r="M58" s="42"/>
      <c r="Q58" s="46">
        <f>c_cog+c_lung+c_hosp_fu+c_CSG</f>
        <v>58348.510902399998</v>
      </c>
      <c r="R58" s="46"/>
      <c r="T58" s="78"/>
      <c r="Z58" s="42"/>
      <c r="AA58" s="6"/>
      <c r="AB58" s="42">
        <f t="shared" si="6"/>
        <v>0</v>
      </c>
      <c r="AC58" s="42">
        <f>U58*(Q60-c_CSG)</f>
        <v>0</v>
      </c>
    </row>
    <row r="59" spans="11:77" x14ac:dyDescent="0.3">
      <c r="M59" s="42"/>
      <c r="Q59" s="19" t="s">
        <v>369</v>
      </c>
      <c r="R59" s="19"/>
      <c r="T59" s="78"/>
      <c r="U59">
        <f>$Q$60*$O$54*$M$42*$K$27*$I$16*$G$40*$E$78*$C$148*$A$103</f>
        <v>8.9093493186985194E-3</v>
      </c>
      <c r="V59">
        <v>1.6521630682856264E-2</v>
      </c>
      <c r="W59" s="42">
        <f>$K$28+$I$17+$G$41+$E$79+$C$149+$A$104+$M$43+$O$55+Q61</f>
        <v>272159.45980810805</v>
      </c>
      <c r="X59">
        <f>u_Healthy</f>
        <v>0</v>
      </c>
      <c r="Z59" s="42">
        <f>U59*W59</f>
        <v>2424.7636978187247</v>
      </c>
      <c r="AA59" s="6">
        <f>U59*X59</f>
        <v>0</v>
      </c>
      <c r="AB59" s="42">
        <f t="shared" si="6"/>
        <v>98.359216478431648</v>
      </c>
      <c r="AC59" s="42">
        <f>U59*(Q61-c_CSG)</f>
        <v>29.962141758783122</v>
      </c>
    </row>
    <row r="60" spans="11:77" x14ac:dyDescent="0.3">
      <c r="M60" s="42"/>
      <c r="Q60" s="45">
        <f>1-Q57-Q54-Q51</f>
        <v>0.9669144234632383</v>
      </c>
      <c r="R60" s="45"/>
      <c r="T60" s="78"/>
      <c r="Z60" s="42"/>
      <c r="AA60" s="6"/>
      <c r="AB60" s="42">
        <f t="shared" si="6"/>
        <v>0</v>
      </c>
      <c r="AC60" s="42">
        <f>U60*(Q62-c_CSG)</f>
        <v>0</v>
      </c>
    </row>
    <row r="61" spans="11:77" x14ac:dyDescent="0.3">
      <c r="M61" s="42"/>
      <c r="Q61" s="46">
        <f>c_clinic_fu+c_CSG</f>
        <v>14403</v>
      </c>
      <c r="R61" s="46"/>
      <c r="T61" s="78"/>
      <c r="Z61" s="42"/>
      <c r="AA61" s="6"/>
      <c r="AB61" s="42">
        <f t="shared" si="6"/>
        <v>0</v>
      </c>
      <c r="AC61" s="42">
        <f>U61*(Q63-c_CSG)</f>
        <v>0</v>
      </c>
    </row>
    <row r="62" spans="11:77" x14ac:dyDescent="0.3">
      <c r="M62" s="42"/>
      <c r="Q62" s="42"/>
      <c r="R62" s="42"/>
      <c r="T62" s="78"/>
      <c r="Z62" s="42"/>
      <c r="AA62" s="6"/>
      <c r="AB62" s="42">
        <f t="shared" si="6"/>
        <v>0</v>
      </c>
      <c r="AC62" s="42">
        <f>U62*(Q64-c_CSG)</f>
        <v>0</v>
      </c>
    </row>
    <row r="63" spans="11:77" x14ac:dyDescent="0.3">
      <c r="K63" s="19" t="s">
        <v>165</v>
      </c>
      <c r="L63" s="19"/>
      <c r="M63" s="19"/>
      <c r="N63" s="19"/>
      <c r="O63" s="19"/>
      <c r="P63" s="19"/>
      <c r="Q63" s="19"/>
      <c r="R63" s="19"/>
      <c r="T63" s="78"/>
      <c r="U63">
        <f>$K$64*$I$72*$G$40*$E$78*$C$148*$A$103</f>
        <v>1.1077664163833417E-3</v>
      </c>
      <c r="V63">
        <v>1.9037211390745008E-3</v>
      </c>
      <c r="W63" s="42">
        <f>$K$65+$I$73+$G$41+$E$79+$C$149+$A$104</f>
        <v>259548.45980810808</v>
      </c>
      <c r="X63">
        <f>u_Death</f>
        <v>19.181538114427529</v>
      </c>
      <c r="Z63" s="42">
        <f>U63*W63</f>
        <v>287.51906719944367</v>
      </c>
      <c r="AA63" s="6">
        <f>U63*X63</f>
        <v>2.1248663737739863E-2</v>
      </c>
      <c r="AB63" s="42"/>
      <c r="AC63" s="42"/>
      <c r="BA63">
        <v>1.9037211390745008E-3</v>
      </c>
      <c r="BB63">
        <v>1.9037211390745008E-3</v>
      </c>
      <c r="BC63">
        <v>0</v>
      </c>
      <c r="BD63">
        <v>761763.34</v>
      </c>
      <c r="BE63">
        <v>19.181538114427529</v>
      </c>
      <c r="BG63">
        <v>3.6516299588398929E-2</v>
      </c>
      <c r="BJ63">
        <f t="shared" ref="BJ63:BJ83" si="7">IF(AK63=E63,0,1)</f>
        <v>0</v>
      </c>
      <c r="BK63">
        <f t="shared" ref="BK63:BK83" si="8">IF(AL63=F63,0,1)</f>
        <v>0</v>
      </c>
      <c r="BL63">
        <f t="shared" ref="BL63:BL83" si="9">IF(AM64=G63,0,1)</f>
        <v>0</v>
      </c>
      <c r="BM63">
        <f t="shared" ref="BM63:BM83" si="10">IF(AO66=H63,0,1)</f>
        <v>0</v>
      </c>
      <c r="BN63">
        <f t="shared" ref="BN63:BN83" si="11">IF(AP64=I63,0,1)</f>
        <v>0</v>
      </c>
      <c r="BO63">
        <f t="shared" ref="BO63:BO83" si="12">IF(AQ64=J63,0,1)</f>
        <v>0</v>
      </c>
      <c r="BP63">
        <f t="shared" ref="BP63:BP83" si="13">IF(AR64=K63,0,1)</f>
        <v>0</v>
      </c>
      <c r="BQ63">
        <f t="shared" ref="BQ63:BQ83" si="14">IF(AS63=L63,0,1)</f>
        <v>0</v>
      </c>
      <c r="BR63">
        <f t="shared" ref="BR63:BR83" si="15">IF(AT64=M63,0,1)</f>
        <v>0</v>
      </c>
      <c r="BS63">
        <f t="shared" ref="BS63:BS83" si="16">IF(AU61=N63,0,1)</f>
        <v>0</v>
      </c>
      <c r="BT63">
        <f t="shared" ref="BT63:BT83" si="17">IF(AV63=O63,0,1)</f>
        <v>0</v>
      </c>
      <c r="BU63">
        <f t="shared" ref="BU63:BU83" si="18">IF(AW63=P63,0,1)</f>
        <v>0</v>
      </c>
      <c r="BV63">
        <f t="shared" ref="BV63:BV83" si="19">IF(AX63=Q63,0,1)</f>
        <v>0</v>
      </c>
      <c r="BW63">
        <f t="shared" ref="BW63:BW83" si="20">IF(AY63=S63,0,1)</f>
        <v>0</v>
      </c>
      <c r="BX63">
        <f t="shared" ref="BX63:BX83" si="21">IF(AZ63=T63,0,1)</f>
        <v>0</v>
      </c>
      <c r="BY63">
        <f t="shared" ref="BY63:BY83" si="22">IF(BA63=U63,0,1)</f>
        <v>1</v>
      </c>
    </row>
    <row r="64" spans="11:77" x14ac:dyDescent="0.3">
      <c r="K64" s="45">
        <f>AGA_prem_2d_1</f>
        <v>3.1903725000000001E-2</v>
      </c>
      <c r="T64" s="78"/>
      <c r="Z64" s="42"/>
      <c r="AA64" s="6"/>
      <c r="AB64" s="42">
        <f t="shared" ref="AB64:AB95" si="23">U64*c_CSG</f>
        <v>0</v>
      </c>
      <c r="AC64" s="42">
        <f>U64*(Q66-c_CSG)</f>
        <v>0</v>
      </c>
      <c r="AR64" t="s">
        <v>165</v>
      </c>
      <c r="BC64">
        <v>0</v>
      </c>
      <c r="BG64">
        <v>0</v>
      </c>
      <c r="BJ64">
        <f t="shared" si="7"/>
        <v>0</v>
      </c>
      <c r="BK64">
        <f t="shared" si="8"/>
        <v>0</v>
      </c>
      <c r="BL64">
        <f t="shared" si="9"/>
        <v>0</v>
      </c>
      <c r="BM64">
        <f t="shared" si="10"/>
        <v>0</v>
      </c>
      <c r="BN64">
        <f t="shared" si="11"/>
        <v>0</v>
      </c>
      <c r="BO64">
        <f t="shared" si="12"/>
        <v>0</v>
      </c>
      <c r="BP64">
        <f t="shared" si="13"/>
        <v>1</v>
      </c>
      <c r="BQ64">
        <f t="shared" si="14"/>
        <v>0</v>
      </c>
      <c r="BR64">
        <f t="shared" si="15"/>
        <v>0</v>
      </c>
      <c r="BS64">
        <f t="shared" si="16"/>
        <v>0</v>
      </c>
      <c r="BT64">
        <f t="shared" si="17"/>
        <v>0</v>
      </c>
      <c r="BU64">
        <f t="shared" si="18"/>
        <v>0</v>
      </c>
      <c r="BV64">
        <f t="shared" si="19"/>
        <v>0</v>
      </c>
      <c r="BW64">
        <f t="shared" si="20"/>
        <v>0</v>
      </c>
      <c r="BX64">
        <f t="shared" si="21"/>
        <v>0</v>
      </c>
      <c r="BY64">
        <f t="shared" si="22"/>
        <v>0</v>
      </c>
    </row>
    <row r="65" spans="5:77" x14ac:dyDescent="0.3">
      <c r="K65" s="46">
        <f>c_SB</f>
        <v>1792</v>
      </c>
      <c r="T65" s="78"/>
      <c r="Z65" s="42"/>
      <c r="AA65" s="6"/>
      <c r="AB65" s="42">
        <f t="shared" si="23"/>
        <v>0</v>
      </c>
      <c r="AC65" s="42"/>
      <c r="AR65">
        <v>3.5174999999999998E-2</v>
      </c>
      <c r="BC65">
        <v>0</v>
      </c>
      <c r="BG65">
        <v>0</v>
      </c>
      <c r="BJ65">
        <f t="shared" si="7"/>
        <v>0</v>
      </c>
      <c r="BK65">
        <f t="shared" si="8"/>
        <v>0</v>
      </c>
      <c r="BL65">
        <f t="shared" si="9"/>
        <v>0</v>
      </c>
      <c r="BM65">
        <f t="shared" si="10"/>
        <v>0</v>
      </c>
      <c r="BN65">
        <f t="shared" si="11"/>
        <v>0</v>
      </c>
      <c r="BO65">
        <f t="shared" si="12"/>
        <v>0</v>
      </c>
      <c r="BP65">
        <f t="shared" si="13"/>
        <v>1</v>
      </c>
      <c r="BQ65">
        <f t="shared" si="14"/>
        <v>0</v>
      </c>
      <c r="BR65">
        <f t="shared" si="15"/>
        <v>0</v>
      </c>
      <c r="BS65">
        <f t="shared" si="16"/>
        <v>0</v>
      </c>
      <c r="BT65">
        <f t="shared" si="17"/>
        <v>0</v>
      </c>
      <c r="BU65">
        <f t="shared" si="18"/>
        <v>0</v>
      </c>
      <c r="BV65">
        <f t="shared" si="19"/>
        <v>0</v>
      </c>
      <c r="BW65">
        <f t="shared" si="20"/>
        <v>0</v>
      </c>
      <c r="BX65">
        <f t="shared" si="21"/>
        <v>0</v>
      </c>
      <c r="BY65">
        <f t="shared" si="22"/>
        <v>0</v>
      </c>
    </row>
    <row r="66" spans="5:77" x14ac:dyDescent="0.3">
      <c r="T66" s="78"/>
      <c r="Z66" s="42"/>
      <c r="AA66" s="6"/>
      <c r="AB66" s="42">
        <f t="shared" si="23"/>
        <v>0</v>
      </c>
      <c r="AC66" s="42">
        <f>U66*(Q68-c_CSG)</f>
        <v>0</v>
      </c>
      <c r="AR66">
        <v>1720</v>
      </c>
      <c r="BC66">
        <v>0</v>
      </c>
      <c r="BG66">
        <v>0</v>
      </c>
      <c r="BJ66">
        <f t="shared" si="7"/>
        <v>0</v>
      </c>
      <c r="BK66">
        <f t="shared" si="8"/>
        <v>0</v>
      </c>
      <c r="BL66">
        <f t="shared" si="9"/>
        <v>0</v>
      </c>
      <c r="BM66">
        <f t="shared" si="10"/>
        <v>0</v>
      </c>
      <c r="BN66">
        <f t="shared" si="11"/>
        <v>0</v>
      </c>
      <c r="BO66">
        <f t="shared" si="12"/>
        <v>0</v>
      </c>
      <c r="BP66">
        <f t="shared" si="13"/>
        <v>0</v>
      </c>
      <c r="BQ66">
        <f t="shared" si="14"/>
        <v>0</v>
      </c>
      <c r="BR66">
        <f t="shared" si="15"/>
        <v>0</v>
      </c>
      <c r="BS66">
        <f t="shared" si="16"/>
        <v>0</v>
      </c>
      <c r="BT66">
        <f t="shared" si="17"/>
        <v>0</v>
      </c>
      <c r="BU66">
        <f t="shared" si="18"/>
        <v>0</v>
      </c>
      <c r="BV66">
        <f t="shared" si="19"/>
        <v>0</v>
      </c>
      <c r="BW66">
        <f t="shared" si="20"/>
        <v>0</v>
      </c>
      <c r="BX66">
        <f t="shared" si="21"/>
        <v>0</v>
      </c>
      <c r="BY66">
        <f t="shared" si="22"/>
        <v>0</v>
      </c>
    </row>
    <row r="67" spans="5:77" x14ac:dyDescent="0.3">
      <c r="Q67" s="19" t="s">
        <v>367</v>
      </c>
      <c r="R67" s="19"/>
      <c r="T67" s="78"/>
      <c r="U67">
        <f>$K$83*$I$72*$G$40*$E$78*$C$148*$A$103*$M$78*$O$73*Q68</f>
        <v>7.7705179209010191E-4</v>
      </c>
      <c r="V67">
        <v>1.2070976103514609E-3</v>
      </c>
      <c r="W67" s="42">
        <f>$K$84+$I$73+$G$41+$E$79+$C$149+$A$104+$M$79+$O$74+Q69</f>
        <v>345817.84125871374</v>
      </c>
      <c r="X67">
        <f>u_ChronicResp</f>
        <v>0.53465956747782661</v>
      </c>
      <c r="Z67" s="42">
        <f>U67*W67</f>
        <v>268.71837328681391</v>
      </c>
      <c r="AA67" s="6">
        <f>U67*X67</f>
        <v>4.1545817506676393E-4</v>
      </c>
      <c r="AB67" s="42">
        <f t="shared" si="23"/>
        <v>8.5786517846747259</v>
      </c>
      <c r="AC67" s="42">
        <f>U67*(Q69-c_CSG)</f>
        <v>33.793602383831946</v>
      </c>
      <c r="AX67" t="s">
        <v>367</v>
      </c>
      <c r="BA67">
        <v>1.2070976103514609E-3</v>
      </c>
      <c r="BB67">
        <v>1.2070976103514609E-3</v>
      </c>
      <c r="BC67">
        <v>0</v>
      </c>
      <c r="BD67">
        <v>828718.6399999999</v>
      </c>
      <c r="BE67">
        <v>0.53465956747782661</v>
      </c>
      <c r="BG67">
        <v>6.453862862540301E-4</v>
      </c>
      <c r="BJ67">
        <f t="shared" si="7"/>
        <v>0</v>
      </c>
      <c r="BK67">
        <f t="shared" si="8"/>
        <v>0</v>
      </c>
      <c r="BL67">
        <f t="shared" si="9"/>
        <v>0</v>
      </c>
      <c r="BM67">
        <f t="shared" si="10"/>
        <v>0</v>
      </c>
      <c r="BN67">
        <f t="shared" si="11"/>
        <v>0</v>
      </c>
      <c r="BO67">
        <f t="shared" si="12"/>
        <v>0</v>
      </c>
      <c r="BP67">
        <f t="shared" si="13"/>
        <v>0</v>
      </c>
      <c r="BQ67">
        <f t="shared" si="14"/>
        <v>0</v>
      </c>
      <c r="BR67">
        <f t="shared" si="15"/>
        <v>0</v>
      </c>
      <c r="BS67">
        <f t="shared" si="16"/>
        <v>0</v>
      </c>
      <c r="BT67">
        <f t="shared" si="17"/>
        <v>0</v>
      </c>
      <c r="BU67">
        <f t="shared" si="18"/>
        <v>0</v>
      </c>
      <c r="BV67">
        <f t="shared" si="19"/>
        <v>0</v>
      </c>
      <c r="BW67">
        <f t="shared" si="20"/>
        <v>0</v>
      </c>
      <c r="BX67">
        <f t="shared" si="21"/>
        <v>0</v>
      </c>
      <c r="BY67">
        <f t="shared" si="22"/>
        <v>1</v>
      </c>
    </row>
    <row r="68" spans="5:77" x14ac:dyDescent="0.3">
      <c r="Q68" s="45">
        <f>RDS2CLD_1-(Hypo2CI_1*RDS2CLD_1)</f>
        <v>0.34246866666666664</v>
      </c>
      <c r="R68" s="45"/>
      <c r="T68" s="78"/>
      <c r="Z68" s="42"/>
      <c r="AA68" s="6"/>
      <c r="AB68" s="42">
        <f t="shared" si="23"/>
        <v>0</v>
      </c>
      <c r="AC68" s="42"/>
      <c r="AX68">
        <v>0.34246866666666664</v>
      </c>
      <c r="BC68">
        <v>0</v>
      </c>
      <c r="BG68">
        <v>0</v>
      </c>
      <c r="BJ68">
        <f t="shared" si="7"/>
        <v>0</v>
      </c>
      <c r="BK68">
        <f t="shared" si="8"/>
        <v>0</v>
      </c>
      <c r="BL68">
        <f t="shared" si="9"/>
        <v>0</v>
      </c>
      <c r="BM68">
        <f t="shared" si="10"/>
        <v>0</v>
      </c>
      <c r="BN68">
        <f t="shared" si="11"/>
        <v>0</v>
      </c>
      <c r="BO68">
        <f t="shared" si="12"/>
        <v>0</v>
      </c>
      <c r="BP68">
        <f t="shared" si="13"/>
        <v>0</v>
      </c>
      <c r="BQ68">
        <f t="shared" si="14"/>
        <v>0</v>
      </c>
      <c r="BR68">
        <f t="shared" si="15"/>
        <v>0</v>
      </c>
      <c r="BS68">
        <f t="shared" si="16"/>
        <v>0</v>
      </c>
      <c r="BT68">
        <f t="shared" si="17"/>
        <v>0</v>
      </c>
      <c r="BU68">
        <f t="shared" si="18"/>
        <v>0</v>
      </c>
      <c r="BV68">
        <f t="shared" si="19"/>
        <v>0</v>
      </c>
      <c r="BW68">
        <f t="shared" si="20"/>
        <v>0</v>
      </c>
      <c r="BX68">
        <f t="shared" si="21"/>
        <v>0</v>
      </c>
      <c r="BY68">
        <f t="shared" si="22"/>
        <v>0</v>
      </c>
    </row>
    <row r="69" spans="5:77" x14ac:dyDescent="0.3">
      <c r="Q69" s="46">
        <f>c_lung+c_hosp_fu+c_CSG</f>
        <v>54529.510902399998</v>
      </c>
      <c r="R69" s="46"/>
      <c r="T69" s="78"/>
      <c r="Z69" s="42"/>
      <c r="AA69" s="6"/>
      <c r="AB69" s="42">
        <f t="shared" si="23"/>
        <v>0</v>
      </c>
      <c r="AC69" s="42">
        <f>U69*(Q71-c_CSG)</f>
        <v>0</v>
      </c>
      <c r="AX69">
        <v>42323.200000000004</v>
      </c>
      <c r="BC69">
        <v>0</v>
      </c>
      <c r="BG69">
        <v>0</v>
      </c>
      <c r="BJ69">
        <f t="shared" si="7"/>
        <v>0</v>
      </c>
      <c r="BK69">
        <f t="shared" si="8"/>
        <v>0</v>
      </c>
      <c r="BL69">
        <f t="shared" si="9"/>
        <v>0</v>
      </c>
      <c r="BM69">
        <f t="shared" si="10"/>
        <v>0</v>
      </c>
      <c r="BN69">
        <f t="shared" si="11"/>
        <v>0</v>
      </c>
      <c r="BO69">
        <f t="shared" si="12"/>
        <v>0</v>
      </c>
      <c r="BP69">
        <f t="shared" si="13"/>
        <v>0</v>
      </c>
      <c r="BQ69">
        <f t="shared" si="14"/>
        <v>0</v>
      </c>
      <c r="BR69">
        <f t="shared" si="15"/>
        <v>0</v>
      </c>
      <c r="BS69">
        <f t="shared" si="16"/>
        <v>0</v>
      </c>
      <c r="BT69">
        <f t="shared" si="17"/>
        <v>0</v>
      </c>
      <c r="BU69">
        <f t="shared" si="18"/>
        <v>0</v>
      </c>
      <c r="BV69">
        <f t="shared" si="19"/>
        <v>1</v>
      </c>
      <c r="BW69">
        <f t="shared" si="20"/>
        <v>0</v>
      </c>
      <c r="BX69">
        <f t="shared" si="21"/>
        <v>0</v>
      </c>
      <c r="BY69">
        <f t="shared" si="22"/>
        <v>0</v>
      </c>
    </row>
    <row r="70" spans="5:77" x14ac:dyDescent="0.3">
      <c r="Q70" s="19" t="s">
        <v>226</v>
      </c>
      <c r="R70" s="19"/>
      <c r="T70" s="78"/>
      <c r="U70">
        <f>$K$83*$I$72*$G$40*$E$78*$C$148*$A$103*$M$78*$O$73*Q71</f>
        <v>7.4426817297561601E-5</v>
      </c>
      <c r="V70">
        <v>1.1561704666338901E-4</v>
      </c>
      <c r="W70" s="42">
        <f>$K$84+$I$73+$G$41+$E$79+$C$149+$A$104+$M$79+$O$74+Q72</f>
        <v>307054.33035631373</v>
      </c>
      <c r="X70">
        <f>u_CongnitiveImpairement</f>
        <v>17.270393127285455</v>
      </c>
      <c r="Z70" s="42">
        <f>U70*W70</f>
        <v>22.853076545854485</v>
      </c>
      <c r="AA70" s="6">
        <f>U70*X70</f>
        <v>1.2853803939415381E-3</v>
      </c>
      <c r="AB70" s="42">
        <f t="shared" si="23"/>
        <v>0.82167206296508011</v>
      </c>
      <c r="AC70" s="42">
        <f>U70*(Q72-c_CSG)</f>
        <v>0.3517411385482761</v>
      </c>
      <c r="AX70" t="s">
        <v>226</v>
      </c>
      <c r="BA70">
        <v>1.1561704666338901E-4</v>
      </c>
      <c r="BB70">
        <v>1.1561704666338901E-4</v>
      </c>
      <c r="BC70">
        <v>0</v>
      </c>
      <c r="BD70">
        <v>791235.44</v>
      </c>
      <c r="BE70">
        <v>17.270393127285455</v>
      </c>
      <c r="BG70">
        <v>1.9967518480924354E-3</v>
      </c>
      <c r="BJ70">
        <f t="shared" si="7"/>
        <v>0</v>
      </c>
      <c r="BK70">
        <f t="shared" si="8"/>
        <v>0</v>
      </c>
      <c r="BL70">
        <f t="shared" si="9"/>
        <v>0</v>
      </c>
      <c r="BM70">
        <f t="shared" si="10"/>
        <v>0</v>
      </c>
      <c r="BN70">
        <f t="shared" si="11"/>
        <v>0</v>
      </c>
      <c r="BO70">
        <f t="shared" si="12"/>
        <v>0</v>
      </c>
      <c r="BP70">
        <f t="shared" si="13"/>
        <v>0</v>
      </c>
      <c r="BQ70">
        <f t="shared" si="14"/>
        <v>0</v>
      </c>
      <c r="BR70">
        <f t="shared" si="15"/>
        <v>0</v>
      </c>
      <c r="BS70">
        <f t="shared" si="16"/>
        <v>0</v>
      </c>
      <c r="BT70">
        <f t="shared" si="17"/>
        <v>0</v>
      </c>
      <c r="BU70">
        <f t="shared" si="18"/>
        <v>0</v>
      </c>
      <c r="BV70">
        <f t="shared" si="19"/>
        <v>0</v>
      </c>
      <c r="BW70">
        <f t="shared" si="20"/>
        <v>0</v>
      </c>
      <c r="BX70">
        <f t="shared" si="21"/>
        <v>0</v>
      </c>
      <c r="BY70">
        <f t="shared" si="22"/>
        <v>1</v>
      </c>
    </row>
    <row r="71" spans="5:77" x14ac:dyDescent="0.3">
      <c r="I71" s="19" t="s">
        <v>424</v>
      </c>
      <c r="Q71" s="45">
        <f>Hypo2CI_1-(Hypo2CI_1*RDS2CLD_1)</f>
        <v>3.2801999999999998E-2</v>
      </c>
      <c r="R71" s="45"/>
      <c r="T71" s="78"/>
      <c r="Z71" s="42"/>
      <c r="AA71" s="6"/>
      <c r="AB71" s="42">
        <f t="shared" si="23"/>
        <v>0</v>
      </c>
      <c r="AC71" s="42"/>
      <c r="AX71">
        <v>3.2801999999999998E-2</v>
      </c>
      <c r="BC71">
        <v>0</v>
      </c>
      <c r="BG71">
        <v>0</v>
      </c>
      <c r="BJ71">
        <f t="shared" si="7"/>
        <v>0</v>
      </c>
      <c r="BK71">
        <f t="shared" si="8"/>
        <v>0</v>
      </c>
      <c r="BL71">
        <f t="shared" si="9"/>
        <v>0</v>
      </c>
      <c r="BM71">
        <f t="shared" si="10"/>
        <v>0</v>
      </c>
      <c r="BN71">
        <f t="shared" si="11"/>
        <v>0</v>
      </c>
      <c r="BO71">
        <f t="shared" si="12"/>
        <v>0</v>
      </c>
      <c r="BP71">
        <f t="shared" si="13"/>
        <v>0</v>
      </c>
      <c r="BQ71">
        <f t="shared" si="14"/>
        <v>0</v>
      </c>
      <c r="BR71">
        <f t="shared" si="15"/>
        <v>0</v>
      </c>
      <c r="BS71">
        <f t="shared" si="16"/>
        <v>0</v>
      </c>
      <c r="BT71">
        <f t="shared" si="17"/>
        <v>0</v>
      </c>
      <c r="BU71">
        <f t="shared" si="18"/>
        <v>0</v>
      </c>
      <c r="BV71">
        <f t="shared" si="19"/>
        <v>0</v>
      </c>
      <c r="BW71">
        <f t="shared" si="20"/>
        <v>0</v>
      </c>
      <c r="BX71">
        <f t="shared" si="21"/>
        <v>0</v>
      </c>
      <c r="BY71">
        <f t="shared" si="22"/>
        <v>0</v>
      </c>
    </row>
    <row r="72" spans="5:77" x14ac:dyDescent="0.3">
      <c r="I72" s="45">
        <f>LBW_prem_2AGA_1</f>
        <v>0.60031407035175877</v>
      </c>
      <c r="O72" s="19" t="s">
        <v>161</v>
      </c>
      <c r="Q72" s="46">
        <f>c_cog+c_hosp_fu+c_CSG</f>
        <v>15766</v>
      </c>
      <c r="R72" s="46"/>
      <c r="T72" s="78"/>
      <c r="Z72" s="42"/>
      <c r="AA72" s="6"/>
      <c r="AB72" s="42">
        <f t="shared" si="23"/>
        <v>0</v>
      </c>
      <c r="AC72" s="42">
        <f>U72*(Q74-c_CSG)</f>
        <v>0</v>
      </c>
      <c r="AP72" t="s">
        <v>424</v>
      </c>
      <c r="AV72" t="s">
        <v>161</v>
      </c>
      <c r="AX72">
        <v>4840</v>
      </c>
      <c r="BC72">
        <v>0</v>
      </c>
      <c r="BG72">
        <v>0</v>
      </c>
      <c r="BJ72">
        <f t="shared" si="7"/>
        <v>0</v>
      </c>
      <c r="BK72">
        <f t="shared" si="8"/>
        <v>0</v>
      </c>
      <c r="BL72">
        <f t="shared" si="9"/>
        <v>0</v>
      </c>
      <c r="BM72">
        <f t="shared" si="10"/>
        <v>0</v>
      </c>
      <c r="BN72">
        <f t="shared" si="11"/>
        <v>1</v>
      </c>
      <c r="BO72">
        <f t="shared" si="12"/>
        <v>0</v>
      </c>
      <c r="BP72">
        <f t="shared" si="13"/>
        <v>0</v>
      </c>
      <c r="BQ72">
        <f t="shared" si="14"/>
        <v>0</v>
      </c>
      <c r="BR72">
        <f t="shared" si="15"/>
        <v>0</v>
      </c>
      <c r="BS72">
        <f t="shared" si="16"/>
        <v>0</v>
      </c>
      <c r="BT72">
        <f t="shared" si="17"/>
        <v>0</v>
      </c>
      <c r="BU72">
        <f t="shared" si="18"/>
        <v>0</v>
      </c>
      <c r="BV72">
        <f t="shared" si="19"/>
        <v>1</v>
      </c>
      <c r="BW72">
        <f t="shared" si="20"/>
        <v>0</v>
      </c>
      <c r="BX72">
        <f t="shared" si="21"/>
        <v>0</v>
      </c>
      <c r="BY72">
        <f t="shared" si="22"/>
        <v>0</v>
      </c>
    </row>
    <row r="73" spans="5:77" x14ac:dyDescent="0.3">
      <c r="I73" s="46"/>
      <c r="O73" s="45">
        <f>AGA_prem_2hypoglycaemia_1</f>
        <v>0.15</v>
      </c>
      <c r="Q73" s="19" t="s">
        <v>368</v>
      </c>
      <c r="R73" s="19"/>
      <c r="T73" s="78"/>
      <c r="U73">
        <f>$K$83*$I$72*$G$40*$E$78*$C$148*$A$103*$M$78*$O$73*Q74</f>
        <v>4.2047075186885349E-5</v>
      </c>
      <c r="V73">
        <v>6.531729866272839E-5</v>
      </c>
      <c r="W73" s="42">
        <f>$K$84+$I$73+$G$41+$E$79+$C$149+$A$104+$M$79+$O$74+Q75</f>
        <v>349636.84125871374</v>
      </c>
      <c r="X73">
        <f>u_ChronicResp+u_CongnitiveImpairement</f>
        <v>17.805052694763283</v>
      </c>
      <c r="Z73" s="42">
        <f>U73*W73</f>
        <v>14.701206552510234</v>
      </c>
      <c r="AA73" s="6">
        <f>U73*X73</f>
        <v>7.4865038936316737E-4</v>
      </c>
      <c r="AB73" s="42">
        <f t="shared" si="23"/>
        <v>0.46419971006321425</v>
      </c>
      <c r="AC73" s="42">
        <f>U73*(Q75-c_CSG)</f>
        <v>1.989184514892798</v>
      </c>
      <c r="AP73">
        <v>0.55590452261306533</v>
      </c>
      <c r="AV73">
        <v>0.15</v>
      </c>
      <c r="AX73" t="s">
        <v>368</v>
      </c>
      <c r="BA73">
        <v>6.531729866272839E-5</v>
      </c>
      <c r="BB73">
        <v>3.9595215814748616E-5</v>
      </c>
      <c r="BC73">
        <v>1</v>
      </c>
      <c r="BD73">
        <v>832385.6399999999</v>
      </c>
      <c r="BE73">
        <v>17.805052694763283</v>
      </c>
      <c r="BG73">
        <v>1.1629779445694703E-3</v>
      </c>
      <c r="BJ73">
        <f t="shared" si="7"/>
        <v>0</v>
      </c>
      <c r="BK73">
        <f t="shared" si="8"/>
        <v>0</v>
      </c>
      <c r="BL73">
        <f t="shared" si="9"/>
        <v>0</v>
      </c>
      <c r="BM73">
        <f t="shared" si="10"/>
        <v>0</v>
      </c>
      <c r="BN73">
        <f t="shared" si="11"/>
        <v>0</v>
      </c>
      <c r="BO73">
        <f t="shared" si="12"/>
        <v>0</v>
      </c>
      <c r="BP73">
        <f t="shared" si="13"/>
        <v>0</v>
      </c>
      <c r="BQ73">
        <f t="shared" si="14"/>
        <v>0</v>
      </c>
      <c r="BR73">
        <f t="shared" si="15"/>
        <v>0</v>
      </c>
      <c r="BS73">
        <f t="shared" si="16"/>
        <v>0</v>
      </c>
      <c r="BT73">
        <f t="shared" si="17"/>
        <v>0</v>
      </c>
      <c r="BU73">
        <f t="shared" si="18"/>
        <v>0</v>
      </c>
      <c r="BV73">
        <f t="shared" si="19"/>
        <v>0</v>
      </c>
      <c r="BW73">
        <f t="shared" si="20"/>
        <v>0</v>
      </c>
      <c r="BX73">
        <f t="shared" si="21"/>
        <v>0</v>
      </c>
      <c r="BY73">
        <f t="shared" si="22"/>
        <v>1</v>
      </c>
    </row>
    <row r="74" spans="5:77" x14ac:dyDescent="0.3">
      <c r="O74" s="46">
        <f>c_hypo</f>
        <v>2936.2604000000001</v>
      </c>
      <c r="Q74" s="45">
        <f>Hypo2CI_1*RDS2CLD_1</f>
        <v>1.8531333333333334E-2</v>
      </c>
      <c r="R74" s="45"/>
      <c r="T74" s="78"/>
      <c r="Z74" s="42"/>
      <c r="AA74" s="6"/>
      <c r="AB74" s="42">
        <f t="shared" si="23"/>
        <v>0</v>
      </c>
      <c r="AC74" s="42"/>
      <c r="AV74">
        <v>2728.1</v>
      </c>
      <c r="AX74">
        <v>1.8531333333333334E-2</v>
      </c>
      <c r="BC74">
        <v>0</v>
      </c>
      <c r="BG74">
        <v>0</v>
      </c>
      <c r="BJ74">
        <f t="shared" si="7"/>
        <v>0</v>
      </c>
      <c r="BK74">
        <f t="shared" si="8"/>
        <v>0</v>
      </c>
      <c r="BL74">
        <f t="shared" si="9"/>
        <v>0</v>
      </c>
      <c r="BM74">
        <f t="shared" si="10"/>
        <v>0</v>
      </c>
      <c r="BN74">
        <f t="shared" si="11"/>
        <v>0</v>
      </c>
      <c r="BO74">
        <f t="shared" si="12"/>
        <v>0</v>
      </c>
      <c r="BP74">
        <f t="shared" si="13"/>
        <v>0</v>
      </c>
      <c r="BQ74">
        <f t="shared" si="14"/>
        <v>0</v>
      </c>
      <c r="BR74">
        <f t="shared" si="15"/>
        <v>0</v>
      </c>
      <c r="BS74">
        <f t="shared" si="16"/>
        <v>0</v>
      </c>
      <c r="BT74">
        <f t="shared" si="17"/>
        <v>1</v>
      </c>
      <c r="BU74">
        <f t="shared" si="18"/>
        <v>0</v>
      </c>
      <c r="BV74">
        <f t="shared" si="19"/>
        <v>0</v>
      </c>
      <c r="BW74">
        <f t="shared" si="20"/>
        <v>0</v>
      </c>
      <c r="BX74">
        <f t="shared" si="21"/>
        <v>0</v>
      </c>
      <c r="BY74">
        <f t="shared" si="22"/>
        <v>0</v>
      </c>
    </row>
    <row r="75" spans="5:77" x14ac:dyDescent="0.3">
      <c r="M75" s="42"/>
      <c r="Q75" s="46">
        <f>c_lung+c_cog+c_hosp_fu+c_CSG</f>
        <v>58348.510902399998</v>
      </c>
      <c r="R75" s="46"/>
      <c r="T75" s="78"/>
      <c r="Z75" s="42"/>
      <c r="AA75" s="6"/>
      <c r="AB75" s="42">
        <f t="shared" si="23"/>
        <v>0</v>
      </c>
      <c r="AC75" s="42">
        <f>U75*(Q77-c_CSG)</f>
        <v>0</v>
      </c>
      <c r="AX75">
        <v>45990.200000000004</v>
      </c>
      <c r="BC75">
        <v>0</v>
      </c>
      <c r="BG75">
        <v>0</v>
      </c>
      <c r="BJ75">
        <f t="shared" si="7"/>
        <v>0</v>
      </c>
      <c r="BK75">
        <f t="shared" si="8"/>
        <v>0</v>
      </c>
      <c r="BL75">
        <f t="shared" si="9"/>
        <v>0</v>
      </c>
      <c r="BM75">
        <f t="shared" si="10"/>
        <v>0</v>
      </c>
      <c r="BN75">
        <f t="shared" si="11"/>
        <v>0</v>
      </c>
      <c r="BO75">
        <f t="shared" si="12"/>
        <v>0</v>
      </c>
      <c r="BP75">
        <f t="shared" si="13"/>
        <v>0</v>
      </c>
      <c r="BQ75">
        <f t="shared" si="14"/>
        <v>0</v>
      </c>
      <c r="BR75">
        <f t="shared" si="15"/>
        <v>0</v>
      </c>
      <c r="BS75">
        <f t="shared" si="16"/>
        <v>0</v>
      </c>
      <c r="BT75">
        <f t="shared" si="17"/>
        <v>0</v>
      </c>
      <c r="BU75">
        <f t="shared" si="18"/>
        <v>0</v>
      </c>
      <c r="BV75">
        <f t="shared" si="19"/>
        <v>1</v>
      </c>
      <c r="BW75">
        <f t="shared" si="20"/>
        <v>0</v>
      </c>
      <c r="BX75">
        <f t="shared" si="21"/>
        <v>0</v>
      </c>
      <c r="BY75">
        <f t="shared" si="22"/>
        <v>0</v>
      </c>
    </row>
    <row r="76" spans="5:77" x14ac:dyDescent="0.3">
      <c r="Q76" s="19" t="s">
        <v>369</v>
      </c>
      <c r="R76" s="19"/>
      <c r="T76" s="78"/>
      <c r="U76">
        <f>$K$83*$I$72*$G$40*$E$78*$C$148*$A$103*$M$78*$O$73*Q77</f>
        <v>1.3754462469406515E-3</v>
      </c>
      <c r="V76">
        <v>2.1366630831428906E-3</v>
      </c>
      <c r="W76" s="42">
        <f>$K$84+$I$73+$G$41+$E$79+$C$149+$A$104+$M$79+$O$74+Q78</f>
        <v>305691.33035631373</v>
      </c>
      <c r="X76">
        <f>u_Healthy</f>
        <v>0</v>
      </c>
      <c r="Z76" s="42">
        <f>U76*W76</f>
        <v>420.46199306088658</v>
      </c>
      <c r="AA76" s="6">
        <f>U76*X76</f>
        <v>0</v>
      </c>
      <c r="AB76" s="42">
        <f t="shared" si="23"/>
        <v>15.184926566224792</v>
      </c>
      <c r="AC76" s="42">
        <f>U76*(Q78-c_CSG)</f>
        <v>4.6256257284614115</v>
      </c>
      <c r="AX76" t="s">
        <v>369</v>
      </c>
      <c r="BA76">
        <v>2.1366630831428906E-3</v>
      </c>
      <c r="BB76">
        <v>2.1623851659908705E-3</v>
      </c>
      <c r="BC76">
        <v>1</v>
      </c>
      <c r="BD76">
        <v>789625.44</v>
      </c>
      <c r="BE76">
        <v>0</v>
      </c>
      <c r="BG76">
        <v>0</v>
      </c>
      <c r="BJ76">
        <f t="shared" si="7"/>
        <v>0</v>
      </c>
      <c r="BK76">
        <f t="shared" si="8"/>
        <v>0</v>
      </c>
      <c r="BL76">
        <f t="shared" si="9"/>
        <v>0</v>
      </c>
      <c r="BM76">
        <f t="shared" si="10"/>
        <v>0</v>
      </c>
      <c r="BN76">
        <f t="shared" si="11"/>
        <v>0</v>
      </c>
      <c r="BO76">
        <f t="shared" si="12"/>
        <v>0</v>
      </c>
      <c r="BP76">
        <f t="shared" si="13"/>
        <v>0</v>
      </c>
      <c r="BQ76">
        <f t="shared" si="14"/>
        <v>0</v>
      </c>
      <c r="BR76">
        <f t="shared" si="15"/>
        <v>0</v>
      </c>
      <c r="BS76">
        <f t="shared" si="16"/>
        <v>0</v>
      </c>
      <c r="BT76">
        <f t="shared" si="17"/>
        <v>0</v>
      </c>
      <c r="BU76">
        <f t="shared" si="18"/>
        <v>0</v>
      </c>
      <c r="BV76">
        <f t="shared" si="19"/>
        <v>0</v>
      </c>
      <c r="BW76">
        <f t="shared" si="20"/>
        <v>0</v>
      </c>
      <c r="BX76">
        <f t="shared" si="21"/>
        <v>0</v>
      </c>
      <c r="BY76">
        <f t="shared" si="22"/>
        <v>1</v>
      </c>
    </row>
    <row r="77" spans="5:77" x14ac:dyDescent="0.3">
      <c r="E77" s="19" t="s">
        <v>10</v>
      </c>
      <c r="M77" s="19" t="s">
        <v>9</v>
      </c>
      <c r="Q77" s="45">
        <f>1-Q68-Q71-Q74</f>
        <v>0.60619800000000001</v>
      </c>
      <c r="R77" s="45"/>
      <c r="T77" s="78"/>
      <c r="Z77" s="42"/>
      <c r="AA77" s="6"/>
      <c r="AB77" s="42">
        <f t="shared" si="23"/>
        <v>0</v>
      </c>
      <c r="AC77" s="42">
        <f>U77*(Q79-c_CSG)</f>
        <v>0</v>
      </c>
      <c r="AK77" t="s">
        <v>10</v>
      </c>
      <c r="AX77">
        <v>0.60619800000000001</v>
      </c>
      <c r="BC77">
        <v>0</v>
      </c>
      <c r="BG77">
        <v>0</v>
      </c>
      <c r="BJ77">
        <f t="shared" si="7"/>
        <v>0</v>
      </c>
      <c r="BK77">
        <f t="shared" si="8"/>
        <v>0</v>
      </c>
      <c r="BL77">
        <f t="shared" si="9"/>
        <v>0</v>
      </c>
      <c r="BM77">
        <f t="shared" si="10"/>
        <v>0</v>
      </c>
      <c r="BN77">
        <f t="shared" si="11"/>
        <v>0</v>
      </c>
      <c r="BO77">
        <f t="shared" si="12"/>
        <v>0</v>
      </c>
      <c r="BP77">
        <f t="shared" si="13"/>
        <v>0</v>
      </c>
      <c r="BQ77">
        <f t="shared" si="14"/>
        <v>0</v>
      </c>
      <c r="BR77">
        <f t="shared" si="15"/>
        <v>0</v>
      </c>
      <c r="BS77">
        <f t="shared" si="16"/>
        <v>0</v>
      </c>
      <c r="BT77">
        <f t="shared" si="17"/>
        <v>0</v>
      </c>
      <c r="BU77">
        <f t="shared" si="18"/>
        <v>0</v>
      </c>
      <c r="BV77">
        <f t="shared" si="19"/>
        <v>0</v>
      </c>
      <c r="BW77">
        <f t="shared" si="20"/>
        <v>0</v>
      </c>
      <c r="BX77">
        <f t="shared" si="21"/>
        <v>0</v>
      </c>
      <c r="BY77">
        <f t="shared" si="22"/>
        <v>0</v>
      </c>
    </row>
    <row r="78" spans="5:77" x14ac:dyDescent="0.3">
      <c r="E78" s="45">
        <f>LB2prem_1</f>
        <v>0.13286148238153098</v>
      </c>
      <c r="K78" s="42"/>
      <c r="M78" s="45">
        <f>S_prem_2RDS_1</f>
        <v>0.45</v>
      </c>
      <c r="Q78" s="46">
        <f>c_clinic_fu+c_CSG</f>
        <v>14403</v>
      </c>
      <c r="R78" s="46"/>
      <c r="T78" s="78"/>
      <c r="Z78" s="42"/>
      <c r="AA78" s="6"/>
      <c r="AB78" s="42">
        <f t="shared" si="23"/>
        <v>0</v>
      </c>
      <c r="AC78" s="42"/>
      <c r="AK78">
        <v>0.17481773997569866</v>
      </c>
      <c r="AT78" t="s">
        <v>9</v>
      </c>
      <c r="AX78">
        <v>3230</v>
      </c>
      <c r="BC78">
        <v>0</v>
      </c>
      <c r="BG78">
        <v>0</v>
      </c>
      <c r="BJ78">
        <f t="shared" si="7"/>
        <v>1</v>
      </c>
      <c r="BK78">
        <f t="shared" si="8"/>
        <v>0</v>
      </c>
      <c r="BL78">
        <f t="shared" si="9"/>
        <v>0</v>
      </c>
      <c r="BM78">
        <f t="shared" si="10"/>
        <v>0</v>
      </c>
      <c r="BN78">
        <f t="shared" si="11"/>
        <v>0</v>
      </c>
      <c r="BO78">
        <f t="shared" si="12"/>
        <v>0</v>
      </c>
      <c r="BP78">
        <f t="shared" si="13"/>
        <v>0</v>
      </c>
      <c r="BQ78">
        <f t="shared" si="14"/>
        <v>0</v>
      </c>
      <c r="BR78">
        <f t="shared" si="15"/>
        <v>0</v>
      </c>
      <c r="BS78">
        <f t="shared" si="16"/>
        <v>0</v>
      </c>
      <c r="BT78">
        <f t="shared" si="17"/>
        <v>0</v>
      </c>
      <c r="BU78">
        <f t="shared" si="18"/>
        <v>0</v>
      </c>
      <c r="BV78">
        <f t="shared" si="19"/>
        <v>1</v>
      </c>
      <c r="BW78">
        <f t="shared" si="20"/>
        <v>0</v>
      </c>
      <c r="BX78">
        <f t="shared" si="21"/>
        <v>0</v>
      </c>
      <c r="BY78">
        <f t="shared" si="22"/>
        <v>0</v>
      </c>
    </row>
    <row r="79" spans="5:77" x14ac:dyDescent="0.3">
      <c r="E79" s="46">
        <f>c_prem</f>
        <v>577.9017081081081</v>
      </c>
      <c r="K79" s="42"/>
      <c r="M79" s="46">
        <f>c_RDS</f>
        <v>30595.610148205637</v>
      </c>
      <c r="Q79" s="42"/>
      <c r="R79" s="42"/>
      <c r="T79" s="78"/>
      <c r="Z79" s="42"/>
      <c r="AA79" s="6"/>
      <c r="AB79" s="42">
        <f t="shared" si="23"/>
        <v>0</v>
      </c>
      <c r="AC79" s="42">
        <f>U79*(Q81-c_CSG)</f>
        <v>0</v>
      </c>
      <c r="AK79">
        <v>1653.34</v>
      </c>
      <c r="AT79">
        <v>0.45</v>
      </c>
      <c r="BC79">
        <v>0</v>
      </c>
      <c r="BG79">
        <v>0</v>
      </c>
      <c r="BJ79">
        <f t="shared" si="7"/>
        <v>1</v>
      </c>
      <c r="BK79">
        <f t="shared" si="8"/>
        <v>0</v>
      </c>
      <c r="BL79">
        <f t="shared" si="9"/>
        <v>0</v>
      </c>
      <c r="BM79">
        <f t="shared" si="10"/>
        <v>0</v>
      </c>
      <c r="BN79">
        <f t="shared" si="11"/>
        <v>0</v>
      </c>
      <c r="BO79">
        <f t="shared" si="12"/>
        <v>0</v>
      </c>
      <c r="BP79">
        <f t="shared" si="13"/>
        <v>0</v>
      </c>
      <c r="BQ79">
        <f t="shared" si="14"/>
        <v>0</v>
      </c>
      <c r="BR79">
        <f t="shared" si="15"/>
        <v>1</v>
      </c>
      <c r="BS79">
        <f t="shared" si="16"/>
        <v>0</v>
      </c>
      <c r="BT79">
        <f t="shared" si="17"/>
        <v>0</v>
      </c>
      <c r="BU79">
        <f t="shared" si="18"/>
        <v>0</v>
      </c>
      <c r="BV79">
        <f t="shared" si="19"/>
        <v>0</v>
      </c>
      <c r="BW79">
        <f t="shared" si="20"/>
        <v>0</v>
      </c>
      <c r="BX79">
        <f t="shared" si="21"/>
        <v>0</v>
      </c>
      <c r="BY79">
        <f t="shared" si="22"/>
        <v>0</v>
      </c>
    </row>
    <row r="80" spans="5:77" x14ac:dyDescent="0.3">
      <c r="Q80" s="19" t="s">
        <v>367</v>
      </c>
      <c r="R80" s="19"/>
      <c r="T80" s="78"/>
      <c r="U80">
        <f>$K$83*$I$72*$G$40*$E$78*$C$148*$A$103*$M$78*$O$83*Q81</f>
        <v>4.4879915510709443E-3</v>
      </c>
      <c r="V80">
        <v>6.9717925262144063E-3</v>
      </c>
      <c r="W80" s="42">
        <f>$K$84+$I$73+$G$41+$E$79+$C$149+$A$104+$M$79+$O$84+Q82</f>
        <v>342881.58085871371</v>
      </c>
      <c r="X80">
        <f>u_ChronicResp</f>
        <v>0.53465956747782661</v>
      </c>
      <c r="Z80" s="42">
        <f>U80*W80</f>
        <v>1538.849637911756</v>
      </c>
      <c r="AA80" s="6">
        <f>U80*X80</f>
        <v>2.3995476215397313E-3</v>
      </c>
      <c r="AB80" s="42">
        <f t="shared" si="23"/>
        <v>49.547426723823222</v>
      </c>
      <c r="AC80" s="42">
        <f>U80*(Q82-c_CSG)</f>
        <v>195.1805574901789</v>
      </c>
      <c r="AT80">
        <v>23624</v>
      </c>
      <c r="AX80" t="s">
        <v>367</v>
      </c>
      <c r="BA80">
        <v>6.9717925262144063E-3</v>
      </c>
      <c r="BB80">
        <v>6.9717925262144063E-3</v>
      </c>
      <c r="BC80">
        <v>0</v>
      </c>
      <c r="BD80">
        <v>825990.53999999992</v>
      </c>
      <c r="BE80">
        <v>0.53465956747782661</v>
      </c>
      <c r="BG80">
        <v>3.7275355766109388E-3</v>
      </c>
      <c r="BJ80">
        <f t="shared" si="7"/>
        <v>0</v>
      </c>
      <c r="BK80">
        <f t="shared" si="8"/>
        <v>0</v>
      </c>
      <c r="BL80">
        <f t="shared" si="9"/>
        <v>0</v>
      </c>
      <c r="BM80">
        <f t="shared" si="10"/>
        <v>0</v>
      </c>
      <c r="BN80">
        <f t="shared" si="11"/>
        <v>0</v>
      </c>
      <c r="BO80">
        <f t="shared" si="12"/>
        <v>0</v>
      </c>
      <c r="BP80">
        <f t="shared" si="13"/>
        <v>0</v>
      </c>
      <c r="BQ80">
        <f t="shared" si="14"/>
        <v>0</v>
      </c>
      <c r="BR80">
        <f t="shared" si="15"/>
        <v>0</v>
      </c>
      <c r="BS80">
        <f t="shared" si="16"/>
        <v>0</v>
      </c>
      <c r="BT80">
        <f t="shared" si="17"/>
        <v>0</v>
      </c>
      <c r="BU80">
        <f t="shared" si="18"/>
        <v>0</v>
      </c>
      <c r="BV80">
        <f t="shared" si="19"/>
        <v>0</v>
      </c>
      <c r="BW80">
        <f t="shared" si="20"/>
        <v>0</v>
      </c>
      <c r="BX80">
        <f t="shared" si="21"/>
        <v>0</v>
      </c>
      <c r="BY80">
        <f t="shared" si="22"/>
        <v>1</v>
      </c>
    </row>
    <row r="81" spans="11:77" x14ac:dyDescent="0.3">
      <c r="Q81" s="45">
        <f>RDS2CLD_1-(RDS2CLD_1*noHypo2CI_1)</f>
        <v>0.34905610687022898</v>
      </c>
      <c r="R81" s="45"/>
      <c r="T81" s="78"/>
      <c r="Z81" s="42"/>
      <c r="AA81" s="6"/>
      <c r="AB81" s="42">
        <f t="shared" si="23"/>
        <v>0</v>
      </c>
      <c r="AC81" s="42"/>
      <c r="AX81">
        <v>0.34905610687022898</v>
      </c>
      <c r="BC81">
        <v>0</v>
      </c>
      <c r="BG81">
        <v>0</v>
      </c>
      <c r="BJ81">
        <f t="shared" si="7"/>
        <v>0</v>
      </c>
      <c r="BK81">
        <f t="shared" si="8"/>
        <v>0</v>
      </c>
      <c r="BL81">
        <f t="shared" si="9"/>
        <v>0</v>
      </c>
      <c r="BM81">
        <f t="shared" si="10"/>
        <v>0</v>
      </c>
      <c r="BN81">
        <f t="shared" si="11"/>
        <v>0</v>
      </c>
      <c r="BO81">
        <f t="shared" si="12"/>
        <v>0</v>
      </c>
      <c r="BP81">
        <f t="shared" si="13"/>
        <v>0</v>
      </c>
      <c r="BQ81">
        <f t="shared" si="14"/>
        <v>0</v>
      </c>
      <c r="BR81">
        <f t="shared" si="15"/>
        <v>0</v>
      </c>
      <c r="BS81">
        <f t="shared" si="16"/>
        <v>0</v>
      </c>
      <c r="BT81">
        <f t="shared" si="17"/>
        <v>0</v>
      </c>
      <c r="BU81">
        <f t="shared" si="18"/>
        <v>0</v>
      </c>
      <c r="BV81">
        <f t="shared" si="19"/>
        <v>0</v>
      </c>
      <c r="BW81">
        <f t="shared" si="20"/>
        <v>0</v>
      </c>
      <c r="BX81">
        <f t="shared" si="21"/>
        <v>0</v>
      </c>
      <c r="BY81">
        <f t="shared" si="22"/>
        <v>0</v>
      </c>
    </row>
    <row r="82" spans="11:77" x14ac:dyDescent="0.3">
      <c r="K82" s="19" t="s">
        <v>37</v>
      </c>
      <c r="M82" s="42"/>
      <c r="O82" s="19" t="s">
        <v>370</v>
      </c>
      <c r="Q82" s="46">
        <f>c_lung+c_hosp_fu+c_CSG</f>
        <v>54529.510902399998</v>
      </c>
      <c r="R82" s="46"/>
      <c r="T82" s="78"/>
      <c r="Z82" s="42"/>
      <c r="AA82" s="6"/>
      <c r="AB82" s="42">
        <f t="shared" si="23"/>
        <v>0</v>
      </c>
      <c r="AC82" s="42">
        <f>U82*(Q84-c_CSG)</f>
        <v>0</v>
      </c>
      <c r="AV82" t="s">
        <v>370</v>
      </c>
      <c r="AX82">
        <v>42323.200000000004</v>
      </c>
      <c r="BC82">
        <v>0</v>
      </c>
      <c r="BG82">
        <v>0</v>
      </c>
      <c r="BJ82">
        <f t="shared" si="7"/>
        <v>0</v>
      </c>
      <c r="BK82">
        <f t="shared" si="8"/>
        <v>0</v>
      </c>
      <c r="BL82">
        <f t="shared" si="9"/>
        <v>0</v>
      </c>
      <c r="BM82">
        <f t="shared" si="10"/>
        <v>0</v>
      </c>
      <c r="BN82">
        <f t="shared" si="11"/>
        <v>0</v>
      </c>
      <c r="BO82">
        <f t="shared" si="12"/>
        <v>0</v>
      </c>
      <c r="BP82">
        <f t="shared" si="13"/>
        <v>0</v>
      </c>
      <c r="BQ82">
        <f t="shared" si="14"/>
        <v>0</v>
      </c>
      <c r="BR82">
        <f t="shared" si="15"/>
        <v>0</v>
      </c>
      <c r="BS82">
        <f t="shared" si="16"/>
        <v>0</v>
      </c>
      <c r="BT82">
        <f t="shared" si="17"/>
        <v>0</v>
      </c>
      <c r="BU82">
        <f t="shared" si="18"/>
        <v>0</v>
      </c>
      <c r="BV82">
        <f t="shared" si="19"/>
        <v>1</v>
      </c>
      <c r="BW82">
        <f t="shared" si="20"/>
        <v>0</v>
      </c>
      <c r="BX82">
        <f t="shared" si="21"/>
        <v>0</v>
      </c>
      <c r="BY82">
        <f t="shared" si="22"/>
        <v>0</v>
      </c>
    </row>
    <row r="83" spans="11:77" x14ac:dyDescent="0.3">
      <c r="K83" s="45">
        <f>AGA_prem_2s_1</f>
        <v>0.96809627499999995</v>
      </c>
      <c r="O83" s="45">
        <f>AGA_prem_2normoglycaemia_1</f>
        <v>0.85</v>
      </c>
      <c r="Q83" s="19" t="s">
        <v>226</v>
      </c>
      <c r="R83" s="19"/>
      <c r="T83" s="78"/>
      <c r="U83">
        <f>$K$83*$I$72*$G$40*$E$78*$C$148*$A$103*$M$78*$O$83*Q84</f>
        <v>2.7182935533417524E-4</v>
      </c>
      <c r="V83">
        <v>4.2226859082928909E-4</v>
      </c>
      <c r="W83" s="42">
        <f>$K$84+$I$73+$G$41+$E$79+$C$149+$A$104+$M$79+$O$84+Q85</f>
        <v>304118.0699563137</v>
      </c>
      <c r="X83">
        <f>u_CongnitiveImpairement</f>
        <v>17.270393127285455</v>
      </c>
      <c r="Z83" s="42">
        <f>U83*W83</f>
        <v>82.668218901698367</v>
      </c>
      <c r="AA83" s="6">
        <f>U83*X83</f>
        <v>4.6945998301577757E-3</v>
      </c>
      <c r="AB83" s="42">
        <f t="shared" si="23"/>
        <v>3.0009960828892948</v>
      </c>
      <c r="AC83" s="42">
        <f>U83*(Q85-c_CSG)</f>
        <v>1.2846655333093122</v>
      </c>
      <c r="AR83" t="s">
        <v>37</v>
      </c>
      <c r="AV83">
        <v>0.85</v>
      </c>
      <c r="AX83" t="s">
        <v>226</v>
      </c>
      <c r="BA83">
        <v>4.2226859082928909E-4</v>
      </c>
      <c r="BB83">
        <v>4.2226859082928909E-4</v>
      </c>
      <c r="BC83">
        <v>0</v>
      </c>
      <c r="BD83">
        <v>788507.34</v>
      </c>
      <c r="BE83">
        <v>17.270393127285455</v>
      </c>
      <c r="BG83">
        <v>7.2927445689266682E-3</v>
      </c>
      <c r="BJ83">
        <f t="shared" si="7"/>
        <v>0</v>
      </c>
      <c r="BK83">
        <f t="shared" si="8"/>
        <v>0</v>
      </c>
      <c r="BL83">
        <f t="shared" si="9"/>
        <v>0</v>
      </c>
      <c r="BM83">
        <f t="shared" si="10"/>
        <v>0</v>
      </c>
      <c r="BN83">
        <f t="shared" si="11"/>
        <v>0</v>
      </c>
      <c r="BO83">
        <f t="shared" si="12"/>
        <v>0</v>
      </c>
      <c r="BP83">
        <f t="shared" si="13"/>
        <v>1</v>
      </c>
      <c r="BQ83">
        <f t="shared" si="14"/>
        <v>0</v>
      </c>
      <c r="BR83">
        <f t="shared" si="15"/>
        <v>0</v>
      </c>
      <c r="BS83">
        <f t="shared" si="16"/>
        <v>0</v>
      </c>
      <c r="BT83">
        <f t="shared" si="17"/>
        <v>0</v>
      </c>
      <c r="BU83">
        <f t="shared" si="18"/>
        <v>0</v>
      </c>
      <c r="BV83">
        <f t="shared" si="19"/>
        <v>0</v>
      </c>
      <c r="BW83">
        <f t="shared" si="20"/>
        <v>0</v>
      </c>
      <c r="BX83">
        <f t="shared" si="21"/>
        <v>0</v>
      </c>
      <c r="BY83">
        <f t="shared" si="22"/>
        <v>1</v>
      </c>
    </row>
    <row r="84" spans="11:77" x14ac:dyDescent="0.3">
      <c r="K84" s="46"/>
      <c r="O84" s="46"/>
      <c r="Q84" s="45">
        <f>noHypo2CI_1-(RDS2CLD_1*noHypo2CI_1)</f>
        <v>2.1141683406990762E-2</v>
      </c>
      <c r="R84" s="45"/>
      <c r="T84" s="78"/>
      <c r="Z84" s="42"/>
      <c r="AA84" s="6"/>
      <c r="AB84" s="42">
        <f t="shared" si="23"/>
        <v>0</v>
      </c>
      <c r="AC84" s="42"/>
      <c r="AR84">
        <v>0.96482500000000004</v>
      </c>
    </row>
    <row r="85" spans="11:77" x14ac:dyDescent="0.3">
      <c r="Q85" s="46">
        <f>c_cog+c_hosp_fu+c_CSG</f>
        <v>15766</v>
      </c>
      <c r="R85" s="46"/>
      <c r="T85" s="78"/>
      <c r="Z85" s="42"/>
      <c r="AA85" s="6"/>
      <c r="AB85" s="42">
        <f t="shared" si="23"/>
        <v>0</v>
      </c>
      <c r="AC85" s="42">
        <f>U85*(Q87-c_CSG)</f>
        <v>0</v>
      </c>
    </row>
    <row r="86" spans="11:77" x14ac:dyDescent="0.3">
      <c r="Q86" s="19" t="s">
        <v>368</v>
      </c>
      <c r="R86" s="19"/>
      <c r="T86" s="78"/>
      <c r="U86">
        <f>$K$83*$I$72*$G$40*$E$78*$C$148*$A$103*$M$78*$O$83*Q87</f>
        <v>1.5356869683198318E-4</v>
      </c>
      <c r="V86">
        <v>2.3855862486599894E-4</v>
      </c>
      <c r="W86" s="42">
        <f>$K$84+$I$73+$G$41+$E$79+$C$149+$A$104+$M$79+$O$84+Q88</f>
        <v>346700.58085871371</v>
      </c>
      <c r="X86">
        <f>u_ChronicResp+u_CongnitiveImpairement</f>
        <v>17.805052694763283</v>
      </c>
      <c r="Z86" s="42">
        <f>U86*W86</f>
        <v>53.242356393364275</v>
      </c>
      <c r="AA86" s="6">
        <f>U86*X86</f>
        <v>2.7342987393595879E-3</v>
      </c>
      <c r="AB86" s="42">
        <f t="shared" si="23"/>
        <v>1.6953984130250943</v>
      </c>
      <c r="AC86" s="42">
        <f>U86*(Q88-c_CSG)</f>
        <v>7.2651063683432362</v>
      </c>
    </row>
    <row r="87" spans="11:77" x14ac:dyDescent="0.3">
      <c r="Q87" s="45">
        <f>RDS2CLD_1*noHypo2CI_1</f>
        <v>1.1943893129770991E-2</v>
      </c>
      <c r="R87" s="45"/>
      <c r="T87" s="78"/>
      <c r="Z87" s="42"/>
      <c r="AA87" s="6"/>
      <c r="AB87" s="42">
        <f t="shared" si="23"/>
        <v>0</v>
      </c>
      <c r="AC87" s="42"/>
    </row>
    <row r="88" spans="11:77" x14ac:dyDescent="0.3">
      <c r="Q88" s="46">
        <f>c_cog+c_lung+c_hosp_fu+c_CSG</f>
        <v>58348.510902399998</v>
      </c>
      <c r="R88" s="46"/>
      <c r="T88" s="78"/>
      <c r="Z88" s="42"/>
      <c r="AA88" s="6"/>
      <c r="AB88" s="42">
        <f t="shared" si="23"/>
        <v>0</v>
      </c>
      <c r="AC88" s="42">
        <f>U88*(Q90-c_CSG)</f>
        <v>0</v>
      </c>
    </row>
    <row r="89" spans="11:77" x14ac:dyDescent="0.3">
      <c r="Q89" s="19" t="s">
        <v>369</v>
      </c>
      <c r="R89" s="19"/>
      <c r="T89" s="78"/>
      <c r="U89">
        <f>$K$83*$I$72*$G$40*$E$78*$C$148*$A$103*$M$78*$O$83*Q90</f>
        <v>7.9441180086823673E-3</v>
      </c>
      <c r="V89">
        <v>1.2340652144739632E-2</v>
      </c>
      <c r="W89" s="42">
        <f>$K$84+$I$73+$G$41+$E$79+$C$149+$A$104+$M$79+$O$84+Q91</f>
        <v>302755.0699563137</v>
      </c>
      <c r="X89">
        <f>u_Healthy</f>
        <v>0</v>
      </c>
      <c r="Z89" s="42">
        <f>U89*W89</f>
        <v>2405.1220034598418</v>
      </c>
      <c r="AA89" s="6">
        <f>U89*X89</f>
        <v>0</v>
      </c>
      <c r="AB89" s="42">
        <f t="shared" si="23"/>
        <v>87.703062815853329</v>
      </c>
      <c r="AC89" s="42">
        <f>U89*(Q91-c_CSG)</f>
        <v>26.716068863198803</v>
      </c>
    </row>
    <row r="90" spans="11:77" x14ac:dyDescent="0.3">
      <c r="Q90" s="45">
        <f>1-Q87-Q84-Q81</f>
        <v>0.61785831659300938</v>
      </c>
      <c r="R90" s="45"/>
      <c r="T90" s="78"/>
      <c r="Z90" s="42"/>
      <c r="AA90" s="6"/>
      <c r="AB90" s="42">
        <f t="shared" si="23"/>
        <v>0</v>
      </c>
      <c r="AC90" s="42">
        <f>U90*(Q92-c_CSG)</f>
        <v>0</v>
      </c>
    </row>
    <row r="91" spans="11:77" x14ac:dyDescent="0.3">
      <c r="Q91" s="46">
        <f>c_clinic_fu+c_CSG</f>
        <v>14403</v>
      </c>
      <c r="R91" s="46"/>
      <c r="T91" s="78"/>
      <c r="Z91" s="42"/>
      <c r="AA91" s="6"/>
      <c r="AB91" s="42">
        <f t="shared" si="23"/>
        <v>0</v>
      </c>
      <c r="AC91" s="42">
        <f>U91*(Q93-c_CSG)</f>
        <v>0</v>
      </c>
    </row>
    <row r="92" spans="11:77" x14ac:dyDescent="0.3">
      <c r="Q92" s="42"/>
      <c r="R92" s="42"/>
      <c r="T92" s="78"/>
      <c r="Z92" s="42"/>
      <c r="AA92" s="6"/>
      <c r="AB92" s="42">
        <f t="shared" si="23"/>
        <v>0</v>
      </c>
      <c r="AC92" s="42"/>
    </row>
    <row r="93" spans="11:77" x14ac:dyDescent="0.3">
      <c r="Q93" s="42"/>
      <c r="R93" s="42"/>
      <c r="T93" s="78"/>
      <c r="Z93" s="42"/>
      <c r="AA93" s="6"/>
      <c r="AB93" s="42">
        <f t="shared" si="23"/>
        <v>0</v>
      </c>
      <c r="AC93" s="42">
        <f>U93*(Q95-c_CSG)</f>
        <v>0</v>
      </c>
    </row>
    <row r="94" spans="11:77" x14ac:dyDescent="0.3">
      <c r="Q94" s="19" t="s">
        <v>367</v>
      </c>
      <c r="R94" s="19"/>
      <c r="T94" s="78"/>
      <c r="U94">
        <f>$K$83*$I$72*$G$40*$E$78*$C$148*$A$103*$M$99*$O$97*Q95</f>
        <v>0</v>
      </c>
      <c r="V94">
        <v>0</v>
      </c>
      <c r="W94" s="42">
        <f>$K$84+$I$73+$G$41+$E$79+$C$149+$A$104+$M$100+$O$98+Q96</f>
        <v>315222.23111050809</v>
      </c>
      <c r="X94">
        <f>u_ChronicResp</f>
        <v>0.53465956747782661</v>
      </c>
      <c r="Z94" s="42">
        <f>U94*W94</f>
        <v>0</v>
      </c>
      <c r="AA94" s="6">
        <f>U94*X94</f>
        <v>0</v>
      </c>
      <c r="AB94" s="42">
        <f t="shared" si="23"/>
        <v>0</v>
      </c>
      <c r="AC94" s="42">
        <f>U94*(Q96-c_CSG)</f>
        <v>0</v>
      </c>
    </row>
    <row r="95" spans="11:77" x14ac:dyDescent="0.3">
      <c r="Q95" s="45">
        <f>noRDS2CLD_1-(Hypo2CI_1*noRDS2CLD_1)</f>
        <v>0</v>
      </c>
      <c r="R95" s="45"/>
      <c r="T95" s="78"/>
      <c r="Z95" s="42"/>
      <c r="AA95" s="6"/>
      <c r="AB95" s="42">
        <f t="shared" si="23"/>
        <v>0</v>
      </c>
      <c r="AC95" s="42"/>
    </row>
    <row r="96" spans="11:77" x14ac:dyDescent="0.3">
      <c r="O96" s="19" t="s">
        <v>161</v>
      </c>
      <c r="Q96" s="46">
        <f>c_lung+c_hosp_fu+c_CSG</f>
        <v>54529.510902399998</v>
      </c>
      <c r="R96" s="46"/>
      <c r="T96" s="78"/>
      <c r="Z96" s="42"/>
      <c r="AA96" s="6"/>
      <c r="AB96" s="42">
        <f t="shared" ref="AB96:AB119" si="24">U96*c_CSG</f>
        <v>0</v>
      </c>
      <c r="AC96" s="42">
        <f>U96*(Q98-c_CSG)</f>
        <v>0</v>
      </c>
    </row>
    <row r="97" spans="1:29" x14ac:dyDescent="0.3">
      <c r="O97" s="45">
        <f>AGA_prem_2hypoglycaemia_1</f>
        <v>0.15</v>
      </c>
      <c r="Q97" s="19" t="s">
        <v>226</v>
      </c>
      <c r="R97" s="19"/>
      <c r="T97" s="78"/>
      <c r="U97">
        <f>$K$83*$I$72*$G$40*$E$78*$C$148*$A$103*$M$99*$O$97*Q98</f>
        <v>1.4235697970321295E-4</v>
      </c>
      <c r="V97">
        <v>2.2114197762081018E-4</v>
      </c>
      <c r="W97" s="42">
        <f>$K$84+$I$73+$G$41+$E$79+$C$149+$A$104+$M$100+$O$98+Q99</f>
        <v>276458.72020810808</v>
      </c>
      <c r="X97">
        <f>u_CongnitiveImpairement</f>
        <v>17.270393127285455</v>
      </c>
      <c r="Z97" s="42">
        <f>U97*W97</f>
        <v>39.355828421441871</v>
      </c>
      <c r="AA97" s="6">
        <f>U97*X97</f>
        <v>2.4585610038874843E-3</v>
      </c>
      <c r="AB97" s="42">
        <f t="shared" si="24"/>
        <v>1.5716210559234711</v>
      </c>
      <c r="AC97" s="42">
        <f>U97*(Q99-c_CSG)</f>
        <v>0.67277908607738446</v>
      </c>
    </row>
    <row r="98" spans="1:29" x14ac:dyDescent="0.3">
      <c r="M98" s="19" t="s">
        <v>203</v>
      </c>
      <c r="O98" s="46">
        <f>c_hypo</f>
        <v>2936.2604000000001</v>
      </c>
      <c r="Q98" s="45">
        <f>Hypo2CI_1-(Hypo2CI_1*noRDS2CLD_1)</f>
        <v>5.1333333333333335E-2</v>
      </c>
      <c r="R98" s="45"/>
      <c r="T98" s="78"/>
      <c r="Z98" s="42"/>
      <c r="AA98" s="6"/>
      <c r="AB98" s="42">
        <f t="shared" si="24"/>
        <v>0</v>
      </c>
      <c r="AC98" s="42"/>
    </row>
    <row r="99" spans="1:29" x14ac:dyDescent="0.3">
      <c r="M99" s="45">
        <f>S_prem_2noRDS_1</f>
        <v>0.55000000000000004</v>
      </c>
      <c r="Q99" s="46">
        <f>c_cog+c_hosp_fu+c_CSG</f>
        <v>15766</v>
      </c>
      <c r="R99" s="46"/>
      <c r="T99" s="78"/>
      <c r="Z99" s="42"/>
      <c r="AA99" s="6"/>
      <c r="AB99" s="42">
        <f t="shared" si="24"/>
        <v>0</v>
      </c>
      <c r="AC99" s="42">
        <f>U99*(Q101-c_CSG)</f>
        <v>0</v>
      </c>
    </row>
    <row r="100" spans="1:29" x14ac:dyDescent="0.3">
      <c r="M100" s="46"/>
      <c r="O100" s="42"/>
      <c r="Q100" s="19" t="s">
        <v>368</v>
      </c>
      <c r="R100" s="19"/>
      <c r="T100" s="78"/>
      <c r="U100">
        <f>$K$83*$I$72*$G$40*$E$78*$C$148*$A$103*$M$99*$O$97*Q101</f>
        <v>0</v>
      </c>
      <c r="V100">
        <v>0</v>
      </c>
      <c r="W100" s="42">
        <f>$K$84+$I$73+$G$41+$E$79+$C$149+$A$104+$M$100+$O$98+Q102</f>
        <v>319041.23111050809</v>
      </c>
      <c r="X100">
        <f>u_ChronicResp+u_CongnitiveImpairement</f>
        <v>17.805052694763283</v>
      </c>
      <c r="Z100" s="42">
        <f>U100*W100</f>
        <v>0</v>
      </c>
      <c r="AA100" s="6">
        <f>U100*X100</f>
        <v>0</v>
      </c>
      <c r="AB100" s="42">
        <f t="shared" si="24"/>
        <v>0</v>
      </c>
      <c r="AC100" s="42">
        <f>U100*(Q102-c_CSG)</f>
        <v>0</v>
      </c>
    </row>
    <row r="101" spans="1:29" x14ac:dyDescent="0.3">
      <c r="A101" t="s">
        <v>293</v>
      </c>
      <c r="M101" s="42"/>
      <c r="Q101" s="45">
        <f>noRDS2CLD_1*Hypo2CI_1</f>
        <v>0</v>
      </c>
      <c r="R101" s="45"/>
      <c r="T101" s="78"/>
      <c r="W101" s="42"/>
      <c r="Z101" s="42"/>
      <c r="AA101" s="6"/>
      <c r="AB101" s="42">
        <f t="shared" si="24"/>
        <v>0</v>
      </c>
      <c r="AC101" s="42"/>
    </row>
    <row r="102" spans="1:29" x14ac:dyDescent="0.3">
      <c r="A102" s="19" t="s">
        <v>202</v>
      </c>
      <c r="M102" s="42"/>
      <c r="Q102" s="46">
        <f>c_lung+c_cog+c_hosp_fu+c_CSG</f>
        <v>58348.510902399998</v>
      </c>
      <c r="R102" s="46"/>
      <c r="T102" s="78"/>
      <c r="Z102" s="42"/>
      <c r="AA102" s="6"/>
      <c r="AB102" s="42">
        <f t="shared" si="24"/>
        <v>0</v>
      </c>
      <c r="AC102" s="42">
        <f>U102*(Q104-c_CSG)</f>
        <v>0</v>
      </c>
    </row>
    <row r="103" spans="1:29" x14ac:dyDescent="0.3">
      <c r="A103" s="45">
        <f>G2ANC</f>
        <v>0.91493099999999994</v>
      </c>
      <c r="B103">
        <f>NoG2ANC</f>
        <v>0.83099999999999996</v>
      </c>
      <c r="C103" t="b">
        <f>B103=A103</f>
        <v>0</v>
      </c>
      <c r="M103" s="42"/>
      <c r="Q103" s="19" t="s">
        <v>369</v>
      </c>
      <c r="R103" s="19"/>
      <c r="T103" s="78"/>
      <c r="U103">
        <f>$K$83*$I$72*$G$40*$E$78*$C$148*$A$103*$M$99*$O$97*Q104</f>
        <v>2.6308309365931431E-3</v>
      </c>
      <c r="V103">
        <v>4.0868186253819857E-3</v>
      </c>
      <c r="W103" s="42">
        <f>$K$84+$I$73+$G$41+$E$79+$C$149+$A$104+$M$100+$O$98+Q105</f>
        <v>275095.72020810808</v>
      </c>
      <c r="X103">
        <f>u_Healthy</f>
        <v>0</v>
      </c>
      <c r="Z103" s="42">
        <f>U103*W103</f>
        <v>723.73033124786218</v>
      </c>
      <c r="AA103" s="6">
        <f>U103*X103</f>
        <v>0</v>
      </c>
      <c r="AB103" s="42">
        <f t="shared" si="24"/>
        <v>29.0443735399883</v>
      </c>
      <c r="AC103" s="42">
        <f>U103*(Q105-c_CSG)</f>
        <v>8.8474844397627397</v>
      </c>
    </row>
    <row r="104" spans="1:29" x14ac:dyDescent="0.3">
      <c r="A104" s="46">
        <f>c_ANC+c_grant</f>
        <v>2477</v>
      </c>
      <c r="M104" s="42"/>
      <c r="O104" s="42"/>
      <c r="Q104" s="45">
        <f>1-Q101-Q98-Q95</f>
        <v>0.94866666666666666</v>
      </c>
      <c r="R104" s="45"/>
      <c r="T104" s="78"/>
      <c r="W104" s="42"/>
      <c r="Z104" s="42"/>
      <c r="AA104" s="6"/>
      <c r="AB104" s="42">
        <f t="shared" si="24"/>
        <v>0</v>
      </c>
      <c r="AC104" s="42">
        <f>U104*(Q106-c_CSG)</f>
        <v>0</v>
      </c>
    </row>
    <row r="105" spans="1:29" x14ac:dyDescent="0.3">
      <c r="M105" s="42"/>
      <c r="Q105" s="46">
        <f>c_clinic_fu+c_CSG</f>
        <v>14403</v>
      </c>
      <c r="R105" s="46"/>
      <c r="T105" s="78"/>
      <c r="Z105" s="42"/>
      <c r="AA105" s="6"/>
      <c r="AB105" s="42">
        <f t="shared" si="24"/>
        <v>0</v>
      </c>
      <c r="AC105" s="42"/>
    </row>
    <row r="106" spans="1:29" x14ac:dyDescent="0.3">
      <c r="M106" s="42"/>
      <c r="Q106" s="42"/>
      <c r="R106" s="42"/>
      <c r="S106" s="94"/>
      <c r="T106" s="78"/>
      <c r="Z106" s="42"/>
      <c r="AA106" s="6"/>
      <c r="AB106" s="42">
        <f t="shared" si="24"/>
        <v>0</v>
      </c>
      <c r="AC106" s="42">
        <f>U106*(Q108-c_CSG)</f>
        <v>0</v>
      </c>
    </row>
    <row r="107" spans="1:29" x14ac:dyDescent="0.3">
      <c r="M107" s="42"/>
      <c r="Q107" s="19" t="s">
        <v>367</v>
      </c>
      <c r="R107" s="19"/>
      <c r="T107" s="78"/>
      <c r="U107">
        <f>$K$83*$I$72*$G$40*$E$78*$C$148*$A$103*$M$99*$O$111*Q108</f>
        <v>0</v>
      </c>
      <c r="V107">
        <v>0</v>
      </c>
      <c r="W107" s="42">
        <f>$K$84+$I$73+$G$41+$E$79+$C$149+$A$104+$M$100+$O$112+$Q$109</f>
        <v>314315.23111050809</v>
      </c>
      <c r="X107">
        <f>u_ChronicResp</f>
        <v>0.53465956747782661</v>
      </c>
      <c r="Z107" s="42">
        <f>U107*W107</f>
        <v>0</v>
      </c>
      <c r="AA107" s="6">
        <f>U107*X107</f>
        <v>0</v>
      </c>
      <c r="AB107" s="42">
        <f t="shared" si="24"/>
        <v>0</v>
      </c>
      <c r="AC107" s="42">
        <f>U107*(Q109-c_CSG)</f>
        <v>0</v>
      </c>
    </row>
    <row r="108" spans="1:29" x14ac:dyDescent="0.3">
      <c r="M108" s="42"/>
      <c r="Q108" s="45">
        <f>noRDS2CLD_1-(noRDS2CLD_1*noHypo2CI_1)</f>
        <v>0</v>
      </c>
      <c r="R108" s="45"/>
      <c r="T108" s="78"/>
      <c r="Z108" s="42"/>
      <c r="AA108" s="6"/>
      <c r="AB108" s="42">
        <f t="shared" si="24"/>
        <v>0</v>
      </c>
      <c r="AC108" s="42"/>
    </row>
    <row r="109" spans="1:29" x14ac:dyDescent="0.3">
      <c r="M109" s="42"/>
      <c r="Q109" s="46">
        <f>c_lung+c_hypo+c_CSG</f>
        <v>56558.771302399997</v>
      </c>
      <c r="R109" s="46"/>
      <c r="T109" s="78"/>
      <c r="Z109" s="42"/>
      <c r="AA109" s="6"/>
      <c r="AB109" s="42">
        <f t="shared" si="24"/>
        <v>0</v>
      </c>
      <c r="AC109" s="42">
        <f>U109*(Q111-c_CSG)</f>
        <v>0</v>
      </c>
    </row>
    <row r="110" spans="1:29" x14ac:dyDescent="0.3">
      <c r="M110" s="42"/>
      <c r="O110" s="19" t="s">
        <v>370</v>
      </c>
      <c r="Q110" s="19" t="s">
        <v>226</v>
      </c>
      <c r="R110" s="19"/>
      <c r="T110" s="78"/>
      <c r="U110">
        <f>$K$83*$I$72*$G$40*$E$78*$C$148*$A$103*$M$99*$O$111*Q111</f>
        <v>5.1993095264752688E-4</v>
      </c>
      <c r="V110">
        <v>8.0767770807201869E-4</v>
      </c>
      <c r="W110" s="42">
        <f>$K$84+$I$73+$G$41+$E$79+$C$149+$A$104+$M$100+$O$112+$Q$112</f>
        <v>273522.45980810805</v>
      </c>
      <c r="X110">
        <f>u_CongnitiveImpairement</f>
        <v>17.270393127285455</v>
      </c>
      <c r="Z110" s="42">
        <f>U110*W110</f>
        <v>142.21279309852449</v>
      </c>
      <c r="AA110" s="6">
        <f>U110*X110</f>
        <v>8.9794119512668271E-3</v>
      </c>
      <c r="AB110" s="42">
        <f t="shared" si="24"/>
        <v>5.7400377172286969</v>
      </c>
      <c r="AC110" s="42">
        <f>U110*(Q112-c_CSG)</f>
        <v>2.4571936822122122</v>
      </c>
    </row>
    <row r="111" spans="1:29" x14ac:dyDescent="0.3">
      <c r="M111" s="42"/>
      <c r="O111" s="45">
        <f>AGA_prem_2normoglycaemia_1</f>
        <v>0.85</v>
      </c>
      <c r="Q111" s="45">
        <f>noHypo2CI_1</f>
        <v>3.3085576536761752E-2</v>
      </c>
      <c r="R111" s="45"/>
      <c r="T111" s="78"/>
      <c r="Z111" s="42"/>
      <c r="AA111" s="6"/>
      <c r="AB111" s="42">
        <f t="shared" si="24"/>
        <v>0</v>
      </c>
      <c r="AC111" s="42"/>
    </row>
    <row r="112" spans="1:29" x14ac:dyDescent="0.3">
      <c r="M112" s="42"/>
      <c r="O112" s="46"/>
      <c r="Q112" s="46">
        <f>c_cog+c_hosp_fu+c_CSG</f>
        <v>15766</v>
      </c>
      <c r="R112" s="46"/>
      <c r="T112" s="78"/>
      <c r="Z112" s="42"/>
      <c r="AA112" s="6"/>
      <c r="AB112" s="42">
        <f t="shared" si="24"/>
        <v>0</v>
      </c>
      <c r="AC112" s="42">
        <f>U112*(Q114-c_CSG)</f>
        <v>0</v>
      </c>
    </row>
    <row r="113" spans="9:29" x14ac:dyDescent="0.3">
      <c r="M113" s="42"/>
      <c r="Q113" s="19" t="s">
        <v>368</v>
      </c>
      <c r="R113" s="19"/>
      <c r="T113" s="78"/>
      <c r="U113">
        <f>$K$83*$I$72*$G$40*$E$78*$C$148*$A$103*$M$99*$O$111*Q114</f>
        <v>0</v>
      </c>
      <c r="V113">
        <v>0</v>
      </c>
      <c r="W113" s="42">
        <f>$K$84+$I$73+$G$41+$E$79+$C$149+$A$104+$M$100+$O$112+$Q$115</f>
        <v>316104.97071050806</v>
      </c>
      <c r="X113">
        <f>u_ChronicResp+u_CongnitiveImpairement</f>
        <v>17.805052694763283</v>
      </c>
      <c r="Z113" s="42">
        <f>U113*W113</f>
        <v>0</v>
      </c>
      <c r="AA113" s="6">
        <f>U113*X113</f>
        <v>0</v>
      </c>
      <c r="AB113" s="42">
        <f t="shared" si="24"/>
        <v>0</v>
      </c>
      <c r="AC113" s="42">
        <f>U113*(Q115-c_CSG)</f>
        <v>0</v>
      </c>
    </row>
    <row r="114" spans="9:29" x14ac:dyDescent="0.3">
      <c r="Q114" s="45">
        <f>noRDS2CLD_1*noHypo2CI_1</f>
        <v>0</v>
      </c>
      <c r="R114" s="45"/>
      <c r="T114" s="78"/>
      <c r="Z114" s="42"/>
      <c r="AA114" s="6"/>
      <c r="AB114" s="42">
        <f t="shared" si="24"/>
        <v>0</v>
      </c>
      <c r="AC114" s="42"/>
    </row>
    <row r="115" spans="9:29" x14ac:dyDescent="0.3">
      <c r="Q115" s="46">
        <f>c_cog+c_lung+c_hosp_fu+c_CSG</f>
        <v>58348.510902399998</v>
      </c>
      <c r="R115" s="46"/>
      <c r="T115" s="78"/>
      <c r="Z115" s="42"/>
      <c r="AA115" s="6"/>
      <c r="AB115" s="42">
        <f t="shared" si="24"/>
        <v>0</v>
      </c>
      <c r="AC115" s="42">
        <f>U115*(Q117-c_CSG)</f>
        <v>0</v>
      </c>
    </row>
    <row r="116" spans="9:29" x14ac:dyDescent="0.3">
      <c r="M116" s="42"/>
      <c r="Q116" s="19" t="s">
        <v>369</v>
      </c>
      <c r="R116" s="19"/>
      <c r="T116" s="78"/>
      <c r="U116">
        <f>$K$83*$I$72*$G$40*$E$78*$C$148*$A$103*$M$99*$O$111*Q117</f>
        <v>1.5194800573031823E-2</v>
      </c>
      <c r="V116">
        <v>2.3604099042277157E-2</v>
      </c>
      <c r="W116" s="42">
        <f>$K$84+$I$73+$G$41+$E$79+$C$149+$A$104+$M$100+$O$112+$Q$118</f>
        <v>272159.45980810805</v>
      </c>
      <c r="X116">
        <f>u_Healthy</f>
        <v>0</v>
      </c>
      <c r="Z116" s="42">
        <f>U116*W116</f>
        <v>4135.4087158482716</v>
      </c>
      <c r="AA116" s="6">
        <f>U116*X116</f>
        <v>0</v>
      </c>
      <c r="AB116" s="42">
        <f t="shared" si="24"/>
        <v>167.75059832627133</v>
      </c>
      <c r="AC116" s="42">
        <f>U116*(Q118-c_CSG)</f>
        <v>51.10011432710602</v>
      </c>
    </row>
    <row r="117" spans="9:29" x14ac:dyDescent="0.3">
      <c r="M117" s="42"/>
      <c r="Q117" s="45">
        <f>1-Q114-Q111-Q108</f>
        <v>0.9669144234632383</v>
      </c>
      <c r="R117" s="45"/>
      <c r="T117" s="78"/>
      <c r="Z117" s="42"/>
      <c r="AA117" s="6"/>
      <c r="AB117" s="42">
        <f t="shared" si="24"/>
        <v>0</v>
      </c>
      <c r="AC117" s="42">
        <f>U117*(Q119-c_CSG)</f>
        <v>0</v>
      </c>
    </row>
    <row r="118" spans="9:29" x14ac:dyDescent="0.3">
      <c r="M118" s="42"/>
      <c r="Q118" s="46">
        <f>c_clinic_fu+c_CSG</f>
        <v>14403</v>
      </c>
      <c r="R118" s="46"/>
      <c r="T118" s="78"/>
      <c r="Z118" s="42"/>
      <c r="AA118" s="6"/>
      <c r="AB118" s="42">
        <f t="shared" si="24"/>
        <v>0</v>
      </c>
      <c r="AC118" s="42">
        <f>U118*(Q120-c_CSG)</f>
        <v>0</v>
      </c>
    </row>
    <row r="119" spans="9:29" x14ac:dyDescent="0.3">
      <c r="M119" s="42"/>
      <c r="Q119" s="42"/>
      <c r="R119" s="42"/>
      <c r="T119" s="78"/>
      <c r="Z119" s="42"/>
      <c r="AA119" s="6"/>
      <c r="AB119" s="42">
        <f t="shared" si="24"/>
        <v>0</v>
      </c>
      <c r="AC119" s="42"/>
    </row>
    <row r="120" spans="9:29" x14ac:dyDescent="0.3">
      <c r="K120" s="19" t="s">
        <v>165</v>
      </c>
      <c r="L120" s="19"/>
      <c r="M120" s="19"/>
      <c r="N120" s="19"/>
      <c r="O120" s="19"/>
      <c r="P120" s="19"/>
      <c r="Q120" s="19"/>
      <c r="R120" s="19"/>
      <c r="T120" s="78"/>
      <c r="U120">
        <f>$K$121*$I$129*$G$150*$E$78*$C$148*$A$103</f>
        <v>0</v>
      </c>
      <c r="V120">
        <v>0</v>
      </c>
      <c r="W120" s="42">
        <f>$K$122+$I$130+$G$151+$E$79+$C$149+$A$104</f>
        <v>6102.1017081081081</v>
      </c>
      <c r="X120">
        <f>u_Death</f>
        <v>19.181538114427529</v>
      </c>
      <c r="Z120" s="42">
        <f>U120*W120</f>
        <v>0</v>
      </c>
      <c r="AA120" s="6">
        <f>U120*X120</f>
        <v>0</v>
      </c>
      <c r="AB120" s="42"/>
      <c r="AC120" s="42"/>
    </row>
    <row r="121" spans="9:29" x14ac:dyDescent="0.3">
      <c r="K121" s="45">
        <f>SGA_prem_2d_1</f>
        <v>7.6248466666666667E-2</v>
      </c>
      <c r="T121" s="78"/>
      <c r="Z121" s="42"/>
      <c r="AA121" s="6"/>
      <c r="AB121" s="42">
        <f t="shared" ref="AB121:AB152" si="25">U121*c_CSG</f>
        <v>0</v>
      </c>
      <c r="AC121" s="42">
        <f>U121*(Q123-c_CSG)</f>
        <v>0</v>
      </c>
    </row>
    <row r="122" spans="9:29" x14ac:dyDescent="0.3">
      <c r="K122" s="46">
        <f>c_SB</f>
        <v>1792</v>
      </c>
      <c r="T122" s="78"/>
      <c r="Z122" s="42"/>
      <c r="AA122" s="6"/>
      <c r="AB122" s="42">
        <f t="shared" si="25"/>
        <v>0</v>
      </c>
      <c r="AC122" s="42"/>
    </row>
    <row r="123" spans="9:29" x14ac:dyDescent="0.3">
      <c r="T123" s="78"/>
      <c r="Z123" s="42"/>
      <c r="AA123" s="6"/>
      <c r="AB123" s="42">
        <f t="shared" si="25"/>
        <v>0</v>
      </c>
      <c r="AC123" s="42">
        <f>U123*(Q125-c_CSG)</f>
        <v>0</v>
      </c>
    </row>
    <row r="124" spans="9:29" x14ac:dyDescent="0.3">
      <c r="Q124" s="19" t="s">
        <v>367</v>
      </c>
      <c r="R124" s="19"/>
      <c r="T124" s="78"/>
      <c r="U124">
        <f>$K$140*$I$129*$G$150*$E$78*$C$148*$A$103*$M$135*$O$130*Q125</f>
        <v>0</v>
      </c>
      <c r="V124">
        <v>0</v>
      </c>
      <c r="W124" s="42">
        <f>$K$141+$I$130+$G$151+$E$79+$C$149+$M$136+$O$131+Q126+$A$104</f>
        <v>92371.483158713745</v>
      </c>
      <c r="X124">
        <f>u_ChronicResp</f>
        <v>0.53465956747782661</v>
      </c>
      <c r="Z124" s="42">
        <f>U124*W124</f>
        <v>0</v>
      </c>
      <c r="AA124" s="6">
        <f>U124*X124</f>
        <v>0</v>
      </c>
      <c r="AB124" s="42">
        <f t="shared" si="25"/>
        <v>0</v>
      </c>
      <c r="AC124" s="42">
        <f>U124*(Q126-c_CSG)</f>
        <v>0</v>
      </c>
    </row>
    <row r="125" spans="9:29" x14ac:dyDescent="0.3">
      <c r="Q125" s="45">
        <f>RDS2CLD_1-(Hypo2CI_1*RDS2CLD_1)</f>
        <v>0.34246866666666664</v>
      </c>
      <c r="R125" s="45"/>
      <c r="T125" s="78"/>
      <c r="Z125" s="42"/>
      <c r="AA125" s="6"/>
      <c r="AB125" s="42">
        <f t="shared" si="25"/>
        <v>0</v>
      </c>
      <c r="AC125" s="42"/>
    </row>
    <row r="126" spans="9:29" x14ac:dyDescent="0.3">
      <c r="Q126" s="46">
        <f>c_lung+c_hosp_fu+c_CSG</f>
        <v>54529.510902399998</v>
      </c>
      <c r="R126" s="46"/>
      <c r="T126" s="78"/>
      <c r="Z126" s="42"/>
      <c r="AA126" s="6"/>
      <c r="AB126" s="42">
        <f t="shared" si="25"/>
        <v>0</v>
      </c>
      <c r="AC126" s="42">
        <f>U126*(Q128-c_CSG)</f>
        <v>0</v>
      </c>
    </row>
    <row r="127" spans="9:29" x14ac:dyDescent="0.3">
      <c r="Q127" s="19" t="s">
        <v>226</v>
      </c>
      <c r="R127" s="19"/>
      <c r="T127" s="78"/>
      <c r="U127">
        <f>$K$140*$I$129*$G$150*$E$78*$C$148*$A$103*$M$135*$O$130*Q128</f>
        <v>0</v>
      </c>
      <c r="V127">
        <v>0</v>
      </c>
      <c r="W127" s="42">
        <f>$K$141+$I$130+$G$151+$E$79+$C$149+$M$136+$O$131+Q129+$A$104</f>
        <v>53607.972256313747</v>
      </c>
      <c r="X127">
        <f>u_CongnitiveImpairement</f>
        <v>17.270393127285455</v>
      </c>
      <c r="Z127" s="42">
        <f>U127*W127</f>
        <v>0</v>
      </c>
      <c r="AA127" s="6">
        <f>U127*X127</f>
        <v>0</v>
      </c>
      <c r="AB127" s="42">
        <f t="shared" si="25"/>
        <v>0</v>
      </c>
      <c r="AC127" s="42">
        <f>U127*(Q129-c_CSG)</f>
        <v>0</v>
      </c>
    </row>
    <row r="128" spans="9:29" x14ac:dyDescent="0.3">
      <c r="I128" s="19" t="s">
        <v>164</v>
      </c>
      <c r="Q128" s="45">
        <f>Hypo2CI_1-(Hypo2CI_1*RDS2CLD_1)</f>
        <v>3.2801999999999998E-2</v>
      </c>
      <c r="R128" s="45"/>
      <c r="T128" s="78"/>
      <c r="Z128" s="42"/>
      <c r="AA128" s="6"/>
      <c r="AB128" s="42">
        <f t="shared" si="25"/>
        <v>0</v>
      </c>
      <c r="AC128" s="42"/>
    </row>
    <row r="129" spans="9:29" x14ac:dyDescent="0.3">
      <c r="I129" s="45">
        <f>NBW_prem_2SGA_1</f>
        <v>0</v>
      </c>
      <c r="O129" s="19" t="s">
        <v>161</v>
      </c>
      <c r="Q129" s="46">
        <f>c_cog+c_hosp_fu+c_CSG</f>
        <v>15766</v>
      </c>
      <c r="R129" s="46"/>
      <c r="T129" s="78"/>
      <c r="Z129" s="42"/>
      <c r="AA129" s="6"/>
      <c r="AB129" s="42">
        <f t="shared" si="25"/>
        <v>0</v>
      </c>
      <c r="AC129" s="42">
        <f>U129*(Q131-c_CSG)</f>
        <v>0</v>
      </c>
    </row>
    <row r="130" spans="9:29" x14ac:dyDescent="0.3">
      <c r="I130" s="46"/>
      <c r="O130" s="45">
        <f>SGA_prem_2hypoglycaemia_1</f>
        <v>0.2155</v>
      </c>
      <c r="Q130" s="19" t="s">
        <v>368</v>
      </c>
      <c r="R130" s="19"/>
      <c r="T130" s="78"/>
      <c r="U130">
        <f>$K$140*$I$129*$G$150*$E$78*$C$148*$A$103*$M$135*$O$130*Q131</f>
        <v>0</v>
      </c>
      <c r="V130">
        <v>0</v>
      </c>
      <c r="W130" s="42">
        <f>$K$141+$I$130+$G$151+$E$79+$C$149+$M$136+$O$131+Q132+$A$104</f>
        <v>96190.483158713745</v>
      </c>
      <c r="X130">
        <f>u_ChronicResp+u_CongnitiveImpairement</f>
        <v>17.805052694763283</v>
      </c>
      <c r="Z130" s="42">
        <f>U130*W130</f>
        <v>0</v>
      </c>
      <c r="AA130" s="6">
        <f>U130*X130</f>
        <v>0</v>
      </c>
      <c r="AB130" s="42">
        <f t="shared" si="25"/>
        <v>0</v>
      </c>
      <c r="AC130" s="42">
        <f>U130*(Q132-c_CSG)</f>
        <v>0</v>
      </c>
    </row>
    <row r="131" spans="9:29" x14ac:dyDescent="0.3">
      <c r="O131" s="46">
        <f>c_hypo</f>
        <v>2936.2604000000001</v>
      </c>
      <c r="Q131" s="45">
        <f>Hypo2CI_1*RDS2CLD_1</f>
        <v>1.8531333333333334E-2</v>
      </c>
      <c r="R131" s="45"/>
      <c r="T131" s="78"/>
      <c r="Z131" s="42"/>
      <c r="AA131" s="6"/>
      <c r="AB131" s="42">
        <f t="shared" si="25"/>
        <v>0</v>
      </c>
      <c r="AC131" s="42"/>
    </row>
    <row r="132" spans="9:29" x14ac:dyDescent="0.3">
      <c r="M132" s="42"/>
      <c r="Q132" s="46">
        <f>c_lung+c_cog+c_hosp_fu+c_CSG</f>
        <v>58348.510902399998</v>
      </c>
      <c r="R132" s="46"/>
      <c r="T132" s="78"/>
      <c r="Z132" s="42"/>
      <c r="AA132" s="6"/>
      <c r="AB132" s="42">
        <f t="shared" si="25"/>
        <v>0</v>
      </c>
      <c r="AC132" s="42">
        <f>U132*(Q134-c_CSG)</f>
        <v>0</v>
      </c>
    </row>
    <row r="133" spans="9:29" x14ac:dyDescent="0.3">
      <c r="Q133" s="19" t="s">
        <v>369</v>
      </c>
      <c r="R133" s="19"/>
      <c r="T133" s="78"/>
      <c r="U133">
        <f>$K$140*$I$129*$G$150*$E$78*$C$148*$A$103*$M$135*$O$130*Q134</f>
        <v>0</v>
      </c>
      <c r="V133">
        <v>0</v>
      </c>
      <c r="W133" s="42">
        <f>$K$141+$I$130+$G$151+$E$79+$C$149+$M$136+$O$131+Q135+$A$104</f>
        <v>52244.972256313747</v>
      </c>
      <c r="X133">
        <f>u_Healthy</f>
        <v>0</v>
      </c>
      <c r="Z133" s="42">
        <f>U133*W133</f>
        <v>0</v>
      </c>
      <c r="AA133" s="6">
        <f>U133*X133</f>
        <v>0</v>
      </c>
      <c r="AB133" s="42">
        <f t="shared" si="25"/>
        <v>0</v>
      </c>
      <c r="AC133" s="42">
        <f>U133*(Q135-c_CSG)</f>
        <v>0</v>
      </c>
    </row>
    <row r="134" spans="9:29" x14ac:dyDescent="0.3">
      <c r="M134" s="19" t="s">
        <v>9</v>
      </c>
      <c r="Q134" s="45">
        <f>1-Q125-Q128-Q131</f>
        <v>0.60619800000000001</v>
      </c>
      <c r="R134" s="45"/>
      <c r="T134" s="78"/>
      <c r="Z134" s="42"/>
      <c r="AA134" s="6"/>
      <c r="AB134" s="42">
        <f t="shared" si="25"/>
        <v>0</v>
      </c>
      <c r="AC134" s="42">
        <f>U134*(Q136-c_CSG)</f>
        <v>0</v>
      </c>
    </row>
    <row r="135" spans="9:29" x14ac:dyDescent="0.3">
      <c r="K135" s="42"/>
      <c r="M135" s="45">
        <f>S_prem_2RDS_1</f>
        <v>0.45</v>
      </c>
      <c r="Q135" s="46">
        <f>c_clinic_fu+c_CSG</f>
        <v>14403</v>
      </c>
      <c r="R135" s="46"/>
      <c r="T135" s="78"/>
      <c r="Z135" s="42"/>
      <c r="AA135" s="6"/>
      <c r="AB135" s="42">
        <f t="shared" si="25"/>
        <v>0</v>
      </c>
      <c r="AC135" s="42"/>
    </row>
    <row r="136" spans="9:29" x14ac:dyDescent="0.3">
      <c r="K136" s="42"/>
      <c r="M136" s="46">
        <f>c_RDS</f>
        <v>30595.610148205637</v>
      </c>
      <c r="Q136" s="42"/>
      <c r="R136" s="42"/>
      <c r="T136" s="78"/>
      <c r="Z136" s="42"/>
      <c r="AA136" s="6"/>
      <c r="AB136" s="42">
        <f t="shared" si="25"/>
        <v>0</v>
      </c>
      <c r="AC136" s="42">
        <f>U136*(Q138-c_CSG)</f>
        <v>0</v>
      </c>
    </row>
    <row r="137" spans="9:29" x14ac:dyDescent="0.3">
      <c r="Q137" s="19" t="s">
        <v>367</v>
      </c>
      <c r="R137" s="19"/>
      <c r="T137" s="78"/>
      <c r="U137">
        <f>$K$140*$I$129*$G$150*$E$78*$C$148*$A$103*$M$135*$O$140*Q138</f>
        <v>0</v>
      </c>
      <c r="V137">
        <v>0</v>
      </c>
      <c r="W137" s="42">
        <f>$K$141+$I$130+$G$151+$E$79+$C$149+$M$136+$O$141+Q139+$A$104</f>
        <v>89435.222758713746</v>
      </c>
      <c r="X137">
        <f>u_ChronicResp</f>
        <v>0.53465956747782661</v>
      </c>
      <c r="Z137" s="42">
        <f>U137*W137</f>
        <v>0</v>
      </c>
      <c r="AA137" s="6">
        <f>U137*X137</f>
        <v>0</v>
      </c>
      <c r="AB137" s="42">
        <f t="shared" si="25"/>
        <v>0</v>
      </c>
      <c r="AC137" s="42">
        <f>U137*(Q139-c_CSG)</f>
        <v>0</v>
      </c>
    </row>
    <row r="138" spans="9:29" x14ac:dyDescent="0.3">
      <c r="Q138" s="45">
        <f>RDS2CLD_1-(RDS2CLD_1*noHypo2CI_1)</f>
        <v>0.34905610687022898</v>
      </c>
      <c r="R138" s="45"/>
      <c r="T138" s="78"/>
      <c r="Z138" s="42"/>
      <c r="AA138" s="6"/>
      <c r="AB138" s="42">
        <f t="shared" si="25"/>
        <v>0</v>
      </c>
      <c r="AC138" s="42"/>
    </row>
    <row r="139" spans="9:29" x14ac:dyDescent="0.3">
      <c r="K139" s="19" t="s">
        <v>37</v>
      </c>
      <c r="M139" s="42"/>
      <c r="O139" s="19" t="s">
        <v>370</v>
      </c>
      <c r="Q139" s="46">
        <f>c_lung+c_hosp_fu+c_CSG</f>
        <v>54529.510902399998</v>
      </c>
      <c r="R139" s="46"/>
      <c r="T139" s="78"/>
      <c r="Z139" s="42"/>
      <c r="AA139" s="6"/>
      <c r="AB139" s="42">
        <f t="shared" si="25"/>
        <v>0</v>
      </c>
      <c r="AC139" s="42">
        <f>U139*(Q141-c_CSG)</f>
        <v>0</v>
      </c>
    </row>
    <row r="140" spans="9:29" x14ac:dyDescent="0.3">
      <c r="K140" s="45">
        <f>SGA_prem_2s_1</f>
        <v>0.92375153333333337</v>
      </c>
      <c r="O140" s="45">
        <f>SGA_prem_2normoglycaemia_1</f>
        <v>0.78449999999999998</v>
      </c>
      <c r="Q140" s="19" t="s">
        <v>226</v>
      </c>
      <c r="R140" s="19"/>
      <c r="T140" s="78"/>
      <c r="U140">
        <f>$K$140*$I$129*$G$150*$E$78*$C$148*$A$103*$M$135*$O$140*Q141</f>
        <v>0</v>
      </c>
      <c r="V140">
        <v>0</v>
      </c>
      <c r="W140" s="42">
        <f>$K$141+$I$130+$G$151+$E$79+$C$149+$M$136+$O$141+Q142+$A$104</f>
        <v>50671.711856313748</v>
      </c>
      <c r="X140">
        <f>u_CongnitiveImpairement</f>
        <v>17.270393127285455</v>
      </c>
      <c r="Z140" s="42">
        <f>U140*W140</f>
        <v>0</v>
      </c>
      <c r="AA140" s="6">
        <f>U140*X140</f>
        <v>0</v>
      </c>
      <c r="AB140" s="42">
        <f t="shared" si="25"/>
        <v>0</v>
      </c>
      <c r="AC140" s="42">
        <f>U140*(Q142-c_CSG)</f>
        <v>0</v>
      </c>
    </row>
    <row r="141" spans="9:29" x14ac:dyDescent="0.3">
      <c r="K141" s="46"/>
      <c r="O141" s="46"/>
      <c r="Q141" s="45">
        <f>noHypo2CI_1-(RDS2CLD_1*noHypo2CI_1)</f>
        <v>2.1141683406990762E-2</v>
      </c>
      <c r="R141" s="45"/>
      <c r="T141" s="78"/>
      <c r="Z141" s="42"/>
      <c r="AA141" s="6"/>
      <c r="AB141" s="42">
        <f t="shared" si="25"/>
        <v>0</v>
      </c>
      <c r="AC141" s="42"/>
    </row>
    <row r="142" spans="9:29" x14ac:dyDescent="0.3">
      <c r="Q142" s="46">
        <f>c_cog+c_hosp_fu+c_CSG</f>
        <v>15766</v>
      </c>
      <c r="R142" s="46"/>
      <c r="T142" s="78"/>
      <c r="Z142" s="42"/>
      <c r="AA142" s="6"/>
      <c r="AB142" s="42">
        <f t="shared" si="25"/>
        <v>0</v>
      </c>
      <c r="AC142" s="42">
        <f>U142*(Q144-c_CSG)</f>
        <v>0</v>
      </c>
    </row>
    <row r="143" spans="9:29" x14ac:dyDescent="0.3">
      <c r="Q143" s="19" t="s">
        <v>368</v>
      </c>
      <c r="R143" s="19"/>
      <c r="T143" s="78"/>
      <c r="U143">
        <f>$K$140*$I$129*$G$150*$E$78*$C$148*$A$103*$M$135*$O$140*Q144</f>
        <v>0</v>
      </c>
      <c r="V143">
        <v>0</v>
      </c>
      <c r="W143" s="42">
        <f>$K$141+$I$130+$G$151+$E$79+$C$149+$M$136+$O$141+Q145+$A$104</f>
        <v>93254.222758713746</v>
      </c>
      <c r="X143">
        <f>u_ChronicResp+u_CongnitiveImpairement</f>
        <v>17.805052694763283</v>
      </c>
      <c r="Z143" s="42">
        <f>U143*W143</f>
        <v>0</v>
      </c>
      <c r="AA143" s="6">
        <f>U143*X143</f>
        <v>0</v>
      </c>
      <c r="AB143" s="42">
        <f t="shared" si="25"/>
        <v>0</v>
      </c>
      <c r="AC143" s="42">
        <f>U143*(Q145-c_CSG)</f>
        <v>0</v>
      </c>
    </row>
    <row r="144" spans="9:29" x14ac:dyDescent="0.3">
      <c r="Q144" s="45">
        <f>RDS2CLD_1*noHypo2CI_1</f>
        <v>1.1943893129770991E-2</v>
      </c>
      <c r="R144" s="45"/>
      <c r="T144" s="78"/>
      <c r="Z144" s="42"/>
      <c r="AA144" s="6"/>
      <c r="AB144" s="42">
        <f t="shared" si="25"/>
        <v>0</v>
      </c>
      <c r="AC144" s="42"/>
    </row>
    <row r="145" spans="3:29" x14ac:dyDescent="0.3">
      <c r="Q145" s="46">
        <f>c_cog+c_lung+c_hosp_fu+c_CSG</f>
        <v>58348.510902399998</v>
      </c>
      <c r="R145" s="46"/>
      <c r="T145" s="78"/>
      <c r="Z145" s="42"/>
      <c r="AA145" s="6"/>
      <c r="AB145" s="42">
        <f t="shared" si="25"/>
        <v>0</v>
      </c>
      <c r="AC145" s="42">
        <f>U145*(Q147-c_CSG)</f>
        <v>0</v>
      </c>
    </row>
    <row r="146" spans="3:29" x14ac:dyDescent="0.3">
      <c r="Q146" s="19" t="s">
        <v>369</v>
      </c>
      <c r="R146" s="19"/>
      <c r="T146" s="78"/>
      <c r="U146">
        <f>$K$140*$I$129*$G$150*$E$78*$C$148*$A$103*$M$135*$O$140*Q147</f>
        <v>0</v>
      </c>
      <c r="V146">
        <v>0</v>
      </c>
      <c r="W146" s="42">
        <f>$K$141+$I$130+$G$151+$E$79+$C$149+$M$136+$O$141+Q148+$A$104</f>
        <v>49308.711856313748</v>
      </c>
      <c r="X146">
        <f>u_Healthy</f>
        <v>0</v>
      </c>
      <c r="Z146" s="42">
        <f>U146*W146</f>
        <v>0</v>
      </c>
      <c r="AA146" s="6">
        <f>U146*X146</f>
        <v>0</v>
      </c>
      <c r="AB146" s="42">
        <f t="shared" si="25"/>
        <v>0</v>
      </c>
      <c r="AC146" s="42">
        <f>U146*(Q148-c_CSG)</f>
        <v>0</v>
      </c>
    </row>
    <row r="147" spans="3:29" x14ac:dyDescent="0.3">
      <c r="C147" s="19" t="s">
        <v>372</v>
      </c>
      <c r="Q147" s="45">
        <f>1-Q144-Q141-Q138</f>
        <v>0.61785831659300938</v>
      </c>
      <c r="R147" s="45"/>
      <c r="T147" s="78"/>
      <c r="Z147" s="42"/>
      <c r="AA147" s="6"/>
      <c r="AB147" s="42">
        <f t="shared" si="25"/>
        <v>0</v>
      </c>
      <c r="AC147" s="42">
        <f>U147*(Q149-c_CSG)</f>
        <v>0</v>
      </c>
    </row>
    <row r="148" spans="3:29" x14ac:dyDescent="0.3">
      <c r="C148" s="45">
        <f>ANC2LB_1</f>
        <v>0.9835771985977747</v>
      </c>
      <c r="D148">
        <f>ANC2LB_3</f>
        <v>0.9835771985977747</v>
      </c>
      <c r="E148" t="b">
        <f>D148=C148</f>
        <v>1</v>
      </c>
      <c r="Q148" s="46">
        <f>c_clinic_fu+c_CSG</f>
        <v>14403</v>
      </c>
      <c r="R148" s="46"/>
      <c r="T148" s="78"/>
      <c r="Z148" s="42"/>
      <c r="AA148" s="6"/>
      <c r="AB148" s="42">
        <f t="shared" si="25"/>
        <v>0</v>
      </c>
      <c r="AC148" s="42"/>
    </row>
    <row r="149" spans="3:29" x14ac:dyDescent="0.3">
      <c r="C149" s="46"/>
      <c r="G149" s="19" t="s">
        <v>371</v>
      </c>
      <c r="Q149" s="42"/>
      <c r="R149" s="42"/>
      <c r="T149" s="78"/>
      <c r="Z149" s="42"/>
      <c r="AA149" s="6"/>
      <c r="AB149" s="42">
        <f t="shared" si="25"/>
        <v>0</v>
      </c>
      <c r="AC149" s="42">
        <f>U149*(Q151-c_CSG)</f>
        <v>0</v>
      </c>
    </row>
    <row r="150" spans="3:29" x14ac:dyDescent="0.3">
      <c r="G150" s="45">
        <f>Prem2NBW_1</f>
        <v>0.51623728813559322</v>
      </c>
      <c r="Q150" s="19" t="s">
        <v>367</v>
      </c>
      <c r="R150" s="19"/>
      <c r="T150" s="78"/>
      <c r="U150">
        <f>$K$140*$I$129*$G$150*$E$78*$C$148*$A$103*$M$155*$O$153*Q151</f>
        <v>0</v>
      </c>
      <c r="V150">
        <v>0</v>
      </c>
      <c r="W150" s="42">
        <f>$K$141+$I$130+$G$151+$E$79+$C$149+$M$156+$O$154+Q152+$A$104</f>
        <v>61775.873010508105</v>
      </c>
      <c r="X150">
        <f>u_ChronicResp</f>
        <v>0.53465956747782661</v>
      </c>
      <c r="Z150" s="42">
        <f>U150*W150</f>
        <v>0</v>
      </c>
      <c r="AA150" s="6">
        <f>U150*X150</f>
        <v>0</v>
      </c>
      <c r="AB150" s="42">
        <f t="shared" si="25"/>
        <v>0</v>
      </c>
      <c r="AC150" s="42">
        <f>U150*(Q152-c_CSG)</f>
        <v>0</v>
      </c>
    </row>
    <row r="151" spans="3:29" x14ac:dyDescent="0.3">
      <c r="G151" s="46">
        <f>c_NICU_NBW</f>
        <v>1255.2</v>
      </c>
      <c r="Q151" s="45">
        <f>noRDS2CLD_1-(Hypo2CI_1*noRDS2CLD_1)</f>
        <v>0</v>
      </c>
      <c r="R151" s="45"/>
      <c r="T151" s="78"/>
      <c r="Z151" s="42"/>
      <c r="AA151" s="6"/>
      <c r="AB151" s="42">
        <f t="shared" si="25"/>
        <v>0</v>
      </c>
      <c r="AC151" s="42"/>
    </row>
    <row r="152" spans="3:29" x14ac:dyDescent="0.3">
      <c r="O152" s="19" t="s">
        <v>161</v>
      </c>
      <c r="Q152" s="46">
        <f>c_lung+c_hosp_fu+c_CSG</f>
        <v>54529.510902399998</v>
      </c>
      <c r="R152" s="46"/>
      <c r="T152" s="78"/>
      <c r="Z152" s="42"/>
      <c r="AA152" s="6"/>
      <c r="AB152" s="42">
        <f t="shared" si="25"/>
        <v>0</v>
      </c>
      <c r="AC152" s="42">
        <f>U152*(Q154-c_CSG)</f>
        <v>0</v>
      </c>
    </row>
    <row r="153" spans="3:29" x14ac:dyDescent="0.3">
      <c r="O153" s="45">
        <f>SGA_prem_2hypoglycaemia_1</f>
        <v>0.2155</v>
      </c>
      <c r="Q153" s="19" t="s">
        <v>226</v>
      </c>
      <c r="R153" s="19"/>
      <c r="T153" s="78"/>
      <c r="U153">
        <f>$K$140*$I$129*$G$150*$E$78*$C$148*$A$103*$M$155*$O$153*Q154</f>
        <v>0</v>
      </c>
      <c r="V153">
        <v>0</v>
      </c>
      <c r="W153" s="42">
        <f>$K$141+$I$130+$G$151+$E$79+$C$149+$M$156+$O$154+Q155+$A$104</f>
        <v>23012.362108108107</v>
      </c>
      <c r="X153">
        <f>u_CongnitiveImpairement</f>
        <v>17.270393127285455</v>
      </c>
      <c r="Z153" s="42">
        <f>U153*W153</f>
        <v>0</v>
      </c>
      <c r="AA153" s="6">
        <f>U153*X153</f>
        <v>0</v>
      </c>
      <c r="AB153" s="42">
        <f t="shared" ref="AB153:AB175" si="26">U153*c_CSG</f>
        <v>0</v>
      </c>
      <c r="AC153" s="42">
        <f>U153*(Q155-c_CSG)</f>
        <v>0</v>
      </c>
    </row>
    <row r="154" spans="3:29" x14ac:dyDescent="0.3">
      <c r="M154" s="19" t="s">
        <v>203</v>
      </c>
      <c r="O154" s="46">
        <f>c_hypo</f>
        <v>2936.2604000000001</v>
      </c>
      <c r="Q154" s="45">
        <f>Hypo2CI_1-(Hypo2CI_1*noRDS2CLD_1)</f>
        <v>5.1333333333333335E-2</v>
      </c>
      <c r="R154" s="45"/>
      <c r="T154" s="78"/>
      <c r="Z154" s="42"/>
      <c r="AA154" s="6"/>
      <c r="AB154" s="42">
        <f t="shared" si="26"/>
        <v>0</v>
      </c>
      <c r="AC154" s="42"/>
    </row>
    <row r="155" spans="3:29" x14ac:dyDescent="0.3">
      <c r="M155" s="45">
        <f>S_prem_2noRDS_1</f>
        <v>0.55000000000000004</v>
      </c>
      <c r="Q155" s="46">
        <f>c_cog+c_hosp_fu+c_CSG</f>
        <v>15766</v>
      </c>
      <c r="R155" s="46"/>
      <c r="T155" s="78"/>
      <c r="Z155" s="42"/>
      <c r="AA155" s="6"/>
      <c r="AB155" s="42">
        <f t="shared" si="26"/>
        <v>0</v>
      </c>
      <c r="AC155" s="42">
        <f>U155*(Q157-c_CSG)</f>
        <v>0</v>
      </c>
    </row>
    <row r="156" spans="3:29" x14ac:dyDescent="0.3">
      <c r="G156" s="42"/>
      <c r="M156" s="46"/>
      <c r="O156" s="42"/>
      <c r="Q156" s="19" t="s">
        <v>368</v>
      </c>
      <c r="R156" s="19"/>
      <c r="T156" s="78"/>
      <c r="U156">
        <f>$K$140*$I$129*$G$150*$E$78*$C$148*$A$103*$M$155*$O$153*Q157</f>
        <v>0</v>
      </c>
      <c r="V156">
        <v>0</v>
      </c>
      <c r="W156" s="42">
        <f>$K$141+$I$130+$G$151+$E$79+$C$149+$M$156+$O$154+Q158+$A$104</f>
        <v>65594.873010508105</v>
      </c>
      <c r="X156">
        <f>u_ChronicResp+u_CongnitiveImpairement</f>
        <v>17.805052694763283</v>
      </c>
      <c r="Z156" s="42">
        <f>U156*W156</f>
        <v>0</v>
      </c>
      <c r="AA156" s="6">
        <f>U156*X156</f>
        <v>0</v>
      </c>
      <c r="AB156" s="42">
        <f t="shared" si="26"/>
        <v>0</v>
      </c>
      <c r="AC156" s="42">
        <f>U156*(Q158-c_CSG)</f>
        <v>0</v>
      </c>
    </row>
    <row r="157" spans="3:29" x14ac:dyDescent="0.3">
      <c r="M157" s="42"/>
      <c r="Q157" s="45">
        <f>noRDS2CLD_1*Hypo2CI_1</f>
        <v>0</v>
      </c>
      <c r="R157" s="45"/>
      <c r="T157" s="78"/>
      <c r="W157" s="42"/>
      <c r="Z157" s="42"/>
      <c r="AA157" s="6"/>
      <c r="AB157" s="42">
        <f t="shared" si="26"/>
        <v>0</v>
      </c>
      <c r="AC157" s="42"/>
    </row>
    <row r="158" spans="3:29" x14ac:dyDescent="0.3">
      <c r="M158" s="42"/>
      <c r="Q158" s="46">
        <f>c_lung+c_cog+c_hosp_fu+c_CSG</f>
        <v>58348.510902399998</v>
      </c>
      <c r="R158" s="46"/>
      <c r="T158" s="78"/>
      <c r="Z158" s="42"/>
      <c r="AA158" s="6"/>
      <c r="AB158" s="42">
        <f t="shared" si="26"/>
        <v>0</v>
      </c>
      <c r="AC158" s="42">
        <f>U158*(Q160-c_CSG)</f>
        <v>0</v>
      </c>
    </row>
    <row r="159" spans="3:29" x14ac:dyDescent="0.3">
      <c r="M159" s="42"/>
      <c r="Q159" s="19" t="s">
        <v>369</v>
      </c>
      <c r="R159" s="19"/>
      <c r="T159" s="78"/>
      <c r="U159">
        <f>$K$140*$I$129*$G$150*$E$78*$C$148*$A$103*$M$155*$O$153*Q160</f>
        <v>0</v>
      </c>
      <c r="V159">
        <v>0</v>
      </c>
      <c r="W159" s="42">
        <f>$K$141+$I$130+$G$151+$E$79+$C$149+$M$156+$O$154+Q161+$A$104</f>
        <v>21649.362108108107</v>
      </c>
      <c r="X159">
        <f>u_Healthy</f>
        <v>0</v>
      </c>
      <c r="Z159" s="42">
        <f>U159*W159</f>
        <v>0</v>
      </c>
      <c r="AA159" s="6">
        <f>U159*X159</f>
        <v>0</v>
      </c>
      <c r="AB159" s="42">
        <f t="shared" si="26"/>
        <v>0</v>
      </c>
      <c r="AC159" s="42">
        <f>U159*(Q161-c_CSG)</f>
        <v>0</v>
      </c>
    </row>
    <row r="160" spans="3:29" x14ac:dyDescent="0.3">
      <c r="M160" s="42"/>
      <c r="O160" s="42"/>
      <c r="Q160" s="45">
        <f>1-Q157-Q154-Q151</f>
        <v>0.94866666666666666</v>
      </c>
      <c r="R160" s="45"/>
      <c r="T160" s="78"/>
      <c r="Z160" s="42"/>
      <c r="AA160" s="6"/>
      <c r="AB160" s="42">
        <f t="shared" si="26"/>
        <v>0</v>
      </c>
      <c r="AC160" s="42">
        <f>U160*(Q162-c_CSG)</f>
        <v>0</v>
      </c>
    </row>
    <row r="161" spans="11:29" x14ac:dyDescent="0.3">
      <c r="M161" s="42"/>
      <c r="Q161" s="46">
        <f>c_clinic_fu+c_CSG</f>
        <v>14403</v>
      </c>
      <c r="R161" s="46"/>
      <c r="T161" s="78"/>
      <c r="Z161" s="42"/>
      <c r="AA161" s="6"/>
      <c r="AB161" s="42">
        <f t="shared" si="26"/>
        <v>0</v>
      </c>
      <c r="AC161" s="42"/>
    </row>
    <row r="162" spans="11:29" x14ac:dyDescent="0.3">
      <c r="M162" s="42"/>
      <c r="Q162" s="42"/>
      <c r="R162" s="42"/>
      <c r="S162" s="94"/>
      <c r="T162" s="78"/>
      <c r="Z162" s="42"/>
      <c r="AA162" s="6"/>
      <c r="AB162" s="42">
        <f t="shared" si="26"/>
        <v>0</v>
      </c>
      <c r="AC162" s="42">
        <f>U162*(Q164-c_CSG)</f>
        <v>0</v>
      </c>
    </row>
    <row r="163" spans="11:29" x14ac:dyDescent="0.3">
      <c r="M163" s="42"/>
      <c r="Q163" s="19" t="s">
        <v>367</v>
      </c>
      <c r="R163" s="19"/>
      <c r="T163" s="78"/>
      <c r="U163">
        <f>$K$140*$I$129*$G$150*$E$78*$C$148*$A$103*$M$155*$O$167*Q164</f>
        <v>0</v>
      </c>
      <c r="V163">
        <v>0</v>
      </c>
      <c r="W163" s="42">
        <f>$K$141+$I$130+$G$151+$E$79+$C$149+$M$156+$O$168+Q165+$A$104</f>
        <v>60868.873010508105</v>
      </c>
      <c r="X163">
        <f>u_ChronicResp</f>
        <v>0.53465956747782661</v>
      </c>
      <c r="Z163" s="42">
        <f>U163*W163</f>
        <v>0</v>
      </c>
      <c r="AA163" s="6">
        <f>U163*X163</f>
        <v>0</v>
      </c>
      <c r="AB163" s="42">
        <f t="shared" si="26"/>
        <v>0</v>
      </c>
      <c r="AC163" s="42">
        <f>U163*(Q165-c_CSG)</f>
        <v>0</v>
      </c>
    </row>
    <row r="164" spans="11:29" x14ac:dyDescent="0.3">
      <c r="M164" s="42"/>
      <c r="Q164" s="45">
        <f>noRDS2CLD_1-(noRDS2CLD_1*noHypo2CI_1)</f>
        <v>0</v>
      </c>
      <c r="R164" s="45"/>
      <c r="T164" s="78"/>
      <c r="Z164" s="42"/>
      <c r="AA164" s="6"/>
      <c r="AB164" s="42">
        <f t="shared" si="26"/>
        <v>0</v>
      </c>
      <c r="AC164" s="42"/>
    </row>
    <row r="165" spans="11:29" x14ac:dyDescent="0.3">
      <c r="M165" s="42"/>
      <c r="Q165" s="46">
        <f>c_lung+c_hypo+c_CSG</f>
        <v>56558.771302399997</v>
      </c>
      <c r="R165" s="46"/>
      <c r="T165" s="78"/>
      <c r="Z165" s="42"/>
      <c r="AA165" s="6"/>
      <c r="AB165" s="42">
        <f t="shared" si="26"/>
        <v>0</v>
      </c>
      <c r="AC165" s="42">
        <f>U165*(Q167-c_CSG)</f>
        <v>0</v>
      </c>
    </row>
    <row r="166" spans="11:29" x14ac:dyDescent="0.3">
      <c r="M166" s="42"/>
      <c r="O166" s="19" t="s">
        <v>370</v>
      </c>
      <c r="Q166" s="19" t="s">
        <v>226</v>
      </c>
      <c r="R166" s="19"/>
      <c r="T166" s="78"/>
      <c r="U166">
        <f>$K$140*$I$129*$G$150*$E$78*$C$148*$A$103*$M$155*$O$167*Q167</f>
        <v>0</v>
      </c>
      <c r="V166">
        <v>0</v>
      </c>
      <c r="W166" s="42">
        <f>$K$141+$I$130+$G$151+$E$79+$C$149+$M$156+$O$168+Q168+$A$104</f>
        <v>20076.101708108108</v>
      </c>
      <c r="X166">
        <f>u_CongnitiveImpairement</f>
        <v>17.270393127285455</v>
      </c>
      <c r="Z166" s="42">
        <f>U166*W166</f>
        <v>0</v>
      </c>
      <c r="AA166" s="6">
        <f>U166*X166</f>
        <v>0</v>
      </c>
      <c r="AB166" s="42">
        <f t="shared" si="26"/>
        <v>0</v>
      </c>
      <c r="AC166" s="42">
        <f>U166*(Q168-c_CSG)</f>
        <v>0</v>
      </c>
    </row>
    <row r="167" spans="11:29" x14ac:dyDescent="0.3">
      <c r="M167" s="42"/>
      <c r="O167" s="45">
        <f>SGA_prem_2normoglycaemia_1</f>
        <v>0.78449999999999998</v>
      </c>
      <c r="Q167" s="45">
        <f>noHypo2CI_1</f>
        <v>3.3085576536761752E-2</v>
      </c>
      <c r="R167" s="45"/>
      <c r="T167" s="78"/>
      <c r="Z167" s="42"/>
      <c r="AA167" s="6"/>
      <c r="AB167" s="42">
        <f t="shared" si="26"/>
        <v>0</v>
      </c>
      <c r="AC167" s="42"/>
    </row>
    <row r="168" spans="11:29" x14ac:dyDescent="0.3">
      <c r="M168" s="42"/>
      <c r="O168" s="46"/>
      <c r="Q168" s="46">
        <f>c_cog+c_hosp_fu+c_CSG</f>
        <v>15766</v>
      </c>
      <c r="R168" s="46"/>
      <c r="T168" s="78"/>
      <c r="Z168" s="42"/>
      <c r="AA168" s="6"/>
      <c r="AB168" s="42">
        <f t="shared" si="26"/>
        <v>0</v>
      </c>
      <c r="AC168" s="42">
        <f>U168*(Q170-c_CSG)</f>
        <v>0</v>
      </c>
    </row>
    <row r="169" spans="11:29" x14ac:dyDescent="0.3">
      <c r="M169" s="42"/>
      <c r="Q169" s="19" t="s">
        <v>368</v>
      </c>
      <c r="R169" s="19"/>
      <c r="T169" s="78"/>
      <c r="U169">
        <f>$K$140*$I$129*$G$150*$E$78*$C$148*$A$103*$M$155*$O$167*Q170</f>
        <v>0</v>
      </c>
      <c r="V169">
        <v>0</v>
      </c>
      <c r="W169" s="42">
        <f>$K$141+$I$130+$G$151+$E$79+$C$149+$M$156+$O$168+Q171+$A$104</f>
        <v>62658.612610508106</v>
      </c>
      <c r="X169">
        <f>u_ChronicResp+u_CongnitiveImpairement</f>
        <v>17.805052694763283</v>
      </c>
      <c r="Z169" s="42">
        <f>U169*W169</f>
        <v>0</v>
      </c>
      <c r="AA169" s="6">
        <f>U169*X169</f>
        <v>0</v>
      </c>
      <c r="AB169" s="42">
        <f t="shared" si="26"/>
        <v>0</v>
      </c>
      <c r="AC169" s="42">
        <f>U169*(Q171-c_CSG)</f>
        <v>0</v>
      </c>
    </row>
    <row r="170" spans="11:29" x14ac:dyDescent="0.3">
      <c r="M170" s="42"/>
      <c r="Q170" s="45">
        <f>noRDS2CLD_1*noHypo2CI_1</f>
        <v>0</v>
      </c>
      <c r="R170" s="45"/>
      <c r="T170" s="78"/>
      <c r="Z170" s="42"/>
      <c r="AA170" s="6"/>
      <c r="AB170" s="42">
        <f t="shared" si="26"/>
        <v>0</v>
      </c>
      <c r="AC170" s="42"/>
    </row>
    <row r="171" spans="11:29" x14ac:dyDescent="0.3">
      <c r="M171" s="42"/>
      <c r="Q171" s="46">
        <f>c_cog+c_lung+c_hosp_fu+c_CSG</f>
        <v>58348.510902399998</v>
      </c>
      <c r="R171" s="46"/>
      <c r="T171" s="78"/>
      <c r="Z171" s="42"/>
      <c r="AA171" s="6"/>
      <c r="AB171" s="42">
        <f t="shared" si="26"/>
        <v>0</v>
      </c>
      <c r="AC171" s="42">
        <f>U171*(Q173-c_CSG)</f>
        <v>0</v>
      </c>
    </row>
    <row r="172" spans="11:29" x14ac:dyDescent="0.3">
      <c r="M172" s="42"/>
      <c r="Q172" s="19" t="s">
        <v>369</v>
      </c>
      <c r="R172" s="19"/>
      <c r="T172" s="78"/>
      <c r="U172">
        <f>$K$140*$I$129*$G$150*$E$78*$C$148*$A$103*$M$155*$O$167*Q173</f>
        <v>0</v>
      </c>
      <c r="V172">
        <v>0</v>
      </c>
      <c r="W172" s="42">
        <f>$K$141+$I$130+$G$151+$E$79+$C$149+$M$156+$O$168+Q174+$A$104</f>
        <v>18713.101708108108</v>
      </c>
      <c r="X172">
        <f>u_Healthy</f>
        <v>0</v>
      </c>
      <c r="Z172" s="42">
        <f>U172*W172</f>
        <v>0</v>
      </c>
      <c r="AA172" s="6">
        <f>U172*X172</f>
        <v>0</v>
      </c>
      <c r="AB172" s="42">
        <f t="shared" si="26"/>
        <v>0</v>
      </c>
      <c r="AC172" s="42">
        <f>U172*(Q174-c_CSG)</f>
        <v>0</v>
      </c>
    </row>
    <row r="173" spans="11:29" x14ac:dyDescent="0.3">
      <c r="M173" s="42"/>
      <c r="Q173" s="45">
        <f>1-Q170-Q167-Q164</f>
        <v>0.9669144234632383</v>
      </c>
      <c r="R173" s="45"/>
      <c r="T173" s="78"/>
      <c r="Z173" s="42"/>
      <c r="AA173" s="6"/>
      <c r="AB173" s="42">
        <f t="shared" si="26"/>
        <v>0</v>
      </c>
      <c r="AC173" s="42">
        <f>U173*(Q175-c_CSG)</f>
        <v>0</v>
      </c>
    </row>
    <row r="174" spans="11:29" x14ac:dyDescent="0.3">
      <c r="M174" s="42"/>
      <c r="Q174" s="46">
        <f>c_clinic_fu+c_CSG</f>
        <v>14403</v>
      </c>
      <c r="R174" s="46"/>
      <c r="T174" s="78"/>
      <c r="Z174" s="42"/>
      <c r="AA174" s="6"/>
      <c r="AB174" s="42">
        <f t="shared" si="26"/>
        <v>0</v>
      </c>
      <c r="AC174" s="42">
        <f>U174*(Q176-c_CSG)</f>
        <v>0</v>
      </c>
    </row>
    <row r="175" spans="11:29" x14ac:dyDescent="0.3">
      <c r="M175" s="42"/>
      <c r="Q175" s="42"/>
      <c r="R175" s="42"/>
      <c r="T175" s="78"/>
      <c r="Z175" s="42"/>
      <c r="AA175" s="6"/>
      <c r="AB175" s="42">
        <f t="shared" si="26"/>
        <v>0</v>
      </c>
      <c r="AC175" s="42">
        <f>U175*(Q177-c_CSG)</f>
        <v>0</v>
      </c>
    </row>
    <row r="176" spans="11:29" x14ac:dyDescent="0.3">
      <c r="K176" s="19" t="s">
        <v>165</v>
      </c>
      <c r="L176" s="19"/>
      <c r="M176" s="19"/>
      <c r="N176" s="19"/>
      <c r="O176" s="19"/>
      <c r="P176" s="19"/>
      <c r="Q176" s="19"/>
      <c r="R176" s="19"/>
      <c r="T176" s="78"/>
      <c r="U176">
        <f>$K$177*$I$185*$G$150*$E$78*$C$148*$A$103</f>
        <v>1.9691856062707827E-3</v>
      </c>
      <c r="V176">
        <v>1.601529420806818E-3</v>
      </c>
      <c r="W176" s="42">
        <f>$K$178+$I$186+$G$151+$E$79+$C$149+$A$104</f>
        <v>6102.1017081081081</v>
      </c>
      <c r="X176">
        <f>u_Death</f>
        <v>19.181538114427529</v>
      </c>
      <c r="Z176" s="42">
        <f>U176*W176</f>
        <v>12.016170851606844</v>
      </c>
      <c r="AA176" s="6">
        <f>U176*X176</f>
        <v>3.7772008761065103E-2</v>
      </c>
      <c r="AB176" s="42"/>
      <c r="AC176" s="42"/>
    </row>
    <row r="177" spans="9:29" x14ac:dyDescent="0.3">
      <c r="K177" s="45">
        <f>AGA_prem_2d_1</f>
        <v>3.1903725000000001E-2</v>
      </c>
      <c r="T177" s="78"/>
      <c r="Z177" s="42"/>
      <c r="AA177" s="6"/>
      <c r="AB177" s="42">
        <f t="shared" ref="AB177:AB208" si="27">U177*c_CSG</f>
        <v>0</v>
      </c>
      <c r="AC177" s="42">
        <f>U177*(Q179-c_CSG)</f>
        <v>0</v>
      </c>
    </row>
    <row r="178" spans="9:29" x14ac:dyDescent="0.3">
      <c r="K178" s="46">
        <f>c_SB</f>
        <v>1792</v>
      </c>
      <c r="T178" s="78"/>
      <c r="Z178" s="42"/>
      <c r="AA178" s="6"/>
      <c r="AB178" s="42">
        <f t="shared" si="27"/>
        <v>0</v>
      </c>
      <c r="AC178" s="42"/>
    </row>
    <row r="179" spans="9:29" x14ac:dyDescent="0.3">
      <c r="T179" s="78"/>
      <c r="Z179" s="42"/>
      <c r="AA179" s="6"/>
      <c r="AB179" s="42">
        <f t="shared" si="27"/>
        <v>0</v>
      </c>
      <c r="AC179" s="42">
        <f>U179*(Q181-c_CSG)</f>
        <v>0</v>
      </c>
    </row>
    <row r="180" spans="9:29" x14ac:dyDescent="0.3">
      <c r="Q180" s="19" t="s">
        <v>367</v>
      </c>
      <c r="R180" s="19"/>
      <c r="T180" s="78"/>
      <c r="U180">
        <f>$K$196*$I$185*$G$150*$E$78*$C$148*$A$103*$M$191*$O$186*Q181</f>
        <v>1.3813013119737289E-3</v>
      </c>
      <c r="V180">
        <v>1.015486090417266E-3</v>
      </c>
      <c r="W180" s="42">
        <f>$K$197+$I$186+$G$151+$E$79+$C$149+$M$192+$O$187+Q182+$A$104</f>
        <v>92371.483158713745</v>
      </c>
      <c r="X180">
        <f>u_ChronicResp</f>
        <v>0.53465956747782661</v>
      </c>
      <c r="Z180" s="42">
        <f>U180*W180</f>
        <v>127.59285087609049</v>
      </c>
      <c r="AA180" s="6">
        <f>U180*X180</f>
        <v>7.3852596201642829E-4</v>
      </c>
      <c r="AB180" s="42">
        <f t="shared" si="27"/>
        <v>15.249566484189968</v>
      </c>
      <c r="AC180" s="42">
        <f>U180*(Q182-c_CSG)</f>
        <v>60.072118466580903</v>
      </c>
    </row>
    <row r="181" spans="9:29" x14ac:dyDescent="0.3">
      <c r="Q181" s="45">
        <f>RDS2CLD_1-(Hypo2CI_1*RDS2CLD_1)</f>
        <v>0.34246866666666664</v>
      </c>
      <c r="R181" s="45"/>
      <c r="T181" s="78"/>
      <c r="Z181" s="42"/>
      <c r="AA181" s="6"/>
      <c r="AB181" s="42">
        <f t="shared" si="27"/>
        <v>0</v>
      </c>
      <c r="AC181" s="42"/>
    </row>
    <row r="182" spans="9:29" x14ac:dyDescent="0.3">
      <c r="Q182" s="46">
        <f>c_lung+c_hosp_fu+c_CSG</f>
        <v>54529.510902399998</v>
      </c>
      <c r="R182" s="46"/>
      <c r="T182" s="78"/>
      <c r="Z182" s="42"/>
      <c r="AA182" s="6"/>
      <c r="AB182" s="42">
        <f t="shared" si="27"/>
        <v>0</v>
      </c>
      <c r="AC182" s="42">
        <f>U182*(Q184-c_CSG)</f>
        <v>0</v>
      </c>
    </row>
    <row r="183" spans="9:29" x14ac:dyDescent="0.3">
      <c r="Q183" s="19" t="s">
        <v>226</v>
      </c>
      <c r="R183" s="19"/>
      <c r="T183" s="78"/>
      <c r="U183">
        <f>$K$196*$I$185*$G$150*$E$78*$C$148*$A$103*$M$191*$O$186*Q184</f>
        <v>1.3230245580236709E-4</v>
      </c>
      <c r="V183">
        <v>9.7264298839603314E-5</v>
      </c>
      <c r="W183" s="42">
        <f>$K$197+$I$186+$G$151+$E$79+$C$149+$M$192+$O$187+Q185+$A$104</f>
        <v>53607.972256313747</v>
      </c>
      <c r="X183">
        <f>u_CongnitiveImpairement</f>
        <v>17.270393127285455</v>
      </c>
      <c r="Z183" s="42">
        <f>U183*W183</f>
        <v>7.0924663800954706</v>
      </c>
      <c r="AA183" s="6">
        <f>U183*X183</f>
        <v>2.2849154234121883E-3</v>
      </c>
      <c r="AB183" s="42">
        <f t="shared" si="27"/>
        <v>1.4606191120581327</v>
      </c>
      <c r="AC183" s="42">
        <f>U183*(Q185-c_CSG)</f>
        <v>0.62526140612198688</v>
      </c>
    </row>
    <row r="184" spans="9:29" x14ac:dyDescent="0.3">
      <c r="I184" s="19" t="s">
        <v>424</v>
      </c>
      <c r="Q184" s="45">
        <f>Hypo2CI_1-(Hypo2CI_1*RDS2CLD_1)</f>
        <v>3.2801999999999998E-2</v>
      </c>
      <c r="R184" s="45"/>
      <c r="T184" s="78"/>
      <c r="Z184" s="42"/>
      <c r="AA184" s="6"/>
      <c r="AB184" s="42">
        <f t="shared" si="27"/>
        <v>0</v>
      </c>
      <c r="AC184" s="42"/>
    </row>
    <row r="185" spans="9:29" x14ac:dyDescent="0.3">
      <c r="I185" s="45">
        <f>NBW_prem_2AGA_1</f>
        <v>1</v>
      </c>
      <c r="O185" s="19" t="s">
        <v>161</v>
      </c>
      <c r="Q185" s="46">
        <f>c_cog+c_hosp_fu+c_CSG</f>
        <v>15766</v>
      </c>
      <c r="R185" s="46"/>
      <c r="T185" s="78"/>
      <c r="Z185" s="42"/>
      <c r="AA185" s="6"/>
      <c r="AB185" s="42">
        <f t="shared" si="27"/>
        <v>0</v>
      </c>
      <c r="AC185" s="42">
        <f>U185*(Q187-c_CSG)</f>
        <v>0</v>
      </c>
    </row>
    <row r="186" spans="9:29" x14ac:dyDescent="0.3">
      <c r="I186" s="46"/>
      <c r="O186" s="45">
        <f>AGA_prem_2hypoglycaemia_1</f>
        <v>0.15</v>
      </c>
      <c r="Q186" s="19" t="s">
        <v>368</v>
      </c>
      <c r="R186" s="19"/>
      <c r="T186" s="78"/>
      <c r="U186">
        <f>$K$196*$I$185*$G$150*$E$78*$C$148*$A$103*$M$191*$O$186*Q187</f>
        <v>7.4743640914952308E-5</v>
      </c>
      <c r="V186">
        <v>5.494900137886823E-5</v>
      </c>
      <c r="W186" s="42">
        <f>$K$197+$I$186+$G$151+$E$79+$C$149+$M$192+$O$187+Q188+$A$104</f>
        <v>96190.483158713745</v>
      </c>
      <c r="X186">
        <f>u_ChronicResp+u_CongnitiveImpairement</f>
        <v>17.805052694763283</v>
      </c>
      <c r="Z186" s="42">
        <f>U186*W186</f>
        <v>7.1896269326506674</v>
      </c>
      <c r="AA186" s="6">
        <f>U186*X186</f>
        <v>1.3308144650891907E-3</v>
      </c>
      <c r="AB186" s="42">
        <f t="shared" si="27"/>
        <v>0.82516979570107352</v>
      </c>
      <c r="AC186" s="42">
        <f>U186*(Q188-c_CSG)</f>
        <v>3.5360103511100918</v>
      </c>
    </row>
    <row r="187" spans="9:29" x14ac:dyDescent="0.3">
      <c r="O187" s="46">
        <f>c_hypo</f>
        <v>2936.2604000000001</v>
      </c>
      <c r="Q187" s="45">
        <f>RDS2CLD_1*Hypo2CI_1</f>
        <v>1.8531333333333334E-2</v>
      </c>
      <c r="R187" s="45"/>
      <c r="T187" s="78"/>
      <c r="Z187" s="42"/>
      <c r="AA187" s="6"/>
      <c r="AB187" s="42">
        <f t="shared" si="27"/>
        <v>0</v>
      </c>
      <c r="AC187" s="42"/>
    </row>
    <row r="188" spans="9:29" x14ac:dyDescent="0.3">
      <c r="M188" s="42"/>
      <c r="Q188" s="46">
        <f>c_lung+c_cog+c_hosp_fu+c_CSG</f>
        <v>58348.510902399998</v>
      </c>
      <c r="R188" s="46"/>
      <c r="T188" s="78"/>
      <c r="Z188" s="42"/>
      <c r="AA188" s="6"/>
      <c r="AB188" s="42">
        <f t="shared" si="27"/>
        <v>0</v>
      </c>
      <c r="AC188" s="42">
        <f>U188*(Q190-c_CSG)</f>
        <v>0</v>
      </c>
    </row>
    <row r="189" spans="9:29" x14ac:dyDescent="0.3">
      <c r="Q189" s="19" t="s">
        <v>369</v>
      </c>
      <c r="R189" s="19"/>
      <c r="T189" s="78"/>
      <c r="U189">
        <f>$K$196*$I$185*$G$150*$E$78*$C$148*$A$103*$M$191*$O$186*Q190</f>
        <v>2.4450181117762126E-3</v>
      </c>
      <c r="V189">
        <v>1.7974947694643574E-3</v>
      </c>
      <c r="W189" s="42">
        <f>$K$197+$I$186+$G$151+$E$79+$C$149+$M$192+$O$187+Q191+$A$104</f>
        <v>52244.972256313747</v>
      </c>
      <c r="X189">
        <f>u_Healthy</f>
        <v>0</v>
      </c>
      <c r="Z189" s="42">
        <f>U189*W189</f>
        <v>127.73990341593286</v>
      </c>
      <c r="AA189" s="6">
        <f>U189*X189</f>
        <v>0</v>
      </c>
      <c r="AB189" s="42">
        <f t="shared" si="27"/>
        <v>26.992999954009388</v>
      </c>
      <c r="AC189" s="42">
        <f>U189*(Q191-c_CSG)</f>
        <v>8.2225959099034025</v>
      </c>
    </row>
    <row r="190" spans="9:29" x14ac:dyDescent="0.3">
      <c r="M190" s="19" t="s">
        <v>9</v>
      </c>
      <c r="Q190" s="45">
        <f>1-Q181-Q184-Q187</f>
        <v>0.60619800000000001</v>
      </c>
      <c r="R190" s="45"/>
      <c r="T190" s="78"/>
      <c r="Z190" s="42"/>
      <c r="AA190" s="6"/>
      <c r="AB190" s="42">
        <f t="shared" si="27"/>
        <v>0</v>
      </c>
      <c r="AC190" s="42">
        <f>U190*(Q192-c_CSG)</f>
        <v>0</v>
      </c>
    </row>
    <row r="191" spans="9:29" x14ac:dyDescent="0.3">
      <c r="K191" s="42"/>
      <c r="M191" s="45">
        <f>S_prem_2RDS_1</f>
        <v>0.45</v>
      </c>
      <c r="Q191" s="46">
        <f>c_clinic_fu+c_CSG</f>
        <v>14403</v>
      </c>
      <c r="R191" s="46"/>
      <c r="T191" s="78"/>
      <c r="Z191" s="42"/>
      <c r="AA191" s="6"/>
      <c r="AB191" s="42">
        <f t="shared" si="27"/>
        <v>0</v>
      </c>
      <c r="AC191" s="42"/>
    </row>
    <row r="192" spans="9:29" x14ac:dyDescent="0.3">
      <c r="K192" s="42"/>
      <c r="M192" s="46">
        <f>c_RDS</f>
        <v>30595.610148205637</v>
      </c>
      <c r="Q192" s="42"/>
      <c r="R192" s="42"/>
      <c r="T192" s="78"/>
      <c r="Z192" s="42"/>
      <c r="AA192" s="6"/>
      <c r="AB192" s="42">
        <f t="shared" si="27"/>
        <v>0</v>
      </c>
      <c r="AC192" s="42">
        <f>U192*(Q194-c_CSG)</f>
        <v>0</v>
      </c>
    </row>
    <row r="193" spans="11:29" x14ac:dyDescent="0.3">
      <c r="Q193" s="19" t="s">
        <v>367</v>
      </c>
      <c r="R193" s="19"/>
      <c r="T193" s="78"/>
      <c r="U193">
        <f>$K$196*$I$185*$G$150*$E$78*$C$148*$A$103*$M$191*$O$196*Q194</f>
        <v>7.9779349082338621E-3</v>
      </c>
      <c r="V193">
        <v>5.8651084012869732E-3</v>
      </c>
      <c r="W193" s="42">
        <f>$K$197+$I$186+$G$151+$E$79+$C$149+$M$192+$O$197+Q195+$A$104</f>
        <v>89435.222758713746</v>
      </c>
      <c r="X193">
        <f>u_ChronicResp</f>
        <v>0.53465956747782661</v>
      </c>
      <c r="Z193" s="42">
        <f>U193*W193</f>
        <v>713.50838567241397</v>
      </c>
      <c r="AA193" s="6">
        <f>U193*X193</f>
        <v>4.2654792274025707E-3</v>
      </c>
      <c r="AB193" s="42">
        <f t="shared" si="27"/>
        <v>88.076401386901836</v>
      </c>
      <c r="AC193" s="42">
        <f>U193*(Q195-c_CSG)</f>
        <v>346.95648717027404</v>
      </c>
    </row>
    <row r="194" spans="11:29" x14ac:dyDescent="0.3">
      <c r="Q194" s="45">
        <f>RDS2CLD_1-(RDS2CLD_1*noHypo2CI_1)</f>
        <v>0.34905610687022898</v>
      </c>
      <c r="R194" s="45"/>
      <c r="T194" s="78"/>
      <c r="Z194" s="42"/>
      <c r="AA194" s="6"/>
      <c r="AB194" s="42">
        <f t="shared" si="27"/>
        <v>0</v>
      </c>
      <c r="AC194" s="42"/>
    </row>
    <row r="195" spans="11:29" x14ac:dyDescent="0.3">
      <c r="K195" s="19" t="s">
        <v>37</v>
      </c>
      <c r="M195" s="42"/>
      <c r="O195" s="19" t="s">
        <v>370</v>
      </c>
      <c r="Q195" s="46">
        <f>c_lung+c_hosp_fu+c_CSG</f>
        <v>54529.510902399998</v>
      </c>
      <c r="R195" s="46"/>
      <c r="T195" s="78"/>
      <c r="Z195" s="42"/>
      <c r="AA195" s="6"/>
      <c r="AB195" s="42">
        <f t="shared" si="27"/>
        <v>0</v>
      </c>
      <c r="AC195" s="42">
        <f>U195*(Q197-c_CSG)</f>
        <v>0</v>
      </c>
    </row>
    <row r="196" spans="11:29" x14ac:dyDescent="0.3">
      <c r="K196" s="45">
        <f>AGA_prem_2s_1</f>
        <v>0.96809627499999995</v>
      </c>
      <c r="O196" s="45">
        <f>AGA_prem_2normoglycaemia_1</f>
        <v>0.85</v>
      </c>
      <c r="Q196" s="19" t="s">
        <v>226</v>
      </c>
      <c r="R196" s="19"/>
      <c r="T196" s="78"/>
      <c r="U196">
        <f>$K$196*$I$185*$G$150*$E$78*$C$148*$A$103*$M$191*$O$196*Q197</f>
        <v>4.8320877575755097E-4</v>
      </c>
      <c r="V196">
        <v>3.5523877831419984E-4</v>
      </c>
      <c r="W196" s="42">
        <f>$K$197+$I$186+$G$151+$E$79+$C$149+$M$192+$O$197+Q198+$A$104</f>
        <v>50671.711856313748</v>
      </c>
      <c r="X196">
        <f>u_CongnitiveImpairement</f>
        <v>17.270393127285455</v>
      </c>
      <c r="Z196" s="42">
        <f>U196*W196</f>
        <v>24.485015851628745</v>
      </c>
      <c r="AA196" s="6">
        <f>U196*X196</f>
        <v>8.3452055198872267E-3</v>
      </c>
      <c r="AB196" s="42">
        <f t="shared" si="27"/>
        <v>5.3346248843633628</v>
      </c>
      <c r="AC196" s="42">
        <f>U196*(Q198-c_CSG)</f>
        <v>2.2836446742301857</v>
      </c>
    </row>
    <row r="197" spans="11:29" x14ac:dyDescent="0.3">
      <c r="K197" s="46"/>
      <c r="O197" s="46"/>
      <c r="Q197" s="45">
        <f>noHypo2CI_1-(RDS2CLD_1*noHypo2CI_1)</f>
        <v>2.1141683406990762E-2</v>
      </c>
      <c r="R197" s="45"/>
      <c r="T197" s="78"/>
      <c r="Z197" s="42"/>
      <c r="AA197" s="6"/>
      <c r="AB197" s="42">
        <f t="shared" si="27"/>
        <v>0</v>
      </c>
      <c r="AC197" s="42"/>
    </row>
    <row r="198" spans="11:29" x14ac:dyDescent="0.3">
      <c r="Q198" s="46">
        <f>c_cog+c_hosp_fu+c_CSG</f>
        <v>15766</v>
      </c>
      <c r="R198" s="46"/>
      <c r="T198" s="78"/>
      <c r="Z198" s="42"/>
      <c r="AA198" s="6"/>
      <c r="AB198" s="42">
        <f t="shared" si="27"/>
        <v>0</v>
      </c>
      <c r="AC198" s="42">
        <f>U198*(Q200-c_CSG)</f>
        <v>0</v>
      </c>
    </row>
    <row r="199" spans="11:29" x14ac:dyDescent="0.3">
      <c r="Q199" s="19" t="s">
        <v>368</v>
      </c>
      <c r="R199" s="19"/>
      <c r="T199" s="78"/>
      <c r="U199">
        <f>$K$196*$I$185*$G$150*$E$78*$C$148*$A$103*$M$191*$O$196*Q200</f>
        <v>2.7298649146866331E-4</v>
      </c>
      <c r="V199">
        <v>2.0069045222445401E-4</v>
      </c>
      <c r="W199" s="42">
        <f>$K$197+$I$186+$G$151+$E$79+$C$149+$M$192+$O$197+Q201+$A$104</f>
        <v>93254.222758713746</v>
      </c>
      <c r="X199">
        <f>u_ChronicResp+u_CongnitiveImpairement</f>
        <v>17.805052694763283</v>
      </c>
      <c r="Z199" s="42">
        <f>U199*W199</f>
        <v>25.457143085538437</v>
      </c>
      <c r="AA199" s="6">
        <f>U199*X199</f>
        <v>4.8605388655580976E-3</v>
      </c>
      <c r="AB199" s="42">
        <f t="shared" si="27"/>
        <v>3.0137708658140427</v>
      </c>
      <c r="AC199" s="42">
        <f>U199*(Q201-c_CSG)</f>
        <v>12.914584407853182</v>
      </c>
    </row>
    <row r="200" spans="11:29" x14ac:dyDescent="0.3">
      <c r="Q200" s="45">
        <f>RDS2CLD_1*noHypo2CI_1</f>
        <v>1.1943893129770991E-2</v>
      </c>
      <c r="R200" s="45"/>
      <c r="T200" s="78"/>
      <c r="Z200" s="42"/>
      <c r="AA200" s="6"/>
      <c r="AB200" s="42">
        <f t="shared" si="27"/>
        <v>0</v>
      </c>
      <c r="AC200" s="42"/>
    </row>
    <row r="201" spans="11:29" x14ac:dyDescent="0.3">
      <c r="Q201" s="46">
        <f>c_cog+c_lung+c_hosp_fu+c_CSG</f>
        <v>58348.510902399998</v>
      </c>
      <c r="R201" s="46"/>
      <c r="T201" s="78"/>
      <c r="Z201" s="42"/>
      <c r="AA201" s="6"/>
      <c r="AB201" s="42">
        <f t="shared" si="27"/>
        <v>0</v>
      </c>
      <c r="AC201" s="42">
        <f>U201*(Q203-c_CSG)</f>
        <v>0</v>
      </c>
    </row>
    <row r="202" spans="11:29" x14ac:dyDescent="0.3">
      <c r="Q202" s="19" t="s">
        <v>369</v>
      </c>
      <c r="R202" s="19"/>
      <c r="T202" s="78"/>
      <c r="U202">
        <f>$K$196*$I$185*$G$150*$E$78*$C$148*$A$103*$M$191*$O$196*Q203</f>
        <v>1.4121607773854404E-2</v>
      </c>
      <c r="V202">
        <v>1.0381729275408246E-2</v>
      </c>
      <c r="W202" s="42">
        <f>$K$197+$I$186+$G$151+$E$79+$C$149+$M$192+$O$197+Q204+$A$104</f>
        <v>49308.711856313748</v>
      </c>
      <c r="X202">
        <f>u_Healthy</f>
        <v>0</v>
      </c>
      <c r="Z202" s="42">
        <f>U202*W202</f>
        <v>696.31828866886701</v>
      </c>
      <c r="AA202" s="6">
        <f>U202*X202</f>
        <v>0</v>
      </c>
      <c r="AB202" s="42">
        <f t="shared" si="27"/>
        <v>155.90254982335262</v>
      </c>
      <c r="AC202" s="42">
        <f>U202*(Q204-c_CSG)</f>
        <v>47.490966943472358</v>
      </c>
    </row>
    <row r="203" spans="11:29" x14ac:dyDescent="0.3">
      <c r="Q203" s="45">
        <f>1-Q200-Q197-Q194</f>
        <v>0.61785831659300938</v>
      </c>
      <c r="R203" s="45"/>
      <c r="T203" s="78"/>
      <c r="Z203" s="42"/>
      <c r="AA203" s="6"/>
      <c r="AB203" s="42">
        <f t="shared" si="27"/>
        <v>0</v>
      </c>
      <c r="AC203" s="42">
        <f>U203*(Q205-c_CSG)</f>
        <v>0</v>
      </c>
    </row>
    <row r="204" spans="11:29" x14ac:dyDescent="0.3">
      <c r="Q204" s="46">
        <f>c_clinic_fu+c_CSG</f>
        <v>14403</v>
      </c>
      <c r="R204" s="46"/>
      <c r="T204" s="78"/>
      <c r="Z204" s="42"/>
      <c r="AA204" s="6"/>
      <c r="AB204" s="42">
        <f t="shared" si="27"/>
        <v>0</v>
      </c>
      <c r="AC204" s="42"/>
    </row>
    <row r="205" spans="11:29" x14ac:dyDescent="0.3">
      <c r="Q205" s="42"/>
      <c r="R205" s="42"/>
      <c r="T205" s="78"/>
      <c r="Z205" s="42"/>
      <c r="AA205" s="6"/>
      <c r="AB205" s="42">
        <f t="shared" si="27"/>
        <v>0</v>
      </c>
      <c r="AC205" s="42">
        <f>U205*(Q207-c_CSG)</f>
        <v>0</v>
      </c>
    </row>
    <row r="206" spans="11:29" x14ac:dyDescent="0.3">
      <c r="Q206" s="19" t="s">
        <v>367</v>
      </c>
      <c r="R206" s="19"/>
      <c r="T206" s="78"/>
      <c r="U206">
        <f>$K$196*$I$185*$G$150*$E$78*$C$148*$A$103*$M$211*$O$209*Q207</f>
        <v>0</v>
      </c>
      <c r="V206">
        <v>0</v>
      </c>
      <c r="W206" s="42">
        <f>$K$197+$I$186+$G$151+$E$79+$C$149+$M$212+$O$210+Q208+$A$104</f>
        <v>61775.873010508105</v>
      </c>
      <c r="X206">
        <f>u_ChronicResp</f>
        <v>0.53465956747782661</v>
      </c>
      <c r="Z206" s="42">
        <f>U206*W206</f>
        <v>0</v>
      </c>
      <c r="AA206" s="6">
        <f>U206*X206</f>
        <v>0</v>
      </c>
      <c r="AB206" s="42">
        <f t="shared" si="27"/>
        <v>0</v>
      </c>
      <c r="AC206" s="42">
        <f>U206*(Q208-c_CSG)</f>
        <v>0</v>
      </c>
    </row>
    <row r="207" spans="11:29" x14ac:dyDescent="0.3">
      <c r="Q207" s="45">
        <f>noRDS2CLD_1-(Hypo2CI_1*noRDS2CLD_1)</f>
        <v>0</v>
      </c>
      <c r="R207" s="45"/>
      <c r="T207" s="78"/>
      <c r="Z207" s="42"/>
      <c r="AA207" s="6"/>
      <c r="AB207" s="42">
        <f t="shared" si="27"/>
        <v>0</v>
      </c>
      <c r="AC207" s="42"/>
    </row>
    <row r="208" spans="11:29" x14ac:dyDescent="0.3">
      <c r="O208" s="19" t="s">
        <v>161</v>
      </c>
      <c r="Q208" s="46">
        <f>c_lung+c_hosp_fu+c_CSG</f>
        <v>54529.510902399998</v>
      </c>
      <c r="R208" s="46"/>
      <c r="T208" s="78"/>
      <c r="Z208" s="42"/>
      <c r="AA208" s="6"/>
      <c r="AB208" s="42">
        <f t="shared" si="27"/>
        <v>0</v>
      </c>
      <c r="AC208" s="42">
        <f>U208*(Q210-c_CSG)</f>
        <v>0</v>
      </c>
    </row>
    <row r="209" spans="13:29" x14ac:dyDescent="0.3">
      <c r="O209" s="45">
        <f>AGA_prem_2hypoglycaemia_1</f>
        <v>0.15</v>
      </c>
      <c r="Q209" s="19" t="s">
        <v>226</v>
      </c>
      <c r="R209" s="19"/>
      <c r="T209" s="78"/>
      <c r="U209">
        <f>$K$196*$I$185*$G$150*$E$78*$C$148*$A$103*$M$211*$O$209*Q210</f>
        <v>2.530563404322793E-4</v>
      </c>
      <c r="V209">
        <v>1.8603847804479857E-4</v>
      </c>
      <c r="W209" s="42">
        <f>$K$197+$I$186+$G$151+$E$79+$C$149+$M$212+$O$210+Q211+$A$104</f>
        <v>23012.362108108107</v>
      </c>
      <c r="X209">
        <f>u_CongnitiveImpairement</f>
        <v>17.270393127285455</v>
      </c>
      <c r="Z209" s="42">
        <f>U209*W209</f>
        <v>5.8234241397802897</v>
      </c>
      <c r="AA209" s="6">
        <f>U209*X209</f>
        <v>4.3703824826176445E-3</v>
      </c>
      <c r="AB209" s="42">
        <f t="shared" ref="AB209:AB231" si="28">U209*c_CSG</f>
        <v>2.7937419983723637</v>
      </c>
      <c r="AC209" s="42">
        <f>U209*(Q211-c_CSG)</f>
        <v>1.1959442648829519</v>
      </c>
    </row>
    <row r="210" spans="13:29" x14ac:dyDescent="0.3">
      <c r="M210" s="19" t="s">
        <v>203</v>
      </c>
      <c r="O210" s="46">
        <f>c_hypo</f>
        <v>2936.2604000000001</v>
      </c>
      <c r="Q210" s="45">
        <f>Hypo2CI_1-(Hypo2CI_1*noRDS2CLD_1)</f>
        <v>5.1333333333333335E-2</v>
      </c>
      <c r="R210" s="45"/>
      <c r="T210" s="78"/>
      <c r="Z210" s="42"/>
      <c r="AA210" s="6"/>
      <c r="AB210" s="42">
        <f t="shared" si="28"/>
        <v>0</v>
      </c>
      <c r="AC210" s="42"/>
    </row>
    <row r="211" spans="13:29" x14ac:dyDescent="0.3">
      <c r="M211" s="45">
        <f>S_prem_2noRDS_1</f>
        <v>0.55000000000000004</v>
      </c>
      <c r="Q211" s="46">
        <f>c_cog+c_hosp_fu+c_CSG</f>
        <v>15766</v>
      </c>
      <c r="R211" s="46"/>
      <c r="T211" s="78"/>
      <c r="Z211" s="42"/>
      <c r="AA211" s="6"/>
      <c r="AB211" s="42">
        <f t="shared" si="28"/>
        <v>0</v>
      </c>
      <c r="AC211" s="42">
        <f>U211*(Q213-c_CSG)</f>
        <v>0</v>
      </c>
    </row>
    <row r="212" spans="13:29" x14ac:dyDescent="0.3">
      <c r="M212" s="46"/>
      <c r="O212" s="42"/>
      <c r="Q212" s="19" t="s">
        <v>368</v>
      </c>
      <c r="R212" s="19"/>
      <c r="T212" s="78"/>
      <c r="U212" s="42">
        <f>$K$196*$I$185*$G$150*$E$78*$C$148*$A$103*$M$211*$O$209*Q213</f>
        <v>0</v>
      </c>
      <c r="V212">
        <v>0</v>
      </c>
      <c r="W212" s="42">
        <f>$K$197+$I$186+$G$151+$E$79+$C$149+$M$212+$O$210+Q214+$A$104</f>
        <v>65594.873010508105</v>
      </c>
      <c r="X212">
        <f>u_ChronicResp+u_CongnitiveImpairement</f>
        <v>17.805052694763283</v>
      </c>
      <c r="Z212" s="42">
        <f>U212*W212</f>
        <v>0</v>
      </c>
      <c r="AA212" s="6">
        <f>U212*X212</f>
        <v>0</v>
      </c>
      <c r="AB212" s="42">
        <f t="shared" si="28"/>
        <v>0</v>
      </c>
      <c r="AC212" s="42">
        <f>U212*(Q214-c_CSG)</f>
        <v>0</v>
      </c>
    </row>
    <row r="213" spans="13:29" x14ac:dyDescent="0.3">
      <c r="M213" s="42"/>
      <c r="Q213" s="45">
        <f>noRDS2CLD_1*Hypo2CI_1</f>
        <v>0</v>
      </c>
      <c r="R213" s="45"/>
      <c r="T213" s="78"/>
      <c r="V213" s="42"/>
      <c r="W213" s="42"/>
      <c r="Z213" s="42"/>
      <c r="AA213" s="6"/>
      <c r="AB213" s="42">
        <f t="shared" si="28"/>
        <v>0</v>
      </c>
      <c r="AC213" s="42"/>
    </row>
    <row r="214" spans="13:29" x14ac:dyDescent="0.3">
      <c r="M214" s="42"/>
      <c r="Q214" s="46">
        <f>c_lung+c_cog+c_hosp_fu+c_CSG</f>
        <v>58348.510902399998</v>
      </c>
      <c r="R214" s="46"/>
      <c r="T214" s="78"/>
      <c r="Z214" s="42"/>
      <c r="AA214" s="6"/>
      <c r="AB214" s="42">
        <f t="shared" si="28"/>
        <v>0</v>
      </c>
      <c r="AC214" s="42">
        <f>U214*(Q216-c_CSG)</f>
        <v>0</v>
      </c>
    </row>
    <row r="215" spans="13:29" x14ac:dyDescent="0.3">
      <c r="M215" s="42"/>
      <c r="Q215" s="19" t="s">
        <v>369</v>
      </c>
      <c r="R215" s="19"/>
      <c r="T215" s="78"/>
      <c r="U215" s="40">
        <f>$K$196*$I$185*$G$150*$E$78*$C$148*$A$103*$M$211*$O$209*Q216</f>
        <v>4.6766126290277068E-3</v>
      </c>
      <c r="V215">
        <v>3.4380877176330956E-3</v>
      </c>
      <c r="W215" s="42">
        <f>$K$197+$I$186+$G$151+$E$79+$C$149+$M$212+$O$210+Q217+$A$104</f>
        <v>21649.362108108107</v>
      </c>
      <c r="X215">
        <f>u_Healthy</f>
        <v>0</v>
      </c>
      <c r="Z215" s="42">
        <f>U215*W215</f>
        <v>101.24568024517227</v>
      </c>
      <c r="AA215" s="6">
        <f>U215*X215</f>
        <v>0</v>
      </c>
      <c r="AB215" s="42">
        <f t="shared" si="28"/>
        <v>51.629803424465884</v>
      </c>
      <c r="AC215" s="42">
        <f>U215*(Q217-c_CSG)</f>
        <v>15.727448271420178</v>
      </c>
    </row>
    <row r="216" spans="13:29" x14ac:dyDescent="0.3">
      <c r="M216" s="42"/>
      <c r="O216" s="42"/>
      <c r="Q216" s="45">
        <f>1-Q213-Q210-Q207</f>
        <v>0.94866666666666666</v>
      </c>
      <c r="R216" s="45"/>
      <c r="T216" s="78"/>
      <c r="V216" s="40"/>
      <c r="Z216" s="42"/>
      <c r="AA216" s="6"/>
      <c r="AB216" s="42">
        <f t="shared" si="28"/>
        <v>0</v>
      </c>
      <c r="AC216" s="42">
        <f>U216*(Q218-c_CSG)</f>
        <v>0</v>
      </c>
    </row>
    <row r="217" spans="13:29" x14ac:dyDescent="0.3">
      <c r="M217" s="42"/>
      <c r="Q217" s="46">
        <f>c_clinic_fu+c_CSG</f>
        <v>14403</v>
      </c>
      <c r="R217" s="46"/>
      <c r="T217" s="78"/>
      <c r="U217" s="40"/>
      <c r="Z217" s="42"/>
      <c r="AA217" s="6"/>
      <c r="AB217" s="42">
        <f t="shared" si="28"/>
        <v>0</v>
      </c>
      <c r="AC217" s="42"/>
    </row>
    <row r="218" spans="13:29" x14ac:dyDescent="0.3">
      <c r="M218" s="42"/>
      <c r="Q218" s="42"/>
      <c r="R218" s="42"/>
      <c r="S218" s="94"/>
      <c r="T218" s="78"/>
      <c r="U218" s="40"/>
      <c r="V218" s="40"/>
      <c r="Z218" s="42"/>
      <c r="AA218" s="6"/>
      <c r="AB218" s="42">
        <f t="shared" si="28"/>
        <v>0</v>
      </c>
      <c r="AC218" s="42">
        <f>U218*(Q220-c_CSG)</f>
        <v>0</v>
      </c>
    </row>
    <row r="219" spans="13:29" x14ac:dyDescent="0.3">
      <c r="M219" s="42"/>
      <c r="Q219" s="19" t="s">
        <v>367</v>
      </c>
      <c r="R219" s="19"/>
      <c r="T219" s="78"/>
      <c r="U219" s="40">
        <f>$K$196*$I$185*$G$150*$E$78*$C$148*$A$103*$M$211*$O$223*Q220</f>
        <v>0</v>
      </c>
      <c r="V219" s="40">
        <v>0</v>
      </c>
      <c r="W219" s="42">
        <f>$K$197+$I$186+$G$151+$E$79+$C$149+$M$212+$O$224+Q221+$A$104</f>
        <v>60868.873010508105</v>
      </c>
      <c r="X219">
        <f>u_ChronicResp</f>
        <v>0.53465956747782661</v>
      </c>
      <c r="Z219" s="42">
        <f>U219*W219</f>
        <v>0</v>
      </c>
      <c r="AA219" s="6">
        <f>U219*X219</f>
        <v>0</v>
      </c>
      <c r="AB219" s="42">
        <f t="shared" si="28"/>
        <v>0</v>
      </c>
      <c r="AC219" s="42">
        <f>U219*(Q221-c_CSG)</f>
        <v>0</v>
      </c>
    </row>
    <row r="220" spans="13:29" x14ac:dyDescent="0.3">
      <c r="M220" s="42"/>
      <c r="Q220" s="45">
        <f>noRDS2CLD_1-(noRDS2CLD_1*noHypo2CI_1)</f>
        <v>0</v>
      </c>
      <c r="R220" s="45"/>
      <c r="T220" s="78"/>
      <c r="U220" s="40"/>
      <c r="V220" s="40"/>
      <c r="Z220" s="42"/>
      <c r="AA220" s="6"/>
      <c r="AB220" s="42">
        <f t="shared" si="28"/>
        <v>0</v>
      </c>
      <c r="AC220" s="42"/>
    </row>
    <row r="221" spans="13:29" x14ac:dyDescent="0.3">
      <c r="M221" s="42"/>
      <c r="Q221" s="46">
        <f>c_lung+c_hypo+c_CSG</f>
        <v>56558.771302399997</v>
      </c>
      <c r="R221" s="46"/>
      <c r="T221" s="78"/>
      <c r="U221" s="40"/>
      <c r="V221" s="40"/>
      <c r="Z221" s="42"/>
      <c r="AA221" s="6"/>
      <c r="AB221" s="42">
        <f t="shared" si="28"/>
        <v>0</v>
      </c>
      <c r="AC221" s="42">
        <f>U221*(Q223-c_CSG)</f>
        <v>0</v>
      </c>
    </row>
    <row r="222" spans="13:29" x14ac:dyDescent="0.3">
      <c r="M222" s="42"/>
      <c r="O222" s="19" t="s">
        <v>370</v>
      </c>
      <c r="Q222" s="19" t="s">
        <v>226</v>
      </c>
      <c r="R222" s="19"/>
      <c r="T222" s="78"/>
      <c r="U222" s="40">
        <f>$K$196*$I$185*$G$150*$E$78*$C$148*$A$103*$M$211*$O$223*Q223</f>
        <v>9.2423865994315099E-4</v>
      </c>
      <c r="V222" s="40">
        <v>6.7946905954724347E-4</v>
      </c>
      <c r="W222" s="42">
        <f>$K$197+$I$186+$G$151+$E$79+$C$149+$M$212+$O$224+Q224+$A$104</f>
        <v>20076.101708108108</v>
      </c>
      <c r="X222">
        <f>u_CongnitiveImpairement</f>
        <v>17.270393127285455</v>
      </c>
      <c r="Z222" s="42">
        <f>U222*W222</f>
        <v>18.555109339584241</v>
      </c>
      <c r="AA222" s="6">
        <f>U222*X222</f>
        <v>1.5961965000653715E-2</v>
      </c>
      <c r="AB222" s="42">
        <f t="shared" si="28"/>
        <v>10.203594805772386</v>
      </c>
      <c r="AC222" s="42">
        <f>U222*(Q224-c_CSG)</f>
        <v>4.3679519068913315</v>
      </c>
    </row>
    <row r="223" spans="13:29" x14ac:dyDescent="0.3">
      <c r="M223" s="42"/>
      <c r="O223" s="45">
        <f>AGA_prem_2normoglycaemia_1</f>
        <v>0.85</v>
      </c>
      <c r="Q223" s="45">
        <f>noHypo2CI_1</f>
        <v>3.3085576536761752E-2</v>
      </c>
      <c r="R223" s="45"/>
      <c r="T223" s="78"/>
      <c r="U223" s="40"/>
      <c r="V223" s="40"/>
      <c r="Z223" s="42"/>
      <c r="AA223" s="6"/>
      <c r="AB223" s="42">
        <f t="shared" si="28"/>
        <v>0</v>
      </c>
      <c r="AC223" s="42"/>
    </row>
    <row r="224" spans="13:29" x14ac:dyDescent="0.3">
      <c r="M224" s="42"/>
      <c r="O224" s="46"/>
      <c r="Q224" s="46">
        <f>c_cog+c_hosp_fu+c_CSG</f>
        <v>15766</v>
      </c>
      <c r="R224" s="46"/>
      <c r="T224" s="78"/>
      <c r="U224" s="40"/>
      <c r="V224" s="40"/>
      <c r="Z224" s="42"/>
      <c r="AA224" s="6"/>
      <c r="AB224" s="42">
        <f t="shared" si="28"/>
        <v>0</v>
      </c>
      <c r="AC224" s="42">
        <f>U224*(Q226-c_CSG)</f>
        <v>0</v>
      </c>
    </row>
    <row r="225" spans="7:29" x14ac:dyDescent="0.3">
      <c r="G225" s="42"/>
      <c r="M225" s="42"/>
      <c r="Q225" s="19" t="s">
        <v>368</v>
      </c>
      <c r="R225" s="19"/>
      <c r="T225" s="78"/>
      <c r="U225" s="40">
        <f>$K$196*$I$185*$G$150*$E$78*$C$148*$A$103*$M$211*$O$223*Q226</f>
        <v>0</v>
      </c>
      <c r="V225" s="40">
        <v>0</v>
      </c>
      <c r="W225" s="42">
        <f>$K$197+$I$186+$G$151+$E$79+$C$149+$M$212+$O$224+Q227+$A$104</f>
        <v>62658.612610508106</v>
      </c>
      <c r="X225">
        <f>u_ChronicResp+u_CongnitiveImpairement</f>
        <v>17.805052694763283</v>
      </c>
      <c r="Z225" s="42">
        <f>U225*W225</f>
        <v>0</v>
      </c>
      <c r="AA225" s="6">
        <f>U225*X225</f>
        <v>0</v>
      </c>
      <c r="AB225" s="42">
        <f t="shared" si="28"/>
        <v>0</v>
      </c>
      <c r="AC225" s="42">
        <f>U225*(Q227-c_CSG)</f>
        <v>0</v>
      </c>
    </row>
    <row r="226" spans="7:29" x14ac:dyDescent="0.3">
      <c r="Q226" s="45">
        <f>noRDS2CLD_1*noHypo2CI_1</f>
        <v>0</v>
      </c>
      <c r="R226" s="45"/>
      <c r="T226" s="78"/>
      <c r="U226" s="40"/>
      <c r="V226" s="40"/>
      <c r="Z226" s="42"/>
      <c r="AA226" s="6"/>
      <c r="AB226" s="42">
        <f t="shared" si="28"/>
        <v>0</v>
      </c>
      <c r="AC226" s="42"/>
    </row>
    <row r="227" spans="7:29" x14ac:dyDescent="0.3">
      <c r="Q227" s="46">
        <f>c_cog+c_lung+c_hosp_fu+c_CSG</f>
        <v>58348.510902399998</v>
      </c>
      <c r="R227" s="46"/>
      <c r="T227" s="78"/>
      <c r="U227" s="40"/>
      <c r="V227" s="40"/>
      <c r="Z227" s="42"/>
      <c r="AA227" s="6"/>
      <c r="AB227" s="42">
        <f t="shared" si="28"/>
        <v>0</v>
      </c>
      <c r="AC227" s="42">
        <f>U227*(Q229-c_CSG)</f>
        <v>0</v>
      </c>
    </row>
    <row r="228" spans="7:29" x14ac:dyDescent="0.3">
      <c r="M228" s="42"/>
      <c r="Q228" s="19" t="s">
        <v>369</v>
      </c>
      <c r="R228" s="19"/>
      <c r="T228" s="78"/>
      <c r="U228" s="40">
        <f>$K$196*$I$185*$G$150*$E$78*$C$148*$A$103*$M$211*$O$223*Q229</f>
        <v>2.7010552166996774E-2</v>
      </c>
      <c r="V228" s="40">
        <v>1.9857246049294158E-2</v>
      </c>
      <c r="W228" s="42">
        <f>$K$197+$I$186+$G$151+$E$79+$C$149+$M$212+$O$224+Q230+$A$104</f>
        <v>18713.101708108108</v>
      </c>
      <c r="X228">
        <f>u_Healthy</f>
        <v>0</v>
      </c>
      <c r="Z228" s="42">
        <f>U228*W228</f>
        <v>505.45120989317047</v>
      </c>
      <c r="AA228" s="6">
        <f>U228*X228</f>
        <v>0</v>
      </c>
      <c r="AB228" s="42">
        <f t="shared" si="28"/>
        <v>298.19649592364436</v>
      </c>
      <c r="AC228" s="42">
        <f>U228*(Q230-c_CSG)</f>
        <v>90.836486937610147</v>
      </c>
    </row>
    <row r="229" spans="7:29" x14ac:dyDescent="0.3">
      <c r="M229" s="42"/>
      <c r="Q229" s="45">
        <f>1-Q226-Q223-Q220</f>
        <v>0.9669144234632383</v>
      </c>
      <c r="R229" s="45"/>
      <c r="T229" s="78"/>
      <c r="U229" s="40"/>
      <c r="V229" s="40"/>
      <c r="Z229" s="42"/>
      <c r="AA229" s="6"/>
      <c r="AB229" s="42">
        <f t="shared" si="28"/>
        <v>0</v>
      </c>
      <c r="AC229" s="42">
        <f>U229*(Q231-c_CSG)</f>
        <v>0</v>
      </c>
    </row>
    <row r="230" spans="7:29" x14ac:dyDescent="0.3">
      <c r="M230" s="42"/>
      <c r="Q230" s="46">
        <f>c_clinic_fu+c_CSG</f>
        <v>14403</v>
      </c>
      <c r="R230" s="46"/>
      <c r="T230" s="78"/>
      <c r="U230" s="40"/>
      <c r="V230" s="40"/>
      <c r="Z230" s="42"/>
      <c r="AA230" s="6"/>
      <c r="AB230" s="42">
        <f t="shared" si="28"/>
        <v>0</v>
      </c>
      <c r="AC230" s="42">
        <f>U230*(Q232-c_CSG)</f>
        <v>0</v>
      </c>
    </row>
    <row r="231" spans="7:29" x14ac:dyDescent="0.3">
      <c r="M231" s="42"/>
      <c r="Q231" s="42"/>
      <c r="R231" s="42"/>
      <c r="T231" s="78"/>
      <c r="U231" s="40"/>
      <c r="V231" s="40"/>
      <c r="Z231" s="42"/>
      <c r="AA231" s="6"/>
      <c r="AB231" s="42">
        <f t="shared" si="28"/>
        <v>0</v>
      </c>
      <c r="AC231" s="42">
        <f>U231*(Q233-c_CSG)</f>
        <v>0</v>
      </c>
    </row>
    <row r="232" spans="7:29" x14ac:dyDescent="0.3">
      <c r="K232" s="19" t="s">
        <v>165</v>
      </c>
      <c r="L232" s="19"/>
      <c r="M232" s="19"/>
      <c r="N232" s="19"/>
      <c r="O232" s="19"/>
      <c r="P232" s="19"/>
      <c r="Q232" s="19"/>
      <c r="R232" s="19"/>
      <c r="T232" s="78"/>
      <c r="U232" s="40">
        <f>$K$233*$I$241*$G$265*$E$302*$C$148*$A$103</f>
        <v>2.0756897067272348E-3</v>
      </c>
      <c r="V232" s="40">
        <v>3.0954826391745775E-3</v>
      </c>
      <c r="W232" s="42">
        <f>$K$234+$I$242+$G$266+E$303+$C$149+$A$104</f>
        <v>258970.55809999997</v>
      </c>
      <c r="X232">
        <f>u_Death</f>
        <v>19.181538114427529</v>
      </c>
      <c r="Z232" s="42">
        <f>U232*W232</f>
        <v>537.54252179357729</v>
      </c>
      <c r="AA232" s="6">
        <f>U232*X232</f>
        <v>3.981492122331335E-2</v>
      </c>
      <c r="AB232" s="42"/>
      <c r="AC232" s="42"/>
    </row>
    <row r="233" spans="7:29" x14ac:dyDescent="0.3">
      <c r="K233" s="45">
        <f>SGA_term_2d_1</f>
        <v>1.1972400000000001E-2</v>
      </c>
      <c r="T233" s="78"/>
      <c r="V233" s="40"/>
      <c r="Z233" s="42"/>
      <c r="AA233" s="6"/>
      <c r="AB233" s="42">
        <f t="shared" ref="AB233:AB264" si="29">U233*c_CSG</f>
        <v>0</v>
      </c>
      <c r="AC233" s="42">
        <f>U233*(Q235-c_CSG)</f>
        <v>0</v>
      </c>
    </row>
    <row r="234" spans="7:29" x14ac:dyDescent="0.3">
      <c r="K234" s="46">
        <f>c_SB</f>
        <v>1792</v>
      </c>
      <c r="T234" s="78"/>
      <c r="Z234" s="42"/>
      <c r="AA234" s="6"/>
      <c r="AB234" s="42">
        <f t="shared" si="29"/>
        <v>0</v>
      </c>
      <c r="AC234" s="42"/>
    </row>
    <row r="235" spans="7:29" x14ac:dyDescent="0.3">
      <c r="T235" s="78"/>
      <c r="Z235" s="42"/>
      <c r="AA235" s="6"/>
      <c r="AB235" s="42">
        <f t="shared" si="29"/>
        <v>0</v>
      </c>
      <c r="AC235" s="42"/>
    </row>
    <row r="236" spans="7:29" x14ac:dyDescent="0.3">
      <c r="Q236" s="19" t="s">
        <v>367</v>
      </c>
      <c r="R236" s="19"/>
      <c r="T236" s="78"/>
      <c r="U236" s="40">
        <f>$K$252*$I$241*$G$265*$E$302*$C$148*$A$103*$M$247*$O$242*Q237</f>
        <v>0</v>
      </c>
      <c r="W236" s="42">
        <f>$K$253+$I$242+$G$266+E$303+$C$149+$M$248+$O$243+Q238+$A$104</f>
        <v>345239.93955060566</v>
      </c>
      <c r="X236">
        <f>u_ChronicResp</f>
        <v>0.53465956747782661</v>
      </c>
      <c r="Z236" s="42">
        <f>U236*W236</f>
        <v>0</v>
      </c>
      <c r="AA236" s="6">
        <f>U236*X236</f>
        <v>0</v>
      </c>
      <c r="AB236" s="42">
        <f t="shared" si="29"/>
        <v>0</v>
      </c>
      <c r="AC236" s="42">
        <f>U236*(Q238-c_CSG)</f>
        <v>0</v>
      </c>
    </row>
    <row r="237" spans="7:29" x14ac:dyDescent="0.3">
      <c r="Q237" s="45">
        <f>RDS2CLD_1-(Hypo2CI_1*RDS2CLD_1)</f>
        <v>0.34246866666666664</v>
      </c>
      <c r="R237" s="45"/>
      <c r="T237" s="78"/>
      <c r="V237" s="40">
        <v>0</v>
      </c>
      <c r="Z237" s="42"/>
      <c r="AA237" s="6"/>
      <c r="AB237" s="42">
        <f t="shared" si="29"/>
        <v>0</v>
      </c>
      <c r="AC237" s="42"/>
    </row>
    <row r="238" spans="7:29" x14ac:dyDescent="0.3">
      <c r="Q238" s="46">
        <f>c_lung+c_hosp_fu+c_CSG</f>
        <v>54529.510902399998</v>
      </c>
      <c r="R238" s="46"/>
      <c r="T238" s="78"/>
      <c r="Z238" s="42"/>
      <c r="AA238" s="6"/>
      <c r="AB238" s="42">
        <f t="shared" si="29"/>
        <v>0</v>
      </c>
      <c r="AC238" s="42">
        <f>U238*(Q240-c_CSG)</f>
        <v>0</v>
      </c>
    </row>
    <row r="239" spans="7:29" x14ac:dyDescent="0.3">
      <c r="Q239" s="19" t="s">
        <v>226</v>
      </c>
      <c r="R239" s="19"/>
      <c r="T239" s="78"/>
      <c r="U239" s="40">
        <f>$K$252*$I$241*$G$265*$E$302*$C$148*$A$103*$M$247*$O$242*Q240</f>
        <v>0</v>
      </c>
      <c r="W239" s="42">
        <f>$K$253+$I$242+$G$266+E$303+$C$149+$M$248+$O$243+Q241+$A$104</f>
        <v>306476.42864820565</v>
      </c>
      <c r="X239">
        <f>u_CongnitiveImpairement</f>
        <v>17.270393127285455</v>
      </c>
      <c r="Z239" s="42">
        <f>U239*W239</f>
        <v>0</v>
      </c>
      <c r="AA239" s="6">
        <f>U239*X239</f>
        <v>0</v>
      </c>
      <c r="AB239" s="42">
        <f t="shared" si="29"/>
        <v>0</v>
      </c>
      <c r="AC239" s="42">
        <f>U239*(Q241-c_CSG)</f>
        <v>0</v>
      </c>
    </row>
    <row r="240" spans="7:29" x14ac:dyDescent="0.3">
      <c r="I240" s="19" t="s">
        <v>164</v>
      </c>
      <c r="Q240" s="45">
        <f>Hypo2CI_1-(Hypo2CI_1*RDS2CLD_1)</f>
        <v>3.2801999999999998E-2</v>
      </c>
      <c r="R240" s="45"/>
      <c r="T240" s="78"/>
      <c r="V240" s="40">
        <v>0</v>
      </c>
      <c r="Z240" s="42"/>
      <c r="AA240" s="6"/>
      <c r="AB240" s="42">
        <f t="shared" si="29"/>
        <v>0</v>
      </c>
      <c r="AC240" s="42"/>
    </row>
    <row r="241" spans="7:29" x14ac:dyDescent="0.3">
      <c r="I241" s="45">
        <f>LBW_term_2SGA_1</f>
        <v>0.9</v>
      </c>
      <c r="O241" s="19" t="s">
        <v>161</v>
      </c>
      <c r="Q241" s="46">
        <f>c_cog+c_hosp_fu+c_CSG</f>
        <v>15766</v>
      </c>
      <c r="R241" s="46"/>
      <c r="T241" s="78"/>
      <c r="Z241" s="42"/>
      <c r="AA241" s="6"/>
      <c r="AB241" s="42">
        <f t="shared" si="29"/>
        <v>0</v>
      </c>
      <c r="AC241" s="42">
        <f>U241*(Q243-c_CSG)</f>
        <v>0</v>
      </c>
    </row>
    <row r="242" spans="7:29" x14ac:dyDescent="0.3">
      <c r="I242" s="46"/>
      <c r="O242" s="45">
        <f>SGA_term_2hypoglycaemia_1</f>
        <v>0.26</v>
      </c>
      <c r="Q242" s="19" t="s">
        <v>368</v>
      </c>
      <c r="R242" s="19"/>
      <c r="T242" s="78"/>
      <c r="U242" s="40">
        <f>$K$252*$I$241*$G$265*$E$302*$C$148*$A$103*$M$247*$O$242*Q243</f>
        <v>0</v>
      </c>
      <c r="W242" s="42">
        <f>$K$253+$I$242+$G$266+E$303+$C$149+$M$248+$O$243+Q244+$A$104</f>
        <v>349058.93955060566</v>
      </c>
      <c r="X242">
        <f>u_ChronicResp+u_CongnitiveImpairement</f>
        <v>17.805052694763283</v>
      </c>
      <c r="Z242" s="42">
        <f>U242*W242</f>
        <v>0</v>
      </c>
      <c r="AA242" s="6">
        <f>U242*X242</f>
        <v>0</v>
      </c>
      <c r="AB242" s="42">
        <f t="shared" si="29"/>
        <v>0</v>
      </c>
      <c r="AC242" s="42">
        <f>U242*(Q244-c_CSG)</f>
        <v>0</v>
      </c>
    </row>
    <row r="243" spans="7:29" x14ac:dyDescent="0.3">
      <c r="O243" s="46">
        <f>c_hypo</f>
        <v>2936.2604000000001</v>
      </c>
      <c r="Q243" s="45">
        <f>Hypo2CI_1*RDS2CLD_1</f>
        <v>1.8531333333333334E-2</v>
      </c>
      <c r="R243" s="45"/>
      <c r="T243" s="78"/>
      <c r="V243" s="40">
        <v>0</v>
      </c>
      <c r="Z243" s="42"/>
      <c r="AA243" s="6"/>
      <c r="AB243" s="42">
        <f t="shared" si="29"/>
        <v>0</v>
      </c>
      <c r="AC243" s="42"/>
    </row>
    <row r="244" spans="7:29" x14ac:dyDescent="0.3">
      <c r="M244" s="42"/>
      <c r="Q244" s="46">
        <f>c_lung+c_cog+c_hosp_fu+c_CSG</f>
        <v>58348.510902399998</v>
      </c>
      <c r="R244" s="46"/>
      <c r="T244" s="78"/>
      <c r="Z244" s="42"/>
      <c r="AA244" s="6"/>
      <c r="AB244" s="42">
        <f t="shared" si="29"/>
        <v>0</v>
      </c>
      <c r="AC244" s="42">
        <f>U244*(Q246-c_CSG)</f>
        <v>0</v>
      </c>
    </row>
    <row r="245" spans="7:29" x14ac:dyDescent="0.3">
      <c r="Q245" s="19" t="s">
        <v>369</v>
      </c>
      <c r="R245" s="19"/>
      <c r="T245" s="78"/>
      <c r="U245" s="40">
        <f>$K$252*$I$241*$G$265*$E$302*$C$148*$A$103*$M$247*$O$242*Q246</f>
        <v>0</v>
      </c>
      <c r="W245" s="42">
        <f>$K$253+$I$242+$G$266+E$303+$C$149+$M$248+$O$243+Q247+$A$104</f>
        <v>305113.42864820565</v>
      </c>
      <c r="X245">
        <f>u_Healthy</f>
        <v>0</v>
      </c>
      <c r="Z245" s="42">
        <f>U245*W245</f>
        <v>0</v>
      </c>
      <c r="AA245" s="6">
        <f>U245*X245</f>
        <v>0</v>
      </c>
      <c r="AB245" s="42">
        <f t="shared" si="29"/>
        <v>0</v>
      </c>
      <c r="AC245" s="42">
        <f>U245*(Q247-c_CSG)</f>
        <v>0</v>
      </c>
    </row>
    <row r="246" spans="7:29" x14ac:dyDescent="0.3">
      <c r="M246" s="19" t="s">
        <v>9</v>
      </c>
      <c r="Q246" s="45">
        <f>1-Q237-Q240-Q243</f>
        <v>0.60619800000000001</v>
      </c>
      <c r="R246" s="45"/>
      <c r="T246" s="78"/>
      <c r="V246" s="40">
        <v>0</v>
      </c>
      <c r="Z246" s="42"/>
      <c r="AA246" s="6"/>
      <c r="AB246" s="42">
        <f t="shared" si="29"/>
        <v>0</v>
      </c>
      <c r="AC246" s="42">
        <f>U246*(Q248-c_CSG)</f>
        <v>0</v>
      </c>
    </row>
    <row r="247" spans="7:29" x14ac:dyDescent="0.3">
      <c r="K247" s="42"/>
      <c r="M247" s="45">
        <f>S_term_2RDS_1</f>
        <v>0</v>
      </c>
      <c r="Q247" s="46">
        <f>c_clinic_fu+c_CSG</f>
        <v>14403</v>
      </c>
      <c r="R247" s="46"/>
      <c r="T247" s="78"/>
      <c r="Z247" s="42"/>
      <c r="AA247" s="6"/>
      <c r="AB247" s="42">
        <f t="shared" si="29"/>
        <v>0</v>
      </c>
      <c r="AC247" s="42"/>
    </row>
    <row r="248" spans="7:29" x14ac:dyDescent="0.3">
      <c r="K248" s="42"/>
      <c r="M248" s="46">
        <f>c_RDS</f>
        <v>30595.610148205637</v>
      </c>
      <c r="Q248" s="42"/>
      <c r="R248" s="42"/>
      <c r="T248" s="78"/>
      <c r="Z248" s="42"/>
      <c r="AA248" s="6"/>
      <c r="AB248" s="42">
        <f t="shared" si="29"/>
        <v>0</v>
      </c>
      <c r="AC248" s="42">
        <f>U248*(Q250-c_CSG)</f>
        <v>0</v>
      </c>
    </row>
    <row r="249" spans="7:29" x14ac:dyDescent="0.3">
      <c r="Q249" s="19" t="s">
        <v>367</v>
      </c>
      <c r="R249" s="19"/>
      <c r="T249" s="78"/>
      <c r="U249" s="40">
        <f>$K$252*$I$241*$G$265*$E$302*$C$148*$A$103*$M$247*$O$252*Q250</f>
        <v>0</v>
      </c>
      <c r="W249" s="42">
        <f>$K$253+$I$242+$G$266+E$303+$C$149+$M$248+$O$253+Q251+$A$104</f>
        <v>342303.67915060563</v>
      </c>
      <c r="X249">
        <f>u_ChronicResp</f>
        <v>0.53465956747782661</v>
      </c>
      <c r="Z249" s="42">
        <f>U249*W249</f>
        <v>0</v>
      </c>
      <c r="AA249" s="6">
        <f>U249*X249</f>
        <v>0</v>
      </c>
      <c r="AB249" s="42">
        <f t="shared" si="29"/>
        <v>0</v>
      </c>
      <c r="AC249" s="42">
        <f>U249*(Q251-c_CSG)</f>
        <v>0</v>
      </c>
    </row>
    <row r="250" spans="7:29" x14ac:dyDescent="0.3">
      <c r="Q250" s="45">
        <f>RDS2CLD_1-(RDS2CLD_1*noHypo2CI_1)</f>
        <v>0.34905610687022898</v>
      </c>
      <c r="R250" s="45"/>
      <c r="T250" s="78"/>
      <c r="V250" s="40">
        <v>0</v>
      </c>
      <c r="Z250" s="42"/>
      <c r="AA250" s="6"/>
      <c r="AB250" s="42">
        <f t="shared" si="29"/>
        <v>0</v>
      </c>
      <c r="AC250" s="42"/>
    </row>
    <row r="251" spans="7:29" x14ac:dyDescent="0.3">
      <c r="K251" s="19" t="s">
        <v>37</v>
      </c>
      <c r="M251" s="42"/>
      <c r="O251" s="19" t="s">
        <v>370</v>
      </c>
      <c r="Q251" s="46">
        <f>c_lung+c_hosp_fu+c_CSG</f>
        <v>54529.510902399998</v>
      </c>
      <c r="R251" s="46"/>
      <c r="T251" s="78"/>
      <c r="Z251" s="42"/>
      <c r="AA251" s="6"/>
      <c r="AB251" s="42">
        <f t="shared" si="29"/>
        <v>0</v>
      </c>
      <c r="AC251" s="42">
        <f>U251*(Q253-c_CSG)</f>
        <v>0</v>
      </c>
    </row>
    <row r="252" spans="7:29" x14ac:dyDescent="0.3">
      <c r="K252" s="45">
        <f>SGA_term_2s_1</f>
        <v>0.98802760000000001</v>
      </c>
      <c r="O252" s="45">
        <f>SGA_term_2normoglycaemia_1</f>
        <v>0.74</v>
      </c>
      <c r="Q252" s="19" t="s">
        <v>226</v>
      </c>
      <c r="R252" s="19"/>
      <c r="T252" s="78"/>
      <c r="U252" s="40">
        <f>$K$252*$I$241*$G$265*$E$302*$C$148*$A$103*$M$247*$O$252*Q253</f>
        <v>0</v>
      </c>
      <c r="W252" s="42">
        <f>$K$253+$I$242+$G$266+E$303+$C$149+$M$248+$O$253+Q254+$A$104</f>
        <v>303540.16824820562</v>
      </c>
      <c r="X252">
        <f>u_CongnitiveImpairement</f>
        <v>17.270393127285455</v>
      </c>
      <c r="Z252" s="42">
        <f>U252*W252</f>
        <v>0</v>
      </c>
      <c r="AA252" s="6">
        <f>U252*X252</f>
        <v>0</v>
      </c>
      <c r="AB252" s="42">
        <f t="shared" si="29"/>
        <v>0</v>
      </c>
      <c r="AC252" s="42">
        <f>U252*(Q254-c_CSG)</f>
        <v>0</v>
      </c>
    </row>
    <row r="253" spans="7:29" x14ac:dyDescent="0.3">
      <c r="K253" s="46"/>
      <c r="O253" s="46"/>
      <c r="Q253" s="45">
        <f>noHypo2CI_1-(RDS2CLD_1*noHypo2CI_1)</f>
        <v>2.1141683406990762E-2</v>
      </c>
      <c r="R253" s="45"/>
      <c r="T253" s="78"/>
      <c r="V253" s="40">
        <v>0</v>
      </c>
      <c r="Z253" s="42"/>
      <c r="AA253" s="6"/>
      <c r="AB253" s="42">
        <f t="shared" si="29"/>
        <v>0</v>
      </c>
      <c r="AC253" s="42"/>
    </row>
    <row r="254" spans="7:29" x14ac:dyDescent="0.3">
      <c r="Q254" s="46">
        <f>c_cog+c_hosp_fu+c_CSG</f>
        <v>15766</v>
      </c>
      <c r="R254" s="46"/>
      <c r="T254" s="78"/>
      <c r="Z254" s="42"/>
      <c r="AA254" s="6"/>
      <c r="AB254" s="42">
        <f t="shared" si="29"/>
        <v>0</v>
      </c>
      <c r="AC254" s="42">
        <f>U254*(Q256-c_CSG)</f>
        <v>0</v>
      </c>
    </row>
    <row r="255" spans="7:29" x14ac:dyDescent="0.3">
      <c r="Q255" s="19" t="s">
        <v>368</v>
      </c>
      <c r="R255" s="19"/>
      <c r="T255" s="78"/>
      <c r="U255" s="40">
        <f>$K$252*$I$241*$G$265*$E$302*$C$148*$A$103*$M$247*$O$252*Q256</f>
        <v>0</v>
      </c>
      <c r="W255" s="42">
        <f>$K$253+$I$242+$G$266+E$303+$C$149+$M$248+$O$253+Q257+$A$104</f>
        <v>346122.67915060563</v>
      </c>
      <c r="X255">
        <f>u_ChronicResp+u_CongnitiveImpairement</f>
        <v>17.805052694763283</v>
      </c>
      <c r="Z255" s="42">
        <f>U255*W255</f>
        <v>0</v>
      </c>
      <c r="AA255" s="6">
        <f>U255*X255</f>
        <v>0</v>
      </c>
      <c r="AB255" s="42">
        <f t="shared" si="29"/>
        <v>0</v>
      </c>
      <c r="AC255" s="42">
        <f>U255*(Q257-c_CSG)</f>
        <v>0</v>
      </c>
    </row>
    <row r="256" spans="7:29" x14ac:dyDescent="0.3">
      <c r="G256" s="42"/>
      <c r="Q256" s="45">
        <f>RDS2CLD_1*noHypo2CI_1</f>
        <v>1.1943893129770991E-2</v>
      </c>
      <c r="R256" s="45"/>
      <c r="T256" s="78"/>
      <c r="U256" s="40"/>
      <c r="V256" s="40">
        <v>0</v>
      </c>
      <c r="Z256" s="42"/>
      <c r="AA256" s="6"/>
      <c r="AB256" s="42">
        <f t="shared" si="29"/>
        <v>0</v>
      </c>
      <c r="AC256" s="42"/>
    </row>
    <row r="257" spans="7:29" x14ac:dyDescent="0.3">
      <c r="G257" s="42"/>
      <c r="Q257" s="46">
        <f>c_cog+c_lung+c_hosp_fu+c_CSG</f>
        <v>58348.510902399998</v>
      </c>
      <c r="R257" s="46"/>
      <c r="T257" s="78"/>
      <c r="V257" s="40"/>
      <c r="Z257" s="42"/>
      <c r="AA257" s="6"/>
      <c r="AB257" s="42">
        <f t="shared" si="29"/>
        <v>0</v>
      </c>
      <c r="AC257" s="42">
        <f>U257*(Q259-c_CSG)</f>
        <v>0</v>
      </c>
    </row>
    <row r="258" spans="7:29" x14ac:dyDescent="0.3">
      <c r="Q258" s="19" t="s">
        <v>369</v>
      </c>
      <c r="R258" s="19"/>
      <c r="T258" s="78"/>
      <c r="U258" s="40">
        <f>$K$252*$I$241*$G$265*$E$302*$C$148*$A$103*$M$247*$O$252*Q259</f>
        <v>0</v>
      </c>
      <c r="W258" s="42">
        <f>$K$253+$I$242+$G$266+E$303+$C$149+$M$248+$O$253+Q260+$A$104</f>
        <v>302177.16824820562</v>
      </c>
      <c r="X258">
        <f>u_Healthy</f>
        <v>0</v>
      </c>
      <c r="Z258" s="42">
        <f>U258*W258</f>
        <v>0</v>
      </c>
      <c r="AA258" s="6">
        <f>U258*X258</f>
        <v>0</v>
      </c>
      <c r="AB258" s="42">
        <f t="shared" si="29"/>
        <v>0</v>
      </c>
      <c r="AC258" s="42">
        <f>U258*(Q260-c_CSG)</f>
        <v>0</v>
      </c>
    </row>
    <row r="259" spans="7:29" x14ac:dyDescent="0.3">
      <c r="Q259" s="45">
        <f>1-Q256-Q253-Q250</f>
        <v>0.61785831659300938</v>
      </c>
      <c r="R259" s="45"/>
      <c r="T259" s="78"/>
      <c r="V259" s="40">
        <v>0</v>
      </c>
      <c r="Z259" s="42"/>
      <c r="AA259" s="6"/>
      <c r="AB259" s="42">
        <f t="shared" si="29"/>
        <v>0</v>
      </c>
      <c r="AC259" s="42">
        <f>U259*(Q261-c_CSG)</f>
        <v>0</v>
      </c>
    </row>
    <row r="260" spans="7:29" x14ac:dyDescent="0.3">
      <c r="Q260" s="46">
        <f>c_clinic_fu+c_CSG</f>
        <v>14403</v>
      </c>
      <c r="R260" s="46"/>
      <c r="T260" s="78"/>
      <c r="Z260" s="42"/>
      <c r="AA260" s="6"/>
      <c r="AB260" s="42">
        <f t="shared" si="29"/>
        <v>0</v>
      </c>
      <c r="AC260" s="42"/>
    </row>
    <row r="261" spans="7:29" x14ac:dyDescent="0.3">
      <c r="Q261" s="42"/>
      <c r="R261" s="42"/>
      <c r="T261" s="78"/>
      <c r="Z261" s="42"/>
      <c r="AA261" s="6"/>
      <c r="AB261" s="42">
        <f t="shared" si="29"/>
        <v>0</v>
      </c>
      <c r="AC261" s="42">
        <f>U261*(Q263-c_CSG)</f>
        <v>0</v>
      </c>
    </row>
    <row r="262" spans="7:29" x14ac:dyDescent="0.3">
      <c r="Q262" s="19" t="s">
        <v>367</v>
      </c>
      <c r="R262" s="19"/>
      <c r="T262" s="78"/>
      <c r="U262" s="40">
        <f>$K$252*$I$241*$G$265*$E$302*$C$148*$A$103*$M$267*$O$265*Q263</f>
        <v>0</v>
      </c>
      <c r="W262" s="42">
        <f>$K$253+$I$242+$G$266+E$303+$C$149+$M$268+$O$266+Q264+$A$104</f>
        <v>314644.32940239995</v>
      </c>
      <c r="X262">
        <f>u_ChronicResp</f>
        <v>0.53465956747782661</v>
      </c>
      <c r="Z262" s="42">
        <f>U262*W262</f>
        <v>0</v>
      </c>
      <c r="AA262" s="6">
        <f>U262*X262</f>
        <v>0</v>
      </c>
      <c r="AB262" s="42">
        <f t="shared" si="29"/>
        <v>0</v>
      </c>
      <c r="AC262" s="42">
        <f>U262*(Q264-c_CSG)</f>
        <v>0</v>
      </c>
    </row>
    <row r="263" spans="7:29" x14ac:dyDescent="0.3">
      <c r="Q263" s="45">
        <f>noRDS2CLD_1-(Hypo2CI_1*noRDS2CLD_1)</f>
        <v>0</v>
      </c>
      <c r="R263" s="45"/>
      <c r="T263" s="78"/>
      <c r="V263" s="40">
        <v>0</v>
      </c>
      <c r="Z263" s="42"/>
      <c r="AA263" s="6"/>
      <c r="AB263" s="42">
        <f t="shared" si="29"/>
        <v>0</v>
      </c>
      <c r="AC263" s="42"/>
    </row>
    <row r="264" spans="7:29" x14ac:dyDescent="0.3">
      <c r="G264" s="19" t="s">
        <v>8</v>
      </c>
      <c r="O264" s="19" t="s">
        <v>161</v>
      </c>
      <c r="Q264" s="46">
        <f>c_lung+c_hosp_fu+c_CSG</f>
        <v>54529.510902399998</v>
      </c>
      <c r="R264" s="46"/>
      <c r="T264" s="78"/>
      <c r="Z264" s="42"/>
      <c r="AA264" s="6"/>
      <c r="AB264" s="42">
        <f t="shared" si="29"/>
        <v>0</v>
      </c>
      <c r="AC264" s="42">
        <f>U264*(Q266-c_CSG)</f>
        <v>0</v>
      </c>
    </row>
    <row r="265" spans="7:29" x14ac:dyDescent="0.3">
      <c r="G265" s="45">
        <f>Term2LBW_1</f>
        <v>0.24686153846153844</v>
      </c>
      <c r="O265" s="45">
        <f>SGA_term_2hypoglycaemia_1</f>
        <v>0.26</v>
      </c>
      <c r="Q265" s="19" t="s">
        <v>226</v>
      </c>
      <c r="R265" s="19"/>
      <c r="T265" s="78"/>
      <c r="U265" s="40">
        <f>$K$252*$I$241*$G$265*$E$302*$C$148*$A$103*$M$267*$O$265*Q266</f>
        <v>2.2862467653399442E-3</v>
      </c>
      <c r="V265">
        <v>3.0885625157634445E-3</v>
      </c>
      <c r="W265" s="42">
        <f>$K$253+$I$242+$G$266+E$303+$C$149+$M$268+$O$266+Q267+$A$104</f>
        <v>275880.81849999994</v>
      </c>
      <c r="X265">
        <f>u_CongnitiveImpairement</f>
        <v>17.270393127285455</v>
      </c>
      <c r="Z265" s="42">
        <f>U265*W265</f>
        <v>630.73162891496111</v>
      </c>
      <c r="AA265" s="6">
        <f>U265*X265</f>
        <v>3.9484380423405574E-2</v>
      </c>
      <c r="AB265" s="42">
        <f t="shared" ref="AB265:AB287" si="30">U265*c_CSG</f>
        <v>25.240164289352983</v>
      </c>
      <c r="AC265" s="42">
        <f>U265*(Q267-c_CSG)</f>
        <v>10.804802212996577</v>
      </c>
    </row>
    <row r="266" spans="7:29" x14ac:dyDescent="0.3">
      <c r="G266" s="46">
        <f>c_LBW</f>
        <v>254701.55809999997</v>
      </c>
      <c r="M266" s="19" t="s">
        <v>203</v>
      </c>
      <c r="O266" s="46">
        <f>c_hypo</f>
        <v>2936.2604000000001</v>
      </c>
      <c r="Q266" s="45">
        <f>Hypo2CI_1-(Hypo2CI_1*noRDS2CLD_1)</f>
        <v>5.1333333333333335E-2</v>
      </c>
      <c r="R266" s="45"/>
      <c r="T266" s="78"/>
      <c r="V266" s="40"/>
      <c r="Z266" s="42"/>
      <c r="AA266" s="6"/>
      <c r="AB266" s="42">
        <f t="shared" si="30"/>
        <v>0</v>
      </c>
      <c r="AC266" s="42"/>
    </row>
    <row r="267" spans="7:29" x14ac:dyDescent="0.3">
      <c r="M267" s="45">
        <f>S_term_2noRDS_1</f>
        <v>1</v>
      </c>
      <c r="Q267" s="46">
        <f>c_cog+c_hosp_fu+c_CSG</f>
        <v>15766</v>
      </c>
      <c r="R267" s="46"/>
      <c r="T267" s="78"/>
      <c r="Z267" s="42"/>
      <c r="AA267" s="6"/>
      <c r="AB267" s="42">
        <f t="shared" si="30"/>
        <v>0</v>
      </c>
      <c r="AC267" s="42">
        <f>U267*(Q269-c_CSG)</f>
        <v>0</v>
      </c>
    </row>
    <row r="268" spans="7:29" x14ac:dyDescent="0.3">
      <c r="M268" s="46"/>
      <c r="O268" s="42"/>
      <c r="Q268" s="19" t="s">
        <v>368</v>
      </c>
      <c r="R268" s="19"/>
      <c r="T268" s="78"/>
      <c r="U268" s="40">
        <f>$K$252*$I$241*$G$265*$E$302*$C$148*$A$103*$M$267*$O$265*Q269</f>
        <v>0</v>
      </c>
      <c r="V268">
        <v>0</v>
      </c>
      <c r="W268" s="42">
        <f>$K$253+$I$242+$G$266+E$303+$C$149+$M$268+$O$266+Q270+$A$104</f>
        <v>318463.32940239995</v>
      </c>
      <c r="X268">
        <f>u_ChronicResp+u_CongnitiveImpairement</f>
        <v>17.805052694763283</v>
      </c>
      <c r="Z268" s="42">
        <f>U268*W268</f>
        <v>0</v>
      </c>
      <c r="AA268" s="6">
        <f>U268*X268</f>
        <v>0</v>
      </c>
      <c r="AB268" s="42">
        <f t="shared" si="30"/>
        <v>0</v>
      </c>
      <c r="AC268" s="42">
        <f>U268*(Q270-c_CSG)</f>
        <v>0</v>
      </c>
    </row>
    <row r="269" spans="7:29" x14ac:dyDescent="0.3">
      <c r="M269" s="42"/>
      <c r="Q269" s="45">
        <f>noRDS2CLD_1*Hypo2CI_1</f>
        <v>0</v>
      </c>
      <c r="R269" s="45"/>
      <c r="T269" s="78"/>
      <c r="V269" s="40"/>
      <c r="Z269" s="42"/>
      <c r="AA269" s="6"/>
      <c r="AB269" s="42">
        <f t="shared" si="30"/>
        <v>0</v>
      </c>
      <c r="AC269" s="42"/>
    </row>
    <row r="270" spans="7:29" x14ac:dyDescent="0.3">
      <c r="M270" s="42"/>
      <c r="Q270" s="46">
        <f>c_lung+c_cog+c_hosp_fu+c_CSG</f>
        <v>58348.510902399998</v>
      </c>
      <c r="R270" s="46"/>
      <c r="T270" s="78"/>
      <c r="Z270" s="42"/>
      <c r="AA270" s="6"/>
      <c r="AB270" s="42">
        <f t="shared" si="30"/>
        <v>0</v>
      </c>
      <c r="AC270" s="42">
        <f>U270*(Q272-c_CSG)</f>
        <v>0</v>
      </c>
    </row>
    <row r="271" spans="7:29" x14ac:dyDescent="0.3">
      <c r="M271" s="42"/>
      <c r="Q271" s="19" t="s">
        <v>369</v>
      </c>
      <c r="R271" s="19"/>
      <c r="T271" s="78"/>
      <c r="U271" s="40">
        <f>$K$252*$I$241*$G$265*$E$302*$C$148*$A$103*$M$267*$O$265*Q272</f>
        <v>4.2251027884139487E-2</v>
      </c>
      <c r="V271">
        <v>5.707823973936859E-2</v>
      </c>
      <c r="W271" s="42">
        <f>$K$253+$I$242+$G$266+E$303+$C$149+$M$268+$O$266+Q273+$A$104</f>
        <v>274517.81849999994</v>
      </c>
      <c r="X271">
        <f>u_Healthy</f>
        <v>0</v>
      </c>
      <c r="Z271" s="42">
        <f>U271*W271</f>
        <v>11598.66000413664</v>
      </c>
      <c r="AA271" s="6">
        <f>U271*X271</f>
        <v>0</v>
      </c>
      <c r="AB271" s="42">
        <f t="shared" si="30"/>
        <v>466.45134784089993</v>
      </c>
      <c r="AC271" s="42">
        <f>U271*(Q273-c_CSG)</f>
        <v>142.09020677436109</v>
      </c>
    </row>
    <row r="272" spans="7:29" x14ac:dyDescent="0.3">
      <c r="M272" s="42"/>
      <c r="O272" s="42"/>
      <c r="Q272" s="45">
        <f>1-Q269-Q266-Q263</f>
        <v>0.94866666666666666</v>
      </c>
      <c r="R272" s="45"/>
      <c r="T272" s="78"/>
      <c r="V272" s="40"/>
      <c r="Z272" s="42"/>
      <c r="AA272" s="6"/>
      <c r="AB272" s="42">
        <f t="shared" si="30"/>
        <v>0</v>
      </c>
      <c r="AC272" s="42">
        <f>U272*(Q274-c_CSG)</f>
        <v>0</v>
      </c>
    </row>
    <row r="273" spans="3:29" x14ac:dyDescent="0.3">
      <c r="M273" s="42"/>
      <c r="Q273" s="46">
        <f>c_clinic_fu+c_CSG</f>
        <v>14403</v>
      </c>
      <c r="R273" s="46"/>
      <c r="T273" s="78"/>
      <c r="Z273" s="42"/>
      <c r="AA273" s="6"/>
      <c r="AB273" s="42">
        <f t="shared" si="30"/>
        <v>0</v>
      </c>
      <c r="AC273" s="42"/>
    </row>
    <row r="274" spans="3:29" x14ac:dyDescent="0.3">
      <c r="M274" s="42"/>
      <c r="Q274" s="42"/>
      <c r="R274" s="42"/>
      <c r="S274" s="94"/>
      <c r="T274" s="78"/>
      <c r="Z274" s="42"/>
      <c r="AA274" s="6"/>
      <c r="AB274" s="42">
        <f t="shared" si="30"/>
        <v>0</v>
      </c>
      <c r="AC274" s="42">
        <f>U274*(Q276-c_CSG)</f>
        <v>0</v>
      </c>
    </row>
    <row r="275" spans="3:29" x14ac:dyDescent="0.3">
      <c r="M275" s="42"/>
      <c r="Q275" s="19" t="s">
        <v>367</v>
      </c>
      <c r="R275" s="19"/>
      <c r="T275" s="78"/>
      <c r="U275" s="40">
        <f>$K$252*$I$241*$G$265*$E$302*$C$148*$A$103*$M$267*$O$279*Q276</f>
        <v>0</v>
      </c>
      <c r="V275">
        <v>0</v>
      </c>
      <c r="W275" s="42">
        <f>$K$253+$I$242+$G$266+E$303+$C$149+$M$268+$O$280+Q277+$A$104</f>
        <v>313737.32940239995</v>
      </c>
      <c r="X275">
        <f>u_ChronicResp</f>
        <v>0.53465956747782661</v>
      </c>
      <c r="Z275" s="42">
        <f>U275*W275</f>
        <v>0</v>
      </c>
      <c r="AA275" s="6">
        <f>U275*X275</f>
        <v>0</v>
      </c>
      <c r="AB275" s="42">
        <f t="shared" si="30"/>
        <v>0</v>
      </c>
      <c r="AC275" s="42">
        <f>U275*(Q277-c_CSG)</f>
        <v>0</v>
      </c>
    </row>
    <row r="276" spans="3:29" x14ac:dyDescent="0.3">
      <c r="M276" s="42"/>
      <c r="Q276" s="45">
        <f>noRDS2CLD_1-(noRDS2CLD_1*noHypo2CI_1)</f>
        <v>0</v>
      </c>
      <c r="R276" s="45"/>
      <c r="T276" s="78"/>
      <c r="V276" s="40"/>
      <c r="Z276" s="42"/>
      <c r="AA276" s="6"/>
      <c r="AB276" s="42">
        <f t="shared" si="30"/>
        <v>0</v>
      </c>
      <c r="AC276" s="42"/>
    </row>
    <row r="277" spans="3:29" x14ac:dyDescent="0.3">
      <c r="M277" s="42"/>
      <c r="Q277" s="46">
        <f>c_lung+c_hypo+c_CSG</f>
        <v>56558.771302399997</v>
      </c>
      <c r="R277" s="46"/>
      <c r="T277" s="78"/>
      <c r="Z277" s="42"/>
      <c r="AA277" s="6"/>
      <c r="AB277" s="42">
        <f t="shared" si="30"/>
        <v>0</v>
      </c>
      <c r="AC277" s="42">
        <f>U277*(Q279-c_CSG)</f>
        <v>0</v>
      </c>
    </row>
    <row r="278" spans="3:29" x14ac:dyDescent="0.3">
      <c r="M278" s="42"/>
      <c r="O278" s="19" t="s">
        <v>370</v>
      </c>
      <c r="Q278" s="19" t="s">
        <v>226</v>
      </c>
      <c r="R278" s="19"/>
      <c r="T278" s="78"/>
      <c r="U278" s="40">
        <f>$K$252*$I$241*$G$265*$E$302*$C$148*$A$103*$M$267*$O$279*Q279</f>
        <v>4.1939255491309866E-3</v>
      </c>
      <c r="V278">
        <v>5.6657056628016973E-3</v>
      </c>
      <c r="W278" s="42">
        <f>$K$253+$I$242+$G$266+E$303+$C$149+$M$268+$O$280+Q280+$A$104</f>
        <v>272944.55809999997</v>
      </c>
      <c r="X278">
        <f>u_CongnitiveImpairement</f>
        <v>17.270393127285455</v>
      </c>
      <c r="Z278" s="42">
        <f>U278*W278</f>
        <v>1144.7091557118567</v>
      </c>
      <c r="AA278" s="6">
        <f>U278*X278</f>
        <v>7.2430742980058666E-2</v>
      </c>
      <c r="AB278" s="42">
        <f t="shared" si="30"/>
        <v>46.30093806240609</v>
      </c>
      <c r="AC278" s="42">
        <f>U278*(Q280-c_CSG)</f>
        <v>19.820492145193043</v>
      </c>
    </row>
    <row r="279" spans="3:29" x14ac:dyDescent="0.3">
      <c r="M279" s="42"/>
      <c r="O279" s="45">
        <f>SGA_term_2normoglycaemia_1</f>
        <v>0.74</v>
      </c>
      <c r="Q279" s="45">
        <f>noHypo2CI_1</f>
        <v>3.3085576536761752E-2</v>
      </c>
      <c r="R279" s="45"/>
      <c r="T279" s="78"/>
      <c r="V279" s="40"/>
      <c r="Z279" s="42"/>
      <c r="AA279" s="6"/>
      <c r="AB279" s="42">
        <f t="shared" si="30"/>
        <v>0</v>
      </c>
      <c r="AC279" s="42"/>
    </row>
    <row r="280" spans="3:29" x14ac:dyDescent="0.3">
      <c r="M280" s="42"/>
      <c r="O280" s="46"/>
      <c r="Q280" s="46">
        <f>c_cog+c_hosp_fu+c_CSG</f>
        <v>15766</v>
      </c>
      <c r="R280" s="46"/>
      <c r="T280" s="78"/>
      <c r="Z280" s="42"/>
      <c r="AA280" s="6"/>
      <c r="AB280" s="42">
        <f t="shared" si="30"/>
        <v>0</v>
      </c>
      <c r="AC280" s="42">
        <f>U280*(Q282-c_CSG)</f>
        <v>0</v>
      </c>
    </row>
    <row r="281" spans="3:29" x14ac:dyDescent="0.3">
      <c r="M281" s="42"/>
      <c r="Q281" s="19" t="s">
        <v>368</v>
      </c>
      <c r="R281" s="19"/>
      <c r="T281" s="78"/>
      <c r="U281" s="40">
        <f>$K$252*$I$241*$G$265*$E$302*$C$148*$A$103*$M$267*$O$279*Q282</f>
        <v>0</v>
      </c>
      <c r="W281" s="42">
        <f>$K$253+$I$242+$G$266+E$303+$C$149+$M$268+$O$280+Q283+$A$104</f>
        <v>315527.06900239998</v>
      </c>
      <c r="X281">
        <f>u_ChronicResp+u_CongnitiveImpairement</f>
        <v>17.805052694763283</v>
      </c>
      <c r="Z281" s="42">
        <f>U281*W281</f>
        <v>0</v>
      </c>
      <c r="AA281" s="6">
        <f>U281*X281</f>
        <v>0</v>
      </c>
      <c r="AB281" s="42">
        <f t="shared" si="30"/>
        <v>0</v>
      </c>
      <c r="AC281" s="42">
        <f>U281*(Q283-c_CSG)</f>
        <v>0</v>
      </c>
    </row>
    <row r="282" spans="3:29" x14ac:dyDescent="0.3">
      <c r="M282" s="42"/>
      <c r="Q282" s="45">
        <f>noRDS2CLD_1*noHypo2CI_1</f>
        <v>0</v>
      </c>
      <c r="R282" s="45"/>
      <c r="T282" s="78"/>
      <c r="U282" s="40"/>
      <c r="V282" s="40">
        <v>0</v>
      </c>
      <c r="Z282" s="42"/>
      <c r="AA282" s="6"/>
      <c r="AB282" s="42">
        <f t="shared" si="30"/>
        <v>0</v>
      </c>
      <c r="AC282" s="42"/>
    </row>
    <row r="283" spans="3:29" x14ac:dyDescent="0.3">
      <c r="M283" s="42"/>
      <c r="Q283" s="46">
        <f>c_cog+c_lung+c_hosp_fu+c_CSG</f>
        <v>58348.510902399998</v>
      </c>
      <c r="R283" s="46"/>
      <c r="T283" s="78"/>
      <c r="V283" s="40"/>
      <c r="Z283" s="42"/>
      <c r="AA283" s="6"/>
      <c r="AB283" s="42">
        <f t="shared" si="30"/>
        <v>0</v>
      </c>
      <c r="AC283" s="42">
        <f>U283*(Q285-c_CSG)</f>
        <v>0</v>
      </c>
    </row>
    <row r="284" spans="3:29" x14ac:dyDescent="0.3">
      <c r="M284" s="42"/>
      <c r="Q284" s="19" t="s">
        <v>369</v>
      </c>
      <c r="R284" s="19"/>
      <c r="T284" s="78"/>
      <c r="U284" s="40">
        <f>$K$252*$I$241*$G$265*$E$302*$C$148*$A$103*$M$267*$O$279*Q285</f>
        <v>0.12256600999169509</v>
      </c>
      <c r="V284">
        <v>0.16557826998642022</v>
      </c>
      <c r="W284" s="42">
        <f>$K$253+$I$242+$G$266+E$303+$C$149+$M$268+$O$280+Q286+$A$104</f>
        <v>271581.55809999997</v>
      </c>
      <c r="X284">
        <f>u_Healthy</f>
        <v>0</v>
      </c>
      <c r="Z284" s="42">
        <f>U284*W284</f>
        <v>33286.667963644715</v>
      </c>
      <c r="AA284" s="6">
        <f>U284*X284</f>
        <v>0</v>
      </c>
      <c r="AB284" s="42">
        <f t="shared" si="30"/>
        <v>1353.1287503083138</v>
      </c>
      <c r="AC284" s="42">
        <f>U284*(Q286-c_CSG)</f>
        <v>412.18949160207058</v>
      </c>
    </row>
    <row r="285" spans="3:29" x14ac:dyDescent="0.3">
      <c r="M285" s="42"/>
      <c r="Q285" s="45">
        <f>1-Q282-Q279-Q276</f>
        <v>0.9669144234632383</v>
      </c>
      <c r="R285" s="45"/>
      <c r="T285" s="78"/>
      <c r="V285" s="40"/>
      <c r="Z285" s="42"/>
      <c r="AA285" s="6"/>
      <c r="AB285" s="42">
        <f t="shared" si="30"/>
        <v>0</v>
      </c>
      <c r="AC285" s="42">
        <f>U285*(Q287-c_CSG)</f>
        <v>0</v>
      </c>
    </row>
    <row r="286" spans="3:29" x14ac:dyDescent="0.3">
      <c r="C286" s="42"/>
      <c r="M286" s="42"/>
      <c r="Q286" s="46">
        <f>c_clinic_fu+c_CSG</f>
        <v>14403</v>
      </c>
      <c r="R286" s="46"/>
      <c r="T286" s="78"/>
      <c r="Z286" s="42"/>
      <c r="AA286" s="6"/>
      <c r="AB286" s="42">
        <f t="shared" si="30"/>
        <v>0</v>
      </c>
      <c r="AC286" s="42">
        <f>U286*(Q288-c_CSG)</f>
        <v>0</v>
      </c>
    </row>
    <row r="287" spans="3:29" x14ac:dyDescent="0.3">
      <c r="M287" s="42"/>
      <c r="Q287" s="42"/>
      <c r="R287" s="42"/>
      <c r="T287" s="78"/>
      <c r="Z287" s="42"/>
      <c r="AA287" s="6"/>
      <c r="AB287" s="42">
        <f t="shared" si="30"/>
        <v>0</v>
      </c>
      <c r="AC287" s="42">
        <f>U287*(Q289-c_CSG)</f>
        <v>0</v>
      </c>
    </row>
    <row r="288" spans="3:29" x14ac:dyDescent="0.3">
      <c r="K288" s="19" t="s">
        <v>165</v>
      </c>
      <c r="L288" s="19"/>
      <c r="M288" s="19"/>
      <c r="N288" s="19"/>
      <c r="O288" s="19"/>
      <c r="P288" s="19"/>
      <c r="Q288" s="19"/>
      <c r="R288" s="19"/>
      <c r="T288" s="78"/>
      <c r="U288" s="40">
        <f>$K$289*$I$297*$G$265*$E$302*$C$148*$A$103</f>
        <v>1.0890964510605862E-4</v>
      </c>
      <c r="W288" s="42">
        <f>$K$290+$I$298+$G$266+E$303+$C$149+$A$104</f>
        <v>258970.55809999997</v>
      </c>
      <c r="X288">
        <f>u_Death</f>
        <v>19.181538114427529</v>
      </c>
      <c r="Z288" s="42">
        <f>U288*W288</f>
        <v>28.204391575588929</v>
      </c>
      <c r="AA288" s="6">
        <f>U288*X288</f>
        <v>2.0890545086306388E-3</v>
      </c>
      <c r="AB288" s="42"/>
      <c r="AC288" s="42"/>
    </row>
    <row r="289" spans="5:29" x14ac:dyDescent="0.3">
      <c r="K289" s="45">
        <f>AGA_term_2d_1</f>
        <v>5.6536333333333339E-3</v>
      </c>
      <c r="T289" s="78"/>
      <c r="V289" s="40">
        <v>0</v>
      </c>
      <c r="Z289" s="42"/>
      <c r="AA289" s="6"/>
      <c r="AB289" s="42">
        <f t="shared" ref="AB289:AB320" si="31">U289*c_CSG</f>
        <v>0</v>
      </c>
      <c r="AC289" s="42">
        <f>U289*(Q291-c_CSG)</f>
        <v>0</v>
      </c>
    </row>
    <row r="290" spans="5:29" x14ac:dyDescent="0.3">
      <c r="K290" s="46">
        <f>c_SB</f>
        <v>1792</v>
      </c>
      <c r="T290" s="78"/>
      <c r="Z290" s="42"/>
      <c r="AA290" s="6"/>
      <c r="AB290" s="42">
        <f t="shared" si="31"/>
        <v>0</v>
      </c>
      <c r="AC290" s="42"/>
    </row>
    <row r="291" spans="5:29" x14ac:dyDescent="0.3">
      <c r="T291" s="78"/>
      <c r="Z291" s="42"/>
      <c r="AA291" s="6"/>
      <c r="AB291" s="42">
        <f t="shared" si="31"/>
        <v>0</v>
      </c>
      <c r="AC291" s="42">
        <f>U291*(Q293-c_CSG)</f>
        <v>0</v>
      </c>
    </row>
    <row r="292" spans="5:29" x14ac:dyDescent="0.3">
      <c r="Q292" s="19" t="s">
        <v>367</v>
      </c>
      <c r="R292" s="19"/>
      <c r="T292" s="78"/>
      <c r="U292" s="40">
        <f>$K$308*$I$297*$G$265*$E$302*$C$148*$A$103*$M$303*$O$298*Q293</f>
        <v>0</v>
      </c>
      <c r="W292" s="42">
        <f>$K$309+$I$298+$G$266+E$303+$C$149+$M$304+$O$299+Q294+$A$104</f>
        <v>345239.93955060566</v>
      </c>
      <c r="X292">
        <f>u_ChronicResp</f>
        <v>0.53465956747782661</v>
      </c>
      <c r="Z292" s="42">
        <f>U292*W292</f>
        <v>0</v>
      </c>
      <c r="AA292" s="6">
        <f>U292*X292</f>
        <v>0</v>
      </c>
      <c r="AB292" s="42">
        <f t="shared" si="31"/>
        <v>0</v>
      </c>
      <c r="AC292" s="42">
        <f>U292*(Q294-c_CSG)</f>
        <v>0</v>
      </c>
    </row>
    <row r="293" spans="5:29" x14ac:dyDescent="0.3">
      <c r="Q293" s="45">
        <f>RDS2CLD_1-(Hypo2CI_1*RDS2CLD_1)</f>
        <v>0.34246866666666664</v>
      </c>
      <c r="R293" s="45"/>
      <c r="T293" s="78"/>
      <c r="V293" s="40">
        <v>0</v>
      </c>
      <c r="Z293" s="42"/>
      <c r="AA293" s="6"/>
      <c r="AB293" s="42">
        <f t="shared" si="31"/>
        <v>0</v>
      </c>
      <c r="AC293" s="42"/>
    </row>
    <row r="294" spans="5:29" x14ac:dyDescent="0.3">
      <c r="Q294" s="46">
        <f>c_lung+c_hosp_fu+c_CSG</f>
        <v>54529.510902399998</v>
      </c>
      <c r="R294" s="46"/>
      <c r="T294" s="78"/>
      <c r="Z294" s="42"/>
      <c r="AA294" s="6"/>
      <c r="AB294" s="42">
        <f t="shared" si="31"/>
        <v>0</v>
      </c>
      <c r="AC294" s="42">
        <f>U294*(Q296-c_CSG)</f>
        <v>0</v>
      </c>
    </row>
    <row r="295" spans="5:29" x14ac:dyDescent="0.3">
      <c r="Q295" s="19" t="s">
        <v>226</v>
      </c>
      <c r="R295" s="19"/>
      <c r="T295" s="78"/>
      <c r="U295" s="40">
        <f>$K$308*$I$297*$G$265*$E$302*$C$148*$A$103*$M$303*$O$298*Q296</f>
        <v>0</v>
      </c>
      <c r="W295" s="42">
        <f>$K$309+$I$298+$G$266+E$303+$C$149+$M$304+$O$299+Q297+$A$104</f>
        <v>306476.42864820565</v>
      </c>
      <c r="X295">
        <f>u_CongnitiveImpairement</f>
        <v>17.270393127285455</v>
      </c>
      <c r="Z295" s="42">
        <f>U295*W295</f>
        <v>0</v>
      </c>
      <c r="AA295" s="6">
        <f>U295*X295</f>
        <v>0</v>
      </c>
      <c r="AB295" s="42">
        <f t="shared" si="31"/>
        <v>0</v>
      </c>
      <c r="AC295" s="42">
        <f>U295*(Q297-c_CSG)</f>
        <v>0</v>
      </c>
    </row>
    <row r="296" spans="5:29" x14ac:dyDescent="0.3">
      <c r="I296" s="19" t="s">
        <v>424</v>
      </c>
      <c r="Q296" s="45">
        <f>Hypo2CI_1-(Hypo2CI_1*RDS2CLD_1)</f>
        <v>3.2801999999999998E-2</v>
      </c>
      <c r="R296" s="45"/>
      <c r="T296" s="78"/>
      <c r="V296" s="40">
        <v>0</v>
      </c>
      <c r="Z296" s="42"/>
      <c r="AA296" s="6"/>
      <c r="AB296" s="42">
        <f t="shared" si="31"/>
        <v>0</v>
      </c>
      <c r="AC296" s="42"/>
    </row>
    <row r="297" spans="5:29" x14ac:dyDescent="0.3">
      <c r="I297" s="45">
        <f>LBW_term_2AGA_1</f>
        <v>9.9999999999999978E-2</v>
      </c>
      <c r="O297" s="19" t="s">
        <v>161</v>
      </c>
      <c r="Q297" s="46">
        <f>c_cog+c_hosp_fu+c_CSG</f>
        <v>15766</v>
      </c>
      <c r="R297" s="46"/>
      <c r="T297" s="78"/>
      <c r="Z297" s="42"/>
      <c r="AA297" s="6"/>
      <c r="AB297" s="42">
        <f t="shared" si="31"/>
        <v>0</v>
      </c>
      <c r="AC297" s="42">
        <f>U297*(Q299-c_CSG)</f>
        <v>0</v>
      </c>
    </row>
    <row r="298" spans="5:29" x14ac:dyDescent="0.3">
      <c r="I298" s="46"/>
      <c r="O298" s="45">
        <f>AGA_term_2hypoglycaemia_1</f>
        <v>0</v>
      </c>
      <c r="Q298" s="19" t="s">
        <v>368</v>
      </c>
      <c r="R298" s="19"/>
      <c r="T298" s="78"/>
      <c r="U298" s="40">
        <f>$K$308*$I$297*$G$265*$E$302*$C$148*$A$103*$M$303*$O$298*Q299</f>
        <v>0</v>
      </c>
      <c r="W298" s="42">
        <f>$K$309+$I$298+$G$266+E$303+$C$149+$M$304+$O$299+Q300+$A$104</f>
        <v>349058.93955060566</v>
      </c>
      <c r="X298">
        <f>u_ChronicResp+u_CongnitiveImpairement</f>
        <v>17.805052694763283</v>
      </c>
      <c r="Z298" s="42">
        <f>U298*W298</f>
        <v>0</v>
      </c>
      <c r="AA298" s="6">
        <f>U298*X298</f>
        <v>0</v>
      </c>
      <c r="AB298" s="42">
        <f t="shared" si="31"/>
        <v>0</v>
      </c>
      <c r="AC298" s="42">
        <f>U298*(Q300-c_CSG)</f>
        <v>0</v>
      </c>
    </row>
    <row r="299" spans="5:29" x14ac:dyDescent="0.3">
      <c r="O299" s="46">
        <f>c_hypo</f>
        <v>2936.2604000000001</v>
      </c>
      <c r="Q299" s="45">
        <f>Hypo2CI_3*RDS2CLD_3</f>
        <v>1.8531333333333334E-2</v>
      </c>
      <c r="R299" s="45"/>
      <c r="T299" s="78"/>
      <c r="V299" s="40">
        <v>0</v>
      </c>
      <c r="Z299" s="42"/>
      <c r="AA299" s="6"/>
      <c r="AB299" s="42">
        <f t="shared" si="31"/>
        <v>0</v>
      </c>
      <c r="AC299" s="42"/>
    </row>
    <row r="300" spans="5:29" x14ac:dyDescent="0.3">
      <c r="M300" s="42"/>
      <c r="Q300" s="46">
        <f>c_lung+c_cog+c_hosp_fu+c_CSG</f>
        <v>58348.510902399998</v>
      </c>
      <c r="R300" s="46"/>
      <c r="T300" s="78"/>
      <c r="Z300" s="42"/>
      <c r="AA300" s="6"/>
      <c r="AB300" s="42">
        <f t="shared" si="31"/>
        <v>0</v>
      </c>
      <c r="AC300" s="42">
        <f>U300*(Q302-c_CSG)</f>
        <v>0</v>
      </c>
    </row>
    <row r="301" spans="5:29" x14ac:dyDescent="0.3">
      <c r="E301" s="19" t="s">
        <v>11</v>
      </c>
      <c r="Q301" s="19" t="s">
        <v>369</v>
      </c>
      <c r="R301" s="19"/>
      <c r="T301" s="78"/>
      <c r="U301" s="40">
        <f>$K$308*$I$297*$G$265*$E$302*$C$148*$A$103*$M$303*$O$298*Q302</f>
        <v>0</v>
      </c>
      <c r="W301" s="42">
        <f>$K$309+$I$298+$G$266+E$303+$C$149+$M$304+$O$299+Q303+$A$104</f>
        <v>305113.42864820565</v>
      </c>
      <c r="X301">
        <f>u_Healthy</f>
        <v>0</v>
      </c>
      <c r="Z301" s="42">
        <f>U301*W301</f>
        <v>0</v>
      </c>
      <c r="AA301" s="6">
        <f>U301*X301</f>
        <v>0</v>
      </c>
      <c r="AB301" s="42">
        <f t="shared" si="31"/>
        <v>0</v>
      </c>
      <c r="AC301" s="42">
        <f>U301*(Q303-c_CSG)</f>
        <v>0</v>
      </c>
    </row>
    <row r="302" spans="5:29" x14ac:dyDescent="0.3">
      <c r="E302" s="45">
        <f>LB2term_1</f>
        <v>0.86713851761846905</v>
      </c>
      <c r="F302">
        <f>LB2term_3</f>
        <v>0.82518226002430128</v>
      </c>
      <c r="G302" t="b">
        <f>F302=E302</f>
        <v>0</v>
      </c>
      <c r="M302" s="19" t="s">
        <v>9</v>
      </c>
      <c r="Q302" s="45">
        <f>1-Q293-Q296-Q299</f>
        <v>0.60619800000000001</v>
      </c>
      <c r="R302" s="45"/>
      <c r="T302" s="78"/>
      <c r="V302" s="40">
        <v>0</v>
      </c>
      <c r="Z302" s="42"/>
      <c r="AA302" s="6"/>
      <c r="AB302" s="42">
        <f t="shared" si="31"/>
        <v>0</v>
      </c>
      <c r="AC302" s="42">
        <f>U302*(Q304-c_CSG)</f>
        <v>0</v>
      </c>
    </row>
    <row r="303" spans="5:29" x14ac:dyDescent="0.3">
      <c r="E303" s="46"/>
      <c r="K303" s="42"/>
      <c r="M303" s="45">
        <f>S_term_2RDS_1</f>
        <v>0</v>
      </c>
      <c r="Q303" s="46">
        <f>c_clinic_fu+c_CSG</f>
        <v>14403</v>
      </c>
      <c r="R303" s="46"/>
      <c r="T303" s="78"/>
      <c r="Z303" s="42"/>
      <c r="AA303" s="6"/>
      <c r="AB303" s="42">
        <f t="shared" si="31"/>
        <v>0</v>
      </c>
      <c r="AC303" s="42"/>
    </row>
    <row r="304" spans="5:29" x14ac:dyDescent="0.3">
      <c r="K304" s="42"/>
      <c r="M304" s="46">
        <f>c_RDS</f>
        <v>30595.610148205637</v>
      </c>
      <c r="Q304" s="42"/>
      <c r="R304" s="42"/>
      <c r="T304" s="78"/>
      <c r="Z304" s="42"/>
      <c r="AA304" s="6"/>
      <c r="AB304" s="42">
        <f t="shared" si="31"/>
        <v>0</v>
      </c>
      <c r="AC304" s="42">
        <f>U304*(Q306-c_CSG)</f>
        <v>0</v>
      </c>
    </row>
    <row r="305" spans="11:29" x14ac:dyDescent="0.3">
      <c r="Q305" s="19" t="s">
        <v>367</v>
      </c>
      <c r="R305" s="19"/>
      <c r="T305" s="78"/>
      <c r="U305" s="40">
        <f>$K$308*$I$297*$G$265*$E$302*$C$148*$A$103*$M$303*$O$308*Q306</f>
        <v>0</v>
      </c>
      <c r="W305" s="42">
        <f>$K$309+$I$298+$G$266+E$303+$C$149+$M$304+$O$309+Q307+$A$104</f>
        <v>342303.67915060563</v>
      </c>
      <c r="X305">
        <f>u_ChronicResp</f>
        <v>0.53465956747782661</v>
      </c>
      <c r="Z305" s="42">
        <f>U305*W305</f>
        <v>0</v>
      </c>
      <c r="AA305" s="6">
        <f>U305*X305</f>
        <v>0</v>
      </c>
      <c r="AB305" s="42">
        <f t="shared" si="31"/>
        <v>0</v>
      </c>
      <c r="AC305" s="42">
        <f>U305*(Q307-c_CSG)</f>
        <v>0</v>
      </c>
    </row>
    <row r="306" spans="11:29" x14ac:dyDescent="0.3">
      <c r="Q306" s="45">
        <f>RDS2CLD_1-(RDS2CLD_1*noHypo2CI_1)</f>
        <v>0.34905610687022898</v>
      </c>
      <c r="R306" s="45"/>
      <c r="T306" s="78"/>
      <c r="V306" s="40">
        <v>0</v>
      </c>
      <c r="Z306" s="42"/>
      <c r="AA306" s="6"/>
      <c r="AB306" s="42">
        <f t="shared" si="31"/>
        <v>0</v>
      </c>
      <c r="AC306" s="42"/>
    </row>
    <row r="307" spans="11:29" x14ac:dyDescent="0.3">
      <c r="K307" s="19" t="s">
        <v>37</v>
      </c>
      <c r="M307" s="42"/>
      <c r="O307" s="19" t="s">
        <v>370</v>
      </c>
      <c r="Q307" s="46">
        <f>c_lung+c_hosp_fu+c_CSG</f>
        <v>54529.510902399998</v>
      </c>
      <c r="R307" s="46"/>
      <c r="T307" s="78"/>
      <c r="Z307" s="42"/>
      <c r="AA307" s="6"/>
      <c r="AB307" s="42">
        <f t="shared" si="31"/>
        <v>0</v>
      </c>
      <c r="AC307" s="42">
        <f>U307*(Q309-c_CSG)</f>
        <v>0</v>
      </c>
    </row>
    <row r="308" spans="11:29" x14ac:dyDescent="0.3">
      <c r="K308" s="45">
        <f>AGA_term_2s_1</f>
        <v>0.99434636666666665</v>
      </c>
      <c r="O308" s="45">
        <f>AGA_term_2normoglycaemia_1</f>
        <v>1</v>
      </c>
      <c r="Q308" s="19" t="s">
        <v>226</v>
      </c>
      <c r="R308" s="19"/>
      <c r="T308" s="78"/>
      <c r="U308" s="40">
        <f>$K$308*$I$297*$G$265*$E$302*$C$148*$A$103*$M$303*$O$308*Q309</f>
        <v>0</v>
      </c>
      <c r="W308" s="42">
        <f>$K$309+$I$298+$G$266+E$303+$C$149+$M$304+$O$309+Q310+$A$104</f>
        <v>303540.16824820562</v>
      </c>
      <c r="X308">
        <f>u_CongnitiveImpairement</f>
        <v>17.270393127285455</v>
      </c>
      <c r="Z308" s="42">
        <f>U308*W308</f>
        <v>0</v>
      </c>
      <c r="AA308" s="6">
        <f>U308*X308</f>
        <v>0</v>
      </c>
      <c r="AB308" s="42">
        <f t="shared" si="31"/>
        <v>0</v>
      </c>
      <c r="AC308" s="42">
        <f>U308*(Q310-c_CSG)</f>
        <v>0</v>
      </c>
    </row>
    <row r="309" spans="11:29" x14ac:dyDescent="0.3">
      <c r="K309" s="46"/>
      <c r="O309" s="46"/>
      <c r="Q309" s="45">
        <f>noHypo2CI_1-(RDS2CLD_1*noHypo2CI_1)</f>
        <v>2.1141683406990762E-2</v>
      </c>
      <c r="R309" s="45"/>
      <c r="T309" s="78"/>
      <c r="V309" s="40">
        <v>0</v>
      </c>
      <c r="Z309" s="42"/>
      <c r="AA309" s="6"/>
      <c r="AB309" s="42">
        <f t="shared" si="31"/>
        <v>0</v>
      </c>
      <c r="AC309" s="42"/>
    </row>
    <row r="310" spans="11:29" x14ac:dyDescent="0.3">
      <c r="Q310" s="46">
        <f>c_cog+c_hosp_fu+c_CSG</f>
        <v>15766</v>
      </c>
      <c r="R310" s="46"/>
      <c r="T310" s="78"/>
      <c r="Z310" s="42"/>
      <c r="AA310" s="6"/>
      <c r="AB310" s="42">
        <f t="shared" si="31"/>
        <v>0</v>
      </c>
      <c r="AC310" s="42">
        <f>U310*(Q312-c_CSG)</f>
        <v>0</v>
      </c>
    </row>
    <row r="311" spans="11:29" x14ac:dyDescent="0.3">
      <c r="Q311" s="19" t="s">
        <v>368</v>
      </c>
      <c r="R311" s="19"/>
      <c r="T311" s="78"/>
      <c r="U311" s="40">
        <f>$K$308*$I$297*$G$265*$E$302*$C$148*$A$103*$M$303*$O$308*Q312</f>
        <v>0</v>
      </c>
      <c r="W311" s="42">
        <f>$K$309+$I$298+$G$266+E$303+$C$149+$M$304+$O$309+Q313+$A$104</f>
        <v>346122.67915060563</v>
      </c>
      <c r="X311">
        <f>u_ChronicResp+u_CongnitiveImpairement</f>
        <v>17.805052694763283</v>
      </c>
      <c r="Z311" s="42">
        <f>U311*W311</f>
        <v>0</v>
      </c>
      <c r="AA311" s="6">
        <f>U311*X311</f>
        <v>0</v>
      </c>
      <c r="AB311" s="42">
        <f t="shared" si="31"/>
        <v>0</v>
      </c>
      <c r="AC311" s="42">
        <f>U311*(Q313-c_CSG)</f>
        <v>0</v>
      </c>
    </row>
    <row r="312" spans="11:29" x14ac:dyDescent="0.3">
      <c r="Q312" s="45">
        <f>RDS2CLD_1*noHypo2CI_1</f>
        <v>1.1943893129770991E-2</v>
      </c>
      <c r="R312" s="45"/>
      <c r="T312" s="78"/>
      <c r="V312" s="40">
        <v>0</v>
      </c>
      <c r="Z312" s="42"/>
      <c r="AA312" s="6"/>
      <c r="AB312" s="42">
        <f t="shared" si="31"/>
        <v>0</v>
      </c>
      <c r="AC312" s="42"/>
    </row>
    <row r="313" spans="11:29" x14ac:dyDescent="0.3">
      <c r="Q313" s="46">
        <f>c_cog+c_lung+c_hosp_fu+c_CSG</f>
        <v>58348.510902399998</v>
      </c>
      <c r="R313" s="46"/>
      <c r="T313" s="78"/>
      <c r="Z313" s="42"/>
      <c r="AA313" s="6"/>
      <c r="AB313" s="42">
        <f t="shared" si="31"/>
        <v>0</v>
      </c>
      <c r="AC313" s="42">
        <f>U313*(Q315-c_CSG)</f>
        <v>0</v>
      </c>
    </row>
    <row r="314" spans="11:29" x14ac:dyDescent="0.3">
      <c r="Q314" s="19" t="s">
        <v>369</v>
      </c>
      <c r="R314" s="19"/>
      <c r="T314" s="78"/>
      <c r="U314" s="40">
        <f>$K$308*$I$297*$G$265*$E$302*$C$148*$A$103*$M$303*$O$308*Q315</f>
        <v>0</v>
      </c>
      <c r="W314" s="42">
        <f>$K$309+$I$298+$G$266+E$303+$C$149+$M$304+$O$309+Q316+$A$104</f>
        <v>302177.16824820562</v>
      </c>
      <c r="X314">
        <f>u_Healthy</f>
        <v>0</v>
      </c>
      <c r="Z314" s="42">
        <f>U314*W314</f>
        <v>0</v>
      </c>
      <c r="AA314" s="6">
        <f>U314*X314</f>
        <v>0</v>
      </c>
      <c r="AB314" s="42">
        <f t="shared" si="31"/>
        <v>0</v>
      </c>
      <c r="AC314" s="42">
        <f>U314*(Q316-c_CSG)</f>
        <v>0</v>
      </c>
    </row>
    <row r="315" spans="11:29" x14ac:dyDescent="0.3">
      <c r="Q315" s="45">
        <f>1-Q312-Q309-Q306</f>
        <v>0.61785831659300938</v>
      </c>
      <c r="R315" s="45"/>
      <c r="T315" s="78"/>
      <c r="V315" s="40">
        <v>0</v>
      </c>
      <c r="Z315" s="42"/>
      <c r="AA315" s="6"/>
      <c r="AB315" s="42">
        <f t="shared" si="31"/>
        <v>0</v>
      </c>
      <c r="AC315" s="42">
        <f>U315*(Q317-c_CSG)</f>
        <v>0</v>
      </c>
    </row>
    <row r="316" spans="11:29" x14ac:dyDescent="0.3">
      <c r="Q316" s="46">
        <f>c_clinic_fu+c_CSG</f>
        <v>14403</v>
      </c>
      <c r="R316" s="46"/>
      <c r="T316" s="78"/>
      <c r="Z316" s="42"/>
      <c r="AA316" s="6"/>
      <c r="AB316" s="42">
        <f t="shared" si="31"/>
        <v>0</v>
      </c>
      <c r="AC316" s="42"/>
    </row>
    <row r="317" spans="11:29" x14ac:dyDescent="0.3">
      <c r="Q317" s="42"/>
      <c r="R317" s="42"/>
      <c r="T317" s="78"/>
      <c r="Z317" s="42"/>
      <c r="AA317" s="6"/>
      <c r="AB317" s="42">
        <f t="shared" si="31"/>
        <v>0</v>
      </c>
      <c r="AC317" s="42">
        <f>U317*(Q319-c_CSG)</f>
        <v>0</v>
      </c>
    </row>
    <row r="318" spans="11:29" x14ac:dyDescent="0.3">
      <c r="Q318" s="19" t="s">
        <v>367</v>
      </c>
      <c r="R318" s="19"/>
      <c r="T318" s="78"/>
      <c r="U318" s="40">
        <f>$K$308*$I$297*$G$265*$E$302*$C$148*$A$103*$M$323*$O$321*Q319</f>
        <v>0</v>
      </c>
      <c r="W318" s="42">
        <f>$K$309+$I$298+$G$266+E$303+$C$149+$M$324+$O$322+Q320+$A$104</f>
        <v>314644.32940239995</v>
      </c>
      <c r="X318">
        <f>u_ChronicResp</f>
        <v>0.53465956747782661</v>
      </c>
      <c r="Z318" s="42">
        <f>U318*W318</f>
        <v>0</v>
      </c>
      <c r="AA318" s="6">
        <f>U318*X318</f>
        <v>0</v>
      </c>
      <c r="AB318" s="42">
        <f t="shared" si="31"/>
        <v>0</v>
      </c>
      <c r="AC318" s="42">
        <f>U318*(Q320-c_CSG)</f>
        <v>0</v>
      </c>
    </row>
    <row r="319" spans="11:29" x14ac:dyDescent="0.3">
      <c r="Q319" s="45">
        <f>noRDS2CLD_1-(Hypo2CI_1*noRDS2CLD_1)</f>
        <v>0</v>
      </c>
      <c r="R319" s="45"/>
      <c r="T319" s="78"/>
      <c r="V319" s="40">
        <v>0</v>
      </c>
      <c r="Z319" s="42"/>
      <c r="AA319" s="6"/>
      <c r="AB319" s="42">
        <f t="shared" si="31"/>
        <v>0</v>
      </c>
      <c r="AC319" s="42"/>
    </row>
    <row r="320" spans="11:29" x14ac:dyDescent="0.3">
      <c r="O320" s="19" t="s">
        <v>161</v>
      </c>
      <c r="Q320" s="46">
        <f>c_lung+c_hosp_fu+c_CSG</f>
        <v>54529.510902399998</v>
      </c>
      <c r="R320" s="46"/>
      <c r="T320" s="78"/>
      <c r="Z320" s="42"/>
      <c r="AA320" s="6"/>
      <c r="AB320" s="42">
        <f t="shared" si="31"/>
        <v>0</v>
      </c>
      <c r="AC320" s="42">
        <f>U320*(Q322-c_CSG)</f>
        <v>0</v>
      </c>
    </row>
    <row r="321" spans="13:29" x14ac:dyDescent="0.3">
      <c r="O321" s="45">
        <f>AGA_term_2hypoglycaemia_1</f>
        <v>0</v>
      </c>
      <c r="Q321" s="19" t="s">
        <v>226</v>
      </c>
      <c r="R321" s="19"/>
      <c r="T321" s="78"/>
      <c r="U321" s="40">
        <f>$K$308*$I$297*$G$265*$E$302*$C$148*$A$103*$M$323*$O$321*Q322</f>
        <v>0</v>
      </c>
      <c r="W321" s="42">
        <f>$K$309+$I$298+$G$266+E$303+$C$149+$M$324+$O$322+Q323+$A$104</f>
        <v>275880.81849999994</v>
      </c>
      <c r="X321">
        <f>u_CongnitiveImpairement</f>
        <v>17.270393127285455</v>
      </c>
      <c r="Z321" s="42">
        <f>U321*W321</f>
        <v>0</v>
      </c>
      <c r="AA321" s="6">
        <f>U321*X321</f>
        <v>0</v>
      </c>
      <c r="AB321" s="42">
        <f t="shared" ref="AB321:AB343" si="32">U321*c_CSG</f>
        <v>0</v>
      </c>
      <c r="AC321" s="42">
        <f>U321*(Q323-c_CSG)</f>
        <v>0</v>
      </c>
    </row>
    <row r="322" spans="13:29" x14ac:dyDescent="0.3">
      <c r="M322" s="19" t="s">
        <v>203</v>
      </c>
      <c r="O322" s="46">
        <f>c_hypo</f>
        <v>2936.2604000000001</v>
      </c>
      <c r="Q322" s="45">
        <f>Hypo2CI_1-(Hypo2CI_1*noRDS2CLD_1)</f>
        <v>5.1333333333333335E-2</v>
      </c>
      <c r="R322" s="45"/>
      <c r="T322" s="78"/>
      <c r="V322" s="40">
        <v>0</v>
      </c>
      <c r="Z322" s="42"/>
      <c r="AA322" s="6"/>
      <c r="AB322" s="42">
        <f t="shared" si="32"/>
        <v>0</v>
      </c>
      <c r="AC322" s="42"/>
    </row>
    <row r="323" spans="13:29" x14ac:dyDescent="0.3">
      <c r="M323" s="45">
        <f>S_term_2noRDS_1</f>
        <v>1</v>
      </c>
      <c r="Q323" s="46">
        <f>c_cog+c_hosp_fu+c_CSG</f>
        <v>15766</v>
      </c>
      <c r="R323" s="46"/>
      <c r="T323" s="78"/>
      <c r="Z323" s="42"/>
      <c r="AA323" s="6"/>
      <c r="AB323" s="42">
        <f t="shared" si="32"/>
        <v>0</v>
      </c>
      <c r="AC323" s="42">
        <f>U323*(Q325-c_CSG)</f>
        <v>0</v>
      </c>
    </row>
    <row r="324" spans="13:29" x14ac:dyDescent="0.3">
      <c r="M324" s="46"/>
      <c r="O324" s="42"/>
      <c r="Q324" s="19" t="s">
        <v>368</v>
      </c>
      <c r="R324" s="19"/>
      <c r="T324" s="78"/>
      <c r="U324" s="40">
        <f>$K$308*$I$297*$G$265*$E$302*$C$148*$A$103*$M$323*$O$321*Q325</f>
        <v>0</v>
      </c>
      <c r="W324" s="42">
        <f>$K$309+$I$298+$G$266+E$303+$C$149+$M$324+$O$322+Q326+$A$104</f>
        <v>318463.32940239995</v>
      </c>
      <c r="X324">
        <f>u_ChronicResp+u_CongnitiveImpairement</f>
        <v>17.805052694763283</v>
      </c>
      <c r="Z324" s="42">
        <f>U324*W324</f>
        <v>0</v>
      </c>
      <c r="AA324" s="6">
        <f>U324*X324</f>
        <v>0</v>
      </c>
      <c r="AB324" s="42">
        <f t="shared" si="32"/>
        <v>0</v>
      </c>
      <c r="AC324" s="42">
        <f>U324*(Q326-c_CSG)</f>
        <v>0</v>
      </c>
    </row>
    <row r="325" spans="13:29" x14ac:dyDescent="0.3">
      <c r="M325" s="42"/>
      <c r="Q325" s="45">
        <f>noRDS2CLD_1*Hypo2CI_1</f>
        <v>0</v>
      </c>
      <c r="R325" s="45"/>
      <c r="T325" s="78"/>
      <c r="V325" s="40">
        <v>0</v>
      </c>
      <c r="Z325" s="42"/>
      <c r="AA325" s="6"/>
      <c r="AB325" s="42">
        <f t="shared" si="32"/>
        <v>0</v>
      </c>
      <c r="AC325" s="42"/>
    </row>
    <row r="326" spans="13:29" x14ac:dyDescent="0.3">
      <c r="M326" s="42"/>
      <c r="Q326" s="46">
        <f>c_lung+c_cog+c_hosp_fu+c_CSG</f>
        <v>58348.510902399998</v>
      </c>
      <c r="R326" s="46"/>
      <c r="T326" s="78"/>
      <c r="Z326" s="42"/>
      <c r="AA326" s="6"/>
      <c r="AB326" s="42">
        <f t="shared" si="32"/>
        <v>0</v>
      </c>
      <c r="AC326" s="42">
        <f>U326*(Q328-c_CSG)</f>
        <v>0</v>
      </c>
    </row>
    <row r="327" spans="13:29" x14ac:dyDescent="0.3">
      <c r="M327" s="42"/>
      <c r="Q327" s="19" t="s">
        <v>369</v>
      </c>
      <c r="R327" s="19"/>
      <c r="T327" s="78"/>
      <c r="U327" s="40">
        <f>$K$308*$I$297*$G$265*$E$302*$C$148*$A$103*$M$323*$O$321*Q328</f>
        <v>0</v>
      </c>
      <c r="W327" s="42">
        <f>$K$309+$I$298+$G$266+E$303+$C$149+$M$324+$O$322+Q329+$A$104</f>
        <v>274517.81849999994</v>
      </c>
      <c r="X327">
        <f>u_Healthy</f>
        <v>0</v>
      </c>
      <c r="Z327" s="42">
        <f>U327*W327</f>
        <v>0</v>
      </c>
      <c r="AA327" s="6">
        <f>U327*X327</f>
        <v>0</v>
      </c>
      <c r="AB327" s="42">
        <f t="shared" si="32"/>
        <v>0</v>
      </c>
      <c r="AC327" s="42">
        <f>U327*(Q329-c_CSG)</f>
        <v>0</v>
      </c>
    </row>
    <row r="328" spans="13:29" x14ac:dyDescent="0.3">
      <c r="M328" s="42"/>
      <c r="O328" s="42"/>
      <c r="Q328" s="45">
        <f>1-Q325-Q322-Q319</f>
        <v>0.94866666666666666</v>
      </c>
      <c r="R328" s="45"/>
      <c r="T328" s="78"/>
      <c r="V328" s="40">
        <v>0</v>
      </c>
      <c r="Z328" s="42"/>
      <c r="AA328" s="6"/>
      <c r="AB328" s="42">
        <f t="shared" si="32"/>
        <v>0</v>
      </c>
      <c r="AC328" s="42">
        <f>U328*(Q330-c_CSG)</f>
        <v>0</v>
      </c>
    </row>
    <row r="329" spans="13:29" x14ac:dyDescent="0.3">
      <c r="M329" s="42"/>
      <c r="Q329" s="46">
        <f>c_clinic_fu+c_CSG</f>
        <v>14403</v>
      </c>
      <c r="R329" s="46"/>
      <c r="T329" s="78"/>
      <c r="Z329" s="42"/>
      <c r="AA329" s="6"/>
      <c r="AB329" s="42">
        <f t="shared" si="32"/>
        <v>0</v>
      </c>
      <c r="AC329" s="42"/>
    </row>
    <row r="330" spans="13:29" x14ac:dyDescent="0.3">
      <c r="M330" s="42"/>
      <c r="Q330" s="42"/>
      <c r="R330" s="42"/>
      <c r="S330" s="94"/>
      <c r="T330" s="78"/>
      <c r="Z330" s="42"/>
      <c r="AA330" s="6"/>
      <c r="AB330" s="42">
        <f t="shared" si="32"/>
        <v>0</v>
      </c>
      <c r="AC330" s="42">
        <f>U330*(Q332-c_CSG)</f>
        <v>0</v>
      </c>
    </row>
    <row r="331" spans="13:29" x14ac:dyDescent="0.3">
      <c r="M331" s="42"/>
      <c r="Q331" s="19" t="s">
        <v>367</v>
      </c>
      <c r="R331" s="19"/>
      <c r="T331" s="78"/>
      <c r="U331" s="40">
        <f>$K$308*$I$297*$G$265*$E$302*$C$148*$A$103*$M$323*$O$335*Q332</f>
        <v>0</v>
      </c>
      <c r="W331" s="42">
        <f>$K$309+$I$298+$G$266+E$303+$C$149+$M$324+$O$336+Q333+$A$104</f>
        <v>313737.32940239995</v>
      </c>
      <c r="X331">
        <f>u_ChronicResp</f>
        <v>0.53465956747782661</v>
      </c>
      <c r="Z331" s="42">
        <f>U331*W331</f>
        <v>0</v>
      </c>
      <c r="AA331" s="6">
        <f>U331*X331</f>
        <v>0</v>
      </c>
      <c r="AB331" s="42">
        <f t="shared" si="32"/>
        <v>0</v>
      </c>
      <c r="AC331" s="42">
        <f>U331*(Q333-c_CSG)</f>
        <v>0</v>
      </c>
    </row>
    <row r="332" spans="13:29" x14ac:dyDescent="0.3">
      <c r="M332" s="42"/>
      <c r="Q332" s="45">
        <f>noRDS2CLD_1-(noRDS2CLD_1*noHypo2CI_1)</f>
        <v>0</v>
      </c>
      <c r="R332" s="45"/>
      <c r="T332" s="78"/>
      <c r="V332" s="40">
        <v>0</v>
      </c>
      <c r="Z332" s="42"/>
      <c r="AA332" s="6"/>
      <c r="AB332" s="42">
        <f t="shared" si="32"/>
        <v>0</v>
      </c>
      <c r="AC332" s="42"/>
    </row>
    <row r="333" spans="13:29" x14ac:dyDescent="0.3">
      <c r="M333" s="42"/>
      <c r="Q333" s="46">
        <f>c_lung+c_hypo+c_CSG</f>
        <v>56558.771302399997</v>
      </c>
      <c r="R333" s="46"/>
      <c r="T333" s="78"/>
      <c r="Z333" s="42"/>
      <c r="AA333" s="6"/>
      <c r="AB333" s="42">
        <f t="shared" si="32"/>
        <v>0</v>
      </c>
      <c r="AC333" s="42">
        <f>U333*(Q335-c_CSG)</f>
        <v>0</v>
      </c>
    </row>
    <row r="334" spans="13:29" x14ac:dyDescent="0.3">
      <c r="M334" s="42"/>
      <c r="O334" s="19" t="s">
        <v>370</v>
      </c>
      <c r="Q334" s="19" t="s">
        <v>226</v>
      </c>
      <c r="R334" s="19"/>
      <c r="T334" s="78"/>
      <c r="U334" s="40">
        <f>$K$308*$I$297*$G$265*$E$302*$C$148*$A$103*$M$323*$O$335*Q335</f>
        <v>6.3374581148387522E-4</v>
      </c>
      <c r="W334" s="42">
        <f>$K$309+$I$298+$G$266+E$303+$C$149+$M$324+$O$336+Q336+$A$104</f>
        <v>272944.55809999997</v>
      </c>
      <c r="X334">
        <f>u_CongnitiveImpairement</f>
        <v>17.270393127285455</v>
      </c>
      <c r="Z334" s="42">
        <f>U334*W334</f>
        <v>172.97747046319222</v>
      </c>
      <c r="AA334" s="6">
        <f>U334*X334</f>
        <v>1.0945039307097063E-2</v>
      </c>
      <c r="AB334" s="42">
        <f t="shared" si="32"/>
        <v>6.9965537587819826</v>
      </c>
      <c r="AC334" s="42">
        <f>U334*(Q336-c_CSG)</f>
        <v>2.9950827050727944</v>
      </c>
    </row>
    <row r="335" spans="13:29" x14ac:dyDescent="0.3">
      <c r="M335" s="42"/>
      <c r="O335" s="45">
        <f>AGA_term_2normoglycaemia_1</f>
        <v>1</v>
      </c>
      <c r="Q335" s="45">
        <f>noHypo2CI_1</f>
        <v>3.3085576536761752E-2</v>
      </c>
      <c r="R335" s="45"/>
      <c r="T335" s="78"/>
      <c r="V335" s="40">
        <v>0</v>
      </c>
      <c r="Z335" s="42"/>
      <c r="AA335" s="6"/>
      <c r="AB335" s="42">
        <f t="shared" si="32"/>
        <v>0</v>
      </c>
      <c r="AC335" s="42"/>
    </row>
    <row r="336" spans="13:29" x14ac:dyDescent="0.3">
      <c r="M336" s="42"/>
      <c r="O336" s="46"/>
      <c r="Q336" s="46">
        <f>c_cog+c_hosp_fu+c_CSG</f>
        <v>15766</v>
      </c>
      <c r="R336" s="46"/>
      <c r="T336" s="78"/>
      <c r="Z336" s="42"/>
      <c r="AA336" s="6"/>
      <c r="AB336" s="42">
        <f t="shared" si="32"/>
        <v>0</v>
      </c>
      <c r="AC336" s="42">
        <f>U336*(Q338-c_CSG)</f>
        <v>0</v>
      </c>
    </row>
    <row r="337" spans="9:29" x14ac:dyDescent="0.3">
      <c r="M337" s="42"/>
      <c r="Q337" s="19" t="s">
        <v>368</v>
      </c>
      <c r="R337" s="19"/>
      <c r="T337" s="78"/>
      <c r="U337" s="40">
        <f>$K$308*$I$297*$G$265*$E$302*$C$148*$A$103*$M$323*$O$335*Q338</f>
        <v>0</v>
      </c>
      <c r="W337" s="42">
        <f>$K$309+$I$298+$G$266+E$303+$C$149+$M$324+$O$336+Q339+$A$104</f>
        <v>315527.06900239998</v>
      </c>
      <c r="X337">
        <f>u_ChronicResp+u_CongnitiveImpairement</f>
        <v>17.805052694763283</v>
      </c>
      <c r="Z337" s="42">
        <f>U337*W337</f>
        <v>0</v>
      </c>
      <c r="AA337" s="6">
        <f>U337*X337</f>
        <v>0</v>
      </c>
      <c r="AB337" s="42">
        <f t="shared" si="32"/>
        <v>0</v>
      </c>
      <c r="AC337" s="42">
        <f>U337*(Q339-c_CSG)</f>
        <v>0</v>
      </c>
    </row>
    <row r="338" spans="9:29" x14ac:dyDescent="0.3">
      <c r="Q338" s="45">
        <f>noRDS2CLD_1*noHypo2CI_1</f>
        <v>0</v>
      </c>
      <c r="R338" s="45"/>
      <c r="T338" s="78"/>
      <c r="V338" s="40">
        <v>0</v>
      </c>
      <c r="Z338" s="42"/>
      <c r="AA338" s="6"/>
      <c r="AB338" s="42">
        <f t="shared" si="32"/>
        <v>0</v>
      </c>
      <c r="AC338" s="42"/>
    </row>
    <row r="339" spans="9:29" x14ac:dyDescent="0.3">
      <c r="Q339" s="46">
        <f>c_cog+c_lung+c_hosp_fu+c_CSG</f>
        <v>58348.510902399998</v>
      </c>
      <c r="R339" s="46"/>
      <c r="T339" s="78"/>
      <c r="Z339" s="42"/>
      <c r="AA339" s="6"/>
      <c r="AB339" s="42">
        <f t="shared" si="32"/>
        <v>0</v>
      </c>
      <c r="AC339" s="42">
        <f>U339*(Q341-c_CSG)</f>
        <v>0</v>
      </c>
    </row>
    <row r="340" spans="9:29" x14ac:dyDescent="0.3">
      <c r="M340" s="42"/>
      <c r="Q340" s="19" t="s">
        <v>369</v>
      </c>
      <c r="R340" s="19"/>
      <c r="T340" s="78"/>
      <c r="U340" s="40">
        <f>$K$308*$I$297*$G$265*$E$302*$C$148*$A$103*$M$323*$O$335*Q341</f>
        <v>1.8521000087524813E-2</v>
      </c>
      <c r="W340" s="42">
        <f>$K$309+$I$298+$G$266+E$303+$C$149+$M$324+$O$336+Q342+$A$104</f>
        <v>271581.55809999997</v>
      </c>
      <c r="X340">
        <f>u_Healthy</f>
        <v>0</v>
      </c>
      <c r="Z340" s="42">
        <f>U340*W340</f>
        <v>5029.9620613402249</v>
      </c>
      <c r="AA340" s="6">
        <f>U340*X340</f>
        <v>0</v>
      </c>
      <c r="AB340" s="42">
        <f t="shared" si="32"/>
        <v>204.47184096627393</v>
      </c>
      <c r="AC340" s="42">
        <f>U340*(Q342-c_CSG)</f>
        <v>62.286123294345948</v>
      </c>
    </row>
    <row r="341" spans="9:29" x14ac:dyDescent="0.3">
      <c r="M341" s="42"/>
      <c r="Q341" s="45">
        <f>1-Q338-Q335-Q332</f>
        <v>0.9669144234632383</v>
      </c>
      <c r="R341" s="45"/>
      <c r="T341" s="78"/>
      <c r="V341" s="40">
        <v>0</v>
      </c>
      <c r="Z341" s="42"/>
      <c r="AA341" s="6"/>
      <c r="AB341" s="42">
        <f t="shared" si="32"/>
        <v>0</v>
      </c>
      <c r="AC341" s="42">
        <f>U341*(Q343-c_CSG)</f>
        <v>0</v>
      </c>
    </row>
    <row r="342" spans="9:29" x14ac:dyDescent="0.3">
      <c r="M342" s="42"/>
      <c r="Q342" s="46">
        <f>c_clinic_fu+c_CSG</f>
        <v>14403</v>
      </c>
      <c r="R342" s="46"/>
      <c r="T342" s="78"/>
      <c r="Z342" s="42"/>
      <c r="AA342" s="6"/>
      <c r="AB342" s="42">
        <f t="shared" si="32"/>
        <v>0</v>
      </c>
      <c r="AC342" s="42">
        <f>U342*(Q344-c_CSG)</f>
        <v>0</v>
      </c>
    </row>
    <row r="343" spans="9:29" x14ac:dyDescent="0.3">
      <c r="M343" s="42"/>
      <c r="Q343" s="42"/>
      <c r="R343" s="42"/>
      <c r="T343" s="78"/>
      <c r="Z343" s="42"/>
      <c r="AA343" s="6"/>
      <c r="AB343" s="42">
        <f t="shared" si="32"/>
        <v>0</v>
      </c>
      <c r="AC343" s="42">
        <f>U343*(Q345-c_CSG)</f>
        <v>0</v>
      </c>
    </row>
    <row r="344" spans="9:29" x14ac:dyDescent="0.3">
      <c r="K344" s="19" t="s">
        <v>165</v>
      </c>
      <c r="L344" s="19"/>
      <c r="M344" s="19"/>
      <c r="N344" s="19"/>
      <c r="O344" s="19"/>
      <c r="P344" s="19"/>
      <c r="Q344" s="19"/>
      <c r="R344" s="19"/>
      <c r="T344" s="78"/>
      <c r="U344">
        <f>$K$345*$I$353*$G$374*$E$302*$C$148*$A$103</f>
        <v>1.2029227934511073E-3</v>
      </c>
      <c r="V344">
        <v>1.1031630754367548E-3</v>
      </c>
      <c r="W344" s="42">
        <f>$K$346+$I$354+$G$375+$E$303+$C$149+$A$104</f>
        <v>5524.2</v>
      </c>
      <c r="X344">
        <f>u_Death</f>
        <v>19.181538114427529</v>
      </c>
      <c r="Z344" s="42">
        <f>U344*W344</f>
        <v>6.6451860955826065</v>
      </c>
      <c r="AA344" s="6">
        <f>U344*X344</f>
        <v>2.3073909411296046E-2</v>
      </c>
      <c r="AB344" s="42"/>
      <c r="AC344" s="42"/>
    </row>
    <row r="345" spans="9:29" x14ac:dyDescent="0.3">
      <c r="K345" s="45">
        <f>SGA_term_2d_1</f>
        <v>1.1972400000000001E-2</v>
      </c>
      <c r="T345" s="78"/>
      <c r="Z345" s="42"/>
      <c r="AA345" s="6"/>
      <c r="AB345" s="42">
        <f t="shared" ref="AB345:AB376" si="33">U345*c_CSG</f>
        <v>0</v>
      </c>
      <c r="AC345" s="42">
        <f>U345*(Q347-c_CSG)</f>
        <v>0</v>
      </c>
    </row>
    <row r="346" spans="9:29" x14ac:dyDescent="0.3">
      <c r="K346" s="46">
        <f>c_SB</f>
        <v>1792</v>
      </c>
      <c r="T346" s="78"/>
      <c r="Z346" s="42"/>
      <c r="AA346" s="6"/>
      <c r="AB346" s="42">
        <f t="shared" si="33"/>
        <v>0</v>
      </c>
      <c r="AC346" s="42"/>
    </row>
    <row r="347" spans="9:29" x14ac:dyDescent="0.3">
      <c r="T347" s="78"/>
      <c r="Z347" s="42"/>
      <c r="AA347" s="6"/>
      <c r="AB347" s="42">
        <f t="shared" si="33"/>
        <v>0</v>
      </c>
      <c r="AC347" s="42">
        <f>U347*(Q349-c_CSG)</f>
        <v>0</v>
      </c>
    </row>
    <row r="348" spans="9:29" x14ac:dyDescent="0.3">
      <c r="Q348" s="19" t="s">
        <v>367</v>
      </c>
      <c r="R348" s="19"/>
      <c r="T348" s="78"/>
      <c r="U348">
        <f>$K$364*$I$353*$G$374*$E$302*$C$148*$A$103*$M$359*$O$354*Q349</f>
        <v>0</v>
      </c>
      <c r="W348" s="42">
        <f>$K$365+$I$354+$G$375+$E$303+$C$149+$A$104+$M$360+$O$355+Q350</f>
        <v>91793.581450605634</v>
      </c>
      <c r="X348">
        <f>u_ChronicResp</f>
        <v>0.53465956747782661</v>
      </c>
      <c r="Z348" s="42">
        <f>U348*W348</f>
        <v>0</v>
      </c>
      <c r="AA348" s="6">
        <f>U348*X348</f>
        <v>0</v>
      </c>
      <c r="AB348" s="42">
        <f t="shared" si="33"/>
        <v>0</v>
      </c>
      <c r="AC348" s="42">
        <f>U348*(Q350-c_CSG)</f>
        <v>0</v>
      </c>
    </row>
    <row r="349" spans="9:29" x14ac:dyDescent="0.3">
      <c r="Q349" s="45">
        <f>RDS2CLD_1-(Hypo2CI_1*RDS2CLD_1)</f>
        <v>0.34246866666666664</v>
      </c>
      <c r="R349" s="45"/>
      <c r="T349" s="78"/>
      <c r="V349">
        <v>0</v>
      </c>
      <c r="Z349" s="42"/>
      <c r="AA349" s="6"/>
      <c r="AB349" s="42">
        <f t="shared" si="33"/>
        <v>0</v>
      </c>
      <c r="AC349" s="42"/>
    </row>
    <row r="350" spans="9:29" x14ac:dyDescent="0.3">
      <c r="Q350" s="46">
        <f>c_lung+c_hosp_fu+c_CSG</f>
        <v>54529.510902399998</v>
      </c>
      <c r="R350" s="46"/>
      <c r="T350" s="78"/>
      <c r="Z350" s="42"/>
      <c r="AA350" s="6"/>
      <c r="AB350" s="42">
        <f t="shared" si="33"/>
        <v>0</v>
      </c>
      <c r="AC350" s="42">
        <f>U350*(Q352-c_CSG)</f>
        <v>0</v>
      </c>
    </row>
    <row r="351" spans="9:29" x14ac:dyDescent="0.3">
      <c r="Q351" s="19" t="s">
        <v>226</v>
      </c>
      <c r="R351" s="19"/>
      <c r="T351" s="78"/>
      <c r="U351">
        <f>$K$364*$I$353*$G$374*$E$302*$C$148*$A$103*$M$359*$O$354*Q352</f>
        <v>0</v>
      </c>
      <c r="W351" s="42">
        <f>$K$365+$I$354+$G$375+$E$303+$C$149+$A$104+$M$360+$O$355+Q353</f>
        <v>53030.070548205636</v>
      </c>
      <c r="X351">
        <f>u_CongnitiveImpairement</f>
        <v>17.270393127285455</v>
      </c>
      <c r="Z351" s="42">
        <f>U351*W351</f>
        <v>0</v>
      </c>
      <c r="AA351" s="6">
        <f>U351*X351</f>
        <v>0</v>
      </c>
      <c r="AB351" s="42">
        <f t="shared" si="33"/>
        <v>0</v>
      </c>
      <c r="AC351" s="42">
        <f>U351*(Q353-c_CSG)</f>
        <v>0</v>
      </c>
    </row>
    <row r="352" spans="9:29" x14ac:dyDescent="0.3">
      <c r="I352" s="19" t="s">
        <v>164</v>
      </c>
      <c r="Q352" s="45">
        <f>Hypo2CI_1-(Hypo2CI_1*RDS2CLD_1)</f>
        <v>3.2801999999999998E-2</v>
      </c>
      <c r="R352" s="45"/>
      <c r="T352" s="78"/>
      <c r="V352">
        <v>0</v>
      </c>
      <c r="Z352" s="42"/>
      <c r="AA352" s="6"/>
      <c r="AB352" s="42">
        <f t="shared" si="33"/>
        <v>0</v>
      </c>
      <c r="AC352" s="42"/>
    </row>
    <row r="353" spans="5:29" x14ac:dyDescent="0.3">
      <c r="I353" s="45">
        <f>NBW_term_2SGA_1</f>
        <v>0.17096075860597004</v>
      </c>
      <c r="O353" s="19" t="s">
        <v>161</v>
      </c>
      <c r="Q353" s="46">
        <f>c_cog+c_hosp_fu+c_CSG</f>
        <v>15766</v>
      </c>
      <c r="R353" s="46"/>
      <c r="T353" s="78"/>
      <c r="Z353" s="42"/>
      <c r="AA353" s="6"/>
      <c r="AB353" s="42">
        <f t="shared" si="33"/>
        <v>0</v>
      </c>
      <c r="AC353" s="42">
        <f>U353*(Q355-c_CSG)</f>
        <v>0</v>
      </c>
    </row>
    <row r="354" spans="5:29" x14ac:dyDescent="0.3">
      <c r="I354" s="46"/>
      <c r="O354" s="45">
        <f>SGA_term_2hypoglycaemia_1</f>
        <v>0.26</v>
      </c>
      <c r="Q354" s="19" t="s">
        <v>368</v>
      </c>
      <c r="R354" s="19"/>
      <c r="T354" s="78"/>
      <c r="U354">
        <f>$K$364*$I$353*$G$374*$E$302*$C$148*$A$103*$M$359*$O$354*Q355</f>
        <v>0</v>
      </c>
      <c r="W354" s="42">
        <f>$K$365+$I$354+$G$375+$E$303+$C$149+$A$104+$M$360+$O$355+Q356</f>
        <v>95612.581450605634</v>
      </c>
      <c r="X354">
        <f>u_ChronicResp+u_CongnitiveImpairement</f>
        <v>17.805052694763283</v>
      </c>
      <c r="Z354" s="42">
        <f>U354*W354</f>
        <v>0</v>
      </c>
      <c r="AA354" s="6">
        <f>U354*X354</f>
        <v>0</v>
      </c>
      <c r="AB354" s="42">
        <f t="shared" si="33"/>
        <v>0</v>
      </c>
      <c r="AC354" s="42">
        <f>U354*(Q356-c_CSG)</f>
        <v>0</v>
      </c>
    </row>
    <row r="355" spans="5:29" x14ac:dyDescent="0.3">
      <c r="O355" s="46">
        <f>c_hypo</f>
        <v>2936.2604000000001</v>
      </c>
      <c r="Q355" s="45">
        <f>Hypo2CI_1*RDS2CLD_1</f>
        <v>1.8531333333333334E-2</v>
      </c>
      <c r="R355" s="45"/>
      <c r="T355" s="78"/>
      <c r="V355">
        <v>0</v>
      </c>
      <c r="Z355" s="42"/>
      <c r="AA355" s="6"/>
      <c r="AB355" s="42">
        <f t="shared" si="33"/>
        <v>0</v>
      </c>
      <c r="AC355" s="42"/>
    </row>
    <row r="356" spans="5:29" x14ac:dyDescent="0.3">
      <c r="M356" s="42"/>
      <c r="Q356" s="46">
        <f>c_lung+c_cog+c_hosp_fu+c_CSG</f>
        <v>58348.510902399998</v>
      </c>
      <c r="R356" s="46"/>
      <c r="T356" s="78"/>
      <c r="Z356" s="42"/>
      <c r="AA356" s="6"/>
      <c r="AB356" s="42">
        <f t="shared" si="33"/>
        <v>0</v>
      </c>
      <c r="AC356" s="42">
        <f>U356*(Q358-c_CSG)</f>
        <v>0</v>
      </c>
    </row>
    <row r="357" spans="5:29" x14ac:dyDescent="0.3">
      <c r="Q357" s="19" t="s">
        <v>369</v>
      </c>
      <c r="R357" s="19"/>
      <c r="T357" s="78"/>
      <c r="U357">
        <f>$K$364*$I$353*$G$374*$E$302*$C$148*$A$103*$M$359*$O$354*Q358</f>
        <v>0</v>
      </c>
      <c r="W357" s="42">
        <f>$K$365+$I$354+$G$375+$E$303+$C$149+$A$104+$M$360+$O$355+Q359</f>
        <v>51667.070548205636</v>
      </c>
      <c r="X357">
        <f>u_Healthy</f>
        <v>0</v>
      </c>
      <c r="Z357" s="42">
        <f>U357*W357</f>
        <v>0</v>
      </c>
      <c r="AA357" s="6">
        <f>U357*X357</f>
        <v>0</v>
      </c>
      <c r="AB357" s="42">
        <f t="shared" si="33"/>
        <v>0</v>
      </c>
      <c r="AC357" s="42">
        <f>U357*(Q359-c_CSG)</f>
        <v>0</v>
      </c>
    </row>
    <row r="358" spans="5:29" x14ac:dyDescent="0.3">
      <c r="E358" s="42"/>
      <c r="M358" s="19" t="s">
        <v>9</v>
      </c>
      <c r="Q358" s="45">
        <f>1-Q349-Q352-Q355</f>
        <v>0.60619800000000001</v>
      </c>
      <c r="R358" s="45"/>
      <c r="T358" s="78"/>
      <c r="V358">
        <v>0</v>
      </c>
      <c r="Z358" s="42"/>
      <c r="AA358" s="6"/>
      <c r="AB358" s="42">
        <f t="shared" si="33"/>
        <v>0</v>
      </c>
      <c r="AC358" s="42">
        <f>U358*(Q360-c_CSG)</f>
        <v>0</v>
      </c>
    </row>
    <row r="359" spans="5:29" x14ac:dyDescent="0.3">
      <c r="K359" s="42"/>
      <c r="M359" s="45">
        <f>S_term_2RDS_1</f>
        <v>0</v>
      </c>
      <c r="Q359" s="46">
        <f>c_clinic_fu+c_CSG</f>
        <v>14403</v>
      </c>
      <c r="R359" s="46"/>
      <c r="T359" s="78"/>
      <c r="Z359" s="42"/>
      <c r="AA359" s="6"/>
      <c r="AB359" s="42">
        <f t="shared" si="33"/>
        <v>0</v>
      </c>
      <c r="AC359" s="42"/>
    </row>
    <row r="360" spans="5:29" x14ac:dyDescent="0.3">
      <c r="K360" s="42"/>
      <c r="M360" s="46">
        <f>c_RDS</f>
        <v>30595.610148205637</v>
      </c>
      <c r="Q360" s="42"/>
      <c r="R360" s="42"/>
      <c r="T360" s="78"/>
      <c r="Z360" s="42"/>
      <c r="AA360" s="6"/>
      <c r="AB360" s="42">
        <f t="shared" si="33"/>
        <v>0</v>
      </c>
      <c r="AC360" s="42">
        <f>U360*(Q362-c_CSG)</f>
        <v>0</v>
      </c>
    </row>
    <row r="361" spans="5:29" x14ac:dyDescent="0.3">
      <c r="Q361" s="19" t="s">
        <v>367</v>
      </c>
      <c r="R361" s="19"/>
      <c r="T361" s="78"/>
      <c r="U361">
        <f>$K$364*$I$353*$G$374*$E$302*$C$148*$A$103*$M$359*$O$364*Q362</f>
        <v>0</v>
      </c>
      <c r="W361" s="42">
        <f>$K$365+$I$354+$G$375+$E$303+$C$149+$A$104+$M$360+$O$365+Q363</f>
        <v>88857.321050605635</v>
      </c>
      <c r="X361">
        <f>u_ChronicResp</f>
        <v>0.53465956747782661</v>
      </c>
      <c r="Z361" s="42">
        <f>U361*W361</f>
        <v>0</v>
      </c>
      <c r="AA361" s="6">
        <f>U361*X361</f>
        <v>0</v>
      </c>
      <c r="AB361" s="42">
        <f t="shared" si="33"/>
        <v>0</v>
      </c>
      <c r="AC361" s="42">
        <f>U361*(Q363-c_CSG)</f>
        <v>0</v>
      </c>
    </row>
    <row r="362" spans="5:29" x14ac:dyDescent="0.3">
      <c r="Q362" s="45">
        <f>RDS2CLD_1-(RDS2CLD_1*noHypo2CI_1)</f>
        <v>0.34905610687022898</v>
      </c>
      <c r="R362" s="45"/>
      <c r="T362" s="78"/>
      <c r="V362">
        <v>0</v>
      </c>
      <c r="Z362" s="42"/>
      <c r="AA362" s="6"/>
      <c r="AB362" s="42">
        <f t="shared" si="33"/>
        <v>0</v>
      </c>
      <c r="AC362" s="42"/>
    </row>
    <row r="363" spans="5:29" x14ac:dyDescent="0.3">
      <c r="K363" s="19" t="s">
        <v>37</v>
      </c>
      <c r="M363" s="42"/>
      <c r="O363" s="19" t="s">
        <v>370</v>
      </c>
      <c r="Q363" s="46">
        <f>c_lung+c_hosp_fu+c_CSG</f>
        <v>54529.510902399998</v>
      </c>
      <c r="R363" s="46"/>
      <c r="T363" s="78"/>
      <c r="Z363" s="42"/>
      <c r="AA363" s="6"/>
      <c r="AB363" s="42">
        <f t="shared" si="33"/>
        <v>0</v>
      </c>
      <c r="AC363" s="42">
        <f>U363*(Q365-c_CSG)</f>
        <v>0</v>
      </c>
    </row>
    <row r="364" spans="5:29" x14ac:dyDescent="0.3">
      <c r="K364" s="45">
        <f>SGA_term_2s_1</f>
        <v>0.98802760000000001</v>
      </c>
      <c r="O364" s="45">
        <f>SGA_term_2normoglycaemia_1</f>
        <v>0.74</v>
      </c>
      <c r="Q364" s="19" t="s">
        <v>226</v>
      </c>
      <c r="R364" s="19"/>
      <c r="T364" s="78"/>
      <c r="U364">
        <f>$K$364*$I$353*$G$374*$E$302*$C$148*$A$103*$M$359*$O$364*Q365</f>
        <v>0</v>
      </c>
      <c r="W364" s="42">
        <f>$K$365+$I$354+$G$375+$E$303+$C$149+$A$104+$M$360+$O$365+Q366</f>
        <v>50093.810148205637</v>
      </c>
      <c r="X364">
        <f>u_CongnitiveImpairement</f>
        <v>17.270393127285455</v>
      </c>
      <c r="Z364" s="42">
        <f>U364*W364</f>
        <v>0</v>
      </c>
      <c r="AA364" s="6">
        <f>U364*X364</f>
        <v>0</v>
      </c>
      <c r="AB364" s="42">
        <f t="shared" si="33"/>
        <v>0</v>
      </c>
      <c r="AC364" s="42">
        <f>U364*(Q366-c_CSG)</f>
        <v>0</v>
      </c>
    </row>
    <row r="365" spans="5:29" x14ac:dyDescent="0.3">
      <c r="K365" s="46"/>
      <c r="O365" s="46"/>
      <c r="Q365" s="45">
        <f>noHypo2CI_1-(RDS2CLD_1*noHypo2CI_1)</f>
        <v>2.1141683406990762E-2</v>
      </c>
      <c r="R365" s="45"/>
      <c r="T365" s="78"/>
      <c r="V365">
        <v>0</v>
      </c>
      <c r="Z365" s="42"/>
      <c r="AA365" s="6"/>
      <c r="AB365" s="42">
        <f t="shared" si="33"/>
        <v>0</v>
      </c>
      <c r="AC365" s="42"/>
    </row>
    <row r="366" spans="5:29" x14ac:dyDescent="0.3">
      <c r="Q366" s="46">
        <f>c_cog+c_hosp_fu+c_CSG</f>
        <v>15766</v>
      </c>
      <c r="R366" s="46"/>
      <c r="T366" s="78"/>
      <c r="Z366" s="42"/>
      <c r="AA366" s="6"/>
      <c r="AB366" s="42">
        <f t="shared" si="33"/>
        <v>0</v>
      </c>
      <c r="AC366" s="42">
        <f>U366*(Q368-c_CSG)</f>
        <v>0</v>
      </c>
    </row>
    <row r="367" spans="5:29" x14ac:dyDescent="0.3">
      <c r="Q367" s="19" t="s">
        <v>368</v>
      </c>
      <c r="R367" s="19"/>
      <c r="T367" s="78"/>
      <c r="U367">
        <f>$K$364*$I$353*$G$374*$E$302*$C$148*$A$103*$M$359*$O$364*Q368</f>
        <v>0</v>
      </c>
      <c r="W367" s="42">
        <f>$K$365+$I$354+$G$375+$E$303+$C$149+$A$104+$M$360+$O$365+Q369</f>
        <v>92676.321050605635</v>
      </c>
      <c r="X367">
        <f>u_ChronicResp+u_CongnitiveImpairement</f>
        <v>17.805052694763283</v>
      </c>
      <c r="Z367" s="42">
        <f>U367*W367</f>
        <v>0</v>
      </c>
      <c r="AA367" s="6">
        <f>U367*X367</f>
        <v>0</v>
      </c>
      <c r="AB367" s="42">
        <f t="shared" si="33"/>
        <v>0</v>
      </c>
      <c r="AC367" s="42">
        <f>U367*(Q369-c_CSG)</f>
        <v>0</v>
      </c>
    </row>
    <row r="368" spans="5:29" x14ac:dyDescent="0.3">
      <c r="Q368" s="45">
        <f>RDS2CLD_1*noHypo2CI_1</f>
        <v>1.1943893129770991E-2</v>
      </c>
      <c r="R368" s="45"/>
      <c r="T368" s="78"/>
      <c r="V368">
        <v>0</v>
      </c>
      <c r="Z368" s="42"/>
      <c r="AA368" s="6"/>
      <c r="AB368" s="42">
        <f t="shared" si="33"/>
        <v>0</v>
      </c>
      <c r="AC368" s="42"/>
    </row>
    <row r="369" spans="1:29" x14ac:dyDescent="0.3">
      <c r="Q369" s="46">
        <f>c_cog+c_lung+c_hosp_fu+c_CSG</f>
        <v>58348.510902399998</v>
      </c>
      <c r="R369" s="46"/>
      <c r="T369" s="78"/>
      <c r="Z369" s="42"/>
      <c r="AA369" s="6"/>
      <c r="AB369" s="42">
        <f t="shared" si="33"/>
        <v>0</v>
      </c>
      <c r="AC369" s="42">
        <f>U369*(Q371-c_CSG)</f>
        <v>0</v>
      </c>
    </row>
    <row r="370" spans="1:29" x14ac:dyDescent="0.3">
      <c r="Q370" s="19" t="s">
        <v>369</v>
      </c>
      <c r="R370" s="19"/>
      <c r="T370" s="78"/>
      <c r="U370">
        <f>$K$364*$I$353*$G$374*$E$302*$C$148*$A$103*$M$359*$O$364*Q371</f>
        <v>0</v>
      </c>
      <c r="W370" s="42">
        <f>$K$365+$I$354+$G$375+$E$303+$C$149+$A$104+$M$360+$O$365+Q372</f>
        <v>48730.810148205637</v>
      </c>
      <c r="X370">
        <f>u_Healthy</f>
        <v>0</v>
      </c>
      <c r="Z370" s="42">
        <f>U370*W370</f>
        <v>0</v>
      </c>
      <c r="AA370" s="6">
        <f>U370*X370</f>
        <v>0</v>
      </c>
      <c r="AB370" s="42">
        <f t="shared" si="33"/>
        <v>0</v>
      </c>
      <c r="AC370" s="42">
        <f>U370*(Q372-c_CSG)</f>
        <v>0</v>
      </c>
    </row>
    <row r="371" spans="1:29" x14ac:dyDescent="0.3">
      <c r="Q371" s="45">
        <f>1-Q368-Q365-Q362</f>
        <v>0.61785831659300938</v>
      </c>
      <c r="R371" s="45"/>
      <c r="T371" s="78"/>
      <c r="V371">
        <v>0</v>
      </c>
      <c r="Z371" s="42"/>
      <c r="AA371" s="6"/>
      <c r="AB371" s="42">
        <f t="shared" si="33"/>
        <v>0</v>
      </c>
      <c r="AC371" s="42">
        <f>U371*(Q373-c_CSG)</f>
        <v>0</v>
      </c>
    </row>
    <row r="372" spans="1:29" x14ac:dyDescent="0.3">
      <c r="Q372" s="46">
        <f>c_clinic_fu+c_CSG</f>
        <v>14403</v>
      </c>
      <c r="R372" s="46"/>
      <c r="T372" s="78"/>
      <c r="Z372" s="42"/>
      <c r="AA372" s="6"/>
      <c r="AB372" s="42">
        <f t="shared" si="33"/>
        <v>0</v>
      </c>
      <c r="AC372" s="42"/>
    </row>
    <row r="373" spans="1:29" x14ac:dyDescent="0.3">
      <c r="G373" s="19" t="s">
        <v>371</v>
      </c>
      <c r="Q373" s="42"/>
      <c r="R373" s="42"/>
      <c r="T373" s="78"/>
      <c r="Z373" s="42"/>
      <c r="AA373" s="6"/>
      <c r="AB373" s="42">
        <f t="shared" si="33"/>
        <v>0</v>
      </c>
      <c r="AC373" s="42">
        <f>U373*(Q375-c_CSG)</f>
        <v>0</v>
      </c>
    </row>
    <row r="374" spans="1:29" x14ac:dyDescent="0.3">
      <c r="G374" s="45">
        <f>Term2NBW_1</f>
        <v>0.75313846153846153</v>
      </c>
      <c r="H374">
        <f>Term2NBW_3</f>
        <v>0.65230769230769226</v>
      </c>
      <c r="I374" t="b">
        <f>H374=G374</f>
        <v>0</v>
      </c>
      <c r="Q374" s="19" t="s">
        <v>367</v>
      </c>
      <c r="R374" s="19"/>
      <c r="T374" s="78"/>
      <c r="U374">
        <f>$K$364*$I$353*$G$374*$E$302*$C$148*$A$103*$M$379*$O$377*Q375</f>
        <v>0</v>
      </c>
      <c r="W374" s="42">
        <f>$K$365+$I$354+$G$375+$E$303+$C$149+$A$104+$M$380+$O$378+Q376</f>
        <v>61197.971302399994</v>
      </c>
      <c r="X374">
        <f>u_ChronicResp</f>
        <v>0.53465956747782661</v>
      </c>
      <c r="Z374" s="42">
        <f>U374*W374</f>
        <v>0</v>
      </c>
      <c r="AA374" s="6">
        <f>U374*X374</f>
        <v>0</v>
      </c>
      <c r="AB374" s="42">
        <f t="shared" si="33"/>
        <v>0</v>
      </c>
      <c r="AC374" s="42">
        <f>U374*(Q376-c_CSG)</f>
        <v>0</v>
      </c>
    </row>
    <row r="375" spans="1:29" x14ac:dyDescent="0.3">
      <c r="G375" s="46">
        <f>c_NICU_NBW</f>
        <v>1255.2</v>
      </c>
      <c r="Q375" s="45">
        <f>noRDS2CLD_1-(Hypo2CI_1*noRDS2CLD_1)</f>
        <v>0</v>
      </c>
      <c r="R375" s="45"/>
      <c r="T375" s="78"/>
      <c r="V375">
        <v>0</v>
      </c>
      <c r="Z375" s="42"/>
      <c r="AA375" s="6"/>
      <c r="AB375" s="42">
        <f t="shared" si="33"/>
        <v>0</v>
      </c>
      <c r="AC375" s="42"/>
    </row>
    <row r="376" spans="1:29" x14ac:dyDescent="0.3">
      <c r="O376" s="19" t="s">
        <v>161</v>
      </c>
      <c r="Q376" s="46">
        <f>c_lung+c_hosp_fu+c_CSG</f>
        <v>54529.510902399998</v>
      </c>
      <c r="R376" s="46"/>
      <c r="T376" s="78"/>
      <c r="Z376" s="42"/>
      <c r="AA376" s="6"/>
      <c r="AB376" s="42">
        <f t="shared" si="33"/>
        <v>0</v>
      </c>
      <c r="AC376" s="42">
        <f>U376*(Q378-c_CSG)</f>
        <v>0</v>
      </c>
    </row>
    <row r="377" spans="1:29" x14ac:dyDescent="0.3">
      <c r="O377" s="45">
        <f>SGA_term_2hypoglycaemia_1</f>
        <v>0.26</v>
      </c>
      <c r="Q377" s="19" t="s">
        <v>226</v>
      </c>
      <c r="R377" s="19"/>
      <c r="T377" s="78"/>
      <c r="U377">
        <f>$K$364*$I$353*$G$374*$E$302*$C$148*$A$103*$M$379*$O$377*Q378</f>
        <v>1.3249467570071081E-3</v>
      </c>
      <c r="V377">
        <v>1.1006968930947784E-3</v>
      </c>
      <c r="W377" s="42">
        <f>$K$365+$I$354+$G$375+$E$303+$C$149+$A$104+$M$380+$O$378+Q379</f>
        <v>22434.4604</v>
      </c>
      <c r="X377">
        <f>u_CongnitiveImpairement</f>
        <v>17.270393127285455</v>
      </c>
      <c r="Z377" s="42">
        <f>U377*W377</f>
        <v>29.724465552184387</v>
      </c>
      <c r="AA377" s="6">
        <f>U377*X377</f>
        <v>2.2882351366234711E-2</v>
      </c>
      <c r="AB377" s="42">
        <f t="shared" ref="AB377:AB399" si="34">U377*c_CSG</f>
        <v>14.627412197358472</v>
      </c>
      <c r="AC377" s="42">
        <f>U377*(Q379-c_CSG)</f>
        <v>6.2616983736155927</v>
      </c>
    </row>
    <row r="378" spans="1:29" x14ac:dyDescent="0.3">
      <c r="M378" s="19" t="s">
        <v>203</v>
      </c>
      <c r="O378" s="46">
        <f>c_hypo</f>
        <v>2936.2604000000001</v>
      </c>
      <c r="Q378" s="45">
        <f>Hypo2CI_1-(Hypo2CI_1*noRDS2CLD_1)</f>
        <v>5.1333333333333335E-2</v>
      </c>
      <c r="R378" s="45"/>
      <c r="T378" s="78"/>
      <c r="Z378" s="42"/>
      <c r="AA378" s="6"/>
      <c r="AB378" s="42">
        <f t="shared" si="34"/>
        <v>0</v>
      </c>
      <c r="AC378" s="42"/>
    </row>
    <row r="379" spans="1:29" x14ac:dyDescent="0.3">
      <c r="M379" s="45">
        <f>S_term_2noRDS_1</f>
        <v>1</v>
      </c>
      <c r="Q379" s="46">
        <f>c_cog+c_hosp_fu+c_CSG</f>
        <v>15766</v>
      </c>
      <c r="R379" s="46"/>
      <c r="T379" s="78"/>
      <c r="Z379" s="42"/>
      <c r="AA379" s="6"/>
      <c r="AB379" s="42">
        <f t="shared" si="34"/>
        <v>0</v>
      </c>
      <c r="AC379" s="42">
        <f>U379*(Q381-c_CSG)</f>
        <v>0</v>
      </c>
    </row>
    <row r="380" spans="1:29" x14ac:dyDescent="0.3">
      <c r="G380" s="42"/>
      <c r="M380" s="46"/>
      <c r="O380" s="42"/>
      <c r="Q380" s="19" t="s">
        <v>368</v>
      </c>
      <c r="R380" s="19"/>
      <c r="T380" s="78"/>
      <c r="U380">
        <f>$K$364*$I$353*$G$374*$E$302*$C$148*$A$103*$M$379*$O$377*Q381</f>
        <v>0</v>
      </c>
      <c r="V380">
        <v>0</v>
      </c>
      <c r="W380" s="42">
        <f>$K$365+$I$354+$G$375+$E$303+$C$149+$A$104+$M$380+$O$378+Q382</f>
        <v>65016.971302399994</v>
      </c>
      <c r="X380">
        <f>u_ChronicResp+u_CongnitiveImpairement</f>
        <v>17.805052694763283</v>
      </c>
      <c r="Z380" s="42">
        <f>U380*W380</f>
        <v>0</v>
      </c>
      <c r="AA380" s="6">
        <f>U380*X380</f>
        <v>0</v>
      </c>
      <c r="AB380" s="42">
        <f t="shared" si="34"/>
        <v>0</v>
      </c>
      <c r="AC380" s="42">
        <f>U380*(Q382-c_CSG)</f>
        <v>0</v>
      </c>
    </row>
    <row r="381" spans="1:29" x14ac:dyDescent="0.3">
      <c r="M381" s="42"/>
      <c r="Q381" s="45">
        <f>noRDS2CLD_1*Hypo2CI_1</f>
        <v>0</v>
      </c>
      <c r="R381" s="45"/>
      <c r="T381" s="78"/>
      <c r="Z381" s="42"/>
      <c r="AA381" s="6"/>
      <c r="AB381" s="42">
        <f t="shared" si="34"/>
        <v>0</v>
      </c>
      <c r="AC381" s="42"/>
    </row>
    <row r="382" spans="1:29" x14ac:dyDescent="0.3">
      <c r="A382" s="42"/>
      <c r="M382" s="42"/>
      <c r="Q382" s="46">
        <f>c_lung+c_cog+c_hosp_fu+c_CSG</f>
        <v>58348.510902399998</v>
      </c>
      <c r="R382" s="46"/>
      <c r="T382" s="78"/>
      <c r="Z382" s="42"/>
      <c r="AA382" s="6"/>
      <c r="AB382" s="42">
        <f t="shared" si="34"/>
        <v>0</v>
      </c>
      <c r="AC382" s="42">
        <f>U382*(Q384-c_CSG)</f>
        <v>0</v>
      </c>
    </row>
    <row r="383" spans="1:29" x14ac:dyDescent="0.3">
      <c r="M383" s="42"/>
      <c r="Q383" s="19" t="s">
        <v>369</v>
      </c>
      <c r="R383" s="19"/>
      <c r="T383" s="78"/>
      <c r="U383">
        <f>$K$364*$I$353*$G$374*$E$302*$C$148*$A$103*$M$379*$O$377*Q384</f>
        <v>2.448570435352097E-2</v>
      </c>
      <c r="V383">
        <v>2.0341450374985321E-2</v>
      </c>
      <c r="W383" s="42">
        <f>$K$365+$I$354+$G$375+$E$303+$C$149+$A$104+$M$380+$O$378+Q385</f>
        <v>21071.4604</v>
      </c>
      <c r="X383">
        <f>u_Healthy</f>
        <v>0</v>
      </c>
      <c r="Z383" s="42">
        <f>U383*W383</f>
        <v>515.94954965132467</v>
      </c>
      <c r="AA383" s="6">
        <f>U383*X383</f>
        <v>0</v>
      </c>
      <c r="AB383" s="42">
        <f t="shared" si="34"/>
        <v>270.32217606287151</v>
      </c>
      <c r="AC383" s="42">
        <f>U383*(Q385-c_CSG)</f>
        <v>82.345423740891022</v>
      </c>
    </row>
    <row r="384" spans="1:29" x14ac:dyDescent="0.3">
      <c r="M384" s="42"/>
      <c r="O384" s="42"/>
      <c r="Q384" s="45">
        <f>1-Q381-Q378-Q375</f>
        <v>0.94866666666666666</v>
      </c>
      <c r="R384" s="45"/>
      <c r="T384" s="78"/>
      <c r="Z384" s="42"/>
      <c r="AA384" s="6"/>
      <c r="AB384" s="42">
        <f t="shared" si="34"/>
        <v>0</v>
      </c>
      <c r="AC384" s="42">
        <f>U384*(Q386-c_CSG)</f>
        <v>0</v>
      </c>
    </row>
    <row r="385" spans="11:29" x14ac:dyDescent="0.3">
      <c r="M385" s="42"/>
      <c r="Q385" s="46">
        <f>c_clinic_fu+c_CSG</f>
        <v>14403</v>
      </c>
      <c r="R385" s="46"/>
      <c r="T385" s="78"/>
      <c r="Z385" s="42"/>
      <c r="AA385" s="6"/>
      <c r="AB385" s="42">
        <f t="shared" si="34"/>
        <v>0</v>
      </c>
      <c r="AC385" s="42"/>
    </row>
    <row r="386" spans="11:29" x14ac:dyDescent="0.3">
      <c r="M386" s="42"/>
      <c r="Q386" s="42"/>
      <c r="R386" s="42"/>
      <c r="S386" s="94"/>
      <c r="T386" s="78"/>
      <c r="Z386" s="42"/>
      <c r="AA386" s="6"/>
      <c r="AB386" s="42">
        <f t="shared" si="34"/>
        <v>0</v>
      </c>
      <c r="AC386" s="42">
        <f>U386*(Q388-c_CSG)</f>
        <v>0</v>
      </c>
    </row>
    <row r="387" spans="11:29" x14ac:dyDescent="0.3">
      <c r="M387" s="42"/>
      <c r="Q387" s="19" t="s">
        <v>367</v>
      </c>
      <c r="R387" s="19"/>
      <c r="T387" s="78"/>
      <c r="U387">
        <f>$K$364*$I$353*$G$374*$E$302*$C$148*$A$103*$M$379*$O$391*Q388</f>
        <v>0</v>
      </c>
      <c r="V387">
        <v>0</v>
      </c>
      <c r="W387" s="42">
        <f>$K$365+$I$354+$G$375+$E$303+$C$149+$A$104+$M$380+$O$392+Q389</f>
        <v>60290.971302399994</v>
      </c>
      <c r="X387">
        <f>u_ChronicResp</f>
        <v>0.53465956747782661</v>
      </c>
      <c r="Z387" s="42">
        <f>U387*W387</f>
        <v>0</v>
      </c>
      <c r="AA387" s="6">
        <f>U387*X387</f>
        <v>0</v>
      </c>
      <c r="AB387" s="42">
        <f t="shared" si="34"/>
        <v>0</v>
      </c>
      <c r="AC387" s="42">
        <f>U387*(Q389-c_CSG)</f>
        <v>0</v>
      </c>
    </row>
    <row r="388" spans="11:29" x14ac:dyDescent="0.3">
      <c r="M388" s="42"/>
      <c r="Q388" s="45">
        <f>noRDS2CLD_1-(noRDS2CLD_1*noHypo2CI_1)</f>
        <v>0</v>
      </c>
      <c r="R388" s="45"/>
      <c r="T388" s="78"/>
      <c r="Z388" s="42"/>
      <c r="AA388" s="6"/>
      <c r="AB388" s="42">
        <f t="shared" si="34"/>
        <v>0</v>
      </c>
      <c r="AC388" s="42"/>
    </row>
    <row r="389" spans="11:29" x14ac:dyDescent="0.3">
      <c r="M389" s="42"/>
      <c r="Q389" s="46">
        <f>c_lung+c_hypo+c_CSG</f>
        <v>56558.771302399997</v>
      </c>
      <c r="R389" s="46"/>
      <c r="T389" s="78"/>
      <c r="Z389" s="42"/>
      <c r="AA389" s="6"/>
      <c r="AB389" s="42">
        <f t="shared" si="34"/>
        <v>0</v>
      </c>
      <c r="AC389" s="42">
        <f>U389*(Q391-c_CSG)</f>
        <v>0</v>
      </c>
    </row>
    <row r="390" spans="11:29" x14ac:dyDescent="0.3">
      <c r="M390" s="42"/>
      <c r="O390" s="19" t="s">
        <v>370</v>
      </c>
      <c r="Q390" s="19" t="s">
        <v>226</v>
      </c>
      <c r="R390" s="19"/>
      <c r="T390" s="78"/>
      <c r="U390">
        <f>$K$364*$I$353*$G$374*$E$302*$C$148*$A$103*$M$379*$O$391*Q391</f>
        <v>2.4305023148383197E-3</v>
      </c>
      <c r="V390">
        <v>2.0191349821824228E-3</v>
      </c>
      <c r="W390" s="42">
        <f>$K$365+$I$354+$G$375+$E$303+$C$149+$A$104+$M$380+$O$392+Q392</f>
        <v>19498.2</v>
      </c>
      <c r="X390">
        <f>u_CongnitiveImpairement</f>
        <v>17.270393127285455</v>
      </c>
      <c r="Z390" s="42">
        <f>U390*W390</f>
        <v>47.390420235180528</v>
      </c>
      <c r="AA390" s="6">
        <f>U390*X390</f>
        <v>4.1975730474035106E-2</v>
      </c>
      <c r="AB390" s="42">
        <f t="shared" si="34"/>
        <v>26.832745555815048</v>
      </c>
      <c r="AC390" s="42">
        <f>U390*(Q392-c_CSG)</f>
        <v>11.4865539399259</v>
      </c>
    </row>
    <row r="391" spans="11:29" x14ac:dyDescent="0.3">
      <c r="M391" s="42"/>
      <c r="O391" s="45">
        <f>SGA_term_2normoglycaemia_1</f>
        <v>0.74</v>
      </c>
      <c r="Q391" s="45">
        <f>noHypo2CI_1</f>
        <v>3.3085576536761752E-2</v>
      </c>
      <c r="R391" s="45"/>
      <c r="T391" s="78"/>
      <c r="Z391" s="42"/>
      <c r="AA391" s="6"/>
      <c r="AB391" s="42">
        <f t="shared" si="34"/>
        <v>0</v>
      </c>
      <c r="AC391" s="42"/>
    </row>
    <row r="392" spans="11:29" x14ac:dyDescent="0.3">
      <c r="M392" s="42"/>
      <c r="O392" s="46"/>
      <c r="Q392" s="46">
        <f>c_cog+c_hosp_fu+c_CSG</f>
        <v>15766</v>
      </c>
      <c r="R392" s="46"/>
      <c r="T392" s="78"/>
      <c r="Z392" s="42"/>
      <c r="AA392" s="6"/>
      <c r="AB392" s="42">
        <f t="shared" si="34"/>
        <v>0</v>
      </c>
      <c r="AC392" s="42">
        <f>U392*(Q394-c_CSG)</f>
        <v>0</v>
      </c>
    </row>
    <row r="393" spans="11:29" x14ac:dyDescent="0.3">
      <c r="M393" s="42"/>
      <c r="Q393" s="19" t="s">
        <v>368</v>
      </c>
      <c r="R393" s="19"/>
      <c r="T393" s="78"/>
      <c r="U393">
        <f>$K$364*$I$353*$G$374*$E$302*$C$148*$A$103*$M$379*$O$391*Q394</f>
        <v>0</v>
      </c>
      <c r="V393">
        <v>0</v>
      </c>
      <c r="W393" s="42">
        <f>$K$365+$I$354+$G$375+$E$303+$C$149+$A$104+$M$380+$O$392+Q395</f>
        <v>62080.710902399995</v>
      </c>
      <c r="X393">
        <f>u_ChronicResp+u_CongnitiveImpairement</f>
        <v>17.805052694763283</v>
      </c>
      <c r="Z393" s="42">
        <f>U393*W393</f>
        <v>0</v>
      </c>
      <c r="AA393" s="6">
        <f>U393*X393</f>
        <v>0</v>
      </c>
      <c r="AB393" s="42">
        <f t="shared" si="34"/>
        <v>0</v>
      </c>
      <c r="AC393" s="42">
        <f>U393*(Q395-c_CSG)</f>
        <v>0</v>
      </c>
    </row>
    <row r="394" spans="11:29" x14ac:dyDescent="0.3">
      <c r="M394" s="42"/>
      <c r="Q394" s="45">
        <f>noRDS2CLD_1*noHypo2CI_1</f>
        <v>0</v>
      </c>
      <c r="R394" s="45"/>
      <c r="T394" s="78"/>
      <c r="Z394" s="42"/>
      <c r="AA394" s="6"/>
      <c r="AB394" s="42">
        <f t="shared" si="34"/>
        <v>0</v>
      </c>
      <c r="AC394" s="42"/>
    </row>
    <row r="395" spans="11:29" x14ac:dyDescent="0.3">
      <c r="M395" s="42"/>
      <c r="Q395" s="46">
        <f>c_cog+c_lung+c_hosp_fu+c_CSG</f>
        <v>58348.510902399998</v>
      </c>
      <c r="R395" s="46"/>
      <c r="T395" s="78"/>
      <c r="Z395" s="42"/>
      <c r="AA395" s="6"/>
      <c r="AB395" s="42">
        <f t="shared" si="34"/>
        <v>0</v>
      </c>
      <c r="AC395" s="42">
        <f>U395*(Q397-c_CSG)</f>
        <v>0</v>
      </c>
    </row>
    <row r="396" spans="11:29" x14ac:dyDescent="0.3">
      <c r="M396" s="42"/>
      <c r="Q396" s="19" t="s">
        <v>369</v>
      </c>
      <c r="R396" s="19"/>
      <c r="T396" s="78"/>
      <c r="U396">
        <f>$K$364*$I$353*$G$374*$E$302*$C$148*$A$103*$M$379*$O$391*Q397</f>
        <v>7.1030581615126209E-2</v>
      </c>
      <c r="V396">
        <v>5.9008514934660937E-2</v>
      </c>
      <c r="W396" s="42">
        <f>$K$365+$I$354+$G$375+$E$303+$C$149+$A$104+$M$380+$O$392+Q398</f>
        <v>18135.2</v>
      </c>
      <c r="X396">
        <f>u_Healthy</f>
        <v>0</v>
      </c>
      <c r="Z396" s="42">
        <f>U396*W396</f>
        <v>1288.1538037066368</v>
      </c>
      <c r="AA396" s="6">
        <f>U396*X396</f>
        <v>0</v>
      </c>
      <c r="AB396" s="42">
        <f t="shared" si="34"/>
        <v>784.17762103099335</v>
      </c>
      <c r="AC396" s="42">
        <f>U396*(Q398-c_CSG)</f>
        <v>238.87584597166943</v>
      </c>
    </row>
    <row r="397" spans="11:29" x14ac:dyDescent="0.3">
      <c r="M397" s="42"/>
      <c r="Q397" s="45">
        <f>1-Q394-Q391-Q388</f>
        <v>0.9669144234632383</v>
      </c>
      <c r="R397" s="45"/>
      <c r="T397" s="78"/>
      <c r="Z397" s="42"/>
      <c r="AA397" s="6"/>
      <c r="AB397" s="42">
        <f t="shared" si="34"/>
        <v>0</v>
      </c>
      <c r="AC397" s="42">
        <f>U397*(Q399-c_CSG)</f>
        <v>0</v>
      </c>
    </row>
    <row r="398" spans="11:29" x14ac:dyDescent="0.3">
      <c r="M398" s="42"/>
      <c r="Q398" s="46">
        <f>c_clinic_fu+c_CSG</f>
        <v>14403</v>
      </c>
      <c r="R398" s="46"/>
      <c r="T398" s="78"/>
      <c r="Z398" s="42"/>
      <c r="AA398" s="6"/>
      <c r="AB398" s="42">
        <f t="shared" si="34"/>
        <v>0</v>
      </c>
      <c r="AC398" s="42">
        <f>U398*(Q400-c_CSG)</f>
        <v>0</v>
      </c>
    </row>
    <row r="399" spans="11:29" x14ac:dyDescent="0.3">
      <c r="M399" s="42"/>
      <c r="Q399" s="42"/>
      <c r="R399" s="42"/>
      <c r="T399" s="78"/>
      <c r="Z399" s="42"/>
      <c r="AA399" s="6"/>
      <c r="AB399" s="42">
        <f t="shared" si="34"/>
        <v>0</v>
      </c>
      <c r="AC399" s="42">
        <f>U399*(Q401-c_CSG)</f>
        <v>0</v>
      </c>
    </row>
    <row r="400" spans="11:29" x14ac:dyDescent="0.3">
      <c r="K400" s="19" t="s">
        <v>165</v>
      </c>
      <c r="L400" s="19"/>
      <c r="M400" s="19"/>
      <c r="N400" s="19"/>
      <c r="O400" s="19"/>
      <c r="P400" s="19"/>
      <c r="Q400" s="19"/>
      <c r="R400" s="19"/>
      <c r="T400" s="78"/>
      <c r="U400">
        <f>$G$374*$E$302*$C$148*$I$409*$K$401*A$103</f>
        <v>2.7546271665225288E-3</v>
      </c>
      <c r="V400">
        <v>2.2214707875297863E-3</v>
      </c>
      <c r="W400" s="42">
        <f>$K$402+$I$410+$G$375+$E$303+$C$149+$A$104</f>
        <v>5524.2</v>
      </c>
      <c r="X400">
        <f>u_Death</f>
        <v>19.181538114427529</v>
      </c>
      <c r="Z400" s="42">
        <f>U400*W400</f>
        <v>15.217111393303753</v>
      </c>
      <c r="AA400" s="6">
        <f>U400*X400</f>
        <v>5.2837985985689395E-2</v>
      </c>
      <c r="AB400" s="42"/>
      <c r="AC400" s="42"/>
    </row>
    <row r="401" spans="9:29" x14ac:dyDescent="0.3">
      <c r="K401" s="45">
        <f>AGA_term_2d_1</f>
        <v>5.6536333333333339E-3</v>
      </c>
      <c r="L401">
        <f>AGA_term_2d_3</f>
        <v>6.2333333333333338E-3</v>
      </c>
      <c r="M401" t="b">
        <f>L401=K401</f>
        <v>0</v>
      </c>
      <c r="T401" s="78"/>
      <c r="Z401" s="42"/>
      <c r="AA401" s="6"/>
      <c r="AB401" s="42">
        <f t="shared" ref="AB401:AB432" si="35">U401*c_CSG</f>
        <v>0</v>
      </c>
      <c r="AC401" s="42">
        <f>U401*(Q403-c_CSG)</f>
        <v>0</v>
      </c>
    </row>
    <row r="402" spans="9:29" x14ac:dyDescent="0.3">
      <c r="K402" s="46">
        <f>c_SB</f>
        <v>1792</v>
      </c>
      <c r="T402" s="78"/>
      <c r="Z402" s="42"/>
      <c r="AA402" s="6"/>
      <c r="AB402" s="42">
        <f t="shared" si="35"/>
        <v>0</v>
      </c>
      <c r="AC402" s="42"/>
    </row>
    <row r="403" spans="9:29" x14ac:dyDescent="0.3">
      <c r="T403" s="78"/>
      <c r="Z403" s="42"/>
      <c r="AA403" s="6"/>
      <c r="AB403" s="42">
        <f t="shared" si="35"/>
        <v>0</v>
      </c>
      <c r="AC403" s="42">
        <f>U403*(Q405-c_CSG)</f>
        <v>0</v>
      </c>
    </row>
    <row r="404" spans="9:29" x14ac:dyDescent="0.3">
      <c r="Q404" s="19" t="s">
        <v>367</v>
      </c>
      <c r="R404" s="19"/>
      <c r="T404" s="78"/>
      <c r="U404">
        <f>$G$374*$E$302*$C$148*$I$409*$K$420*$M$415*$O$410*Q405*$A$103</f>
        <v>0</v>
      </c>
      <c r="W404" s="42">
        <f>$K$421+$I$410+$G$375+$E$303+$C$149+$A$104+$M$416+$O$411+Q406</f>
        <v>91793.581450605634</v>
      </c>
      <c r="X404">
        <f>u_ChronicResp</f>
        <v>0.53465956747782661</v>
      </c>
      <c r="Z404" s="42">
        <f>U404*W404</f>
        <v>0</v>
      </c>
      <c r="AA404" s="6">
        <f>U404*X404</f>
        <v>0</v>
      </c>
      <c r="AB404" s="42">
        <f t="shared" si="35"/>
        <v>0</v>
      </c>
      <c r="AC404" s="42">
        <f>U404*(Q406-c_CSG)</f>
        <v>0</v>
      </c>
    </row>
    <row r="405" spans="9:29" x14ac:dyDescent="0.3">
      <c r="Q405" s="45">
        <f>RDS2CLD_1-(Hypo2CI_1*RDS2CLD_1)</f>
        <v>0.34246866666666664</v>
      </c>
      <c r="R405" s="45"/>
      <c r="T405" s="78"/>
      <c r="V405">
        <v>0</v>
      </c>
      <c r="Z405" s="42"/>
      <c r="AA405" s="6"/>
      <c r="AB405" s="42">
        <f t="shared" si="35"/>
        <v>0</v>
      </c>
      <c r="AC405" s="42"/>
    </row>
    <row r="406" spans="9:29" x14ac:dyDescent="0.3">
      <c r="Q406" s="46">
        <f>c_lung+c_hosp_fu+c_CSG</f>
        <v>54529.510902399998</v>
      </c>
      <c r="R406" s="46"/>
      <c r="T406" s="78"/>
      <c r="Z406" s="42"/>
      <c r="AA406" s="6"/>
      <c r="AB406" s="42">
        <f t="shared" si="35"/>
        <v>0</v>
      </c>
      <c r="AC406" s="42">
        <f>U406*(Q408-c_CSG)</f>
        <v>0</v>
      </c>
    </row>
    <row r="407" spans="9:29" x14ac:dyDescent="0.3">
      <c r="Q407" s="19" t="s">
        <v>226</v>
      </c>
      <c r="R407" s="19"/>
      <c r="T407" s="78"/>
      <c r="U407">
        <f>$G$374*$E$302*$C$148*$I$409*$K$420*$M$415*$O$410*Q408*A$103</f>
        <v>0</v>
      </c>
      <c r="W407" s="42">
        <f>$K$421+$I$410+$G$375+$E$303+$C$149+$A$104+$M$416+$O$411+Q409</f>
        <v>53030.070548205636</v>
      </c>
      <c r="X407">
        <f>u_CongnitiveImpairement</f>
        <v>17.270393127285455</v>
      </c>
      <c r="Z407" s="42">
        <f>U407*W407</f>
        <v>0</v>
      </c>
      <c r="AA407" s="6">
        <f>U407*X407</f>
        <v>0</v>
      </c>
      <c r="AB407" s="42">
        <f t="shared" si="35"/>
        <v>0</v>
      </c>
      <c r="AC407" s="42">
        <f>U407*(Q409-c_CSG)</f>
        <v>0</v>
      </c>
    </row>
    <row r="408" spans="9:29" x14ac:dyDescent="0.3">
      <c r="I408" s="19" t="s">
        <v>424</v>
      </c>
      <c r="Q408" s="45">
        <f>Hypo2CI_1-(Hypo2CI_1*RDS2CLD_1)</f>
        <v>3.2801999999999998E-2</v>
      </c>
      <c r="R408" s="45"/>
      <c r="T408" s="78"/>
      <c r="V408">
        <v>0</v>
      </c>
      <c r="Z408" s="42"/>
      <c r="AA408" s="6"/>
      <c r="AB408" s="42">
        <f t="shared" si="35"/>
        <v>0</v>
      </c>
      <c r="AC408" s="42"/>
    </row>
    <row r="409" spans="9:29" x14ac:dyDescent="0.3">
      <c r="I409" s="45">
        <f>NBW_term_2AGA_1</f>
        <v>0.82903924139402996</v>
      </c>
      <c r="J409">
        <f>NBW_term_2AGA_3</f>
        <v>0.81004360154892219</v>
      </c>
      <c r="K409" t="b">
        <f>J409=I409</f>
        <v>0</v>
      </c>
      <c r="O409" s="19" t="s">
        <v>161</v>
      </c>
      <c r="Q409" s="46">
        <f>c_cog+c_hosp_fu+c_CSG</f>
        <v>15766</v>
      </c>
      <c r="R409" s="46"/>
      <c r="T409" s="78"/>
      <c r="Z409" s="42"/>
      <c r="AA409" s="6"/>
      <c r="AB409" s="42">
        <f t="shared" si="35"/>
        <v>0</v>
      </c>
      <c r="AC409" s="42">
        <f>U409*(Q411-c_CSG)</f>
        <v>0</v>
      </c>
    </row>
    <row r="410" spans="9:29" x14ac:dyDescent="0.3">
      <c r="I410" s="46"/>
      <c r="O410" s="45">
        <f>AGA_term_2hypoglycaemia_1</f>
        <v>0</v>
      </c>
      <c r="Q410" s="19" t="s">
        <v>368</v>
      </c>
      <c r="R410" s="19"/>
      <c r="T410" s="78"/>
      <c r="U410">
        <f>$G$374*$E$302*$C$148*$I$409*$K$420*$M$415*$O$410*Q411*A$103</f>
        <v>0</v>
      </c>
      <c r="W410" s="42">
        <f>$K$421+$I$410+$G$375+$E$303+$C$149+$A$104+$M$416+$O$411+Q412</f>
        <v>95612.581450605634</v>
      </c>
      <c r="X410">
        <f>u_ChronicResp+u_CongnitiveImpairement</f>
        <v>17.805052694763283</v>
      </c>
      <c r="Z410" s="42">
        <f>U410*W410</f>
        <v>0</v>
      </c>
      <c r="AA410" s="6">
        <f>U410*X410</f>
        <v>0</v>
      </c>
      <c r="AB410" s="42">
        <f t="shared" si="35"/>
        <v>0</v>
      </c>
      <c r="AC410" s="42">
        <f>U410*(Q412-c_CSG)</f>
        <v>0</v>
      </c>
    </row>
    <row r="411" spans="9:29" x14ac:dyDescent="0.3">
      <c r="O411" s="46">
        <f>c_hypo</f>
        <v>2936.2604000000001</v>
      </c>
      <c r="Q411" s="45">
        <f>RDS2CLD_1*Hypo2CI_1</f>
        <v>1.8531333333333334E-2</v>
      </c>
      <c r="R411" s="45"/>
      <c r="T411" s="78"/>
      <c r="V411">
        <v>0</v>
      </c>
      <c r="Z411" s="42"/>
      <c r="AA411" s="6"/>
      <c r="AB411" s="42">
        <f t="shared" si="35"/>
        <v>0</v>
      </c>
      <c r="AC411" s="42"/>
    </row>
    <row r="412" spans="9:29" x14ac:dyDescent="0.3">
      <c r="M412" s="42"/>
      <c r="Q412" s="46">
        <f>c_lung+c_cog+c_hosp_fu+c_CSG</f>
        <v>58348.510902399998</v>
      </c>
      <c r="R412" s="46"/>
      <c r="T412" s="78"/>
      <c r="Z412" s="42"/>
      <c r="AA412" s="6"/>
      <c r="AB412" s="42">
        <f t="shared" si="35"/>
        <v>0</v>
      </c>
      <c r="AC412" s="42">
        <f>U412*(Q414-c_CSG)</f>
        <v>0</v>
      </c>
    </row>
    <row r="413" spans="9:29" x14ac:dyDescent="0.3">
      <c r="Q413" s="19" t="s">
        <v>369</v>
      </c>
      <c r="R413" s="19"/>
      <c r="T413" s="78"/>
      <c r="U413">
        <f>$G$374*$E$302*$C$148*$I$409*$K$420*$M$415*$O$410*Q414*A$103</f>
        <v>0</v>
      </c>
      <c r="W413" s="42">
        <f>$K$421+$I$410+$G$375+$E$303+$C$149+$A$104+$M$416+$O$411+Q415</f>
        <v>51667.070548205636</v>
      </c>
      <c r="X413">
        <f>u_Healthy</f>
        <v>0</v>
      </c>
      <c r="Z413" s="42">
        <f>U413*W413</f>
        <v>0</v>
      </c>
      <c r="AA413" s="6">
        <f>U413*X413</f>
        <v>0</v>
      </c>
      <c r="AB413" s="42">
        <f t="shared" si="35"/>
        <v>0</v>
      </c>
      <c r="AC413" s="42">
        <f>U413*(Q415-c_CSG)</f>
        <v>0</v>
      </c>
    </row>
    <row r="414" spans="9:29" x14ac:dyDescent="0.3">
      <c r="M414" s="19" t="s">
        <v>9</v>
      </c>
      <c r="Q414" s="45">
        <f>1-Q405-Q408-Q411</f>
        <v>0.60619800000000001</v>
      </c>
      <c r="R414" s="45"/>
      <c r="T414" s="78"/>
      <c r="V414">
        <v>0</v>
      </c>
      <c r="Z414" s="42"/>
      <c r="AA414" s="6"/>
      <c r="AB414" s="42">
        <f t="shared" si="35"/>
        <v>0</v>
      </c>
      <c r="AC414" s="42">
        <f>U414*(Q416-c_CSG)</f>
        <v>0</v>
      </c>
    </row>
    <row r="415" spans="9:29" x14ac:dyDescent="0.3">
      <c r="K415" s="42"/>
      <c r="M415" s="45">
        <f>S_term_2RDS_1</f>
        <v>0</v>
      </c>
      <c r="Q415" s="46">
        <f>c_clinic_fu+c_CSG</f>
        <v>14403</v>
      </c>
      <c r="R415" s="46"/>
      <c r="T415" s="78"/>
      <c r="Z415" s="42"/>
      <c r="AA415" s="6"/>
      <c r="AB415" s="42">
        <f t="shared" si="35"/>
        <v>0</v>
      </c>
      <c r="AC415" s="42"/>
    </row>
    <row r="416" spans="9:29" x14ac:dyDescent="0.3">
      <c r="K416" s="42"/>
      <c r="M416" s="46">
        <f>c_RDS</f>
        <v>30595.610148205637</v>
      </c>
      <c r="Q416" s="42"/>
      <c r="R416" s="42"/>
      <c r="T416" s="78"/>
      <c r="Z416" s="42"/>
      <c r="AA416" s="6"/>
      <c r="AB416" s="42">
        <f t="shared" si="35"/>
        <v>0</v>
      </c>
      <c r="AC416" s="42">
        <f>U416*(Q418-c_CSG)</f>
        <v>0</v>
      </c>
    </row>
    <row r="417" spans="3:29" x14ac:dyDescent="0.3">
      <c r="Q417" s="19" t="s">
        <v>367</v>
      </c>
      <c r="R417" s="19"/>
      <c r="T417" s="78"/>
      <c r="U417">
        <f>$G$374*$E$302*$C$148*$I$409*$K$420*$M$415*$O$420*Q418*A$103</f>
        <v>0</v>
      </c>
      <c r="W417" s="42">
        <f>$K$421+$I$410+$G$375+$E$303+$C$149+$A$104+$M$416+$O$421+Q419</f>
        <v>88857.321050605635</v>
      </c>
      <c r="X417">
        <f>u_ChronicResp</f>
        <v>0.53465956747782661</v>
      </c>
      <c r="Z417" s="42">
        <f>U417*W417</f>
        <v>0</v>
      </c>
      <c r="AA417" s="6">
        <f>U417*X417</f>
        <v>0</v>
      </c>
      <c r="AB417" s="42">
        <f t="shared" si="35"/>
        <v>0</v>
      </c>
      <c r="AC417" s="42">
        <f>U417*(Q419-c_CSG)</f>
        <v>0</v>
      </c>
    </row>
    <row r="418" spans="3:29" x14ac:dyDescent="0.3">
      <c r="Q418" s="45">
        <f>RDS2CLD_1-(RDS2CLD_1*noHypo2CI_1)</f>
        <v>0.34905610687022898</v>
      </c>
      <c r="R418" s="45"/>
      <c r="T418" s="78"/>
      <c r="V418">
        <v>0</v>
      </c>
      <c r="Z418" s="42"/>
      <c r="AA418" s="6"/>
      <c r="AB418" s="42">
        <f t="shared" si="35"/>
        <v>0</v>
      </c>
      <c r="AC418" s="42"/>
    </row>
    <row r="419" spans="3:29" x14ac:dyDescent="0.3">
      <c r="K419" s="19" t="s">
        <v>37</v>
      </c>
      <c r="M419" s="42"/>
      <c r="O419" s="19" t="s">
        <v>370</v>
      </c>
      <c r="Q419" s="46">
        <f>c_lung+c_hosp_fu+c_CSG</f>
        <v>54529.510902399998</v>
      </c>
      <c r="R419" s="46"/>
      <c r="T419" s="78"/>
      <c r="Z419" s="42"/>
      <c r="AA419" s="6"/>
      <c r="AB419" s="42">
        <f t="shared" si="35"/>
        <v>0</v>
      </c>
      <c r="AC419" s="42">
        <f>U419*(Q421-c_CSG)</f>
        <v>0</v>
      </c>
    </row>
    <row r="420" spans="3:29" x14ac:dyDescent="0.3">
      <c r="K420" s="45">
        <f>AGA_term_2s_1</f>
        <v>0.99434636666666665</v>
      </c>
      <c r="O420" s="45">
        <f>AGA_term_2normoglycaemia_1</f>
        <v>1</v>
      </c>
      <c r="Q420" s="19" t="s">
        <v>226</v>
      </c>
      <c r="R420" s="19"/>
      <c r="T420" s="78"/>
      <c r="U420">
        <f>$G$374*$E$302*$C$148*$I$409*$K$420*$M$415*$O$420*Q421*A$103</f>
        <v>0</v>
      </c>
      <c r="W420" s="42">
        <f>$K$421+$I$410+$G$375+$E$303+$C$149+$A$104+$M$416+$O$421+Q422</f>
        <v>50093.810148205637</v>
      </c>
      <c r="X420">
        <f>u_CongnitiveImpairement</f>
        <v>17.270393127285455</v>
      </c>
      <c r="Z420" s="42">
        <f>U420*W420</f>
        <v>0</v>
      </c>
      <c r="AA420" s="6">
        <f>U420*X420</f>
        <v>0</v>
      </c>
      <c r="AB420" s="42">
        <f t="shared" si="35"/>
        <v>0</v>
      </c>
      <c r="AC420" s="42">
        <f>U420*(Q422-c_CSG)</f>
        <v>0</v>
      </c>
    </row>
    <row r="421" spans="3:29" x14ac:dyDescent="0.3">
      <c r="K421" s="46"/>
      <c r="O421" s="46"/>
      <c r="Q421" s="45">
        <f>noHypo2CI_1-(RDS2CLD_1*noHypo2CI_1)</f>
        <v>2.1141683406990762E-2</v>
      </c>
      <c r="R421" s="45"/>
      <c r="T421" s="78"/>
      <c r="V421">
        <v>0</v>
      </c>
      <c r="Z421" s="42"/>
      <c r="AA421" s="6"/>
      <c r="AB421" s="42">
        <f t="shared" si="35"/>
        <v>0</v>
      </c>
      <c r="AC421" s="42"/>
    </row>
    <row r="422" spans="3:29" x14ac:dyDescent="0.3">
      <c r="Q422" s="46">
        <f>c_cog+c_hosp_fu+c_CSG</f>
        <v>15766</v>
      </c>
      <c r="R422" s="46"/>
      <c r="T422" s="78"/>
      <c r="Z422" s="42"/>
      <c r="AA422" s="6"/>
      <c r="AB422" s="42">
        <f t="shared" si="35"/>
        <v>0</v>
      </c>
      <c r="AC422" s="42">
        <f>U422*(Q424-c_CSG)</f>
        <v>0</v>
      </c>
    </row>
    <row r="423" spans="3:29" x14ac:dyDescent="0.3">
      <c r="Q423" s="19" t="s">
        <v>368</v>
      </c>
      <c r="R423" s="19"/>
      <c r="T423" s="78"/>
      <c r="U423">
        <f>$G$374*$E$302*$C$148*$I$409*$K$420*$M$415*$O$420*Q424*A$103</f>
        <v>0</v>
      </c>
      <c r="W423" s="42">
        <f>$K$421+$I$410+$G$375+$E$303+$C$149+$A$104+$M$416+$O$421+Q425</f>
        <v>92676.321050605635</v>
      </c>
      <c r="X423">
        <f>u_ChronicResp+u_CongnitiveImpairement</f>
        <v>17.805052694763283</v>
      </c>
      <c r="Z423" s="42">
        <f>U423*W423</f>
        <v>0</v>
      </c>
      <c r="AA423" s="6">
        <f>U423*X423</f>
        <v>0</v>
      </c>
      <c r="AB423" s="42">
        <f t="shared" si="35"/>
        <v>0</v>
      </c>
      <c r="AC423" s="42">
        <f>U423*(Q425-c_CSG)</f>
        <v>0</v>
      </c>
    </row>
    <row r="424" spans="3:29" x14ac:dyDescent="0.3">
      <c r="Q424" s="45">
        <f>RDS2CLD_1*noHypo2CI_1</f>
        <v>1.1943893129770991E-2</v>
      </c>
      <c r="R424" s="45"/>
      <c r="T424" s="78"/>
      <c r="V424">
        <v>0</v>
      </c>
      <c r="Z424" s="42"/>
      <c r="AA424" s="6"/>
      <c r="AB424" s="42">
        <f t="shared" si="35"/>
        <v>0</v>
      </c>
      <c r="AC424" s="42"/>
    </row>
    <row r="425" spans="3:29" x14ac:dyDescent="0.3">
      <c r="Q425" s="46">
        <f>c_cog+c_lung+c_hosp_fu+c_CSG</f>
        <v>58348.510902399998</v>
      </c>
      <c r="R425" s="46"/>
      <c r="T425" s="78"/>
      <c r="Z425" s="42"/>
      <c r="AA425" s="6"/>
      <c r="AB425" s="42">
        <f t="shared" si="35"/>
        <v>0</v>
      </c>
      <c r="AC425" s="42">
        <f>U425*(Q427-c_CSG)</f>
        <v>0</v>
      </c>
    </row>
    <row r="426" spans="3:29" x14ac:dyDescent="0.3">
      <c r="Q426" s="19" t="s">
        <v>369</v>
      </c>
      <c r="R426" s="19"/>
      <c r="T426" s="78"/>
      <c r="U426">
        <f>$G$374*$E$302*$C$148*$I$409*$K$420*$M$415*$O$420*Q427*A$103</f>
        <v>0</v>
      </c>
      <c r="W426" s="42">
        <f>$K$421+$I$410+$G$375+$E$303+$C$149+$A$104+$M$416+$O$421+Q428</f>
        <v>48730.810148205637</v>
      </c>
      <c r="X426">
        <f>u_Healthy</f>
        <v>0</v>
      </c>
      <c r="Z426" s="42">
        <f>U426*W426</f>
        <v>0</v>
      </c>
      <c r="AA426" s="6">
        <f>U426*X426</f>
        <v>0</v>
      </c>
      <c r="AB426" s="42">
        <f t="shared" si="35"/>
        <v>0</v>
      </c>
      <c r="AC426" s="42">
        <f>U426*(Q428-c_CSG)</f>
        <v>0</v>
      </c>
    </row>
    <row r="427" spans="3:29" x14ac:dyDescent="0.3">
      <c r="C427" s="42"/>
      <c r="Q427" s="45">
        <f>1-Q424-Q421-Q418</f>
        <v>0.61785831659300938</v>
      </c>
      <c r="R427" s="45"/>
      <c r="T427" s="78"/>
      <c r="V427">
        <v>0</v>
      </c>
      <c r="Z427" s="42"/>
      <c r="AA427" s="6"/>
      <c r="AB427" s="42">
        <f t="shared" si="35"/>
        <v>0</v>
      </c>
      <c r="AC427" s="42">
        <f>U427*(Q429-c_CSG)</f>
        <v>0</v>
      </c>
    </row>
    <row r="428" spans="3:29" x14ac:dyDescent="0.3">
      <c r="Q428" s="46">
        <f>c_clinic_fu+c_CSG</f>
        <v>14403</v>
      </c>
      <c r="R428" s="46"/>
      <c r="T428" s="78"/>
      <c r="Z428" s="42"/>
      <c r="AA428" s="6"/>
      <c r="AB428" s="42">
        <f t="shared" si="35"/>
        <v>0</v>
      </c>
      <c r="AC428" s="42"/>
    </row>
    <row r="429" spans="3:29" x14ac:dyDescent="0.3">
      <c r="Q429" s="42"/>
      <c r="R429" s="42"/>
      <c r="T429" s="78"/>
      <c r="Z429" s="42"/>
      <c r="AA429" s="6"/>
      <c r="AB429" s="42">
        <f t="shared" si="35"/>
        <v>0</v>
      </c>
      <c r="AC429" s="42">
        <f>U429*(Q431-c_CSG)</f>
        <v>0</v>
      </c>
    </row>
    <row r="430" spans="3:29" x14ac:dyDescent="0.3">
      <c r="Q430" s="19" t="s">
        <v>367</v>
      </c>
      <c r="R430" s="19"/>
      <c r="T430" s="78"/>
      <c r="U430">
        <f>$A$103*$G$374*$E$302*$C$148*$I$409*$K$420*$M$435*$O$433*Q431</f>
        <v>0</v>
      </c>
      <c r="W430" s="42">
        <f>$K$421+$I$410+$G$375+$E$303+$C$149+$A$104+$M$436+$O$434+Q432</f>
        <v>61197.971302399994</v>
      </c>
      <c r="X430">
        <f>u_ChronicResp</f>
        <v>0.53465956747782661</v>
      </c>
      <c r="Z430" s="42">
        <f>U430*W430</f>
        <v>0</v>
      </c>
      <c r="AA430" s="6">
        <f>U430*X430</f>
        <v>0</v>
      </c>
      <c r="AB430" s="42">
        <f t="shared" si="35"/>
        <v>0</v>
      </c>
      <c r="AC430" s="42">
        <f>U430*(Q432-c_CSG)</f>
        <v>0</v>
      </c>
    </row>
    <row r="431" spans="3:29" x14ac:dyDescent="0.3">
      <c r="Q431" s="45">
        <f>noRDS2CLD_1-(Hypo2CI_1*noRDS2CLD_1)</f>
        <v>0</v>
      </c>
      <c r="R431" s="45"/>
      <c r="T431" s="78"/>
      <c r="V431">
        <v>0</v>
      </c>
      <c r="Z431" s="42"/>
      <c r="AA431" s="6"/>
      <c r="AB431" s="42">
        <f t="shared" si="35"/>
        <v>0</v>
      </c>
      <c r="AC431" s="42"/>
    </row>
    <row r="432" spans="3:29" x14ac:dyDescent="0.3">
      <c r="O432" s="19" t="s">
        <v>161</v>
      </c>
      <c r="Q432" s="46">
        <f>c_lung+c_hosp_fu+c_CSG</f>
        <v>54529.510902399998</v>
      </c>
      <c r="R432" s="46"/>
      <c r="T432" s="78"/>
      <c r="Z432" s="42"/>
      <c r="AA432" s="6"/>
      <c r="AB432" s="42">
        <f t="shared" si="35"/>
        <v>0</v>
      </c>
      <c r="AC432" s="42">
        <f>U432*(Q434-c_CSG)</f>
        <v>0</v>
      </c>
    </row>
    <row r="433" spans="13:29" x14ac:dyDescent="0.3">
      <c r="O433" s="45">
        <f>AGA_term_2hypoglycaemia_1</f>
        <v>0</v>
      </c>
      <c r="Q433" s="19" t="s">
        <v>226</v>
      </c>
      <c r="R433" s="19"/>
      <c r="T433" s="78"/>
      <c r="U433">
        <f>$A$103*$G$374*$E$302*$C$148*$I$409*$K$420*$M$435*$O$433*Q434</f>
        <v>0</v>
      </c>
      <c r="W433" s="42">
        <f>$K$421+$I$410+$G$375+$E$303+$C$149+$A$104+$M$436+$O$434+Q435</f>
        <v>22434.4604</v>
      </c>
      <c r="X433">
        <f>u_CongnitiveImpairement</f>
        <v>17.270393127285455</v>
      </c>
      <c r="Z433" s="42">
        <f>U433*W433</f>
        <v>0</v>
      </c>
      <c r="AA433" s="6">
        <f>U433*X433</f>
        <v>0</v>
      </c>
      <c r="AB433" s="42">
        <f t="shared" ref="AB433:AB455" si="36">U433*c_CSG</f>
        <v>0</v>
      </c>
      <c r="AC433" s="42">
        <f>U433*(Q435-c_CSG)</f>
        <v>0</v>
      </c>
    </row>
    <row r="434" spans="13:29" x14ac:dyDescent="0.3">
      <c r="M434" s="19" t="s">
        <v>203</v>
      </c>
      <c r="O434" s="46">
        <f>c_hypo</f>
        <v>2936.2604000000001</v>
      </c>
      <c r="Q434" s="45">
        <f>Hypo2CI_1-(Hypo2CI_1*noRDS2CLD_1)</f>
        <v>5.1333333333333335E-2</v>
      </c>
      <c r="R434" s="45"/>
      <c r="T434" s="78"/>
      <c r="V434">
        <v>0</v>
      </c>
      <c r="Z434" s="42"/>
      <c r="AA434" s="6"/>
      <c r="AB434" s="42">
        <f t="shared" si="36"/>
        <v>0</v>
      </c>
      <c r="AC434" s="42"/>
    </row>
    <row r="435" spans="13:29" x14ac:dyDescent="0.3">
      <c r="M435" s="45">
        <f>S_term_2noRDS_1</f>
        <v>1</v>
      </c>
      <c r="Q435" s="46">
        <f>c_cog+c_hosp_fu+c_CSG</f>
        <v>15766</v>
      </c>
      <c r="R435" s="46"/>
      <c r="T435" s="78"/>
      <c r="Z435" s="42"/>
      <c r="AA435" s="6"/>
      <c r="AB435" s="42">
        <f t="shared" si="36"/>
        <v>0</v>
      </c>
      <c r="AC435" s="42">
        <f>U435*(Q437-c_CSG)</f>
        <v>0</v>
      </c>
    </row>
    <row r="436" spans="13:29" x14ac:dyDescent="0.3">
      <c r="M436" s="46"/>
      <c r="O436" s="42"/>
      <c r="Q436" s="19" t="s">
        <v>368</v>
      </c>
      <c r="R436" s="19"/>
      <c r="T436" s="78"/>
      <c r="U436">
        <f>$A$103*$G$374*$E$302*$C$148*$I$409*$K$420*$M$435*$O$433*Q437</f>
        <v>0</v>
      </c>
      <c r="W436" s="42">
        <f>$K$421+$I$410+$G$375+$E$303+$C$149+$A$104+$M$436+$O$434+Q438</f>
        <v>65016.971302399994</v>
      </c>
      <c r="X436">
        <f>u_ChronicResp+u_CongnitiveImpairement</f>
        <v>17.805052694763283</v>
      </c>
      <c r="Z436" s="42">
        <f>U436*W436</f>
        <v>0</v>
      </c>
      <c r="AA436" s="6">
        <f>U436*X436</f>
        <v>0</v>
      </c>
      <c r="AB436" s="42">
        <f t="shared" si="36"/>
        <v>0</v>
      </c>
      <c r="AC436" s="42">
        <f>U436*(Q438-c_CSG)</f>
        <v>0</v>
      </c>
    </row>
    <row r="437" spans="13:29" x14ac:dyDescent="0.3">
      <c r="M437" s="42"/>
      <c r="Q437" s="45">
        <f>noRDS2CLD_1*Hypo2CI_1</f>
        <v>0</v>
      </c>
      <c r="R437" s="45"/>
      <c r="T437" s="78"/>
      <c r="V437">
        <v>0</v>
      </c>
      <c r="W437" s="42"/>
      <c r="Z437" s="42"/>
      <c r="AA437" s="6"/>
      <c r="AB437" s="42">
        <f t="shared" si="36"/>
        <v>0</v>
      </c>
      <c r="AC437" s="42"/>
    </row>
    <row r="438" spans="13:29" x14ac:dyDescent="0.3">
      <c r="M438" s="42"/>
      <c r="Q438" s="46">
        <f>c_lung+c_cog+c_hosp_fu+c_CSG</f>
        <v>58348.510902399998</v>
      </c>
      <c r="R438" s="46"/>
      <c r="T438" s="78"/>
      <c r="Z438" s="42"/>
      <c r="AA438" s="6"/>
      <c r="AB438" s="42">
        <f t="shared" si="36"/>
        <v>0</v>
      </c>
      <c r="AC438" s="42">
        <f>U438*(Q440-c_CSG)</f>
        <v>0</v>
      </c>
    </row>
    <row r="439" spans="13:29" x14ac:dyDescent="0.3">
      <c r="M439" s="42"/>
      <c r="Q439" s="19" t="s">
        <v>369</v>
      </c>
      <c r="R439" s="19"/>
      <c r="T439" s="78"/>
      <c r="U439">
        <f>$A$103*$G$374*$E$302*$C$148*$I$409*$K$420*$M$435*$O$433*Q440</f>
        <v>0</v>
      </c>
      <c r="W439" s="42">
        <f>$K$421+$I$410+$G$375+$E$303+$C$149+$A$104+$M$436+$O$434+Q441</f>
        <v>21071.4604</v>
      </c>
      <c r="X439">
        <f>u_Healthy</f>
        <v>0</v>
      </c>
      <c r="Z439" s="42">
        <f>U439*W439</f>
        <v>0</v>
      </c>
      <c r="AA439" s="6">
        <f>U439*X439</f>
        <v>0</v>
      </c>
      <c r="AB439" s="42">
        <f t="shared" si="36"/>
        <v>0</v>
      </c>
      <c r="AC439" s="42">
        <f>U439*(Q441-c_CSG)</f>
        <v>0</v>
      </c>
    </row>
    <row r="440" spans="13:29" x14ac:dyDescent="0.3">
      <c r="M440" s="42"/>
      <c r="O440" s="42"/>
      <c r="Q440" s="45">
        <f>1-Q437-Q434-Q431</f>
        <v>0.94866666666666666</v>
      </c>
      <c r="R440" s="45"/>
      <c r="T440" s="78"/>
      <c r="V440">
        <v>0</v>
      </c>
      <c r="Z440" s="42"/>
      <c r="AA440" s="6"/>
      <c r="AB440" s="42">
        <f t="shared" si="36"/>
        <v>0</v>
      </c>
      <c r="AC440" s="42">
        <f>U440*(Q442-c_CSG)</f>
        <v>0</v>
      </c>
    </row>
    <row r="441" spans="13:29" x14ac:dyDescent="0.3">
      <c r="M441" s="42"/>
      <c r="Q441" s="46">
        <f>c_clinic_fu+c_CSG</f>
        <v>14403</v>
      </c>
      <c r="R441" s="46"/>
      <c r="T441" s="78"/>
      <c r="Z441" s="42"/>
      <c r="AA441" s="6"/>
      <c r="AB441" s="42">
        <f t="shared" si="36"/>
        <v>0</v>
      </c>
      <c r="AC441" s="42"/>
    </row>
    <row r="442" spans="13:29" x14ac:dyDescent="0.3">
      <c r="M442" s="42"/>
      <c r="Q442" s="42"/>
      <c r="R442" s="42"/>
      <c r="S442" s="94"/>
      <c r="T442" s="78"/>
      <c r="Z442" s="42"/>
      <c r="AA442" s="6"/>
      <c r="AB442" s="42">
        <f t="shared" si="36"/>
        <v>0</v>
      </c>
      <c r="AC442" s="42">
        <f>U442*(Q444-c_CSG)</f>
        <v>0</v>
      </c>
    </row>
    <row r="443" spans="13:29" x14ac:dyDescent="0.3">
      <c r="M443" s="42"/>
      <c r="Q443" s="19" t="s">
        <v>367</v>
      </c>
      <c r="R443" s="19"/>
      <c r="T443" s="78"/>
      <c r="U443">
        <f>$A$103*$G$374*$E$302*$C$148*$I$409*$K$420*$M$435*$O$447*Q444</f>
        <v>0</v>
      </c>
      <c r="W443" s="42">
        <f>$K$421+$I$410+$G$375+$E$303+$C$149+$A$104+$M$436+$O$448+Q445</f>
        <v>60290.971302399994</v>
      </c>
      <c r="X443">
        <f>u_ChronicResp</f>
        <v>0.53465956747782661</v>
      </c>
      <c r="Z443" s="42">
        <f>U443*W443</f>
        <v>0</v>
      </c>
      <c r="AA443" s="6">
        <f>U443*X443</f>
        <v>0</v>
      </c>
      <c r="AB443" s="42">
        <f t="shared" si="36"/>
        <v>0</v>
      </c>
      <c r="AC443" s="42">
        <f>U443*(Q445-c_CSG)</f>
        <v>0</v>
      </c>
    </row>
    <row r="444" spans="13:29" x14ac:dyDescent="0.3">
      <c r="M444" s="42"/>
      <c r="Q444" s="45">
        <f>noRDS2CLD_1-(noRDS2CLD_1*noHypo2CI_1)</f>
        <v>0</v>
      </c>
      <c r="R444" s="45"/>
      <c r="T444" s="78"/>
      <c r="V444">
        <v>0</v>
      </c>
      <c r="Z444" s="42"/>
      <c r="AA444" s="6"/>
      <c r="AB444" s="42">
        <f t="shared" si="36"/>
        <v>0</v>
      </c>
      <c r="AC444" s="42"/>
    </row>
    <row r="445" spans="13:29" x14ac:dyDescent="0.3">
      <c r="M445" s="42"/>
      <c r="Q445" s="46">
        <f>c_lung+c_hypo+c_CSG</f>
        <v>56558.771302399997</v>
      </c>
      <c r="R445" s="46"/>
      <c r="T445" s="78"/>
      <c r="Z445" s="42"/>
      <c r="AA445" s="6"/>
      <c r="AB445" s="42">
        <f t="shared" si="36"/>
        <v>0</v>
      </c>
      <c r="AC445" s="42">
        <f>U445*(Q447-c_CSG)</f>
        <v>0</v>
      </c>
    </row>
    <row r="446" spans="13:29" x14ac:dyDescent="0.3">
      <c r="M446" s="42"/>
      <c r="O446" s="19" t="s">
        <v>370</v>
      </c>
      <c r="Q446" s="19" t="s">
        <v>226</v>
      </c>
      <c r="R446" s="19"/>
      <c r="T446" s="78"/>
      <c r="U446">
        <f>$A$103*$G$374*$E$302*$C$148*$I$409*$K$420*$M$435*$O$447*Q447</f>
        <v>1.6029190319032941E-2</v>
      </c>
      <c r="V446">
        <v>1.1717727309838824E-2</v>
      </c>
      <c r="W446" s="42">
        <f>$K$421+$I$410+$G$375+$E$303+$C$149+$A$104+$M$436+$O$448+Q448</f>
        <v>19498.2</v>
      </c>
      <c r="X446">
        <f>u_CongnitiveImpairement</f>
        <v>17.270393127285455</v>
      </c>
      <c r="Z446" s="42">
        <f>U446*W446</f>
        <v>312.54035867856811</v>
      </c>
      <c r="AA446" s="6">
        <f>U446*X446</f>
        <v>0.27683041832177707</v>
      </c>
      <c r="AB446" s="42">
        <f t="shared" si="36"/>
        <v>176.96226112212366</v>
      </c>
      <c r="AC446" s="42">
        <f>U446*(Q448-c_CSG)</f>
        <v>75.75395344774968</v>
      </c>
    </row>
    <row r="447" spans="13:29" x14ac:dyDescent="0.3">
      <c r="M447" s="42"/>
      <c r="O447" s="45">
        <f>AGA_term_2normoglycaemia_1</f>
        <v>1</v>
      </c>
      <c r="Q447" s="45">
        <f>noHypo2CI_1</f>
        <v>3.3085576536761752E-2</v>
      </c>
      <c r="R447" s="45"/>
      <c r="T447" s="78"/>
      <c r="Z447" s="42"/>
      <c r="AA447" s="6"/>
      <c r="AB447" s="42">
        <f t="shared" si="36"/>
        <v>0</v>
      </c>
      <c r="AC447" s="42"/>
    </row>
    <row r="448" spans="13:29" x14ac:dyDescent="0.3">
      <c r="M448" s="42"/>
      <c r="O448" s="46"/>
      <c r="Q448" s="46">
        <f>c_cog+c_hosp_fu+c_CSG</f>
        <v>15766</v>
      </c>
      <c r="R448" s="46"/>
      <c r="T448" s="78"/>
      <c r="Z448" s="42"/>
      <c r="AA448" s="6"/>
      <c r="AB448" s="42">
        <f t="shared" si="36"/>
        <v>0</v>
      </c>
      <c r="AC448" s="42">
        <f>U448*(Q450-c_CSG)</f>
        <v>0</v>
      </c>
    </row>
    <row r="449" spans="1:29" x14ac:dyDescent="0.3">
      <c r="G449" s="42"/>
      <c r="M449" s="42"/>
      <c r="Q449" s="19" t="s">
        <v>368</v>
      </c>
      <c r="R449" s="19"/>
      <c r="T449" s="78"/>
      <c r="U449">
        <f>$A$103*$G$374*$E$302*$C$148*$I$409*$K$420*$M$435*$O$447*Q450</f>
        <v>0</v>
      </c>
      <c r="W449" s="42">
        <f>$K$421+$I$410+$G$375+$E$303+$C$149+$A$104+$M$436+$O$448+Q451</f>
        <v>62080.710902399995</v>
      </c>
      <c r="X449">
        <f>u_ChronicResp+u_CongnitiveImpairement</f>
        <v>17.805052694763283</v>
      </c>
      <c r="Z449" s="42">
        <f>U449*W449</f>
        <v>0</v>
      </c>
      <c r="AA449" s="6">
        <f>U449*X449</f>
        <v>0</v>
      </c>
      <c r="AB449" s="42">
        <f t="shared" si="36"/>
        <v>0</v>
      </c>
      <c r="AC449" s="42">
        <f>U449*(Q451-c_CSG)</f>
        <v>0</v>
      </c>
    </row>
    <row r="450" spans="1:29" x14ac:dyDescent="0.3">
      <c r="Q450" s="45">
        <f>noRDS2CLD_1*noHypo2CI_1</f>
        <v>0</v>
      </c>
      <c r="R450" s="45"/>
      <c r="T450" s="78"/>
      <c r="V450">
        <v>0</v>
      </c>
      <c r="Z450" s="42"/>
      <c r="AA450" s="6"/>
      <c r="AB450" s="42">
        <f t="shared" si="36"/>
        <v>0</v>
      </c>
      <c r="AC450" s="42"/>
    </row>
    <row r="451" spans="1:29" x14ac:dyDescent="0.3">
      <c r="Q451" s="46">
        <f>c_cog+c_lung+c_hosp_fu+c_CSG</f>
        <v>58348.510902399998</v>
      </c>
      <c r="R451" s="46"/>
      <c r="T451" s="78"/>
      <c r="Z451" s="42"/>
      <c r="AA451" s="6"/>
      <c r="AB451" s="42">
        <f t="shared" si="36"/>
        <v>0</v>
      </c>
      <c r="AC451" s="42">
        <f>U451*(Q453-c_CSG)</f>
        <v>0</v>
      </c>
    </row>
    <row r="452" spans="1:29" x14ac:dyDescent="0.3">
      <c r="M452" s="42"/>
      <c r="Q452" s="19" t="s">
        <v>369</v>
      </c>
      <c r="R452" s="19"/>
      <c r="T452" s="78"/>
      <c r="U452">
        <f>$A$103*$G$374*$E$302*$C$148*$I$409*$K$420*$M$435*$O$447*Q453</f>
        <v>0.4684474909690422</v>
      </c>
      <c r="V452">
        <v>0.34244648974163461</v>
      </c>
      <c r="W452" s="42">
        <f>$K$421+$I$410+$G$375+$E$303+$C$149+$A$104+$M$436+$O$448+Q454</f>
        <v>18135.2</v>
      </c>
      <c r="X452">
        <f>u_Healthy</f>
        <v>0</v>
      </c>
      <c r="Z452" s="42">
        <f>U452*W452</f>
        <v>8495.3889382217749</v>
      </c>
      <c r="AA452" s="6">
        <f>U452*X452</f>
        <v>0</v>
      </c>
      <c r="AB452" s="42">
        <f t="shared" si="36"/>
        <v>5171.6603002982256</v>
      </c>
      <c r="AC452" s="42">
        <f>U452*(Q454-c_CSG)</f>
        <v>1575.3889121288889</v>
      </c>
    </row>
    <row r="453" spans="1:29" x14ac:dyDescent="0.3">
      <c r="M453" s="42"/>
      <c r="Q453" s="45">
        <f>1-Q450-Q447-Q444</f>
        <v>0.9669144234632383</v>
      </c>
      <c r="R453" s="45"/>
      <c r="T453" s="78"/>
      <c r="Z453" s="42"/>
      <c r="AA453" s="6"/>
      <c r="AB453" s="42">
        <f t="shared" si="36"/>
        <v>0</v>
      </c>
      <c r="AC453" s="42">
        <f>U453*(Q455-c_CSG)</f>
        <v>0</v>
      </c>
    </row>
    <row r="454" spans="1:29" x14ac:dyDescent="0.3">
      <c r="M454" s="42"/>
      <c r="Q454" s="46">
        <f>c_clinic_fu+c_CSG</f>
        <v>14403</v>
      </c>
      <c r="R454" s="46"/>
      <c r="T454" s="78"/>
      <c r="Z454" s="42"/>
      <c r="AA454" s="6"/>
      <c r="AB454" s="42">
        <f t="shared" si="36"/>
        <v>0</v>
      </c>
      <c r="AC454" s="42">
        <f>U454*(Q456-c_CSG)</f>
        <v>0</v>
      </c>
    </row>
    <row r="455" spans="1:29" x14ac:dyDescent="0.3">
      <c r="A455" s="81"/>
      <c r="B455" s="81"/>
      <c r="C455" s="81"/>
      <c r="D455" s="81"/>
      <c r="E455" s="81"/>
      <c r="F455" s="81"/>
      <c r="G455" s="81"/>
      <c r="H455" s="81"/>
      <c r="I455" s="81"/>
      <c r="J455" s="81"/>
      <c r="K455" s="81"/>
      <c r="L455" s="81"/>
      <c r="M455" s="83"/>
      <c r="N455" s="81"/>
      <c r="O455" s="81"/>
      <c r="P455" s="81"/>
      <c r="Q455" s="83"/>
      <c r="R455" s="83"/>
      <c r="S455" s="95"/>
      <c r="T455" s="78"/>
      <c r="Z455" s="42"/>
      <c r="AA455" s="6"/>
      <c r="AB455" s="42">
        <f t="shared" si="36"/>
        <v>0</v>
      </c>
      <c r="AC455" s="42">
        <f>U455*(Q457-c_CSG)</f>
        <v>0</v>
      </c>
    </row>
    <row r="456" spans="1:29" x14ac:dyDescent="0.3">
      <c r="C456" s="19" t="s">
        <v>3</v>
      </c>
      <c r="D456" s="19"/>
      <c r="E456" s="19"/>
      <c r="F456" s="19"/>
      <c r="G456" s="19"/>
      <c r="H456" s="19"/>
      <c r="I456" s="19"/>
      <c r="J456" s="19"/>
      <c r="K456" s="19"/>
      <c r="L456" s="19"/>
      <c r="M456" s="19"/>
      <c r="N456" s="19"/>
      <c r="O456" s="19"/>
      <c r="P456" s="19"/>
      <c r="Q456" s="19"/>
      <c r="R456" s="19"/>
      <c r="T456" s="78"/>
      <c r="U456">
        <f>C457*A555</f>
        <v>2.6850306525037955E-3</v>
      </c>
      <c r="V456">
        <v>5.3341426403641888E-3</v>
      </c>
      <c r="W456" s="42">
        <f>C458+A556</f>
        <v>4092</v>
      </c>
      <c r="X456">
        <f>u_Death</f>
        <v>19.181538114427529</v>
      </c>
      <c r="Z456" s="42">
        <f>U456*W456</f>
        <v>10.987145430045532</v>
      </c>
      <c r="AA456" s="6">
        <f>U456*X456</f>
        <v>5.1503017799407767E-2</v>
      </c>
      <c r="AB456" s="42"/>
      <c r="AC456" s="42"/>
    </row>
    <row r="457" spans="1:29" x14ac:dyDescent="0.3">
      <c r="C457" s="45">
        <f>NoANC2SB_2</f>
        <v>3.1562974203338388E-2</v>
      </c>
      <c r="T457" s="78"/>
      <c r="Z457" s="42"/>
      <c r="AA457" s="6"/>
      <c r="AB457" s="42">
        <f>U457*c_CSG</f>
        <v>0</v>
      </c>
      <c r="AC457" s="42"/>
    </row>
    <row r="458" spans="1:29" x14ac:dyDescent="0.3">
      <c r="C458" s="46">
        <f>c_SB</f>
        <v>1792</v>
      </c>
      <c r="T458" s="78"/>
      <c r="Z458" s="42"/>
      <c r="AA458" s="6"/>
      <c r="AB458" s="42">
        <f>U458*c_CSG</f>
        <v>0</v>
      </c>
      <c r="AC458" s="42"/>
    </row>
    <row r="459" spans="1:29" x14ac:dyDescent="0.3">
      <c r="C459" s="46">
        <f>c_SB</f>
        <v>1792</v>
      </c>
      <c r="T459" s="78"/>
      <c r="Z459" s="42"/>
      <c r="AA459" s="6"/>
      <c r="AB459" s="42">
        <f>U459*c_CSG</f>
        <v>0</v>
      </c>
      <c r="AC459" s="42"/>
    </row>
    <row r="460" spans="1:29" x14ac:dyDescent="0.3">
      <c r="K460" s="19" t="s">
        <v>165</v>
      </c>
      <c r="L460" s="19"/>
      <c r="M460" s="19"/>
      <c r="N460" s="19"/>
      <c r="O460" s="19"/>
      <c r="P460" s="19"/>
      <c r="Q460" s="19"/>
      <c r="R460" s="19"/>
      <c r="T460" s="78"/>
      <c r="U460">
        <f>$K$461*$I$469*$G$493*$E$531*$C$600*$A$555</f>
        <v>1.6004339522467234E-4</v>
      </c>
      <c r="V460">
        <v>7.2182412917313988E-4</v>
      </c>
      <c r="W460" s="42">
        <f>$K$462+$I$470+$G$494+$E$532+$C$601+$A$556</f>
        <v>259371.45980810808</v>
      </c>
      <c r="X460">
        <f>u_Death</f>
        <v>19.181538114427529</v>
      </c>
      <c r="Z460" s="42">
        <f>U460*W460</f>
        <v>41.51068905206926</v>
      </c>
      <c r="AA460" s="6">
        <f>U460*X460</f>
        <v>3.0698784854644411E-3</v>
      </c>
      <c r="AB460" s="42"/>
      <c r="AC460" s="42"/>
    </row>
    <row r="461" spans="1:29" x14ac:dyDescent="0.3">
      <c r="K461" s="45">
        <f>SGA_prem_2d_2</f>
        <v>7.6248466666666667E-2</v>
      </c>
      <c r="T461" s="78"/>
      <c r="Z461" s="42"/>
      <c r="AA461" s="6"/>
      <c r="AB461" s="42">
        <f t="shared" ref="AB461:AB492" si="37">U461*c_CSG</f>
        <v>0</v>
      </c>
      <c r="AC461" s="42">
        <f>U461*(Q463-c_CSG)</f>
        <v>0</v>
      </c>
    </row>
    <row r="462" spans="1:29" x14ac:dyDescent="0.3">
      <c r="K462" s="46">
        <f>c_SB</f>
        <v>1792</v>
      </c>
      <c r="T462" s="78"/>
      <c r="Z462" s="42"/>
      <c r="AA462" s="6"/>
      <c r="AB462" s="42">
        <f t="shared" si="37"/>
        <v>0</v>
      </c>
      <c r="AC462" s="42"/>
    </row>
    <row r="463" spans="1:29" x14ac:dyDescent="0.3">
      <c r="T463" s="78"/>
      <c r="Z463" s="42"/>
      <c r="AA463" s="6"/>
      <c r="AB463" s="42">
        <f t="shared" si="37"/>
        <v>0</v>
      </c>
      <c r="AC463" s="42">
        <f>U463*(Q465-c_CSG)</f>
        <v>0</v>
      </c>
    </row>
    <row r="464" spans="1:29" x14ac:dyDescent="0.3">
      <c r="Q464" s="19" t="s">
        <v>367</v>
      </c>
      <c r="R464" s="19"/>
      <c r="T464" s="78"/>
      <c r="U464">
        <f>$K$480*$I$469*$G$493*$E$531*$C$600*$A$555*$M$475*$O$470*Q465</f>
        <v>6.4393561375755389E-5</v>
      </c>
      <c r="V464">
        <v>2.6118730470040626E-4</v>
      </c>
      <c r="W464" s="42">
        <f>$K$481+$I$470+$G$494+$E$532+$C$601+$A$556+$M$476+$O$471+Q466</f>
        <v>345640.84125871374</v>
      </c>
      <c r="X464">
        <f>u_ChronicResp</f>
        <v>0.53465956747782661</v>
      </c>
      <c r="Z464" s="42">
        <f>U464*W464</f>
        <v>22.257044725560707</v>
      </c>
      <c r="AA464" s="6">
        <f>U464*X464</f>
        <v>3.4428633673518256E-5</v>
      </c>
      <c r="AB464" s="42">
        <f t="shared" si="37"/>
        <v>0.71090491758833951</v>
      </c>
      <c r="AC464" s="42">
        <f>U464*(Q466-c_CSG)</f>
        <v>2.8004444894952774</v>
      </c>
    </row>
    <row r="465" spans="9:29" x14ac:dyDescent="0.3">
      <c r="Q465" s="45">
        <f>RDS2CLD_2-(Hypo2CI_2*RDS2CLD_2)</f>
        <v>0.34246866666666664</v>
      </c>
      <c r="R465" s="45"/>
      <c r="T465" s="78"/>
      <c r="Z465" s="42"/>
      <c r="AA465" s="6"/>
      <c r="AB465" s="42">
        <f t="shared" si="37"/>
        <v>0</v>
      </c>
      <c r="AC465" s="42"/>
    </row>
    <row r="466" spans="9:29" x14ac:dyDescent="0.3">
      <c r="Q466" s="46">
        <f>c_lung+c_hosp_fu+c_CSG</f>
        <v>54529.510902399998</v>
      </c>
      <c r="R466" s="46"/>
      <c r="T466" s="78"/>
      <c r="Z466" s="42"/>
      <c r="AA466" s="6"/>
      <c r="AB466" s="42">
        <f t="shared" si="37"/>
        <v>0</v>
      </c>
      <c r="AC466" s="42">
        <f>U466*(Q468-c_CSG)</f>
        <v>0</v>
      </c>
    </row>
    <row r="467" spans="9:29" x14ac:dyDescent="0.3">
      <c r="Q467" s="19" t="s">
        <v>226</v>
      </c>
      <c r="R467" s="19"/>
      <c r="T467" s="78"/>
      <c r="U467">
        <f>$K$480*$I$469*$G$493*$E$531*$C$600*$A$555*$M$475*$O$470*Q468</f>
        <v>6.1676813263136339E-6</v>
      </c>
      <c r="V467">
        <v>2.501678781937051E-5</v>
      </c>
      <c r="W467" s="42">
        <f>$K$481+$I$470+$G$494+$E$532+$C$601+$A$556+$M$476+$O$471+Q469</f>
        <v>306877.33035631373</v>
      </c>
      <c r="X467">
        <f>u_CongnitiveImpairement</f>
        <v>17.270393127285455</v>
      </c>
      <c r="Z467" s="42">
        <f>U467*W467</f>
        <v>1.8927215799076162</v>
      </c>
      <c r="AA467" s="6">
        <f>U467*X467</f>
        <v>1.0651828118925382E-4</v>
      </c>
      <c r="AB467" s="42">
        <f t="shared" si="37"/>
        <v>6.8091201842502516E-2</v>
      </c>
      <c r="AC467" s="42">
        <f>U467*(Q469-c_CSG)</f>
        <v>2.9148461948158233E-2</v>
      </c>
    </row>
    <row r="468" spans="9:29" x14ac:dyDescent="0.3">
      <c r="I468" s="19" t="s">
        <v>164</v>
      </c>
      <c r="Q468" s="45">
        <f>Hypo2CI_2-(Hypo2CI_2*RDS2CLD_2)</f>
        <v>3.2801999999999998E-2</v>
      </c>
      <c r="R468" s="45"/>
      <c r="T468" s="78"/>
      <c r="Z468" s="42"/>
      <c r="AA468" s="6"/>
      <c r="AB468" s="42">
        <f t="shared" si="37"/>
        <v>0</v>
      </c>
      <c r="AC468" s="42"/>
    </row>
    <row r="469" spans="9:29" x14ac:dyDescent="0.3">
      <c r="I469" s="45">
        <f>LBW_prem_2SGA_2</f>
        <v>0.39968592964824123</v>
      </c>
      <c r="O469" s="19" t="s">
        <v>161</v>
      </c>
      <c r="Q469" s="46">
        <f>c_cog+c_hosp_fu+c_CSG</f>
        <v>15766</v>
      </c>
      <c r="R469" s="46"/>
      <c r="T469" s="78"/>
      <c r="Z469" s="42"/>
      <c r="AA469" s="6"/>
      <c r="AB469" s="42">
        <f t="shared" si="37"/>
        <v>0</v>
      </c>
      <c r="AC469" s="42">
        <f>U469*(Q471-c_CSG)</f>
        <v>0</v>
      </c>
    </row>
    <row r="470" spans="9:29" x14ac:dyDescent="0.3">
      <c r="I470" s="46"/>
      <c r="O470" s="45">
        <f>SGA_prem_2hypoglycaemia_2</f>
        <v>0.2155</v>
      </c>
      <c r="Q470" s="19" t="s">
        <v>368</v>
      </c>
      <c r="R470" s="19"/>
      <c r="T470" s="78"/>
      <c r="U470">
        <f>$K$480*$I$469*$G$493*$E$531*$C$600*$A$555*$M$475*$O$470*Q471</f>
        <v>3.4844021264463566E-6</v>
      </c>
      <c r="V470">
        <v>1.4133114871350164E-5</v>
      </c>
      <c r="W470" s="42">
        <f>$K$481+$I$470+$G$494+$E$532+$C$601+$A$556+$M$476+$O$471+Q472</f>
        <v>349459.84125871374</v>
      </c>
      <c r="X470">
        <f>u_ChronicResp+u_CongnitiveImpairement</f>
        <v>17.805052694763283</v>
      </c>
      <c r="Z470" s="42">
        <f>U470*W470</f>
        <v>1.2176586139894685</v>
      </c>
      <c r="AA470" s="6">
        <f>U470*X470</f>
        <v>6.203996347112262E-5</v>
      </c>
      <c r="AB470" s="42">
        <f t="shared" si="37"/>
        <v>3.8467799475967776E-2</v>
      </c>
      <c r="AC470" s="42">
        <f>U470*(Q472-c_CSG)</f>
        <v>0.16484187598733319</v>
      </c>
    </row>
    <row r="471" spans="9:29" x14ac:dyDescent="0.3">
      <c r="O471" s="46">
        <f>c_hypo</f>
        <v>2936.2604000000001</v>
      </c>
      <c r="Q471" s="45">
        <f>Hypo2CI_2*RDS2CLD_2</f>
        <v>1.8531333333333334E-2</v>
      </c>
      <c r="R471" s="45"/>
      <c r="T471" s="78"/>
      <c r="Z471" s="42"/>
      <c r="AA471" s="6"/>
      <c r="AB471" s="42">
        <f t="shared" si="37"/>
        <v>0</v>
      </c>
      <c r="AC471" s="42"/>
    </row>
    <row r="472" spans="9:29" x14ac:dyDescent="0.3">
      <c r="M472" s="42"/>
      <c r="Q472" s="46">
        <f>c_lung+c_cog+c_hosp_fu+c_CSG</f>
        <v>58348.510902399998</v>
      </c>
      <c r="R472" s="46"/>
      <c r="T472" s="78"/>
      <c r="Z472" s="42"/>
      <c r="AA472" s="6"/>
      <c r="AB472" s="42">
        <f t="shared" si="37"/>
        <v>0</v>
      </c>
      <c r="AC472" s="42">
        <f>U472*(Q474-c_CSG)</f>
        <v>0</v>
      </c>
    </row>
    <row r="473" spans="9:29" x14ac:dyDescent="0.3">
      <c r="Q473" s="19" t="s">
        <v>369</v>
      </c>
      <c r="R473" s="19"/>
      <c r="T473" s="78"/>
      <c r="U473">
        <f>$K$480*$I$469*$G$493*$E$531*$C$600*$A$555*$M$475*$O$470*Q474</f>
        <v>1.1398195490057534E-4</v>
      </c>
      <c r="V473">
        <v>4.623232346358992E-4</v>
      </c>
      <c r="W473" s="42">
        <f>$K$481+$I$470+$G$494+$E$532+$C$601+$A$556+$M$476+$O$471+Q475</f>
        <v>305514.33035631373</v>
      </c>
      <c r="X473">
        <f>u_Healthy</f>
        <v>0</v>
      </c>
      <c r="Z473" s="42">
        <f>U473*W473</f>
        <v>34.823120624152828</v>
      </c>
      <c r="AA473" s="6">
        <f>U473*X473</f>
        <v>0</v>
      </c>
      <c r="AB473" s="42">
        <f t="shared" si="37"/>
        <v>1.2583607821023517</v>
      </c>
      <c r="AC473" s="42">
        <f>U473*(Q475-c_CSG)</f>
        <v>0.38332131433063488</v>
      </c>
    </row>
    <row r="474" spans="9:29" x14ac:dyDescent="0.3">
      <c r="M474" s="19" t="s">
        <v>9</v>
      </c>
      <c r="Q474" s="45">
        <f>1-Q465-Q468-Q471</f>
        <v>0.60619800000000001</v>
      </c>
      <c r="R474" s="45"/>
      <c r="T474" s="78"/>
      <c r="Z474" s="42"/>
      <c r="AA474" s="6"/>
      <c r="AB474" s="42">
        <f t="shared" si="37"/>
        <v>0</v>
      </c>
      <c r="AC474" s="42">
        <f>U474*(Q476-c_CSG)</f>
        <v>0</v>
      </c>
    </row>
    <row r="475" spans="9:29" x14ac:dyDescent="0.3">
      <c r="K475" s="42"/>
      <c r="M475" s="45">
        <f>S_prem_2RDS_2</f>
        <v>0.45</v>
      </c>
      <c r="Q475" s="46">
        <f>c_clinic_fu+c_CSG</f>
        <v>14403</v>
      </c>
      <c r="R475" s="46"/>
      <c r="T475" s="78"/>
      <c r="Z475" s="42"/>
      <c r="AA475" s="6"/>
      <c r="AB475" s="42">
        <f t="shared" si="37"/>
        <v>0</v>
      </c>
      <c r="AC475" s="42"/>
    </row>
    <row r="476" spans="9:29" x14ac:dyDescent="0.3">
      <c r="K476" s="42"/>
      <c r="M476" s="46">
        <f>c_RDS</f>
        <v>30595.610148205637</v>
      </c>
      <c r="Q476" s="42"/>
      <c r="R476" s="42"/>
      <c r="T476" s="78"/>
      <c r="Z476" s="42"/>
      <c r="AA476" s="6"/>
      <c r="AB476" s="42">
        <f t="shared" si="37"/>
        <v>0</v>
      </c>
      <c r="AC476" s="42">
        <f>U476*(Q478-c_CSG)</f>
        <v>0</v>
      </c>
    </row>
    <row r="477" spans="9:29" x14ac:dyDescent="0.3">
      <c r="Q477" s="19" t="s">
        <v>367</v>
      </c>
      <c r="R477" s="19"/>
      <c r="T477" s="78"/>
      <c r="U477">
        <f>$K$480*$I$469*$G$493*$E$531*$C$600*$A$555*$M$475*$O$480*Q478</f>
        <v>2.3892550689705549E-4</v>
      </c>
      <c r="V477">
        <v>9.6910790205363435E-4</v>
      </c>
      <c r="W477" s="42">
        <f>$K$481+$I$470+$G$494+$E$532+$C$601+$A$556+$M$476+$O$481+Q479</f>
        <v>342704.58085871371</v>
      </c>
      <c r="X477">
        <f>u_ChronicResp</f>
        <v>0.53465956747782661</v>
      </c>
      <c r="Z477" s="42">
        <f>U477*W477</f>
        <v>81.880865697611114</v>
      </c>
      <c r="AA477" s="6">
        <f>U477*X477</f>
        <v>1.2774380817700016E-4</v>
      </c>
      <c r="AB477" s="42">
        <f t="shared" si="37"/>
        <v>2.6377375961434928</v>
      </c>
      <c r="AC477" s="42">
        <f>U477*(Q479-c_CSG)</f>
        <v>10.39075343706094</v>
      </c>
    </row>
    <row r="478" spans="9:29" x14ac:dyDescent="0.3">
      <c r="Q478" s="45">
        <f>RDS2CLD_2-(RDS2CLD_2*noHypo2CI_2)</f>
        <v>0.34905610687022898</v>
      </c>
      <c r="R478" s="45"/>
      <c r="T478" s="78"/>
      <c r="Z478" s="42"/>
      <c r="AA478" s="6"/>
      <c r="AB478" s="42">
        <f t="shared" si="37"/>
        <v>0</v>
      </c>
      <c r="AC478" s="42"/>
    </row>
    <row r="479" spans="9:29" x14ac:dyDescent="0.3">
      <c r="K479" s="19" t="s">
        <v>37</v>
      </c>
      <c r="M479" s="42"/>
      <c r="O479" s="19" t="s">
        <v>370</v>
      </c>
      <c r="Q479" s="46">
        <f>c_lung+c_hosp_fu+c_CSG</f>
        <v>54529.510902399998</v>
      </c>
      <c r="R479" s="46"/>
      <c r="T479" s="78"/>
      <c r="Z479" s="42"/>
      <c r="AA479" s="6"/>
      <c r="AB479" s="42">
        <f t="shared" si="37"/>
        <v>0</v>
      </c>
      <c r="AC479" s="42">
        <f>U479*(Q481-c_CSG)</f>
        <v>0</v>
      </c>
    </row>
    <row r="480" spans="9:29" x14ac:dyDescent="0.3">
      <c r="K480" s="45">
        <f>SGA_prem_2s_2</f>
        <v>0.92375153333333337</v>
      </c>
      <c r="O480" s="45">
        <f>SGA_prem_2normoglycaemia_2</f>
        <v>0.78449999999999998</v>
      </c>
      <c r="Q480" s="19" t="s">
        <v>226</v>
      </c>
      <c r="R480" s="19"/>
      <c r="T480" s="78"/>
      <c r="U480">
        <f>$K$480*$I$469*$G$493*$E$531*$C$600*$A$555*$M$475*$O$480*Q481</f>
        <v>1.4471276466021801E-5</v>
      </c>
      <c r="V480">
        <v>5.8697074909072222E-5</v>
      </c>
      <c r="W480" s="42">
        <f>$K$481+$I$470+$G$494+$E$532+$C$601+$A$556+$M$476+$O$481+Q482</f>
        <v>303941.0699563137</v>
      </c>
      <c r="X480">
        <f>u_CongnitiveImpairement</f>
        <v>17.270393127285455</v>
      </c>
      <c r="Z480" s="42">
        <f>U480*W480</f>
        <v>4.3984152527162879</v>
      </c>
      <c r="AA480" s="6">
        <f>U480*X480</f>
        <v>2.4992463362183068E-4</v>
      </c>
      <c r="AB480" s="42">
        <f t="shared" si="37"/>
        <v>0.15976289218488068</v>
      </c>
      <c r="AC480" s="42">
        <f>U480*(Q482-c_CSG)</f>
        <v>6.8391252578419034E-2</v>
      </c>
    </row>
    <row r="481" spans="7:29" x14ac:dyDescent="0.3">
      <c r="K481" s="46"/>
      <c r="O481" s="46"/>
      <c r="Q481" s="45">
        <f>noHypo2CI_2-(RDS2CLD_2*noHypo2CI_2)</f>
        <v>2.1141683406990762E-2</v>
      </c>
      <c r="R481" s="45"/>
      <c r="T481" s="78"/>
      <c r="Z481" s="42"/>
      <c r="AA481" s="6"/>
      <c r="AB481" s="42">
        <f t="shared" si="37"/>
        <v>0</v>
      </c>
      <c r="AC481" s="42"/>
    </row>
    <row r="482" spans="7:29" x14ac:dyDescent="0.3">
      <c r="Q482" s="46">
        <f>c_cog+c_hosp_fu+c_CSG</f>
        <v>15766</v>
      </c>
      <c r="R482" s="46"/>
      <c r="T482" s="78"/>
      <c r="Z482" s="42"/>
      <c r="AA482" s="6"/>
      <c r="AB482" s="42">
        <f t="shared" si="37"/>
        <v>0</v>
      </c>
      <c r="AC482" s="42">
        <f>U482*(Q484-c_CSG)</f>
        <v>0</v>
      </c>
    </row>
    <row r="483" spans="7:29" x14ac:dyDescent="0.3">
      <c r="Q483" s="19" t="s">
        <v>368</v>
      </c>
      <c r="R483" s="19"/>
      <c r="T483" s="78"/>
      <c r="U483">
        <f>$K$480*$I$469*$G$493*$E$531*$C$600*$A$555*$M$475*$O$480*Q484</f>
        <v>8.1754785668761644E-6</v>
      </c>
      <c r="V483">
        <v>3.3160632303873344E-5</v>
      </c>
      <c r="W483" s="42">
        <f>$K$481+$I$470+$G$494+$E$532+$C$601+$A$556+$M$476+$O$481+Q485</f>
        <v>346523.58085871371</v>
      </c>
      <c r="X483">
        <f>u_ChronicResp+u_CongnitiveImpairement</f>
        <v>17.805052694763283</v>
      </c>
      <c r="Z483" s="42">
        <f>U483*W483</f>
        <v>2.8329961082275936</v>
      </c>
      <c r="AA483" s="6">
        <f>U483*X483</f>
        <v>1.4556482668813791E-4</v>
      </c>
      <c r="AB483" s="42">
        <f t="shared" si="37"/>
        <v>9.0257283378312861E-2</v>
      </c>
      <c r="AC483" s="42">
        <f>U483*(Q485-c_CSG)</f>
        <v>0.38676971691339851</v>
      </c>
    </row>
    <row r="484" spans="7:29" x14ac:dyDescent="0.3">
      <c r="G484" s="42"/>
      <c r="Q484" s="45">
        <f>RDS2CLD_2*noHypo2CI_2</f>
        <v>1.1943893129770991E-2</v>
      </c>
      <c r="R484" s="45"/>
      <c r="T484" s="78"/>
      <c r="Z484" s="42"/>
      <c r="AA484" s="6"/>
      <c r="AB484" s="42">
        <f t="shared" si="37"/>
        <v>0</v>
      </c>
      <c r="AC484" s="42"/>
    </row>
    <row r="485" spans="7:29" x14ac:dyDescent="0.3">
      <c r="G485" s="42"/>
      <c r="Q485" s="46">
        <f>c_cog+c_lung+c_hosp_fu+c_CSG</f>
        <v>58348.510902399998</v>
      </c>
      <c r="R485" s="46"/>
      <c r="T485" s="78"/>
      <c r="Z485" s="42"/>
      <c r="AA485" s="6"/>
      <c r="AB485" s="42">
        <f t="shared" si="37"/>
        <v>0</v>
      </c>
      <c r="AC485" s="42">
        <f>U485*(Q487-c_CSG)</f>
        <v>0</v>
      </c>
    </row>
    <row r="486" spans="7:29" x14ac:dyDescent="0.3">
      <c r="Q486" s="19" t="s">
        <v>369</v>
      </c>
      <c r="R486" s="19"/>
      <c r="T486" s="78"/>
      <c r="U486">
        <f>$K$480*$I$469*$G$493*$E$531*$C$600*$A$555*$M$475*$O$480*Q487</f>
        <v>4.2291800251307069E-4</v>
      </c>
      <c r="V486">
        <v>1.7154015219176524E-3</v>
      </c>
      <c r="W486" s="42">
        <f>$K$481+$I$470+$G$494+$E$532+$C$601+$A$556+$M$476+$O$481+Q488</f>
        <v>302578.0699563137</v>
      </c>
      <c r="X486">
        <f>u_Healthy</f>
        <v>0</v>
      </c>
      <c r="Z486" s="42">
        <f>U486*W486</f>
        <v>127.96571295018435</v>
      </c>
      <c r="AA486" s="6">
        <f>U486*X486</f>
        <v>0</v>
      </c>
      <c r="AB486" s="42">
        <f t="shared" si="37"/>
        <v>4.6690147477443</v>
      </c>
      <c r="AC486" s="42">
        <f>U486*(Q488-c_CSG)</f>
        <v>1.4222732424514568</v>
      </c>
    </row>
    <row r="487" spans="7:29" x14ac:dyDescent="0.3">
      <c r="Q487" s="45">
        <f>1-Q484-Q481-Q478</f>
        <v>0.61785831659300938</v>
      </c>
      <c r="R487" s="45"/>
      <c r="T487" s="78"/>
      <c r="Z487" s="42"/>
      <c r="AA487" s="6"/>
      <c r="AB487" s="42">
        <f t="shared" si="37"/>
        <v>0</v>
      </c>
      <c r="AC487" s="42">
        <f>U487*(Q489-c_CSG)</f>
        <v>0</v>
      </c>
    </row>
    <row r="488" spans="7:29" x14ac:dyDescent="0.3">
      <c r="Q488" s="46">
        <f>c_clinic_fu+c_CSG</f>
        <v>14403</v>
      </c>
      <c r="R488" s="46"/>
      <c r="T488" s="78"/>
      <c r="Z488" s="42"/>
      <c r="AA488" s="6"/>
      <c r="AB488" s="42">
        <f t="shared" si="37"/>
        <v>0</v>
      </c>
      <c r="AC488" s="42"/>
    </row>
    <row r="489" spans="7:29" x14ac:dyDescent="0.3">
      <c r="Q489" s="42"/>
      <c r="R489" s="42"/>
      <c r="T489" s="78"/>
      <c r="Z489" s="42"/>
      <c r="AA489" s="6"/>
      <c r="AB489" s="42">
        <f t="shared" si="37"/>
        <v>0</v>
      </c>
      <c r="AC489" s="42">
        <f>U489*(Q491-c_CSG)</f>
        <v>0</v>
      </c>
    </row>
    <row r="490" spans="7:29" x14ac:dyDescent="0.3">
      <c r="Q490" s="19" t="s">
        <v>367</v>
      </c>
      <c r="R490" s="19"/>
      <c r="T490" s="78"/>
      <c r="U490">
        <f>$K$480*$I$469*$G$493*$E$531*$C$600*$A$555*$M$495*$O$493*Q491</f>
        <v>7.8703241681478834E-5</v>
      </c>
      <c r="V490">
        <v>3.1922892796716319E-4</v>
      </c>
      <c r="W490" s="42">
        <f>$K$481+$I$470+$G$494+$E$532+$C$601+$A$556+$M$496+$O$494+Q492</f>
        <v>315045.23111050809</v>
      </c>
      <c r="X490">
        <f>u_ChronicResp</f>
        <v>0.53465956747782661</v>
      </c>
      <c r="Z490" s="42">
        <f>U490*W490</f>
        <v>24.795080964687674</v>
      </c>
      <c r="AA490" s="6">
        <f>U490*X490</f>
        <v>4.2079441156522332E-5</v>
      </c>
      <c r="AB490" s="42">
        <f t="shared" si="37"/>
        <v>0.86888378816352629</v>
      </c>
      <c r="AC490" s="42">
        <f>U490*(Q492-c_CSG)</f>
        <v>3.4227654871608957</v>
      </c>
    </row>
    <row r="491" spans="7:29" x14ac:dyDescent="0.3">
      <c r="Q491" s="45">
        <f>RDS2CLD_2-(Hypo2CI_2*RDS2CLD_2)</f>
        <v>0.34246866666666664</v>
      </c>
      <c r="R491" s="45"/>
      <c r="T491" s="78"/>
      <c r="Z491" s="42"/>
      <c r="AA491" s="6"/>
      <c r="AB491" s="42">
        <f t="shared" si="37"/>
        <v>0</v>
      </c>
      <c r="AC491" s="42"/>
    </row>
    <row r="492" spans="7:29" x14ac:dyDescent="0.3">
      <c r="G492" s="19" t="s">
        <v>8</v>
      </c>
      <c r="O492" s="19" t="s">
        <v>161</v>
      </c>
      <c r="Q492" s="46">
        <f>c_lung+c_hosp_fu+c_CSG</f>
        <v>54529.510902399998</v>
      </c>
      <c r="R492" s="46"/>
      <c r="T492" s="78"/>
      <c r="Z492" s="42"/>
      <c r="AA492" s="6"/>
      <c r="AB492" s="42">
        <f t="shared" si="37"/>
        <v>0</v>
      </c>
      <c r="AC492" s="42">
        <f>U492*(Q494-c_CSG)</f>
        <v>0</v>
      </c>
    </row>
    <row r="493" spans="7:29" x14ac:dyDescent="0.3">
      <c r="G493" s="45">
        <f>Prem2LBW_2</f>
        <v>0.48376271186440678</v>
      </c>
      <c r="O493" s="45">
        <f>SGA_prem_2hypoglycaemia_2</f>
        <v>0.2155</v>
      </c>
      <c r="Q493" s="19" t="s">
        <v>226</v>
      </c>
      <c r="R493" s="19"/>
      <c r="T493" s="78"/>
      <c r="U493">
        <f>$K$480*$I$469*$G$493*$E$531*$C$600*$A$555*$M$495*$O$493*Q494</f>
        <v>7.5382771766055537E-6</v>
      </c>
      <c r="V493">
        <v>3.0576074001452847E-5</v>
      </c>
      <c r="W493" s="42">
        <f>$K$481+$I$470+$G$494+$E$532+$C$601+$A$556+$M$496+$O$494+Q495</f>
        <v>276281.72020810808</v>
      </c>
      <c r="X493">
        <f>u_CongnitiveImpairement</f>
        <v>17.270393127285455</v>
      </c>
      <c r="Z493" s="42">
        <f>U493*W493</f>
        <v>2.0826881857581023</v>
      </c>
      <c r="AA493" s="6">
        <f>U493*X493</f>
        <v>1.3018901034242137E-4</v>
      </c>
      <c r="AB493" s="42">
        <f t="shared" ref="AB493:AB515" si="38">U493*c_CSG</f>
        <v>8.322258002972531E-2</v>
      </c>
      <c r="AC493" s="42">
        <f>U493*(Q495-c_CSG)</f>
        <v>3.5625897936637847E-2</v>
      </c>
    </row>
    <row r="494" spans="7:29" x14ac:dyDescent="0.3">
      <c r="G494" s="46">
        <f>c_LBW</f>
        <v>254701.55809999997</v>
      </c>
      <c r="M494" s="19" t="s">
        <v>203</v>
      </c>
      <c r="O494" s="46">
        <f>c_hypo</f>
        <v>2936.2604000000001</v>
      </c>
      <c r="Q494" s="45">
        <f>Hypo2CI_2-(Hypo2CI_2*RDS2CLD_2)</f>
        <v>3.2801999999999998E-2</v>
      </c>
      <c r="R494" s="45"/>
      <c r="T494" s="78"/>
      <c r="Z494" s="42"/>
      <c r="AA494" s="6"/>
      <c r="AB494" s="42">
        <f t="shared" si="38"/>
        <v>0</v>
      </c>
      <c r="AC494" s="42"/>
    </row>
    <row r="495" spans="7:29" x14ac:dyDescent="0.3">
      <c r="M495" s="45">
        <f>S_prem_2noRDS_2</f>
        <v>0.55000000000000004</v>
      </c>
      <c r="Q495" s="46">
        <f>c_cog+c_hosp_fu+c_CSG</f>
        <v>15766</v>
      </c>
      <c r="R495" s="46"/>
      <c r="T495" s="78"/>
      <c r="Z495" s="42"/>
      <c r="AA495" s="6"/>
      <c r="AB495" s="42">
        <f t="shared" si="38"/>
        <v>0</v>
      </c>
      <c r="AC495" s="42">
        <f>U495*(Q497-c_CSG)</f>
        <v>0</v>
      </c>
    </row>
    <row r="496" spans="7:29" x14ac:dyDescent="0.3">
      <c r="M496" s="46"/>
      <c r="O496" s="42"/>
      <c r="Q496" s="19" t="s">
        <v>368</v>
      </c>
      <c r="R496" s="19"/>
      <c r="T496" s="78"/>
      <c r="U496">
        <f>$K$480*$I$469*$G$493*$E$531*$C$600*$A$555*$M$495*$O$493*Q497</f>
        <v>4.2587137101011031E-6</v>
      </c>
      <c r="V496">
        <v>1.7273807064983534E-5</v>
      </c>
      <c r="W496" s="42">
        <f>$K$481+$I$470+$G$494+$E$532+$C$601+$A$556+$M$496+$O$494+Q498</f>
        <v>318864.23111050809</v>
      </c>
      <c r="X496">
        <f>u_ChronicResp+u_CongnitiveImpairement</f>
        <v>17.805052694763283</v>
      </c>
      <c r="Z496" s="42">
        <f>U496*W496</f>
        <v>1.3579514726911674</v>
      </c>
      <c r="AA496" s="6">
        <f>U496*X496</f>
        <v>7.5826622020260984E-5</v>
      </c>
      <c r="AB496" s="42">
        <f t="shared" si="38"/>
        <v>4.7016199359516175E-2</v>
      </c>
      <c r="AC496" s="42">
        <f>U496*(Q498-c_CSG)</f>
        <v>0.20147340398451838</v>
      </c>
    </row>
    <row r="497" spans="13:29" x14ac:dyDescent="0.3">
      <c r="M497" s="42"/>
      <c r="Q497" s="45">
        <f>Hypo2CI_2*RDS2CLD_2</f>
        <v>1.8531333333333334E-2</v>
      </c>
      <c r="R497" s="45"/>
      <c r="T497" s="78"/>
      <c r="Z497" s="42"/>
      <c r="AA497" s="6"/>
      <c r="AB497" s="42">
        <f t="shared" si="38"/>
        <v>0</v>
      </c>
      <c r="AC497" s="42"/>
    </row>
    <row r="498" spans="13:29" x14ac:dyDescent="0.3">
      <c r="M498" s="42"/>
      <c r="Q498" s="46">
        <f>c_lung+c_cog+c_hosp_fu+c_CSG</f>
        <v>58348.510902399998</v>
      </c>
      <c r="R498" s="46"/>
      <c r="T498" s="78"/>
      <c r="Z498" s="42"/>
      <c r="AA498" s="6"/>
      <c r="AB498" s="42">
        <f t="shared" si="38"/>
        <v>0</v>
      </c>
      <c r="AC498" s="42">
        <f>U498*(Q500-c_CSG)</f>
        <v>0</v>
      </c>
    </row>
    <row r="499" spans="13:29" x14ac:dyDescent="0.3">
      <c r="M499" s="42"/>
      <c r="Q499" s="19" t="s">
        <v>369</v>
      </c>
      <c r="R499" s="19"/>
      <c r="T499" s="78"/>
      <c r="U499">
        <f>$K$480*$I$469*$G$493*$E$531*$C$600*$A$555*$M$495*$O$493*Q500</f>
        <v>1.3931127821181433E-4</v>
      </c>
      <c r="V499">
        <v>5.6506173122165457E-4</v>
      </c>
      <c r="W499" s="42">
        <f>$K$481+$I$470+$G$494+$E$532+$C$601+$A$556+$M$496+$O$494+Q501</f>
        <v>274918.72020810808</v>
      </c>
      <c r="X499">
        <f>u_Healthy</f>
        <v>0</v>
      </c>
      <c r="Z499" s="42">
        <f>U499*W499</f>
        <v>38.299278316547685</v>
      </c>
      <c r="AA499" s="6">
        <f>U499*X499</f>
        <v>0</v>
      </c>
      <c r="AB499" s="42">
        <f t="shared" si="38"/>
        <v>1.5379965114584302</v>
      </c>
      <c r="AC499" s="42">
        <f>U499*(Q501-c_CSG)</f>
        <v>0.46850382862633155</v>
      </c>
    </row>
    <row r="500" spans="13:29" x14ac:dyDescent="0.3">
      <c r="M500" s="42"/>
      <c r="O500" s="42"/>
      <c r="Q500" s="45">
        <f>1-Q491-Q494-Q497</f>
        <v>0.60619800000000001</v>
      </c>
      <c r="R500" s="45"/>
      <c r="T500" s="78"/>
      <c r="Z500" s="42"/>
      <c r="AA500" s="6"/>
      <c r="AB500" s="42">
        <f t="shared" si="38"/>
        <v>0</v>
      </c>
      <c r="AC500" s="42">
        <f>U500*(Q502-c_CSG)</f>
        <v>0</v>
      </c>
    </row>
    <row r="501" spans="13:29" x14ac:dyDescent="0.3">
      <c r="M501" s="42"/>
      <c r="Q501" s="46">
        <f>c_clinic_fu+c_CSG</f>
        <v>14403</v>
      </c>
      <c r="R501" s="46"/>
      <c r="T501" s="78"/>
      <c r="Z501" s="42"/>
      <c r="AA501" s="6"/>
      <c r="AB501" s="42">
        <f t="shared" si="38"/>
        <v>0</v>
      </c>
      <c r="AC501" s="42"/>
    </row>
    <row r="502" spans="13:29" x14ac:dyDescent="0.3">
      <c r="M502" s="42"/>
      <c r="Q502" s="42"/>
      <c r="R502" s="42"/>
      <c r="S502" s="94"/>
      <c r="T502" s="78"/>
      <c r="Z502" s="42"/>
      <c r="AA502" s="6"/>
      <c r="AB502" s="42">
        <f t="shared" si="38"/>
        <v>0</v>
      </c>
      <c r="AC502" s="42">
        <f>U502*(Q504-c_CSG)</f>
        <v>0</v>
      </c>
    </row>
    <row r="503" spans="13:29" x14ac:dyDescent="0.3">
      <c r="M503" s="42"/>
      <c r="Q503" s="19" t="s">
        <v>367</v>
      </c>
      <c r="R503" s="19"/>
      <c r="T503" s="78"/>
      <c r="U503">
        <f>$K$480*$I$469*$G$493*$E$531*$C$600*$A$555*$M$495*$O$507*Q504</f>
        <v>2.9202006398529009E-4</v>
      </c>
      <c r="V503">
        <v>1.1844652136211086E-3</v>
      </c>
      <c r="W503" s="42">
        <f>$K$481+$I$470+$G$494+$E$532+$C$601+$A$556+$M$496+$O$508+Q505</f>
        <v>312108.97071050806</v>
      </c>
      <c r="X503">
        <f>u_ChronicResp</f>
        <v>0.53465956747782661</v>
      </c>
      <c r="Z503" s="42">
        <f>U503*W503</f>
        <v>91.142081597265587</v>
      </c>
      <c r="AA503" s="6">
        <f>U503*X503</f>
        <v>1.5613132110522246E-4</v>
      </c>
      <c r="AB503" s="42">
        <f t="shared" si="38"/>
        <v>3.2239015063976026</v>
      </c>
      <c r="AC503" s="42">
        <f>U503*(Q505-c_CSG)</f>
        <v>12.699809756407818</v>
      </c>
    </row>
    <row r="504" spans="13:29" x14ac:dyDescent="0.3">
      <c r="M504" s="42"/>
      <c r="Q504" s="45">
        <f>RDS2CLD_2-(RDS2CLD_2*noHypo2CI_2)</f>
        <v>0.34905610687022898</v>
      </c>
      <c r="R504" s="45"/>
      <c r="T504" s="78"/>
      <c r="Z504" s="42"/>
      <c r="AA504" s="6"/>
      <c r="AB504" s="42">
        <f t="shared" si="38"/>
        <v>0</v>
      </c>
      <c r="AC504" s="42"/>
    </row>
    <row r="505" spans="13:29" x14ac:dyDescent="0.3">
      <c r="M505" s="42"/>
      <c r="Q505" s="46">
        <f>c_lung+c_hosp_fu+c_CSG</f>
        <v>54529.510902399998</v>
      </c>
      <c r="R505" s="46"/>
      <c r="T505" s="78"/>
      <c r="Z505" s="42"/>
      <c r="AA505" s="6"/>
      <c r="AB505" s="42">
        <f t="shared" si="38"/>
        <v>0</v>
      </c>
      <c r="AC505" s="42">
        <f>U505*(Q507-c_CSG)</f>
        <v>0</v>
      </c>
    </row>
    <row r="506" spans="13:29" x14ac:dyDescent="0.3">
      <c r="M506" s="42"/>
      <c r="O506" s="19" t="s">
        <v>370</v>
      </c>
      <c r="Q506" s="19" t="s">
        <v>226</v>
      </c>
      <c r="R506" s="19"/>
      <c r="T506" s="78"/>
      <c r="U506">
        <f>$K$480*$I$469*$G$493*$E$531*$C$600*$A$555*$M$495*$O$507*Q507</f>
        <v>1.7687115680693315E-5</v>
      </c>
      <c r="V506">
        <v>7.1740869333310485E-5</v>
      </c>
      <c r="W506" s="42">
        <f>$K$481+$I$470+$G$494+$E$532+$C$601+$A$556+$M$496+$O$508+Q508</f>
        <v>273345.45980810805</v>
      </c>
      <c r="X506">
        <f>u_CongnitiveImpairement</f>
        <v>17.270393127285455</v>
      </c>
      <c r="Z506" s="42">
        <f>U506*W506</f>
        <v>4.8346927684183125</v>
      </c>
      <c r="AA506" s="6">
        <f>U506*X506</f>
        <v>3.0546344109334865E-4</v>
      </c>
      <c r="AB506" s="42">
        <f t="shared" si="38"/>
        <v>0.19526575711485419</v>
      </c>
      <c r="AC506" s="42">
        <f>U506*(Q508-c_CSG)</f>
        <v>8.3589308706956605E-2</v>
      </c>
    </row>
    <row r="507" spans="13:29" x14ac:dyDescent="0.3">
      <c r="M507" s="42"/>
      <c r="O507" s="45">
        <f>SGA_prem_2normoglycaemia_2</f>
        <v>0.78449999999999998</v>
      </c>
      <c r="Q507" s="45">
        <f>noHypo2CI_2-(RDS2CLD_2*noHypo2CI_2)</f>
        <v>2.1141683406990762E-2</v>
      </c>
      <c r="R507" s="45"/>
      <c r="T507" s="78"/>
      <c r="Z507" s="42"/>
      <c r="AA507" s="6"/>
      <c r="AB507" s="42">
        <f t="shared" si="38"/>
        <v>0</v>
      </c>
      <c r="AC507" s="42"/>
    </row>
    <row r="508" spans="13:29" x14ac:dyDescent="0.3">
      <c r="M508" s="42"/>
      <c r="O508" s="46"/>
      <c r="Q508" s="46">
        <f>c_cog+c_hosp_fu+c_CSG</f>
        <v>15766</v>
      </c>
      <c r="R508" s="46"/>
      <c r="T508" s="78"/>
      <c r="Z508" s="42"/>
      <c r="AA508" s="6"/>
      <c r="AB508" s="42">
        <f t="shared" si="38"/>
        <v>0</v>
      </c>
      <c r="AC508" s="42">
        <f>U508*(Q510-c_CSG)</f>
        <v>0</v>
      </c>
    </row>
    <row r="509" spans="13:29" x14ac:dyDescent="0.3">
      <c r="M509" s="42"/>
      <c r="Q509" s="19" t="s">
        <v>368</v>
      </c>
      <c r="R509" s="19"/>
      <c r="T509" s="78"/>
      <c r="U509">
        <f>$K$480*$I$469*$G$493*$E$531*$C$600*$A$555*$M$495*$O$507*Q510</f>
        <v>9.9922515817375358E-6</v>
      </c>
      <c r="V509">
        <v>4.0529661704734088E-5</v>
      </c>
      <c r="W509" s="42">
        <f>$K$481+$I$470+$G$494+$E$532+$C$601+$A$556+$M$496+$O$508+Q511</f>
        <v>315927.97071050806</v>
      </c>
      <c r="X509">
        <f>u_ChronicResp+u_CongnitiveImpairement</f>
        <v>17.805052694763283</v>
      </c>
      <c r="Z509" s="42">
        <f>U509*W509</f>
        <v>3.1568317650472042</v>
      </c>
      <c r="AA509" s="6">
        <f>U509*X509</f>
        <v>1.7791256595216858E-4</v>
      </c>
      <c r="AB509" s="42">
        <f t="shared" si="38"/>
        <v>0.1103144574623824</v>
      </c>
      <c r="AC509" s="42">
        <f>U509*(Q511-c_CSG)</f>
        <v>0.47271854289415383</v>
      </c>
    </row>
    <row r="510" spans="13:29" x14ac:dyDescent="0.3">
      <c r="M510" s="42"/>
      <c r="Q510" s="45">
        <f>RDS2CLD_2*noHypo2CI_2</f>
        <v>1.1943893129770991E-2</v>
      </c>
      <c r="R510" s="45"/>
      <c r="T510" s="78"/>
      <c r="Z510" s="42"/>
      <c r="AA510" s="6"/>
      <c r="AB510" s="42">
        <f t="shared" si="38"/>
        <v>0</v>
      </c>
      <c r="AC510" s="42"/>
    </row>
    <row r="511" spans="13:29" x14ac:dyDescent="0.3">
      <c r="M511" s="42"/>
      <c r="Q511" s="46">
        <f>c_cog+c_lung+c_hosp_fu+c_CSG</f>
        <v>58348.510902399998</v>
      </c>
      <c r="R511" s="46"/>
      <c r="T511" s="78"/>
      <c r="Z511" s="42"/>
      <c r="AA511" s="6"/>
      <c r="AB511" s="42">
        <f t="shared" si="38"/>
        <v>0</v>
      </c>
      <c r="AC511" s="42">
        <f>U511*(Q513-c_CSG)</f>
        <v>0</v>
      </c>
    </row>
    <row r="512" spans="13:29" x14ac:dyDescent="0.3">
      <c r="M512" s="42"/>
      <c r="Q512" s="19" t="s">
        <v>369</v>
      </c>
      <c r="R512" s="19"/>
      <c r="T512" s="78"/>
      <c r="U512">
        <f>$K$480*$I$469*$G$493*$E$531*$C$600*$A$555*$M$495*$O$507*Q513</f>
        <v>5.1689978084930863E-4</v>
      </c>
      <c r="V512">
        <v>2.0966018601215751E-3</v>
      </c>
      <c r="W512" s="42">
        <f>$K$481+$I$470+$G$494+$E$532+$C$601+$A$556+$M$496+$O$508+Q514</f>
        <v>271982.45980810805</v>
      </c>
      <c r="X512">
        <f>u_Healthy</f>
        <v>0</v>
      </c>
      <c r="Z512" s="42">
        <f>U512*W512</f>
        <v>140.58767386966693</v>
      </c>
      <c r="AA512" s="6">
        <f>U512*X512</f>
        <v>0</v>
      </c>
      <c r="AB512" s="42">
        <f t="shared" si="38"/>
        <v>5.7065735805763671</v>
      </c>
      <c r="AC512" s="42">
        <f>U512*(Q514-c_CSG)</f>
        <v>1.7383339629962249</v>
      </c>
    </row>
    <row r="513" spans="9:29" x14ac:dyDescent="0.3">
      <c r="M513" s="42"/>
      <c r="Q513" s="45">
        <f>1-Q510-Q507-Q504</f>
        <v>0.61785831659300938</v>
      </c>
      <c r="R513" s="45"/>
      <c r="T513" s="78"/>
      <c r="Z513" s="42"/>
      <c r="AA513" s="6"/>
      <c r="AB513" s="42">
        <f t="shared" si="38"/>
        <v>0</v>
      </c>
      <c r="AC513" s="42">
        <f>U513*(Q515-c_CSG)</f>
        <v>0</v>
      </c>
    </row>
    <row r="514" spans="9:29" x14ac:dyDescent="0.3">
      <c r="M514" s="42"/>
      <c r="Q514" s="46">
        <f>c_clinic_fu+c_CSG</f>
        <v>14403</v>
      </c>
      <c r="R514" s="46"/>
      <c r="T514" s="78"/>
      <c r="Z514" s="42"/>
      <c r="AA514" s="6"/>
      <c r="AB514" s="42">
        <f t="shared" si="38"/>
        <v>0</v>
      </c>
      <c r="AC514" s="42">
        <f>U514*(Q516-c_CSG)</f>
        <v>0</v>
      </c>
    </row>
    <row r="515" spans="9:29" x14ac:dyDescent="0.3">
      <c r="M515" s="42"/>
      <c r="Q515" s="42"/>
      <c r="R515" s="42"/>
      <c r="T515" s="78"/>
      <c r="Z515" s="42"/>
      <c r="AA515" s="6"/>
      <c r="AB515" s="42">
        <f t="shared" si="38"/>
        <v>0</v>
      </c>
      <c r="AC515" s="42">
        <f>U515*(Q517-c_CSG)</f>
        <v>0</v>
      </c>
    </row>
    <row r="516" spans="9:29" x14ac:dyDescent="0.3">
      <c r="K516" s="19" t="s">
        <v>165</v>
      </c>
      <c r="L516" s="19"/>
      <c r="M516" s="19"/>
      <c r="N516" s="19"/>
      <c r="O516" s="19"/>
      <c r="P516" s="19"/>
      <c r="Q516" s="19"/>
      <c r="R516" s="19"/>
      <c r="T516" s="78"/>
      <c r="U516">
        <f>$G$493*$E$531*$C$600*$A$555*$I$525*K517</f>
        <v>1.0057908895469078E-4</v>
      </c>
      <c r="V516">
        <v>3.7806417943276585E-4</v>
      </c>
      <c r="W516" s="42">
        <f>$K$518+$I$526+$G$494+$E$532+$C$601+$A$556</f>
        <v>259371.45980810808</v>
      </c>
      <c r="X516">
        <f>u_Death</f>
        <v>19.181538114427529</v>
      </c>
      <c r="Z516" s="42">
        <f>U516*W516</f>
        <v>26.087345128347707</v>
      </c>
      <c r="AA516" s="6">
        <f>U516*X516</f>
        <v>1.929261628298798E-3</v>
      </c>
      <c r="AB516" s="42"/>
      <c r="AC516" s="42"/>
    </row>
    <row r="517" spans="9:29" x14ac:dyDescent="0.3">
      <c r="K517" s="45">
        <f>AGA_prem_2d_2</f>
        <v>3.1903725000000001E-2</v>
      </c>
      <c r="T517" s="78"/>
      <c r="Z517" s="42"/>
      <c r="AA517" s="6"/>
      <c r="AB517" s="42">
        <f t="shared" ref="AB517:AB548" si="39">U517*c_CSG</f>
        <v>0</v>
      </c>
      <c r="AC517" s="42">
        <f>U517*(Q519-c_CSG)</f>
        <v>0</v>
      </c>
    </row>
    <row r="518" spans="9:29" x14ac:dyDescent="0.3">
      <c r="K518" s="46">
        <f>c_SB</f>
        <v>1792</v>
      </c>
      <c r="T518" s="78"/>
      <c r="Z518" s="42"/>
      <c r="AA518" s="6"/>
      <c r="AB518" s="42">
        <f t="shared" si="39"/>
        <v>0</v>
      </c>
      <c r="AC518" s="42"/>
    </row>
    <row r="519" spans="9:29" x14ac:dyDescent="0.3">
      <c r="T519" s="78"/>
      <c r="Z519" s="42"/>
      <c r="AA519" s="6"/>
      <c r="AB519" s="42">
        <f t="shared" si="39"/>
        <v>0</v>
      </c>
      <c r="AC519" s="42">
        <f>U519*(Q521-c_CSG)</f>
        <v>0</v>
      </c>
    </row>
    <row r="520" spans="9:29" x14ac:dyDescent="0.3">
      <c r="Q520" s="19" t="s">
        <v>367</v>
      </c>
      <c r="R520" s="19"/>
      <c r="T520" s="78"/>
      <c r="U520">
        <f>$G$493*$E$531*$C$600*$A$555*$I$525*$K$536*$M$531*$O$526*Q521</f>
        <v>7.0552022667553718E-5</v>
      </c>
      <c r="V520">
        <v>2.3972017654573001E-4</v>
      </c>
      <c r="W520" s="42">
        <f>$K$537+$I$526+$G$494+$E$532+$C$601+$A$556+$M$532+$O$527+Q522</f>
        <v>345640.84125871374</v>
      </c>
      <c r="X520">
        <f>u_ChronicResp</f>
        <v>0.53465956747782661</v>
      </c>
      <c r="Z520" s="42">
        <f>U520*W520</f>
        <v>24.385660467317109</v>
      </c>
      <c r="AA520" s="6">
        <f>U520*X520</f>
        <v>3.7721313924120091E-5</v>
      </c>
      <c r="AB520" s="42">
        <f t="shared" si="39"/>
        <v>0.77889433024979304</v>
      </c>
      <c r="AC520" s="42">
        <f>U520*(Q522-c_CSG)</f>
        <v>3.0682729589869493</v>
      </c>
    </row>
    <row r="521" spans="9:29" x14ac:dyDescent="0.3">
      <c r="Q521" s="45">
        <f>RDS2CLD_2-(Hypo2CI_2*RDS2CLD_2)</f>
        <v>0.34246866666666664</v>
      </c>
      <c r="R521" s="45"/>
      <c r="T521" s="78"/>
      <c r="Z521" s="42"/>
      <c r="AA521" s="6"/>
      <c r="AB521" s="42">
        <f t="shared" si="39"/>
        <v>0</v>
      </c>
      <c r="AC521" s="42"/>
    </row>
    <row r="522" spans="9:29" x14ac:dyDescent="0.3">
      <c r="Q522" s="46">
        <f>c_lung+c_hosp_fu+c_CSG</f>
        <v>54529.510902399998</v>
      </c>
      <c r="R522" s="46"/>
      <c r="T522" s="78"/>
      <c r="Z522" s="42"/>
      <c r="AA522" s="6"/>
      <c r="AB522" s="42">
        <f t="shared" si="39"/>
        <v>0</v>
      </c>
      <c r="AC522" s="42">
        <f>U522*(Q524-c_CSG)</f>
        <v>0</v>
      </c>
    </row>
    <row r="523" spans="9:29" x14ac:dyDescent="0.3">
      <c r="Q523" s="19" t="s">
        <v>226</v>
      </c>
      <c r="R523" s="19"/>
      <c r="T523" s="78"/>
      <c r="U523">
        <f>$G$493*$E$531*$C$600*$A$555*$I$525*$K$536*$M$531*$O$526*Q524</f>
        <v>6.7575450626366709E-6</v>
      </c>
      <c r="V523">
        <v>2.2960644276127556E-5</v>
      </c>
      <c r="W523" s="42">
        <f>$K$537+$I$526+$G$494+$E$532+$C$601+$A$556+$M$532+$O$527+Q525</f>
        <v>306877.33035631373</v>
      </c>
      <c r="X523">
        <f>u_CongnitiveImpairement</f>
        <v>17.270393127285455</v>
      </c>
      <c r="Z523" s="42">
        <f>U523*W523</f>
        <v>2.0737373885844304</v>
      </c>
      <c r="AA523" s="6">
        <f>U523*X523</f>
        <v>1.1670545980708213E-4</v>
      </c>
      <c r="AB523" s="42">
        <f t="shared" si="39"/>
        <v>7.4603297491508846E-2</v>
      </c>
      <c r="AC523" s="42">
        <f>U523*(Q525-c_CSG)</f>
        <v>3.1936157966020909E-2</v>
      </c>
    </row>
    <row r="524" spans="9:29" x14ac:dyDescent="0.3">
      <c r="I524" s="19" t="s">
        <v>424</v>
      </c>
      <c r="Q524" s="45">
        <f>Hypo2CI_2-(Hypo2CI_2*RDS2CLD_2)</f>
        <v>3.2801999999999998E-2</v>
      </c>
      <c r="R524" s="45"/>
      <c r="T524" s="78"/>
      <c r="Z524" s="42"/>
      <c r="AA524" s="6"/>
      <c r="AB524" s="42">
        <f t="shared" si="39"/>
        <v>0</v>
      </c>
      <c r="AC524" s="42"/>
    </row>
    <row r="525" spans="9:29" x14ac:dyDescent="0.3">
      <c r="I525" s="45">
        <f>LBW_prem_2AGA_2</f>
        <v>0.60031407035175877</v>
      </c>
      <c r="O525" s="19" t="s">
        <v>161</v>
      </c>
      <c r="Q525" s="46">
        <f>c_cog+c_hosp_fu+c_CSG</f>
        <v>15766</v>
      </c>
      <c r="R525" s="46"/>
      <c r="T525" s="78"/>
      <c r="Z525" s="42"/>
      <c r="AA525" s="6"/>
      <c r="AB525" s="42">
        <f t="shared" si="39"/>
        <v>0</v>
      </c>
      <c r="AC525" s="42">
        <f>U525*(Q527-c_CSG)</f>
        <v>0</v>
      </c>
    </row>
    <row r="526" spans="9:29" x14ac:dyDescent="0.3">
      <c r="I526" s="46"/>
      <c r="O526" s="45">
        <f>AGA_prem_2hypoglycaemia_2</f>
        <v>0.15</v>
      </c>
      <c r="Q526" s="19" t="s">
        <v>368</v>
      </c>
      <c r="R526" s="19"/>
      <c r="T526" s="78"/>
      <c r="U526">
        <f>$G$493*$E$531*$C$600*$A$555*$I$525*$K$536*$M$531*$O$526*Q527</f>
        <v>3.8176428288135188E-6</v>
      </c>
      <c r="V526">
        <v>1.297150639073873E-5</v>
      </c>
      <c r="W526" s="42">
        <f>$K$537+$I$526+$G$494+$E$532+$C$601+$A$556+$M$532+$O$527+Q528</f>
        <v>349459.84125871374</v>
      </c>
      <c r="X526">
        <f>u_ChronicResp+u_CongnitiveImpairement</f>
        <v>17.805052694763283</v>
      </c>
      <c r="Z526" s="42">
        <f>U526*W526</f>
        <v>1.3341128569396392</v>
      </c>
      <c r="AA526" s="6">
        <f>U526*X526</f>
        <v>6.7973331736809864E-5</v>
      </c>
      <c r="AB526" s="42">
        <f t="shared" si="39"/>
        <v>4.2146776830101249E-2</v>
      </c>
      <c r="AC526" s="42">
        <f>U526*(Q528-c_CSG)</f>
        <v>0.18060699738839353</v>
      </c>
    </row>
    <row r="527" spans="9:29" x14ac:dyDescent="0.3">
      <c r="O527" s="46">
        <f>c_hypo</f>
        <v>2936.2604000000001</v>
      </c>
      <c r="Q527" s="45">
        <f>Hypo2CI_2*RDS2CLD_2</f>
        <v>1.8531333333333334E-2</v>
      </c>
      <c r="R527" s="45"/>
      <c r="T527" s="78"/>
      <c r="Z527" s="42"/>
      <c r="AA527" s="6"/>
      <c r="AB527" s="42">
        <f t="shared" si="39"/>
        <v>0</v>
      </c>
      <c r="AC527" s="42"/>
    </row>
    <row r="528" spans="9:29" x14ac:dyDescent="0.3">
      <c r="M528" s="42"/>
      <c r="Q528" s="46">
        <f>c_lung+c_cog+c_hosp_fu+c_CSG</f>
        <v>58348.510902399998</v>
      </c>
      <c r="R528" s="46"/>
      <c r="T528" s="78"/>
      <c r="Z528" s="42"/>
      <c r="AA528" s="6"/>
      <c r="AB528" s="42">
        <f t="shared" si="39"/>
        <v>0</v>
      </c>
      <c r="AC528" s="42">
        <f>U528*(Q530-c_CSG)</f>
        <v>0</v>
      </c>
    </row>
    <row r="529" spans="5:95" x14ac:dyDescent="0.3">
      <c r="Q529" s="19" t="s">
        <v>369</v>
      </c>
      <c r="R529" s="19"/>
      <c r="T529" s="78"/>
      <c r="U529">
        <f>$G$493*$E$531*$C$600*$A$555*$I$525*$K$536*$M$531*$O$526*Q530</f>
        <v>1.2488294317054523E-4</v>
      </c>
      <c r="V529">
        <v>4.2432463383025343E-4</v>
      </c>
      <c r="W529" s="42">
        <f>$K$537+$I$526+$G$494+$E$532+$C$601+$A$556+$M$532+$O$527+Q531</f>
        <v>305514.33035631373</v>
      </c>
      <c r="X529">
        <f>u_Healthy</f>
        <v>0</v>
      </c>
      <c r="Z529" s="42">
        <f>U529*W529</f>
        <v>38.153528755674706</v>
      </c>
      <c r="AA529" s="6">
        <f>U529*X529</f>
        <v>0</v>
      </c>
      <c r="AB529" s="42">
        <f t="shared" si="39"/>
        <v>1.3787076926028194</v>
      </c>
      <c r="AC529" s="42">
        <f>U529*(Q531-c_CSG)</f>
        <v>0.4199813378825436</v>
      </c>
    </row>
    <row r="530" spans="5:95" x14ac:dyDescent="0.3">
      <c r="E530" s="19" t="s">
        <v>10</v>
      </c>
      <c r="M530" s="19" t="s">
        <v>9</v>
      </c>
      <c r="Q530" s="45">
        <f>1-Q521-Q524-Q527</f>
        <v>0.60619800000000001</v>
      </c>
      <c r="R530" s="45"/>
      <c r="T530" s="78"/>
      <c r="Z530" s="42"/>
      <c r="AA530" s="6"/>
      <c r="AB530" s="42">
        <f t="shared" si="39"/>
        <v>0</v>
      </c>
      <c r="AC530" s="42">
        <f>U530*(Q532-c_CSG)</f>
        <v>0</v>
      </c>
      <c r="AX530" t="s">
        <v>9</v>
      </c>
      <c r="BB530">
        <v>0.60619800000000001</v>
      </c>
      <c r="BK530">
        <f t="shared" ref="BK530:BK561" si="40">IF(A530=AK530,0,1)</f>
        <v>0</v>
      </c>
      <c r="BL530">
        <f t="shared" ref="BL530:BL561" si="41">IF(B530=AL530,0,1)</f>
        <v>0</v>
      </c>
      <c r="BM530">
        <f t="shared" ref="BM530:BM561" si="42">IF(C530=AM531,0,1)</f>
        <v>0</v>
      </c>
      <c r="BN530">
        <f t="shared" ref="BN530:BN561" si="43">IF(D530=AO533,0,1)</f>
        <v>0</v>
      </c>
      <c r="BO530">
        <f t="shared" ref="BO530:BO561" si="44">IF(E530=AP531,0,1)</f>
        <v>0</v>
      </c>
      <c r="BP530">
        <f t="shared" ref="BP530:BP561" si="45">IF(F530=AQ531,0,1)</f>
        <v>0</v>
      </c>
      <c r="BQ530">
        <f t="shared" ref="BQ530:BQ561" si="46">IF(G530=AR531,0,1)</f>
        <v>0</v>
      </c>
      <c r="BR530">
        <f t="shared" ref="BR530:BR561" si="47">IF(H530=AS530,0,1)</f>
        <v>0</v>
      </c>
      <c r="BS530">
        <f t="shared" ref="BS530:BS561" si="48">IF(I530=AT531,0,1)</f>
        <v>0</v>
      </c>
      <c r="BT530">
        <f t="shared" ref="BT530:BT561" si="49">IF(J530=AU528,0,1)</f>
        <v>0</v>
      </c>
      <c r="BU530">
        <f t="shared" ref="BU530:BU561" si="50">IF(K530=AV530,0,1)</f>
        <v>0</v>
      </c>
      <c r="BV530">
        <f t="shared" ref="BV530:BV561" si="51">IF(L530=AW530,0,1)</f>
        <v>0</v>
      </c>
      <c r="BW530">
        <f t="shared" ref="BW530:BW561" si="52">IF(M530=AX530,0,1)</f>
        <v>0</v>
      </c>
      <c r="BX530">
        <f t="shared" ref="BX530:BX561" si="53">IF(N530=AY530,0,1)</f>
        <v>0</v>
      </c>
      <c r="BY530">
        <f t="shared" ref="BY530:BY561" si="54">IF(O530=AZ530,0,1)</f>
        <v>0</v>
      </c>
      <c r="BZ530">
        <f t="shared" ref="BZ530:BZ561" si="55">IF(P530=BA530,0,1)</f>
        <v>0</v>
      </c>
      <c r="CA530">
        <f t="shared" ref="CA530:CA561" si="56">IF(Q530=BB530,0,1)</f>
        <v>0</v>
      </c>
      <c r="CB530">
        <f t="shared" ref="CB530:CB561" si="57">IF(S530=BC530,0,1)</f>
        <v>0</v>
      </c>
      <c r="CC530">
        <f t="shared" ref="CC530:CC561" si="58">IF(T530=BD530,0,1)</f>
        <v>0</v>
      </c>
      <c r="CD530">
        <f t="shared" ref="CD530:CD561" si="59">IF(U530=BE530,0,1)</f>
        <v>0</v>
      </c>
      <c r="CE530">
        <f t="shared" ref="CE530:CE561" si="60">IF(V531=BF530,0,1)</f>
        <v>0</v>
      </c>
      <c r="CF530" t="e">
        <f>IF(#REF!=BG530,0,1)</f>
        <v>#REF!</v>
      </c>
      <c r="CG530">
        <f t="shared" ref="CG530:CG561" si="61">IF(W530=BH530,0,1)</f>
        <v>0</v>
      </c>
      <c r="CH530" t="e">
        <f>IF(#REF!=BI530,0,1)</f>
        <v>#REF!</v>
      </c>
      <c r="CI530" t="e">
        <f>IF(#REF!=BJ530,0,1)</f>
        <v>#REF!</v>
      </c>
      <c r="CJ530" t="e">
        <f>IF(#REF!=BK530,0,1)</f>
        <v>#REF!</v>
      </c>
      <c r="CK530">
        <f t="shared" ref="CK530:CK561" si="62">IF(X530=BL530,0,1)</f>
        <v>0</v>
      </c>
      <c r="CL530">
        <f t="shared" ref="CL530:CL561" si="63">IF(Z530=BM530,0,1)</f>
        <v>0</v>
      </c>
      <c r="CM530">
        <f t="shared" ref="CM530:CM561" si="64">IF(AA530=BN530,0,1)</f>
        <v>0</v>
      </c>
      <c r="CN530">
        <f t="shared" ref="CN530:CN561" si="65">IF(AD530=BO530,0,1)</f>
        <v>0</v>
      </c>
      <c r="CO530">
        <f t="shared" ref="CO530:CO561" si="66">IF(AE530=BP530,0,1)</f>
        <v>0</v>
      </c>
      <c r="CP530">
        <f t="shared" ref="CP530:CP561" si="67">IF(AF530=BQ530,0,1)</f>
        <v>0</v>
      </c>
      <c r="CQ530">
        <f t="shared" ref="CQ530:CQ561" si="68">IF(AH530=BR530,0,1)</f>
        <v>0</v>
      </c>
    </row>
    <row r="531" spans="5:95" x14ac:dyDescent="0.3">
      <c r="E531" s="45">
        <f>LB2prem_2</f>
        <v>0.13176882661996497</v>
      </c>
      <c r="K531" s="42"/>
      <c r="M531" s="45">
        <f>S_prem_2RDS_2</f>
        <v>0.45</v>
      </c>
      <c r="Q531" s="46">
        <f>c_clinic_fu+c_CSG</f>
        <v>14403</v>
      </c>
      <c r="R531" s="46"/>
      <c r="T531" s="78"/>
      <c r="Z531" s="42"/>
      <c r="AA531" s="6"/>
      <c r="AB531" s="42">
        <f t="shared" si="39"/>
        <v>0</v>
      </c>
      <c r="AC531" s="42"/>
      <c r="AP531" t="s">
        <v>10</v>
      </c>
      <c r="AX531">
        <v>0.45</v>
      </c>
      <c r="BB531">
        <v>3230</v>
      </c>
      <c r="BK531">
        <f t="shared" si="40"/>
        <v>0</v>
      </c>
      <c r="BL531">
        <f t="shared" si="41"/>
        <v>0</v>
      </c>
      <c r="BM531">
        <f t="shared" si="42"/>
        <v>0</v>
      </c>
      <c r="BN531">
        <f t="shared" si="43"/>
        <v>0</v>
      </c>
      <c r="BO531">
        <f t="shared" si="44"/>
        <v>1</v>
      </c>
      <c r="BP531">
        <f t="shared" si="45"/>
        <v>0</v>
      </c>
      <c r="BQ531">
        <f t="shared" si="46"/>
        <v>0</v>
      </c>
      <c r="BR531">
        <f t="shared" si="47"/>
        <v>0</v>
      </c>
      <c r="BS531">
        <f t="shared" si="48"/>
        <v>0</v>
      </c>
      <c r="BT531">
        <f t="shared" si="49"/>
        <v>0</v>
      </c>
      <c r="BU531">
        <f t="shared" si="50"/>
        <v>0</v>
      </c>
      <c r="BV531">
        <f t="shared" si="51"/>
        <v>0</v>
      </c>
      <c r="BW531">
        <f t="shared" si="52"/>
        <v>0</v>
      </c>
      <c r="BX531">
        <f t="shared" si="53"/>
        <v>0</v>
      </c>
      <c r="BY531">
        <f t="shared" si="54"/>
        <v>0</v>
      </c>
      <c r="BZ531">
        <f t="shared" si="55"/>
        <v>0</v>
      </c>
      <c r="CA531">
        <f t="shared" si="56"/>
        <v>1</v>
      </c>
      <c r="CB531">
        <f t="shared" si="57"/>
        <v>0</v>
      </c>
      <c r="CC531">
        <f t="shared" si="58"/>
        <v>0</v>
      </c>
      <c r="CD531">
        <f t="shared" si="59"/>
        <v>0</v>
      </c>
      <c r="CE531">
        <f t="shared" si="60"/>
        <v>0</v>
      </c>
      <c r="CF531" t="e">
        <f>IF(#REF!=BG531,0,1)</f>
        <v>#REF!</v>
      </c>
      <c r="CG531">
        <f t="shared" si="61"/>
        <v>0</v>
      </c>
      <c r="CH531" t="e">
        <f>IF(#REF!=BI531,0,1)</f>
        <v>#REF!</v>
      </c>
      <c r="CI531" t="e">
        <f>IF(#REF!=BJ531,0,1)</f>
        <v>#REF!</v>
      </c>
      <c r="CJ531" t="e">
        <f>IF(#REF!=BK531,0,1)</f>
        <v>#REF!</v>
      </c>
      <c r="CK531">
        <f t="shared" si="62"/>
        <v>0</v>
      </c>
      <c r="CL531">
        <f t="shared" si="63"/>
        <v>0</v>
      </c>
      <c r="CM531">
        <f t="shared" si="64"/>
        <v>0</v>
      </c>
      <c r="CN531">
        <f t="shared" si="65"/>
        <v>1</v>
      </c>
      <c r="CO531">
        <f t="shared" si="66"/>
        <v>0</v>
      </c>
      <c r="CP531">
        <f t="shared" si="67"/>
        <v>0</v>
      </c>
      <c r="CQ531">
        <f t="shared" si="68"/>
        <v>0</v>
      </c>
    </row>
    <row r="532" spans="5:95" x14ac:dyDescent="0.3">
      <c r="E532" s="46">
        <f>c_prem</f>
        <v>577.9017081081081</v>
      </c>
      <c r="K532" s="42"/>
      <c r="M532" s="46">
        <f>c_RDS</f>
        <v>30595.610148205637</v>
      </c>
      <c r="Q532" s="42"/>
      <c r="R532" s="42"/>
      <c r="T532" s="78"/>
      <c r="Z532" s="42"/>
      <c r="AA532" s="6"/>
      <c r="AB532" s="42">
        <f t="shared" si="39"/>
        <v>0</v>
      </c>
      <c r="AC532" s="42">
        <f>U532*(Q534-c_CSG)</f>
        <v>0</v>
      </c>
      <c r="AP532">
        <v>0.1733800350262697</v>
      </c>
      <c r="AX532">
        <v>23624</v>
      </c>
      <c r="BK532">
        <f t="shared" si="40"/>
        <v>0</v>
      </c>
      <c r="BL532">
        <f t="shared" si="41"/>
        <v>0</v>
      </c>
      <c r="BM532">
        <f t="shared" si="42"/>
        <v>0</v>
      </c>
      <c r="BN532">
        <f t="shared" si="43"/>
        <v>0</v>
      </c>
      <c r="BO532">
        <f t="shared" si="44"/>
        <v>1</v>
      </c>
      <c r="BP532">
        <f t="shared" si="45"/>
        <v>0</v>
      </c>
      <c r="BQ532">
        <f t="shared" si="46"/>
        <v>0</v>
      </c>
      <c r="BR532">
        <f t="shared" si="47"/>
        <v>0</v>
      </c>
      <c r="BS532">
        <f t="shared" si="48"/>
        <v>0</v>
      </c>
      <c r="BT532">
        <f t="shared" si="49"/>
        <v>0</v>
      </c>
      <c r="BU532">
        <f t="shared" si="50"/>
        <v>0</v>
      </c>
      <c r="BV532">
        <f t="shared" si="51"/>
        <v>0</v>
      </c>
      <c r="BW532">
        <f t="shared" si="52"/>
        <v>1</v>
      </c>
      <c r="BX532">
        <f t="shared" si="53"/>
        <v>0</v>
      </c>
      <c r="BY532">
        <f t="shared" si="54"/>
        <v>0</v>
      </c>
      <c r="BZ532">
        <f t="shared" si="55"/>
        <v>0</v>
      </c>
      <c r="CA532">
        <f t="shared" si="56"/>
        <v>0</v>
      </c>
      <c r="CB532">
        <f t="shared" si="57"/>
        <v>0</v>
      </c>
      <c r="CC532">
        <f t="shared" si="58"/>
        <v>0</v>
      </c>
      <c r="CD532">
        <f t="shared" si="59"/>
        <v>0</v>
      </c>
      <c r="CE532">
        <f t="shared" si="60"/>
        <v>1</v>
      </c>
      <c r="CF532" t="e">
        <f>IF(#REF!=BG532,0,1)</f>
        <v>#REF!</v>
      </c>
      <c r="CG532">
        <f t="shared" si="61"/>
        <v>0</v>
      </c>
      <c r="CH532" t="e">
        <f>IF(#REF!=BI532,0,1)</f>
        <v>#REF!</v>
      </c>
      <c r="CI532" t="e">
        <f>IF(#REF!=BJ532,0,1)</f>
        <v>#REF!</v>
      </c>
      <c r="CJ532" t="e">
        <f>IF(#REF!=BK532,0,1)</f>
        <v>#REF!</v>
      </c>
      <c r="CK532">
        <f t="shared" si="62"/>
        <v>0</v>
      </c>
      <c r="CL532">
        <f t="shared" si="63"/>
        <v>0</v>
      </c>
      <c r="CM532">
        <f t="shared" si="64"/>
        <v>0</v>
      </c>
      <c r="CN532">
        <f t="shared" si="65"/>
        <v>1</v>
      </c>
      <c r="CO532">
        <f t="shared" si="66"/>
        <v>0</v>
      </c>
      <c r="CP532">
        <f t="shared" si="67"/>
        <v>0</v>
      </c>
      <c r="CQ532">
        <f t="shared" si="68"/>
        <v>0</v>
      </c>
    </row>
    <row r="533" spans="5:95" x14ac:dyDescent="0.3">
      <c r="Q533" s="19" t="s">
        <v>367</v>
      </c>
      <c r="R533" s="19"/>
      <c r="T533" s="78"/>
      <c r="U533">
        <f>$G$493*$E$531*$C$600*$A$555*$I$525*$K$536*$M$531*$O$536*Q534</f>
        <v>4.0748491267391822E-4</v>
      </c>
      <c r="V533">
        <v>1.3845436532160028E-3</v>
      </c>
      <c r="W533" s="42">
        <f>$K$537+$I$526+$G$494+$E$532+$C$601+$A$556+$M$532+$O$537+Q535</f>
        <v>342704.58085871371</v>
      </c>
      <c r="X533">
        <f>u_ChronicResp</f>
        <v>0.53465956747782661</v>
      </c>
      <c r="Z533" s="42">
        <f>U533*W533</f>
        <v>139.64694620416469</v>
      </c>
      <c r="AA533" s="6">
        <f>U533*X533</f>
        <v>2.1786570716397706E-4</v>
      </c>
      <c r="AB533" s="42">
        <f t="shared" si="39"/>
        <v>4.4986334359200573</v>
      </c>
      <c r="AC533" s="42">
        <f>U533*(Q535-c_CSG)</f>
        <v>17.721319552295878</v>
      </c>
      <c r="AP533">
        <v>1653.34</v>
      </c>
      <c r="BB533" t="s">
        <v>367</v>
      </c>
      <c r="BE533">
        <v>1.3845436532160024E-3</v>
      </c>
      <c r="BK533">
        <f t="shared" si="40"/>
        <v>0</v>
      </c>
      <c r="BL533">
        <f t="shared" si="41"/>
        <v>0</v>
      </c>
      <c r="BM533">
        <f t="shared" si="42"/>
        <v>0</v>
      </c>
      <c r="BN533">
        <f t="shared" si="43"/>
        <v>0</v>
      </c>
      <c r="BO533">
        <f t="shared" si="44"/>
        <v>0</v>
      </c>
      <c r="BP533">
        <f t="shared" si="45"/>
        <v>0</v>
      </c>
      <c r="BQ533">
        <f t="shared" si="46"/>
        <v>0</v>
      </c>
      <c r="BR533">
        <f t="shared" si="47"/>
        <v>0</v>
      </c>
      <c r="BS533">
        <f t="shared" si="48"/>
        <v>0</v>
      </c>
      <c r="BT533">
        <f t="shared" si="49"/>
        <v>0</v>
      </c>
      <c r="BU533">
        <f t="shared" si="50"/>
        <v>0</v>
      </c>
      <c r="BV533">
        <f t="shared" si="51"/>
        <v>0</v>
      </c>
      <c r="BW533">
        <f t="shared" si="52"/>
        <v>0</v>
      </c>
      <c r="BX533">
        <f t="shared" si="53"/>
        <v>0</v>
      </c>
      <c r="BY533">
        <f t="shared" si="54"/>
        <v>0</v>
      </c>
      <c r="BZ533">
        <f t="shared" si="55"/>
        <v>0</v>
      </c>
      <c r="CA533">
        <f t="shared" si="56"/>
        <v>0</v>
      </c>
      <c r="CB533">
        <f t="shared" si="57"/>
        <v>0</v>
      </c>
      <c r="CC533">
        <f t="shared" si="58"/>
        <v>0</v>
      </c>
      <c r="CD533">
        <f t="shared" si="59"/>
        <v>1</v>
      </c>
      <c r="CE533">
        <f t="shared" si="60"/>
        <v>0</v>
      </c>
      <c r="CF533" t="e">
        <f>IF(#REF!=BG533,0,1)</f>
        <v>#REF!</v>
      </c>
      <c r="CG533">
        <f t="shared" si="61"/>
        <v>1</v>
      </c>
      <c r="CH533" t="e">
        <f>IF(#REF!=BI533,0,1)</f>
        <v>#REF!</v>
      </c>
      <c r="CI533" t="e">
        <f>IF(#REF!=BJ533,0,1)</f>
        <v>#REF!</v>
      </c>
      <c r="CJ533" t="e">
        <f>IF(#REF!=BK533,0,1)</f>
        <v>#REF!</v>
      </c>
      <c r="CK533">
        <f t="shared" si="62"/>
        <v>1</v>
      </c>
      <c r="CL533">
        <f t="shared" si="63"/>
        <v>1</v>
      </c>
      <c r="CM533">
        <f t="shared" si="64"/>
        <v>1</v>
      </c>
      <c r="CN533">
        <f t="shared" si="65"/>
        <v>0</v>
      </c>
      <c r="CO533">
        <f t="shared" si="66"/>
        <v>0</v>
      </c>
      <c r="CP533">
        <f t="shared" si="67"/>
        <v>0</v>
      </c>
      <c r="CQ533">
        <f t="shared" si="68"/>
        <v>0</v>
      </c>
    </row>
    <row r="534" spans="5:95" x14ac:dyDescent="0.3">
      <c r="Q534" s="45">
        <f>RDS2CLD_2-(RDS2CLD_2*noHypo2CI_2)</f>
        <v>0.34905610687022898</v>
      </c>
      <c r="R534" s="45"/>
      <c r="T534" s="78"/>
      <c r="Z534" s="42"/>
      <c r="AA534" s="6"/>
      <c r="AB534" s="42">
        <f t="shared" si="39"/>
        <v>0</v>
      </c>
      <c r="AC534" s="42"/>
      <c r="BB534">
        <v>0.34905610687022898</v>
      </c>
      <c r="BK534">
        <f t="shared" si="40"/>
        <v>0</v>
      </c>
      <c r="BL534">
        <f t="shared" si="41"/>
        <v>0</v>
      </c>
      <c r="BM534">
        <f t="shared" si="42"/>
        <v>0</v>
      </c>
      <c r="BN534">
        <f t="shared" si="43"/>
        <v>0</v>
      </c>
      <c r="BO534">
        <f t="shared" si="44"/>
        <v>0</v>
      </c>
      <c r="BP534">
        <f t="shared" si="45"/>
        <v>0</v>
      </c>
      <c r="BQ534">
        <f t="shared" si="46"/>
        <v>0</v>
      </c>
      <c r="BR534">
        <f t="shared" si="47"/>
        <v>0</v>
      </c>
      <c r="BS534">
        <f t="shared" si="48"/>
        <v>0</v>
      </c>
      <c r="BT534">
        <f t="shared" si="49"/>
        <v>0</v>
      </c>
      <c r="BU534">
        <f t="shared" si="50"/>
        <v>0</v>
      </c>
      <c r="BV534">
        <f t="shared" si="51"/>
        <v>0</v>
      </c>
      <c r="BW534">
        <f t="shared" si="52"/>
        <v>0</v>
      </c>
      <c r="BX534">
        <f t="shared" si="53"/>
        <v>0</v>
      </c>
      <c r="BY534">
        <f t="shared" si="54"/>
        <v>0</v>
      </c>
      <c r="BZ534">
        <f t="shared" si="55"/>
        <v>0</v>
      </c>
      <c r="CA534">
        <f t="shared" si="56"/>
        <v>0</v>
      </c>
      <c r="CB534">
        <f t="shared" si="57"/>
        <v>0</v>
      </c>
      <c r="CC534">
        <f t="shared" si="58"/>
        <v>0</v>
      </c>
      <c r="CD534">
        <f t="shared" si="59"/>
        <v>0</v>
      </c>
      <c r="CE534">
        <f t="shared" si="60"/>
        <v>0</v>
      </c>
      <c r="CF534" t="e">
        <f>IF(#REF!=BG534,0,1)</f>
        <v>#REF!</v>
      </c>
      <c r="CG534">
        <f t="shared" si="61"/>
        <v>0</v>
      </c>
      <c r="CH534" t="e">
        <f>IF(#REF!=BI534,0,1)</f>
        <v>#REF!</v>
      </c>
      <c r="CI534" t="e">
        <f>IF(#REF!=BJ534,0,1)</f>
        <v>#REF!</v>
      </c>
      <c r="CJ534" t="e">
        <f>IF(#REF!=BK534,0,1)</f>
        <v>#REF!</v>
      </c>
      <c r="CK534">
        <f t="shared" si="62"/>
        <v>0</v>
      </c>
      <c r="CL534">
        <f t="shared" si="63"/>
        <v>0</v>
      </c>
      <c r="CM534">
        <f t="shared" si="64"/>
        <v>0</v>
      </c>
      <c r="CN534">
        <f t="shared" si="65"/>
        <v>0</v>
      </c>
      <c r="CO534">
        <f t="shared" si="66"/>
        <v>0</v>
      </c>
      <c r="CP534">
        <f t="shared" si="67"/>
        <v>0</v>
      </c>
      <c r="CQ534">
        <f t="shared" si="68"/>
        <v>0</v>
      </c>
    </row>
    <row r="535" spans="5:95" x14ac:dyDescent="0.3">
      <c r="K535" s="19" t="s">
        <v>37</v>
      </c>
      <c r="M535" s="42"/>
      <c r="O535" s="19" t="s">
        <v>370</v>
      </c>
      <c r="Q535" s="46">
        <f>c_lung+c_hosp_fu+c_CSG</f>
        <v>54529.510902399998</v>
      </c>
      <c r="R535" s="46"/>
      <c r="T535" s="78"/>
      <c r="Z535" s="42"/>
      <c r="AA535" s="6"/>
      <c r="AB535" s="42">
        <f t="shared" si="39"/>
        <v>0</v>
      </c>
      <c r="AC535" s="42">
        <f>U535*(Q537-c_CSG)</f>
        <v>0</v>
      </c>
      <c r="AV535" t="s">
        <v>37</v>
      </c>
      <c r="AZ535" t="s">
        <v>370</v>
      </c>
      <c r="BB535">
        <v>42323.200000000004</v>
      </c>
      <c r="BK535">
        <f t="shared" si="40"/>
        <v>0</v>
      </c>
      <c r="BL535">
        <f t="shared" si="41"/>
        <v>0</v>
      </c>
      <c r="BM535">
        <f t="shared" si="42"/>
        <v>0</v>
      </c>
      <c r="BN535">
        <f t="shared" si="43"/>
        <v>0</v>
      </c>
      <c r="BO535">
        <f t="shared" si="44"/>
        <v>0</v>
      </c>
      <c r="BP535">
        <f t="shared" si="45"/>
        <v>0</v>
      </c>
      <c r="BQ535">
        <f t="shared" si="46"/>
        <v>0</v>
      </c>
      <c r="BR535">
        <f t="shared" si="47"/>
        <v>0</v>
      </c>
      <c r="BS535">
        <f t="shared" si="48"/>
        <v>0</v>
      </c>
      <c r="BT535">
        <f t="shared" si="49"/>
        <v>0</v>
      </c>
      <c r="BU535">
        <f t="shared" si="50"/>
        <v>0</v>
      </c>
      <c r="BV535">
        <f t="shared" si="51"/>
        <v>0</v>
      </c>
      <c r="BW535">
        <f t="shared" si="52"/>
        <v>0</v>
      </c>
      <c r="BX535">
        <f t="shared" si="53"/>
        <v>0</v>
      </c>
      <c r="BY535">
        <f t="shared" si="54"/>
        <v>0</v>
      </c>
      <c r="BZ535">
        <f t="shared" si="55"/>
        <v>0</v>
      </c>
      <c r="CA535">
        <f t="shared" si="56"/>
        <v>1</v>
      </c>
      <c r="CB535">
        <f t="shared" si="57"/>
        <v>0</v>
      </c>
      <c r="CC535">
        <f t="shared" si="58"/>
        <v>0</v>
      </c>
      <c r="CD535">
        <f t="shared" si="59"/>
        <v>0</v>
      </c>
      <c r="CE535">
        <f t="shared" si="60"/>
        <v>1</v>
      </c>
      <c r="CF535" t="e">
        <f>IF(#REF!=BG535,0,1)</f>
        <v>#REF!</v>
      </c>
      <c r="CG535">
        <f t="shared" si="61"/>
        <v>0</v>
      </c>
      <c r="CH535" t="e">
        <f>IF(#REF!=BI535,0,1)</f>
        <v>#REF!</v>
      </c>
      <c r="CI535" t="e">
        <f>IF(#REF!=BJ535,0,1)</f>
        <v>#REF!</v>
      </c>
      <c r="CJ535" t="e">
        <f>IF(#REF!=BK535,0,1)</f>
        <v>#REF!</v>
      </c>
      <c r="CK535">
        <f t="shared" si="62"/>
        <v>0</v>
      </c>
      <c r="CL535">
        <f t="shared" si="63"/>
        <v>0</v>
      </c>
      <c r="CM535">
        <f t="shared" si="64"/>
        <v>0</v>
      </c>
      <c r="CN535">
        <f t="shared" si="65"/>
        <v>0</v>
      </c>
      <c r="CO535">
        <f t="shared" si="66"/>
        <v>0</v>
      </c>
      <c r="CP535">
        <f t="shared" si="67"/>
        <v>0</v>
      </c>
      <c r="CQ535">
        <f t="shared" si="68"/>
        <v>0</v>
      </c>
    </row>
    <row r="536" spans="5:95" x14ac:dyDescent="0.3">
      <c r="K536" s="45">
        <f>AGA_prem_2s_2</f>
        <v>0.96809627499999995</v>
      </c>
      <c r="O536" s="45">
        <f>AGA_prem_2normoglycaemia_2</f>
        <v>0.85</v>
      </c>
      <c r="Q536" s="19" t="s">
        <v>226</v>
      </c>
      <c r="R536" s="19"/>
      <c r="T536" s="78"/>
      <c r="U536">
        <f>$G$493*$E$531*$C$600*$A$555*$I$525*$K$536*$M$531*$O$536*Q537</f>
        <v>2.4680608209728543E-5</v>
      </c>
      <c r="V536">
        <v>8.3859250714480804E-5</v>
      </c>
      <c r="W536" s="42">
        <f>$K$537+$I$526+$G$494+$E$532+$C$601+$A$556+$M$532+$O$537+Q538</f>
        <v>303941.0699563137</v>
      </c>
      <c r="X536">
        <f>u_CongnitiveImpairement</f>
        <v>17.270393127285455</v>
      </c>
      <c r="Z536" s="42">
        <f>U536*W536</f>
        <v>7.5014504664374737</v>
      </c>
      <c r="AA536" s="6">
        <f>U536*X536</f>
        <v>4.262438064025208E-4</v>
      </c>
      <c r="AB536" s="42">
        <f t="shared" si="39"/>
        <v>0.2724739146354031</v>
      </c>
      <c r="AC536" s="42">
        <f>U536*(Q538-c_CSG)</f>
        <v>0.1166405543991771</v>
      </c>
      <c r="AV536">
        <v>0.96482500000000004</v>
      </c>
      <c r="AZ536">
        <v>0.85</v>
      </c>
      <c r="BB536" t="s">
        <v>226</v>
      </c>
      <c r="BE536">
        <v>8.3859250714480777E-5</v>
      </c>
      <c r="BK536">
        <f t="shared" si="40"/>
        <v>0</v>
      </c>
      <c r="BL536">
        <f t="shared" si="41"/>
        <v>0</v>
      </c>
      <c r="BM536">
        <f t="shared" si="42"/>
        <v>0</v>
      </c>
      <c r="BN536">
        <f t="shared" si="43"/>
        <v>0</v>
      </c>
      <c r="BO536">
        <f t="shared" si="44"/>
        <v>0</v>
      </c>
      <c r="BP536">
        <f t="shared" si="45"/>
        <v>0</v>
      </c>
      <c r="BQ536">
        <f t="shared" si="46"/>
        <v>0</v>
      </c>
      <c r="BR536">
        <f t="shared" si="47"/>
        <v>0</v>
      </c>
      <c r="BS536">
        <f t="shared" si="48"/>
        <v>0</v>
      </c>
      <c r="BT536">
        <f t="shared" si="49"/>
        <v>0</v>
      </c>
      <c r="BU536">
        <f t="shared" si="50"/>
        <v>1</v>
      </c>
      <c r="BV536">
        <f t="shared" si="51"/>
        <v>0</v>
      </c>
      <c r="BW536">
        <f t="shared" si="52"/>
        <v>0</v>
      </c>
      <c r="BX536">
        <f t="shared" si="53"/>
        <v>0</v>
      </c>
      <c r="BY536">
        <f t="shared" si="54"/>
        <v>0</v>
      </c>
      <c r="BZ536">
        <f t="shared" si="55"/>
        <v>0</v>
      </c>
      <c r="CA536">
        <f t="shared" si="56"/>
        <v>0</v>
      </c>
      <c r="CB536">
        <f t="shared" si="57"/>
        <v>0</v>
      </c>
      <c r="CC536">
        <f t="shared" si="58"/>
        <v>0</v>
      </c>
      <c r="CD536">
        <f t="shared" si="59"/>
        <v>1</v>
      </c>
      <c r="CE536">
        <f t="shared" si="60"/>
        <v>0</v>
      </c>
      <c r="CF536" t="e">
        <f>IF(#REF!=BG536,0,1)</f>
        <v>#REF!</v>
      </c>
      <c r="CG536">
        <f t="shared" si="61"/>
        <v>1</v>
      </c>
      <c r="CH536" t="e">
        <f>IF(#REF!=BI536,0,1)</f>
        <v>#REF!</v>
      </c>
      <c r="CI536" t="e">
        <f>IF(#REF!=BJ536,0,1)</f>
        <v>#REF!</v>
      </c>
      <c r="CJ536" t="e">
        <f>IF(#REF!=BK536,0,1)</f>
        <v>#REF!</v>
      </c>
      <c r="CK536">
        <f t="shared" si="62"/>
        <v>1</v>
      </c>
      <c r="CL536">
        <f t="shared" si="63"/>
        <v>1</v>
      </c>
      <c r="CM536">
        <f t="shared" si="64"/>
        <v>1</v>
      </c>
      <c r="CN536">
        <f t="shared" si="65"/>
        <v>0</v>
      </c>
      <c r="CO536">
        <f t="shared" si="66"/>
        <v>0</v>
      </c>
      <c r="CP536">
        <f t="shared" si="67"/>
        <v>0</v>
      </c>
      <c r="CQ536">
        <f t="shared" si="68"/>
        <v>0</v>
      </c>
    </row>
    <row r="537" spans="5:95" x14ac:dyDescent="0.3">
      <c r="K537" s="46"/>
      <c r="O537" s="46"/>
      <c r="Q537" s="45">
        <f>noHypo2CI_2-(RDS2CLD_2*noHypo2CI_2)</f>
        <v>2.1141683406990762E-2</v>
      </c>
      <c r="R537" s="45"/>
      <c r="T537" s="78"/>
      <c r="Z537" s="42"/>
      <c r="AA537" s="6"/>
      <c r="AB537" s="42">
        <f t="shared" si="39"/>
        <v>0</v>
      </c>
      <c r="AC537" s="42"/>
      <c r="BB537">
        <v>2.1141683406990762E-2</v>
      </c>
      <c r="BK537">
        <f t="shared" si="40"/>
        <v>0</v>
      </c>
      <c r="BL537">
        <f t="shared" si="41"/>
        <v>0</v>
      </c>
      <c r="BM537">
        <f t="shared" si="42"/>
        <v>0</v>
      </c>
      <c r="BN537">
        <f t="shared" si="43"/>
        <v>0</v>
      </c>
      <c r="BO537">
        <f t="shared" si="44"/>
        <v>0</v>
      </c>
      <c r="BP537">
        <f t="shared" si="45"/>
        <v>0</v>
      </c>
      <c r="BQ537">
        <f t="shared" si="46"/>
        <v>0</v>
      </c>
      <c r="BR537">
        <f t="shared" si="47"/>
        <v>0</v>
      </c>
      <c r="BS537">
        <f t="shared" si="48"/>
        <v>0</v>
      </c>
      <c r="BT537">
        <f t="shared" si="49"/>
        <v>0</v>
      </c>
      <c r="BU537">
        <f t="shared" si="50"/>
        <v>0</v>
      </c>
      <c r="BV537">
        <f t="shared" si="51"/>
        <v>0</v>
      </c>
      <c r="BW537">
        <f t="shared" si="52"/>
        <v>0</v>
      </c>
      <c r="BX537">
        <f t="shared" si="53"/>
        <v>0</v>
      </c>
      <c r="BY537">
        <f t="shared" si="54"/>
        <v>0</v>
      </c>
      <c r="BZ537">
        <f t="shared" si="55"/>
        <v>0</v>
      </c>
      <c r="CA537">
        <f t="shared" si="56"/>
        <v>0</v>
      </c>
      <c r="CB537">
        <f t="shared" si="57"/>
        <v>0</v>
      </c>
      <c r="CC537">
        <f t="shared" si="58"/>
        <v>0</v>
      </c>
      <c r="CD537">
        <f t="shared" si="59"/>
        <v>0</v>
      </c>
      <c r="CE537">
        <f t="shared" si="60"/>
        <v>0</v>
      </c>
      <c r="CF537" t="e">
        <f>IF(#REF!=BG537,0,1)</f>
        <v>#REF!</v>
      </c>
      <c r="CG537">
        <f t="shared" si="61"/>
        <v>0</v>
      </c>
      <c r="CH537" t="e">
        <f>IF(#REF!=BI537,0,1)</f>
        <v>#REF!</v>
      </c>
      <c r="CI537" t="e">
        <f>IF(#REF!=BJ537,0,1)</f>
        <v>#REF!</v>
      </c>
      <c r="CJ537" t="e">
        <f>IF(#REF!=BK537,0,1)</f>
        <v>#REF!</v>
      </c>
      <c r="CK537">
        <f t="shared" si="62"/>
        <v>0</v>
      </c>
      <c r="CL537">
        <f t="shared" si="63"/>
        <v>0</v>
      </c>
      <c r="CM537">
        <f t="shared" si="64"/>
        <v>0</v>
      </c>
      <c r="CN537">
        <f t="shared" si="65"/>
        <v>0</v>
      </c>
      <c r="CO537">
        <f t="shared" si="66"/>
        <v>0</v>
      </c>
      <c r="CP537">
        <f t="shared" si="67"/>
        <v>0</v>
      </c>
      <c r="CQ537">
        <f t="shared" si="68"/>
        <v>0</v>
      </c>
    </row>
    <row r="538" spans="5:95" x14ac:dyDescent="0.3">
      <c r="Q538" s="46">
        <f>c_cog+c_hosp_fu+c_CSG</f>
        <v>15766</v>
      </c>
      <c r="R538" s="46"/>
      <c r="T538" s="78"/>
      <c r="Z538" s="42"/>
      <c r="AA538" s="6"/>
      <c r="AB538" s="42">
        <f t="shared" si="39"/>
        <v>0</v>
      </c>
      <c r="AC538" s="42">
        <f>U538*(Q540-c_CSG)</f>
        <v>0</v>
      </c>
      <c r="BB538">
        <v>4840</v>
      </c>
      <c r="BK538">
        <f t="shared" si="40"/>
        <v>0</v>
      </c>
      <c r="BL538">
        <f t="shared" si="41"/>
        <v>0</v>
      </c>
      <c r="BM538">
        <f t="shared" si="42"/>
        <v>0</v>
      </c>
      <c r="BN538">
        <f t="shared" si="43"/>
        <v>0</v>
      </c>
      <c r="BO538">
        <f t="shared" si="44"/>
        <v>0</v>
      </c>
      <c r="BP538">
        <f t="shared" si="45"/>
        <v>0</v>
      </c>
      <c r="BQ538">
        <f t="shared" si="46"/>
        <v>0</v>
      </c>
      <c r="BR538">
        <f t="shared" si="47"/>
        <v>0</v>
      </c>
      <c r="BS538">
        <f t="shared" si="48"/>
        <v>0</v>
      </c>
      <c r="BT538">
        <f t="shared" si="49"/>
        <v>0</v>
      </c>
      <c r="BU538">
        <f t="shared" si="50"/>
        <v>0</v>
      </c>
      <c r="BV538">
        <f t="shared" si="51"/>
        <v>0</v>
      </c>
      <c r="BW538">
        <f t="shared" si="52"/>
        <v>0</v>
      </c>
      <c r="BX538">
        <f t="shared" si="53"/>
        <v>0</v>
      </c>
      <c r="BY538">
        <f t="shared" si="54"/>
        <v>0</v>
      </c>
      <c r="BZ538">
        <f t="shared" si="55"/>
        <v>0</v>
      </c>
      <c r="CA538">
        <f t="shared" si="56"/>
        <v>1</v>
      </c>
      <c r="CB538">
        <f t="shared" si="57"/>
        <v>0</v>
      </c>
      <c r="CC538">
        <f t="shared" si="58"/>
        <v>0</v>
      </c>
      <c r="CD538">
        <f t="shared" si="59"/>
        <v>0</v>
      </c>
      <c r="CE538">
        <f t="shared" si="60"/>
        <v>1</v>
      </c>
      <c r="CF538" t="e">
        <f>IF(#REF!=BG538,0,1)</f>
        <v>#REF!</v>
      </c>
      <c r="CG538">
        <f t="shared" si="61"/>
        <v>0</v>
      </c>
      <c r="CH538" t="e">
        <f>IF(#REF!=BI538,0,1)</f>
        <v>#REF!</v>
      </c>
      <c r="CI538" t="e">
        <f>IF(#REF!=BJ538,0,1)</f>
        <v>#REF!</v>
      </c>
      <c r="CJ538" t="e">
        <f>IF(#REF!=BK538,0,1)</f>
        <v>#REF!</v>
      </c>
      <c r="CK538">
        <f t="shared" si="62"/>
        <v>0</v>
      </c>
      <c r="CL538">
        <f t="shared" si="63"/>
        <v>0</v>
      </c>
      <c r="CM538">
        <f t="shared" si="64"/>
        <v>0</v>
      </c>
      <c r="CN538">
        <f t="shared" si="65"/>
        <v>0</v>
      </c>
      <c r="CO538">
        <f t="shared" si="66"/>
        <v>0</v>
      </c>
      <c r="CP538">
        <f t="shared" si="67"/>
        <v>0</v>
      </c>
      <c r="CQ538">
        <f t="shared" si="68"/>
        <v>0</v>
      </c>
    </row>
    <row r="539" spans="5:95" x14ac:dyDescent="0.3">
      <c r="Q539" s="19" t="s">
        <v>368</v>
      </c>
      <c r="R539" s="19"/>
      <c r="T539" s="78"/>
      <c r="U539">
        <f>$G$493*$E$531*$C$600*$A$555*$I$525*$K$536*$M$531*$O$536*Q540</f>
        <v>1.3943191805496091E-5</v>
      </c>
      <c r="V539">
        <v>4.7375883423986795E-5</v>
      </c>
      <c r="W539" s="42">
        <f>$K$537+$I$526+$G$494+$E$532+$C$601+$A$556+$M$532+$O$537+Q541</f>
        <v>346523.58085871371</v>
      </c>
      <c r="X539">
        <f>u_ChronicResp+u_CongnitiveImpairement</f>
        <v>17.805052694763283</v>
      </c>
      <c r="Z539" s="42">
        <f>U539*W539</f>
        <v>4.8316447530403792</v>
      </c>
      <c r="AA539" s="6">
        <f>U539*X539</f>
        <v>2.4825926483004951E-4</v>
      </c>
      <c r="AB539" s="42">
        <f t="shared" si="39"/>
        <v>0.15393283753267684</v>
      </c>
      <c r="AC539" s="42">
        <f>U539*(Q541-c_CSG)</f>
        <v>0.65963164154456611</v>
      </c>
      <c r="BB539" t="s">
        <v>368</v>
      </c>
      <c r="BE539">
        <v>4.7375883423986789E-5</v>
      </c>
      <c r="BK539">
        <f t="shared" si="40"/>
        <v>0</v>
      </c>
      <c r="BL539">
        <f t="shared" si="41"/>
        <v>0</v>
      </c>
      <c r="BM539">
        <f t="shared" si="42"/>
        <v>0</v>
      </c>
      <c r="BN539">
        <f t="shared" si="43"/>
        <v>0</v>
      </c>
      <c r="BO539">
        <f t="shared" si="44"/>
        <v>0</v>
      </c>
      <c r="BP539">
        <f t="shared" si="45"/>
        <v>0</v>
      </c>
      <c r="BQ539">
        <f t="shared" si="46"/>
        <v>0</v>
      </c>
      <c r="BR539">
        <f t="shared" si="47"/>
        <v>0</v>
      </c>
      <c r="BS539">
        <f t="shared" si="48"/>
        <v>0</v>
      </c>
      <c r="BT539">
        <f t="shared" si="49"/>
        <v>0</v>
      </c>
      <c r="BU539">
        <f t="shared" si="50"/>
        <v>0</v>
      </c>
      <c r="BV539">
        <f t="shared" si="51"/>
        <v>0</v>
      </c>
      <c r="BW539">
        <f t="shared" si="52"/>
        <v>0</v>
      </c>
      <c r="BX539">
        <f t="shared" si="53"/>
        <v>0</v>
      </c>
      <c r="BY539">
        <f t="shared" si="54"/>
        <v>0</v>
      </c>
      <c r="BZ539">
        <f t="shared" si="55"/>
        <v>0</v>
      </c>
      <c r="CA539">
        <f t="shared" si="56"/>
        <v>0</v>
      </c>
      <c r="CB539">
        <f t="shared" si="57"/>
        <v>0</v>
      </c>
      <c r="CC539">
        <f t="shared" si="58"/>
        <v>0</v>
      </c>
      <c r="CD539">
        <f t="shared" si="59"/>
        <v>1</v>
      </c>
      <c r="CE539">
        <f t="shared" si="60"/>
        <v>0</v>
      </c>
      <c r="CF539" t="e">
        <f>IF(#REF!=BG539,0,1)</f>
        <v>#REF!</v>
      </c>
      <c r="CG539">
        <f t="shared" si="61"/>
        <v>1</v>
      </c>
      <c r="CH539" t="e">
        <f>IF(#REF!=BI539,0,1)</f>
        <v>#REF!</v>
      </c>
      <c r="CI539" t="e">
        <f>IF(#REF!=BJ539,0,1)</f>
        <v>#REF!</v>
      </c>
      <c r="CJ539" t="e">
        <f>IF(#REF!=BK539,0,1)</f>
        <v>#REF!</v>
      </c>
      <c r="CK539">
        <f t="shared" si="62"/>
        <v>1</v>
      </c>
      <c r="CL539">
        <f t="shared" si="63"/>
        <v>1</v>
      </c>
      <c r="CM539">
        <f t="shared" si="64"/>
        <v>1</v>
      </c>
      <c r="CN539">
        <f t="shared" si="65"/>
        <v>0</v>
      </c>
      <c r="CO539">
        <f t="shared" si="66"/>
        <v>0</v>
      </c>
      <c r="CP539">
        <f t="shared" si="67"/>
        <v>0</v>
      </c>
      <c r="CQ539">
        <f t="shared" si="68"/>
        <v>0</v>
      </c>
    </row>
    <row r="540" spans="5:95" x14ac:dyDescent="0.3">
      <c r="Q540" s="45">
        <f>RDS2CLD_2*noHypo2CI_2</f>
        <v>1.1943893129770991E-2</v>
      </c>
      <c r="R540" s="45"/>
      <c r="T540" s="78"/>
      <c r="Z540" s="42"/>
      <c r="AA540" s="6"/>
      <c r="AB540" s="42">
        <f t="shared" si="39"/>
        <v>0</v>
      </c>
      <c r="AC540" s="42"/>
      <c r="BB540">
        <v>1.1943893129770991E-2</v>
      </c>
      <c r="BK540">
        <f t="shared" si="40"/>
        <v>0</v>
      </c>
      <c r="BL540">
        <f t="shared" si="41"/>
        <v>0</v>
      </c>
      <c r="BM540">
        <f t="shared" si="42"/>
        <v>0</v>
      </c>
      <c r="BN540">
        <f t="shared" si="43"/>
        <v>0</v>
      </c>
      <c r="BO540">
        <f t="shared" si="44"/>
        <v>0</v>
      </c>
      <c r="BP540">
        <f t="shared" si="45"/>
        <v>0</v>
      </c>
      <c r="BQ540">
        <f t="shared" si="46"/>
        <v>0</v>
      </c>
      <c r="BR540">
        <f t="shared" si="47"/>
        <v>0</v>
      </c>
      <c r="BS540">
        <f t="shared" si="48"/>
        <v>0</v>
      </c>
      <c r="BT540">
        <f t="shared" si="49"/>
        <v>0</v>
      </c>
      <c r="BU540">
        <f t="shared" si="50"/>
        <v>0</v>
      </c>
      <c r="BV540">
        <f t="shared" si="51"/>
        <v>0</v>
      </c>
      <c r="BW540">
        <f t="shared" si="52"/>
        <v>0</v>
      </c>
      <c r="BX540">
        <f t="shared" si="53"/>
        <v>0</v>
      </c>
      <c r="BY540">
        <f t="shared" si="54"/>
        <v>0</v>
      </c>
      <c r="BZ540">
        <f t="shared" si="55"/>
        <v>0</v>
      </c>
      <c r="CA540">
        <f t="shared" si="56"/>
        <v>0</v>
      </c>
      <c r="CB540">
        <f t="shared" si="57"/>
        <v>0</v>
      </c>
      <c r="CC540">
        <f t="shared" si="58"/>
        <v>0</v>
      </c>
      <c r="CD540">
        <f t="shared" si="59"/>
        <v>0</v>
      </c>
      <c r="CE540">
        <f t="shared" si="60"/>
        <v>0</v>
      </c>
      <c r="CF540" t="e">
        <f>IF(#REF!=BG540,0,1)</f>
        <v>#REF!</v>
      </c>
      <c r="CG540">
        <f t="shared" si="61"/>
        <v>0</v>
      </c>
      <c r="CH540" t="e">
        <f>IF(#REF!=BI540,0,1)</f>
        <v>#REF!</v>
      </c>
      <c r="CI540" t="e">
        <f>IF(#REF!=BJ540,0,1)</f>
        <v>#REF!</v>
      </c>
      <c r="CJ540" t="e">
        <f>IF(#REF!=BK540,0,1)</f>
        <v>#REF!</v>
      </c>
      <c r="CK540">
        <f t="shared" si="62"/>
        <v>0</v>
      </c>
      <c r="CL540">
        <f t="shared" si="63"/>
        <v>0</v>
      </c>
      <c r="CM540">
        <f t="shared" si="64"/>
        <v>0</v>
      </c>
      <c r="CN540">
        <f t="shared" si="65"/>
        <v>0</v>
      </c>
      <c r="CO540">
        <f t="shared" si="66"/>
        <v>0</v>
      </c>
      <c r="CP540">
        <f t="shared" si="67"/>
        <v>0</v>
      </c>
      <c r="CQ540">
        <f t="shared" si="68"/>
        <v>0</v>
      </c>
    </row>
    <row r="541" spans="5:95" x14ac:dyDescent="0.3">
      <c r="Q541" s="46">
        <f>c_cog+c_lung+c_hosp_fu+c_CSG</f>
        <v>58348.510902399998</v>
      </c>
      <c r="R541" s="46"/>
      <c r="T541" s="78"/>
      <c r="Z541" s="42"/>
      <c r="AA541" s="6"/>
      <c r="AB541" s="42">
        <f t="shared" si="39"/>
        <v>0</v>
      </c>
      <c r="AC541" s="42">
        <f>U541*(Q543-c_CSG)</f>
        <v>0</v>
      </c>
      <c r="BB541">
        <v>45990.200000000004</v>
      </c>
      <c r="BK541">
        <f t="shared" si="40"/>
        <v>0</v>
      </c>
      <c r="BL541">
        <f t="shared" si="41"/>
        <v>0</v>
      </c>
      <c r="BM541">
        <f t="shared" si="42"/>
        <v>0</v>
      </c>
      <c r="BN541">
        <f t="shared" si="43"/>
        <v>0</v>
      </c>
      <c r="BO541">
        <f t="shared" si="44"/>
        <v>0</v>
      </c>
      <c r="BP541">
        <f t="shared" si="45"/>
        <v>0</v>
      </c>
      <c r="BQ541">
        <f t="shared" si="46"/>
        <v>0</v>
      </c>
      <c r="BR541">
        <f t="shared" si="47"/>
        <v>0</v>
      </c>
      <c r="BS541">
        <f t="shared" si="48"/>
        <v>0</v>
      </c>
      <c r="BT541">
        <f t="shared" si="49"/>
        <v>0</v>
      </c>
      <c r="BU541">
        <f t="shared" si="50"/>
        <v>0</v>
      </c>
      <c r="BV541">
        <f t="shared" si="51"/>
        <v>0</v>
      </c>
      <c r="BW541">
        <f t="shared" si="52"/>
        <v>0</v>
      </c>
      <c r="BX541">
        <f t="shared" si="53"/>
        <v>0</v>
      </c>
      <c r="BY541">
        <f t="shared" si="54"/>
        <v>0</v>
      </c>
      <c r="BZ541">
        <f t="shared" si="55"/>
        <v>0</v>
      </c>
      <c r="CA541">
        <f t="shared" si="56"/>
        <v>1</v>
      </c>
      <c r="CB541">
        <f t="shared" si="57"/>
        <v>0</v>
      </c>
      <c r="CC541">
        <f t="shared" si="58"/>
        <v>0</v>
      </c>
      <c r="CD541">
        <f t="shared" si="59"/>
        <v>0</v>
      </c>
      <c r="CE541">
        <f t="shared" si="60"/>
        <v>1</v>
      </c>
      <c r="CF541" t="e">
        <f>IF(#REF!=BG541,0,1)</f>
        <v>#REF!</v>
      </c>
      <c r="CG541">
        <f t="shared" si="61"/>
        <v>0</v>
      </c>
      <c r="CH541" t="e">
        <f>IF(#REF!=BI541,0,1)</f>
        <v>#REF!</v>
      </c>
      <c r="CI541" t="e">
        <f>IF(#REF!=BJ541,0,1)</f>
        <v>#REF!</v>
      </c>
      <c r="CJ541" t="e">
        <f>IF(#REF!=BK541,0,1)</f>
        <v>#REF!</v>
      </c>
      <c r="CK541">
        <f t="shared" si="62"/>
        <v>0</v>
      </c>
      <c r="CL541">
        <f t="shared" si="63"/>
        <v>0</v>
      </c>
      <c r="CM541">
        <f t="shared" si="64"/>
        <v>0</v>
      </c>
      <c r="CN541">
        <f t="shared" si="65"/>
        <v>0</v>
      </c>
      <c r="CO541">
        <f t="shared" si="66"/>
        <v>0</v>
      </c>
      <c r="CP541">
        <f t="shared" si="67"/>
        <v>0</v>
      </c>
      <c r="CQ541">
        <f t="shared" si="68"/>
        <v>0</v>
      </c>
    </row>
    <row r="542" spans="5:95" x14ac:dyDescent="0.3">
      <c r="Q542" s="19" t="s">
        <v>369</v>
      </c>
      <c r="R542" s="19"/>
      <c r="T542" s="78"/>
      <c r="U542">
        <f>$G$493*$E$531*$C$600*$A$555*$I$525*$K$536*$M$531*$O$536*Q543</f>
        <v>7.2128215844496912E-4</v>
      </c>
      <c r="V542">
        <v>2.4507573252216786E-3</v>
      </c>
      <c r="W542" s="42">
        <f>$K$537+$I$526+$G$494+$E$532+$C$601+$A$556+$M$532+$O$537+Q544</f>
        <v>302578.0699563137</v>
      </c>
      <c r="X542">
        <f>u_Healthy</f>
        <v>0</v>
      </c>
      <c r="Z542" s="42">
        <f>U542*W542</f>
        <v>218.24416339620282</v>
      </c>
      <c r="AA542" s="6">
        <f>U542*X542</f>
        <v>0</v>
      </c>
      <c r="AB542" s="42">
        <f t="shared" si="39"/>
        <v>7.9629550292324591</v>
      </c>
      <c r="AC542" s="42">
        <f>U542*(Q544-c_CSG)</f>
        <v>2.4256718988504313</v>
      </c>
      <c r="BB542" t="s">
        <v>369</v>
      </c>
      <c r="BE542">
        <v>2.4507573252216782E-3</v>
      </c>
      <c r="BK542">
        <f t="shared" si="40"/>
        <v>0</v>
      </c>
      <c r="BL542">
        <f t="shared" si="41"/>
        <v>0</v>
      </c>
      <c r="BM542">
        <f t="shared" si="42"/>
        <v>0</v>
      </c>
      <c r="BN542">
        <f t="shared" si="43"/>
        <v>0</v>
      </c>
      <c r="BO542">
        <f t="shared" si="44"/>
        <v>0</v>
      </c>
      <c r="BP542">
        <f t="shared" si="45"/>
        <v>0</v>
      </c>
      <c r="BQ542">
        <f t="shared" si="46"/>
        <v>0</v>
      </c>
      <c r="BR542">
        <f t="shared" si="47"/>
        <v>0</v>
      </c>
      <c r="BS542">
        <f t="shared" si="48"/>
        <v>0</v>
      </c>
      <c r="BT542">
        <f t="shared" si="49"/>
        <v>0</v>
      </c>
      <c r="BU542">
        <f t="shared" si="50"/>
        <v>0</v>
      </c>
      <c r="BV542">
        <f t="shared" si="51"/>
        <v>0</v>
      </c>
      <c r="BW542">
        <f t="shared" si="52"/>
        <v>0</v>
      </c>
      <c r="BX542">
        <f t="shared" si="53"/>
        <v>0</v>
      </c>
      <c r="BY542">
        <f t="shared" si="54"/>
        <v>0</v>
      </c>
      <c r="BZ542">
        <f t="shared" si="55"/>
        <v>0</v>
      </c>
      <c r="CA542">
        <f t="shared" si="56"/>
        <v>0</v>
      </c>
      <c r="CB542">
        <f t="shared" si="57"/>
        <v>0</v>
      </c>
      <c r="CC542">
        <f t="shared" si="58"/>
        <v>0</v>
      </c>
      <c r="CD542">
        <f t="shared" si="59"/>
        <v>1</v>
      </c>
      <c r="CE542">
        <f t="shared" si="60"/>
        <v>0</v>
      </c>
      <c r="CF542" t="e">
        <f>IF(#REF!=BG542,0,1)</f>
        <v>#REF!</v>
      </c>
      <c r="CG542">
        <f t="shared" si="61"/>
        <v>1</v>
      </c>
      <c r="CH542" t="e">
        <f>IF(#REF!=BI542,0,1)</f>
        <v>#REF!</v>
      </c>
      <c r="CI542" t="e">
        <f>IF(#REF!=BJ542,0,1)</f>
        <v>#REF!</v>
      </c>
      <c r="CJ542" t="e">
        <f>IF(#REF!=BK542,0,1)</f>
        <v>#REF!</v>
      </c>
      <c r="CK542">
        <f t="shared" si="62"/>
        <v>0</v>
      </c>
      <c r="CL542">
        <f t="shared" si="63"/>
        <v>1</v>
      </c>
      <c r="CM542">
        <f t="shared" si="64"/>
        <v>0</v>
      </c>
      <c r="CN542">
        <f t="shared" si="65"/>
        <v>0</v>
      </c>
      <c r="CO542">
        <f t="shared" si="66"/>
        <v>0</v>
      </c>
      <c r="CP542">
        <f t="shared" si="67"/>
        <v>0</v>
      </c>
      <c r="CQ542">
        <f t="shared" si="68"/>
        <v>0</v>
      </c>
    </row>
    <row r="543" spans="5:95" x14ac:dyDescent="0.3">
      <c r="Q543" s="45">
        <f>1-Q540-Q537-Q534</f>
        <v>0.61785831659300938</v>
      </c>
      <c r="R543" s="45"/>
      <c r="T543" s="78"/>
      <c r="Z543" s="42"/>
      <c r="AA543" s="6"/>
      <c r="AB543" s="42">
        <f t="shared" si="39"/>
        <v>0</v>
      </c>
      <c r="AC543" s="42">
        <f>U543*(Q545-c_CSG)</f>
        <v>0</v>
      </c>
      <c r="BB543">
        <v>0.61785831659300938</v>
      </c>
      <c r="BK543">
        <f t="shared" si="40"/>
        <v>0</v>
      </c>
      <c r="BL543">
        <f t="shared" si="41"/>
        <v>0</v>
      </c>
      <c r="BM543">
        <f t="shared" si="42"/>
        <v>0</v>
      </c>
      <c r="BN543">
        <f t="shared" si="43"/>
        <v>0</v>
      </c>
      <c r="BO543">
        <f t="shared" si="44"/>
        <v>0</v>
      </c>
      <c r="BP543">
        <f t="shared" si="45"/>
        <v>0</v>
      </c>
      <c r="BQ543">
        <f t="shared" si="46"/>
        <v>0</v>
      </c>
      <c r="BR543">
        <f t="shared" si="47"/>
        <v>0</v>
      </c>
      <c r="BS543">
        <f t="shared" si="48"/>
        <v>0</v>
      </c>
      <c r="BT543">
        <f t="shared" si="49"/>
        <v>0</v>
      </c>
      <c r="BU543">
        <f t="shared" si="50"/>
        <v>0</v>
      </c>
      <c r="BV543">
        <f t="shared" si="51"/>
        <v>0</v>
      </c>
      <c r="BW543">
        <f t="shared" si="52"/>
        <v>0</v>
      </c>
      <c r="BX543">
        <f t="shared" si="53"/>
        <v>0</v>
      </c>
      <c r="BY543">
        <f t="shared" si="54"/>
        <v>0</v>
      </c>
      <c r="BZ543">
        <f t="shared" si="55"/>
        <v>0</v>
      </c>
      <c r="CA543">
        <f t="shared" si="56"/>
        <v>0</v>
      </c>
      <c r="CB543">
        <f t="shared" si="57"/>
        <v>0</v>
      </c>
      <c r="CC543">
        <f t="shared" si="58"/>
        <v>0</v>
      </c>
      <c r="CD543">
        <f t="shared" si="59"/>
        <v>0</v>
      </c>
      <c r="CE543">
        <f t="shared" si="60"/>
        <v>0</v>
      </c>
      <c r="CF543" t="e">
        <f>IF(#REF!=BG543,0,1)</f>
        <v>#REF!</v>
      </c>
      <c r="CG543">
        <f t="shared" si="61"/>
        <v>0</v>
      </c>
      <c r="CH543" t="e">
        <f>IF(#REF!=BI543,0,1)</f>
        <v>#REF!</v>
      </c>
      <c r="CI543" t="e">
        <f>IF(#REF!=BJ543,0,1)</f>
        <v>#REF!</v>
      </c>
      <c r="CJ543" t="e">
        <f>IF(#REF!=BK543,0,1)</f>
        <v>#REF!</v>
      </c>
      <c r="CK543">
        <f t="shared" si="62"/>
        <v>0</v>
      </c>
      <c r="CL543">
        <f t="shared" si="63"/>
        <v>0</v>
      </c>
      <c r="CM543">
        <f t="shared" si="64"/>
        <v>0</v>
      </c>
      <c r="CN543">
        <f t="shared" si="65"/>
        <v>0</v>
      </c>
      <c r="CO543">
        <f t="shared" si="66"/>
        <v>0</v>
      </c>
      <c r="CP543">
        <f t="shared" si="67"/>
        <v>0</v>
      </c>
      <c r="CQ543">
        <f t="shared" si="68"/>
        <v>0</v>
      </c>
    </row>
    <row r="544" spans="5:95" x14ac:dyDescent="0.3">
      <c r="Q544" s="46">
        <f>c_clinic_fu+c_CSG</f>
        <v>14403</v>
      </c>
      <c r="R544" s="46"/>
      <c r="T544" s="78"/>
      <c r="Z544" s="42"/>
      <c r="AA544" s="6"/>
      <c r="AB544" s="42">
        <f t="shared" si="39"/>
        <v>0</v>
      </c>
      <c r="AC544" s="42"/>
      <c r="BB544">
        <v>3230</v>
      </c>
      <c r="BK544">
        <f t="shared" si="40"/>
        <v>0</v>
      </c>
      <c r="BL544">
        <f t="shared" si="41"/>
        <v>0</v>
      </c>
      <c r="BM544">
        <f t="shared" si="42"/>
        <v>0</v>
      </c>
      <c r="BN544">
        <f t="shared" si="43"/>
        <v>0</v>
      </c>
      <c r="BO544">
        <f t="shared" si="44"/>
        <v>0</v>
      </c>
      <c r="BP544">
        <f t="shared" si="45"/>
        <v>0</v>
      </c>
      <c r="BQ544">
        <f t="shared" si="46"/>
        <v>0</v>
      </c>
      <c r="BR544">
        <f t="shared" si="47"/>
        <v>0</v>
      </c>
      <c r="BS544">
        <f t="shared" si="48"/>
        <v>0</v>
      </c>
      <c r="BT544">
        <f t="shared" si="49"/>
        <v>0</v>
      </c>
      <c r="BU544">
        <f t="shared" si="50"/>
        <v>0</v>
      </c>
      <c r="BV544">
        <f t="shared" si="51"/>
        <v>0</v>
      </c>
      <c r="BW544">
        <f t="shared" si="52"/>
        <v>0</v>
      </c>
      <c r="BX544">
        <f t="shared" si="53"/>
        <v>0</v>
      </c>
      <c r="BY544">
        <f t="shared" si="54"/>
        <v>0</v>
      </c>
      <c r="BZ544">
        <f t="shared" si="55"/>
        <v>0</v>
      </c>
      <c r="CA544">
        <f t="shared" si="56"/>
        <v>1</v>
      </c>
      <c r="CB544">
        <f t="shared" si="57"/>
        <v>0</v>
      </c>
      <c r="CC544">
        <f t="shared" si="58"/>
        <v>0</v>
      </c>
      <c r="CD544">
        <f t="shared" si="59"/>
        <v>0</v>
      </c>
      <c r="CE544">
        <f t="shared" si="60"/>
        <v>0</v>
      </c>
      <c r="CF544" t="e">
        <f>IF(#REF!=BG544,0,1)</f>
        <v>#REF!</v>
      </c>
      <c r="CG544">
        <f t="shared" si="61"/>
        <v>0</v>
      </c>
      <c r="CH544" t="e">
        <f>IF(#REF!=BI544,0,1)</f>
        <v>#REF!</v>
      </c>
      <c r="CI544" t="e">
        <f>IF(#REF!=BJ544,0,1)</f>
        <v>#REF!</v>
      </c>
      <c r="CJ544" t="e">
        <f>IF(#REF!=BK544,0,1)</f>
        <v>#REF!</v>
      </c>
      <c r="CK544">
        <f t="shared" si="62"/>
        <v>0</v>
      </c>
      <c r="CL544">
        <f t="shared" si="63"/>
        <v>0</v>
      </c>
      <c r="CM544">
        <f t="shared" si="64"/>
        <v>0</v>
      </c>
      <c r="CN544">
        <f t="shared" si="65"/>
        <v>0</v>
      </c>
      <c r="CO544">
        <f t="shared" si="66"/>
        <v>0</v>
      </c>
      <c r="CP544">
        <f t="shared" si="67"/>
        <v>0</v>
      </c>
      <c r="CQ544">
        <f t="shared" si="68"/>
        <v>0</v>
      </c>
    </row>
    <row r="545" spans="1:95" x14ac:dyDescent="0.3">
      <c r="Q545" s="42"/>
      <c r="R545" s="42"/>
      <c r="T545" s="78"/>
      <c r="Z545" s="42"/>
      <c r="AA545" s="6"/>
      <c r="AB545" s="42">
        <f t="shared" si="39"/>
        <v>0</v>
      </c>
      <c r="AC545" s="42">
        <f>U545*(Q547-c_CSG)</f>
        <v>0</v>
      </c>
      <c r="BK545">
        <f t="shared" si="40"/>
        <v>0</v>
      </c>
      <c r="BL545">
        <f t="shared" si="41"/>
        <v>0</v>
      </c>
      <c r="BM545">
        <f t="shared" si="42"/>
        <v>0</v>
      </c>
      <c r="BN545">
        <f t="shared" si="43"/>
        <v>0</v>
      </c>
      <c r="BO545">
        <f t="shared" si="44"/>
        <v>0</v>
      </c>
      <c r="BP545">
        <f t="shared" si="45"/>
        <v>0</v>
      </c>
      <c r="BQ545">
        <f t="shared" si="46"/>
        <v>0</v>
      </c>
      <c r="BR545">
        <f t="shared" si="47"/>
        <v>0</v>
      </c>
      <c r="BS545">
        <f t="shared" si="48"/>
        <v>0</v>
      </c>
      <c r="BT545">
        <f t="shared" si="49"/>
        <v>0</v>
      </c>
      <c r="BU545">
        <f t="shared" si="50"/>
        <v>0</v>
      </c>
      <c r="BV545">
        <f t="shared" si="51"/>
        <v>0</v>
      </c>
      <c r="BW545">
        <f t="shared" si="52"/>
        <v>0</v>
      </c>
      <c r="BX545">
        <f t="shared" si="53"/>
        <v>0</v>
      </c>
      <c r="BY545">
        <f t="shared" si="54"/>
        <v>0</v>
      </c>
      <c r="BZ545">
        <f t="shared" si="55"/>
        <v>0</v>
      </c>
      <c r="CA545">
        <f t="shared" si="56"/>
        <v>0</v>
      </c>
      <c r="CB545">
        <f t="shared" si="57"/>
        <v>0</v>
      </c>
      <c r="CC545">
        <f t="shared" si="58"/>
        <v>0</v>
      </c>
      <c r="CD545">
        <f t="shared" si="59"/>
        <v>0</v>
      </c>
      <c r="CE545">
        <f t="shared" si="60"/>
        <v>1</v>
      </c>
      <c r="CF545" t="e">
        <f>IF(#REF!=BG545,0,1)</f>
        <v>#REF!</v>
      </c>
      <c r="CG545">
        <f t="shared" si="61"/>
        <v>0</v>
      </c>
      <c r="CH545" t="e">
        <f>IF(#REF!=BI545,0,1)</f>
        <v>#REF!</v>
      </c>
      <c r="CI545" t="e">
        <f>IF(#REF!=BJ545,0,1)</f>
        <v>#REF!</v>
      </c>
      <c r="CJ545" t="e">
        <f>IF(#REF!=BK545,0,1)</f>
        <v>#REF!</v>
      </c>
      <c r="CK545">
        <f t="shared" si="62"/>
        <v>0</v>
      </c>
      <c r="CL545">
        <f t="shared" si="63"/>
        <v>0</v>
      </c>
      <c r="CM545">
        <f t="shared" si="64"/>
        <v>0</v>
      </c>
      <c r="CN545">
        <f t="shared" si="65"/>
        <v>0</v>
      </c>
      <c r="CO545">
        <f t="shared" si="66"/>
        <v>0</v>
      </c>
      <c r="CP545">
        <f t="shared" si="67"/>
        <v>0</v>
      </c>
      <c r="CQ545">
        <f t="shared" si="68"/>
        <v>0</v>
      </c>
    </row>
    <row r="546" spans="1:95" x14ac:dyDescent="0.3">
      <c r="Q546" s="19" t="s">
        <v>367</v>
      </c>
      <c r="R546" s="19"/>
      <c r="T546" s="78"/>
      <c r="U546">
        <f>$G$493*$E$531*$C$600*$A$555*$I$525*$K$536*$M$551*$O$549*Q547</f>
        <v>8.623024992701011E-5</v>
      </c>
      <c r="V546">
        <v>2.9299132688922564E-4</v>
      </c>
      <c r="W546" s="42">
        <f>$K$537+$I$526+$G$494+$E$532+$C$601+$A$556+$M$552+$O$550+Q548</f>
        <v>315045.23111050809</v>
      </c>
      <c r="X546">
        <f>u_ChronicResp</f>
        <v>0.53465956747782661</v>
      </c>
      <c r="Z546" s="42">
        <f>U546*W546</f>
        <v>27.166429016971772</v>
      </c>
      <c r="AA546" s="6">
        <f>U546*X546</f>
        <v>4.6103828129480113E-5</v>
      </c>
      <c r="AB546" s="42">
        <f t="shared" si="39"/>
        <v>0.9519819591941916</v>
      </c>
      <c r="AC546" s="42">
        <f>U546*(Q548-c_CSG)</f>
        <v>3.7501113943173827</v>
      </c>
      <c r="BB546" t="s">
        <v>367</v>
      </c>
      <c r="BE546">
        <v>2.9299132688922553E-4</v>
      </c>
      <c r="BK546">
        <f t="shared" si="40"/>
        <v>0</v>
      </c>
      <c r="BL546">
        <f t="shared" si="41"/>
        <v>0</v>
      </c>
      <c r="BM546">
        <f t="shared" si="42"/>
        <v>0</v>
      </c>
      <c r="BN546">
        <f t="shared" si="43"/>
        <v>0</v>
      </c>
      <c r="BO546">
        <f t="shared" si="44"/>
        <v>0</v>
      </c>
      <c r="BP546">
        <f t="shared" si="45"/>
        <v>0</v>
      </c>
      <c r="BQ546">
        <f t="shared" si="46"/>
        <v>0</v>
      </c>
      <c r="BR546">
        <f t="shared" si="47"/>
        <v>0</v>
      </c>
      <c r="BS546">
        <f t="shared" si="48"/>
        <v>0</v>
      </c>
      <c r="BT546">
        <f t="shared" si="49"/>
        <v>0</v>
      </c>
      <c r="BU546">
        <f t="shared" si="50"/>
        <v>0</v>
      </c>
      <c r="BV546">
        <f t="shared" si="51"/>
        <v>0</v>
      </c>
      <c r="BW546">
        <f t="shared" si="52"/>
        <v>0</v>
      </c>
      <c r="BX546">
        <f t="shared" si="53"/>
        <v>0</v>
      </c>
      <c r="BY546">
        <f t="shared" si="54"/>
        <v>0</v>
      </c>
      <c r="BZ546">
        <f t="shared" si="55"/>
        <v>0</v>
      </c>
      <c r="CA546">
        <f t="shared" si="56"/>
        <v>0</v>
      </c>
      <c r="CB546">
        <f t="shared" si="57"/>
        <v>0</v>
      </c>
      <c r="CC546">
        <f t="shared" si="58"/>
        <v>0</v>
      </c>
      <c r="CD546">
        <f t="shared" si="59"/>
        <v>1</v>
      </c>
      <c r="CE546">
        <f t="shared" si="60"/>
        <v>0</v>
      </c>
      <c r="CF546" t="e">
        <f>IF(#REF!=BG546,0,1)</f>
        <v>#REF!</v>
      </c>
      <c r="CG546">
        <f t="shared" si="61"/>
        <v>1</v>
      </c>
      <c r="CH546" t="e">
        <f>IF(#REF!=BI546,0,1)</f>
        <v>#REF!</v>
      </c>
      <c r="CI546" t="e">
        <f>IF(#REF!=BJ546,0,1)</f>
        <v>#REF!</v>
      </c>
      <c r="CJ546" t="e">
        <f>IF(#REF!=BK546,0,1)</f>
        <v>#REF!</v>
      </c>
      <c r="CK546">
        <f t="shared" si="62"/>
        <v>1</v>
      </c>
      <c r="CL546">
        <f t="shared" si="63"/>
        <v>1</v>
      </c>
      <c r="CM546">
        <f t="shared" si="64"/>
        <v>1</v>
      </c>
      <c r="CN546">
        <f t="shared" si="65"/>
        <v>0</v>
      </c>
      <c r="CO546">
        <f t="shared" si="66"/>
        <v>0</v>
      </c>
      <c r="CP546">
        <f t="shared" si="67"/>
        <v>0</v>
      </c>
      <c r="CQ546">
        <f t="shared" si="68"/>
        <v>0</v>
      </c>
    </row>
    <row r="547" spans="1:95" x14ac:dyDescent="0.3">
      <c r="Q547" s="45">
        <f>RDS2CLD_2-(Hypo2CI_2*RDS2CLD_2)</f>
        <v>0.34246866666666664</v>
      </c>
      <c r="R547" s="45"/>
      <c r="T547" s="78"/>
      <c r="Z547" s="42"/>
      <c r="AA547" s="6"/>
      <c r="AB547" s="42">
        <f t="shared" si="39"/>
        <v>0</v>
      </c>
      <c r="AC547" s="42"/>
      <c r="BB547">
        <v>0.34246866666666664</v>
      </c>
      <c r="BK547">
        <f t="shared" si="40"/>
        <v>0</v>
      </c>
      <c r="BL547">
        <f t="shared" si="41"/>
        <v>0</v>
      </c>
      <c r="BM547">
        <f t="shared" si="42"/>
        <v>0</v>
      </c>
      <c r="BN547">
        <f t="shared" si="43"/>
        <v>0</v>
      </c>
      <c r="BO547">
        <f t="shared" si="44"/>
        <v>0</v>
      </c>
      <c r="BP547">
        <f t="shared" si="45"/>
        <v>0</v>
      </c>
      <c r="BQ547">
        <f t="shared" si="46"/>
        <v>0</v>
      </c>
      <c r="BR547">
        <f t="shared" si="47"/>
        <v>0</v>
      </c>
      <c r="BS547">
        <f t="shared" si="48"/>
        <v>0</v>
      </c>
      <c r="BT547">
        <f t="shared" si="49"/>
        <v>0</v>
      </c>
      <c r="BU547">
        <f t="shared" si="50"/>
        <v>0</v>
      </c>
      <c r="BV547">
        <f t="shared" si="51"/>
        <v>0</v>
      </c>
      <c r="BW547">
        <f t="shared" si="52"/>
        <v>0</v>
      </c>
      <c r="BX547">
        <f t="shared" si="53"/>
        <v>0</v>
      </c>
      <c r="BY547">
        <f t="shared" si="54"/>
        <v>0</v>
      </c>
      <c r="BZ547">
        <f t="shared" si="55"/>
        <v>0</v>
      </c>
      <c r="CA547">
        <f t="shared" si="56"/>
        <v>0</v>
      </c>
      <c r="CB547">
        <f t="shared" si="57"/>
        <v>0</v>
      </c>
      <c r="CC547">
        <f t="shared" si="58"/>
        <v>0</v>
      </c>
      <c r="CD547">
        <f t="shared" si="59"/>
        <v>0</v>
      </c>
      <c r="CE547">
        <f t="shared" si="60"/>
        <v>0</v>
      </c>
      <c r="CF547" t="e">
        <f>IF(#REF!=BG547,0,1)</f>
        <v>#REF!</v>
      </c>
      <c r="CG547">
        <f t="shared" si="61"/>
        <v>0</v>
      </c>
      <c r="CH547" t="e">
        <f>IF(#REF!=BI547,0,1)</f>
        <v>#REF!</v>
      </c>
      <c r="CI547" t="e">
        <f>IF(#REF!=BJ547,0,1)</f>
        <v>#REF!</v>
      </c>
      <c r="CJ547" t="e">
        <f>IF(#REF!=BK547,0,1)</f>
        <v>#REF!</v>
      </c>
      <c r="CK547">
        <f t="shared" si="62"/>
        <v>0</v>
      </c>
      <c r="CL547">
        <f t="shared" si="63"/>
        <v>0</v>
      </c>
      <c r="CM547">
        <f t="shared" si="64"/>
        <v>0</v>
      </c>
      <c r="CN547">
        <f t="shared" si="65"/>
        <v>0</v>
      </c>
      <c r="CO547">
        <f t="shared" si="66"/>
        <v>0</v>
      </c>
      <c r="CP547">
        <f t="shared" si="67"/>
        <v>0</v>
      </c>
      <c r="CQ547">
        <f t="shared" si="68"/>
        <v>0</v>
      </c>
    </row>
    <row r="548" spans="1:95" x14ac:dyDescent="0.3">
      <c r="O548" s="19" t="s">
        <v>161</v>
      </c>
      <c r="Q548" s="46">
        <f>c_lung+c_hosp_fu+c_CSG</f>
        <v>54529.510902399998</v>
      </c>
      <c r="R548" s="46"/>
      <c r="T548" s="78"/>
      <c r="Z548" s="42"/>
      <c r="AA548" s="6"/>
      <c r="AB548" s="42">
        <f t="shared" si="39"/>
        <v>0</v>
      </c>
      <c r="AC548" s="42">
        <f>U548*(Q550-c_CSG)</f>
        <v>0</v>
      </c>
      <c r="AZ548" t="s">
        <v>161</v>
      </c>
      <c r="BB548">
        <v>42323.200000000004</v>
      </c>
      <c r="BK548">
        <f t="shared" si="40"/>
        <v>0</v>
      </c>
      <c r="BL548">
        <f t="shared" si="41"/>
        <v>0</v>
      </c>
      <c r="BM548">
        <f t="shared" si="42"/>
        <v>0</v>
      </c>
      <c r="BN548">
        <f t="shared" si="43"/>
        <v>0</v>
      </c>
      <c r="BO548">
        <f t="shared" si="44"/>
        <v>0</v>
      </c>
      <c r="BP548">
        <f t="shared" si="45"/>
        <v>0</v>
      </c>
      <c r="BQ548">
        <f t="shared" si="46"/>
        <v>0</v>
      </c>
      <c r="BR548">
        <f t="shared" si="47"/>
        <v>0</v>
      </c>
      <c r="BS548">
        <f t="shared" si="48"/>
        <v>0</v>
      </c>
      <c r="BT548">
        <f t="shared" si="49"/>
        <v>0</v>
      </c>
      <c r="BU548">
        <f t="shared" si="50"/>
        <v>0</v>
      </c>
      <c r="BV548">
        <f t="shared" si="51"/>
        <v>0</v>
      </c>
      <c r="BW548">
        <f t="shared" si="52"/>
        <v>0</v>
      </c>
      <c r="BX548">
        <f t="shared" si="53"/>
        <v>0</v>
      </c>
      <c r="BY548">
        <f t="shared" si="54"/>
        <v>0</v>
      </c>
      <c r="BZ548">
        <f t="shared" si="55"/>
        <v>0</v>
      </c>
      <c r="CA548">
        <f t="shared" si="56"/>
        <v>1</v>
      </c>
      <c r="CB548">
        <f t="shared" si="57"/>
        <v>0</v>
      </c>
      <c r="CC548">
        <f t="shared" si="58"/>
        <v>0</v>
      </c>
      <c r="CD548">
        <f t="shared" si="59"/>
        <v>0</v>
      </c>
      <c r="CE548">
        <f t="shared" si="60"/>
        <v>1</v>
      </c>
      <c r="CF548" t="e">
        <f>IF(#REF!=BG548,0,1)</f>
        <v>#REF!</v>
      </c>
      <c r="CG548">
        <f t="shared" si="61"/>
        <v>0</v>
      </c>
      <c r="CH548" t="e">
        <f>IF(#REF!=BI548,0,1)</f>
        <v>#REF!</v>
      </c>
      <c r="CI548" t="e">
        <f>IF(#REF!=BJ548,0,1)</f>
        <v>#REF!</v>
      </c>
      <c r="CJ548" t="e">
        <f>IF(#REF!=BK548,0,1)</f>
        <v>#REF!</v>
      </c>
      <c r="CK548">
        <f t="shared" si="62"/>
        <v>0</v>
      </c>
      <c r="CL548">
        <f t="shared" si="63"/>
        <v>0</v>
      </c>
      <c r="CM548">
        <f t="shared" si="64"/>
        <v>0</v>
      </c>
      <c r="CN548">
        <f t="shared" si="65"/>
        <v>0</v>
      </c>
      <c r="CO548">
        <f t="shared" si="66"/>
        <v>0</v>
      </c>
      <c r="CP548">
        <f t="shared" si="67"/>
        <v>0</v>
      </c>
      <c r="CQ548">
        <f t="shared" si="68"/>
        <v>0</v>
      </c>
    </row>
    <row r="549" spans="1:95" x14ac:dyDescent="0.3">
      <c r="O549" s="45">
        <f>AGA_prem_2hypoglycaemia_2</f>
        <v>0.15</v>
      </c>
      <c r="Q549" s="19" t="s">
        <v>226</v>
      </c>
      <c r="R549" s="19"/>
      <c r="T549" s="78"/>
      <c r="U549">
        <f>$G$493*$E$531*$C$600*$A$555*$I$525*$K$536*$M$551*$O$549*Q550</f>
        <v>8.259221743222598E-6</v>
      </c>
      <c r="V549">
        <v>2.8063009670822573E-5</v>
      </c>
      <c r="W549" s="42">
        <f>$K$537+$I$526+$G$494+$E$532+$C$601+$A$556+$M$552+$O$550+Q551</f>
        <v>276281.72020810808</v>
      </c>
      <c r="X549">
        <f>u_CongnitiveImpairement</f>
        <v>17.270393127285455</v>
      </c>
      <c r="Z549" s="42">
        <f>U549*W549</f>
        <v>2.2818719907977485</v>
      </c>
      <c r="AA549" s="6">
        <f>U549*X549</f>
        <v>1.4264000643087816E-4</v>
      </c>
      <c r="AB549" s="42">
        <f t="shared" ref="AB549:AB571" si="69">U549*c_CSG</f>
        <v>9.1181808045177476E-2</v>
      </c>
      <c r="AC549" s="42">
        <f>U549*(Q551-c_CSG)</f>
        <v>3.9033081958469995E-2</v>
      </c>
      <c r="AZ549">
        <v>0.15</v>
      </c>
      <c r="BB549" t="s">
        <v>226</v>
      </c>
      <c r="BE549">
        <v>2.8063009670822566E-5</v>
      </c>
      <c r="BK549">
        <f t="shared" si="40"/>
        <v>0</v>
      </c>
      <c r="BL549">
        <f t="shared" si="41"/>
        <v>0</v>
      </c>
      <c r="BM549">
        <f t="shared" si="42"/>
        <v>0</v>
      </c>
      <c r="BN549">
        <f t="shared" si="43"/>
        <v>0</v>
      </c>
      <c r="BO549">
        <f t="shared" si="44"/>
        <v>0</v>
      </c>
      <c r="BP549">
        <f t="shared" si="45"/>
        <v>0</v>
      </c>
      <c r="BQ549">
        <f t="shared" si="46"/>
        <v>0</v>
      </c>
      <c r="BR549">
        <f t="shared" si="47"/>
        <v>0</v>
      </c>
      <c r="BS549">
        <f t="shared" si="48"/>
        <v>0</v>
      </c>
      <c r="BT549">
        <f t="shared" si="49"/>
        <v>0</v>
      </c>
      <c r="BU549">
        <f t="shared" si="50"/>
        <v>0</v>
      </c>
      <c r="BV549">
        <f t="shared" si="51"/>
        <v>0</v>
      </c>
      <c r="BW549">
        <f t="shared" si="52"/>
        <v>0</v>
      </c>
      <c r="BX549">
        <f t="shared" si="53"/>
        <v>0</v>
      </c>
      <c r="BY549">
        <f t="shared" si="54"/>
        <v>0</v>
      </c>
      <c r="BZ549">
        <f t="shared" si="55"/>
        <v>0</v>
      </c>
      <c r="CA549">
        <f t="shared" si="56"/>
        <v>0</v>
      </c>
      <c r="CB549">
        <f t="shared" si="57"/>
        <v>0</v>
      </c>
      <c r="CC549">
        <f t="shared" si="58"/>
        <v>0</v>
      </c>
      <c r="CD549">
        <f t="shared" si="59"/>
        <v>1</v>
      </c>
      <c r="CE549">
        <f t="shared" si="60"/>
        <v>0</v>
      </c>
      <c r="CF549" t="e">
        <f>IF(#REF!=BG549,0,1)</f>
        <v>#REF!</v>
      </c>
      <c r="CG549">
        <f t="shared" si="61"/>
        <v>1</v>
      </c>
      <c r="CH549" t="e">
        <f>IF(#REF!=BI549,0,1)</f>
        <v>#REF!</v>
      </c>
      <c r="CI549" t="e">
        <f>IF(#REF!=BJ549,0,1)</f>
        <v>#REF!</v>
      </c>
      <c r="CJ549" t="e">
        <f>IF(#REF!=BK549,0,1)</f>
        <v>#REF!</v>
      </c>
      <c r="CK549">
        <f t="shared" si="62"/>
        <v>1</v>
      </c>
      <c r="CL549">
        <f t="shared" si="63"/>
        <v>1</v>
      </c>
      <c r="CM549">
        <f t="shared" si="64"/>
        <v>1</v>
      </c>
      <c r="CN549">
        <f t="shared" si="65"/>
        <v>0</v>
      </c>
      <c r="CO549">
        <f t="shared" si="66"/>
        <v>0</v>
      </c>
      <c r="CP549">
        <f t="shared" si="67"/>
        <v>0</v>
      </c>
      <c r="CQ549">
        <f t="shared" si="68"/>
        <v>0</v>
      </c>
    </row>
    <row r="550" spans="1:95" x14ac:dyDescent="0.3">
      <c r="M550" s="19" t="s">
        <v>203</v>
      </c>
      <c r="O550" s="46">
        <f>c_hypo</f>
        <v>2936.2604000000001</v>
      </c>
      <c r="Q550" s="45">
        <f>Hypo2CI_2-(Hypo2CI_2*RDS2CLD_2)</f>
        <v>3.2801999999999998E-2</v>
      </c>
      <c r="R550" s="45"/>
      <c r="T550" s="78"/>
      <c r="Z550" s="42"/>
      <c r="AA550" s="6"/>
      <c r="AB550" s="42">
        <f t="shared" si="69"/>
        <v>0</v>
      </c>
      <c r="AC550" s="42"/>
      <c r="AX550" t="s">
        <v>203</v>
      </c>
      <c r="AZ550">
        <v>2728.1</v>
      </c>
      <c r="BB550">
        <v>3.2801999999999998E-2</v>
      </c>
      <c r="BK550">
        <f t="shared" si="40"/>
        <v>0</v>
      </c>
      <c r="BL550">
        <f t="shared" si="41"/>
        <v>0</v>
      </c>
      <c r="BM550">
        <f t="shared" si="42"/>
        <v>0</v>
      </c>
      <c r="BN550">
        <f t="shared" si="43"/>
        <v>0</v>
      </c>
      <c r="BO550">
        <f t="shared" si="44"/>
        <v>0</v>
      </c>
      <c r="BP550">
        <f t="shared" si="45"/>
        <v>0</v>
      </c>
      <c r="BQ550">
        <f t="shared" si="46"/>
        <v>0</v>
      </c>
      <c r="BR550">
        <f t="shared" si="47"/>
        <v>0</v>
      </c>
      <c r="BS550">
        <f t="shared" si="48"/>
        <v>0</v>
      </c>
      <c r="BT550">
        <f t="shared" si="49"/>
        <v>0</v>
      </c>
      <c r="BU550">
        <f t="shared" si="50"/>
        <v>0</v>
      </c>
      <c r="BV550">
        <f t="shared" si="51"/>
        <v>0</v>
      </c>
      <c r="BW550">
        <f t="shared" si="52"/>
        <v>0</v>
      </c>
      <c r="BX550">
        <f t="shared" si="53"/>
        <v>0</v>
      </c>
      <c r="BY550">
        <f t="shared" si="54"/>
        <v>1</v>
      </c>
      <c r="BZ550">
        <f t="shared" si="55"/>
        <v>0</v>
      </c>
      <c r="CA550">
        <f t="shared" si="56"/>
        <v>0</v>
      </c>
      <c r="CB550">
        <f t="shared" si="57"/>
        <v>0</v>
      </c>
      <c r="CC550">
        <f t="shared" si="58"/>
        <v>0</v>
      </c>
      <c r="CD550">
        <f t="shared" si="59"/>
        <v>0</v>
      </c>
      <c r="CE550">
        <f t="shared" si="60"/>
        <v>0</v>
      </c>
      <c r="CF550" t="e">
        <f>IF(#REF!=BG550,0,1)</f>
        <v>#REF!</v>
      </c>
      <c r="CG550">
        <f t="shared" si="61"/>
        <v>0</v>
      </c>
      <c r="CH550" t="e">
        <f>IF(#REF!=BI550,0,1)</f>
        <v>#REF!</v>
      </c>
      <c r="CI550" t="e">
        <f>IF(#REF!=BJ550,0,1)</f>
        <v>#REF!</v>
      </c>
      <c r="CJ550" t="e">
        <f>IF(#REF!=BK550,0,1)</f>
        <v>#REF!</v>
      </c>
      <c r="CK550">
        <f t="shared" si="62"/>
        <v>0</v>
      </c>
      <c r="CL550">
        <f t="shared" si="63"/>
        <v>0</v>
      </c>
      <c r="CM550">
        <f t="shared" si="64"/>
        <v>0</v>
      </c>
      <c r="CN550">
        <f t="shared" si="65"/>
        <v>0</v>
      </c>
      <c r="CO550">
        <f t="shared" si="66"/>
        <v>0</v>
      </c>
      <c r="CP550">
        <f t="shared" si="67"/>
        <v>0</v>
      </c>
      <c r="CQ550">
        <f t="shared" si="68"/>
        <v>0</v>
      </c>
    </row>
    <row r="551" spans="1:95" x14ac:dyDescent="0.3">
      <c r="M551" s="45">
        <f>S_prem_2noRDS_2</f>
        <v>0.55000000000000004</v>
      </c>
      <c r="Q551" s="46">
        <f>c_cog+c_hosp_fu+c_CSG</f>
        <v>15766</v>
      </c>
      <c r="R551" s="46"/>
      <c r="T551" s="78"/>
      <c r="Z551" s="42"/>
      <c r="AA551" s="6"/>
      <c r="AB551" s="42">
        <f t="shared" si="69"/>
        <v>0</v>
      </c>
      <c r="AC551" s="42">
        <f>U551*(Q553-c_CSG)</f>
        <v>0</v>
      </c>
      <c r="AX551">
        <v>0.55000000000000004</v>
      </c>
      <c r="BB551">
        <v>4840</v>
      </c>
      <c r="BK551">
        <f t="shared" si="40"/>
        <v>0</v>
      </c>
      <c r="BL551">
        <f t="shared" si="41"/>
        <v>0</v>
      </c>
      <c r="BM551">
        <f t="shared" si="42"/>
        <v>0</v>
      </c>
      <c r="BN551">
        <f t="shared" si="43"/>
        <v>0</v>
      </c>
      <c r="BO551">
        <f t="shared" si="44"/>
        <v>0</v>
      </c>
      <c r="BP551">
        <f t="shared" si="45"/>
        <v>0</v>
      </c>
      <c r="BQ551">
        <f t="shared" si="46"/>
        <v>0</v>
      </c>
      <c r="BR551">
        <f t="shared" si="47"/>
        <v>0</v>
      </c>
      <c r="BS551">
        <f t="shared" si="48"/>
        <v>0</v>
      </c>
      <c r="BT551">
        <f t="shared" si="49"/>
        <v>0</v>
      </c>
      <c r="BU551">
        <f t="shared" si="50"/>
        <v>0</v>
      </c>
      <c r="BV551">
        <f t="shared" si="51"/>
        <v>0</v>
      </c>
      <c r="BW551">
        <f t="shared" si="52"/>
        <v>0</v>
      </c>
      <c r="BX551">
        <f t="shared" si="53"/>
        <v>0</v>
      </c>
      <c r="BY551">
        <f t="shared" si="54"/>
        <v>0</v>
      </c>
      <c r="BZ551">
        <f t="shared" si="55"/>
        <v>0</v>
      </c>
      <c r="CA551">
        <f t="shared" si="56"/>
        <v>1</v>
      </c>
      <c r="CB551">
        <f t="shared" si="57"/>
        <v>0</v>
      </c>
      <c r="CC551">
        <f t="shared" si="58"/>
        <v>0</v>
      </c>
      <c r="CD551">
        <f t="shared" si="59"/>
        <v>0</v>
      </c>
      <c r="CE551">
        <f t="shared" si="60"/>
        <v>1</v>
      </c>
      <c r="CF551" t="e">
        <f>IF(#REF!=BG551,0,1)</f>
        <v>#REF!</v>
      </c>
      <c r="CG551">
        <f t="shared" si="61"/>
        <v>0</v>
      </c>
      <c r="CH551" t="e">
        <f>IF(#REF!=BI551,0,1)</f>
        <v>#REF!</v>
      </c>
      <c r="CI551" t="e">
        <f>IF(#REF!=BJ551,0,1)</f>
        <v>#REF!</v>
      </c>
      <c r="CJ551" t="e">
        <f>IF(#REF!=BK551,0,1)</f>
        <v>#REF!</v>
      </c>
      <c r="CK551">
        <f t="shared" si="62"/>
        <v>0</v>
      </c>
      <c r="CL551">
        <f t="shared" si="63"/>
        <v>0</v>
      </c>
      <c r="CM551">
        <f t="shared" si="64"/>
        <v>0</v>
      </c>
      <c r="CN551">
        <f t="shared" si="65"/>
        <v>0</v>
      </c>
      <c r="CO551">
        <f t="shared" si="66"/>
        <v>0</v>
      </c>
      <c r="CP551">
        <f t="shared" si="67"/>
        <v>0</v>
      </c>
      <c r="CQ551">
        <f t="shared" si="68"/>
        <v>0</v>
      </c>
    </row>
    <row r="552" spans="1:95" x14ac:dyDescent="0.3">
      <c r="M552" s="46"/>
      <c r="O552" s="42"/>
      <c r="Q552" s="19" t="s">
        <v>368</v>
      </c>
      <c r="R552" s="19"/>
      <c r="T552" s="78"/>
      <c r="U552" s="97">
        <f>G493*E531*C600*A555*I525*K536*M551*O549*Q553</f>
        <v>4.666007901883189E-6</v>
      </c>
      <c r="V552">
        <v>1.585406336645845E-5</v>
      </c>
      <c r="W552" s="42">
        <f>$K$537+$I$526+$G$494+$E$532+$C$601+$A$556+$M$552+$O$550+Q554</f>
        <v>318864.23111050809</v>
      </c>
      <c r="X552">
        <f>u_ChronicResp+u_CongnitiveImpairement</f>
        <v>17.805052694763283</v>
      </c>
      <c r="Z552" s="42">
        <f>U552*W552</f>
        <v>1.4878230219895381</v>
      </c>
      <c r="AA552" s="6">
        <f>U552*X552</f>
        <v>8.3078516567212054E-5</v>
      </c>
      <c r="AB552" s="42">
        <f t="shared" si="69"/>
        <v>5.1512727236790408E-2</v>
      </c>
      <c r="AC552" s="42">
        <f>U552*(Q554-c_CSG)</f>
        <v>0.22074188569692538</v>
      </c>
      <c r="BB552" t="s">
        <v>368</v>
      </c>
      <c r="BE552">
        <v>1.5854063366458447E-5</v>
      </c>
      <c r="BK552">
        <f t="shared" si="40"/>
        <v>0</v>
      </c>
      <c r="BL552">
        <f t="shared" si="41"/>
        <v>0</v>
      </c>
      <c r="BM552">
        <f t="shared" si="42"/>
        <v>0</v>
      </c>
      <c r="BN552">
        <f t="shared" si="43"/>
        <v>0</v>
      </c>
      <c r="BO552">
        <f t="shared" si="44"/>
        <v>0</v>
      </c>
      <c r="BP552">
        <f t="shared" si="45"/>
        <v>0</v>
      </c>
      <c r="BQ552">
        <f t="shared" si="46"/>
        <v>0</v>
      </c>
      <c r="BR552">
        <f t="shared" si="47"/>
        <v>0</v>
      </c>
      <c r="BS552">
        <f t="shared" si="48"/>
        <v>0</v>
      </c>
      <c r="BT552">
        <f t="shared" si="49"/>
        <v>0</v>
      </c>
      <c r="BU552">
        <f t="shared" si="50"/>
        <v>0</v>
      </c>
      <c r="BV552">
        <f t="shared" si="51"/>
        <v>0</v>
      </c>
      <c r="BW552">
        <f t="shared" si="52"/>
        <v>0</v>
      </c>
      <c r="BX552">
        <f t="shared" si="53"/>
        <v>0</v>
      </c>
      <c r="BY552">
        <f t="shared" si="54"/>
        <v>0</v>
      </c>
      <c r="BZ552">
        <f t="shared" si="55"/>
        <v>0</v>
      </c>
      <c r="CA552">
        <f t="shared" si="56"/>
        <v>0</v>
      </c>
      <c r="CB552">
        <f t="shared" si="57"/>
        <v>0</v>
      </c>
      <c r="CC552">
        <f t="shared" si="58"/>
        <v>0</v>
      </c>
      <c r="CD552">
        <f t="shared" si="59"/>
        <v>1</v>
      </c>
      <c r="CE552">
        <f t="shared" si="60"/>
        <v>0</v>
      </c>
      <c r="CF552" t="e">
        <f>IF(#REF!=BG552,0,1)</f>
        <v>#REF!</v>
      </c>
      <c r="CG552">
        <f t="shared" si="61"/>
        <v>1</v>
      </c>
      <c r="CH552" t="e">
        <f>IF(#REF!=BI552,0,1)</f>
        <v>#REF!</v>
      </c>
      <c r="CI552" t="e">
        <f>IF(#REF!=BJ552,0,1)</f>
        <v>#REF!</v>
      </c>
      <c r="CJ552" t="e">
        <f>IF(#REF!=BK552,0,1)</f>
        <v>#REF!</v>
      </c>
      <c r="CK552">
        <f t="shared" si="62"/>
        <v>1</v>
      </c>
      <c r="CL552">
        <f t="shared" si="63"/>
        <v>1</v>
      </c>
      <c r="CM552">
        <f t="shared" si="64"/>
        <v>1</v>
      </c>
      <c r="CN552">
        <f t="shared" si="65"/>
        <v>0</v>
      </c>
      <c r="CO552">
        <f t="shared" si="66"/>
        <v>0</v>
      </c>
      <c r="CP552">
        <f t="shared" si="67"/>
        <v>0</v>
      </c>
      <c r="CQ552">
        <f t="shared" si="68"/>
        <v>0</v>
      </c>
    </row>
    <row r="553" spans="1:95" x14ac:dyDescent="0.3">
      <c r="A553" t="s">
        <v>295</v>
      </c>
      <c r="M553" s="42"/>
      <c r="Q553" s="45">
        <f>Hypo2CI_2*RDS2CLD_2</f>
        <v>1.8531333333333334E-2</v>
      </c>
      <c r="R553" s="45"/>
      <c r="T553" s="78"/>
      <c r="Z553" s="42"/>
      <c r="AA553" s="6"/>
      <c r="AB553" s="42">
        <f t="shared" si="69"/>
        <v>0</v>
      </c>
      <c r="AC553" s="42"/>
      <c r="AK553" t="s">
        <v>300</v>
      </c>
      <c r="BB553">
        <v>1.8531333333333334E-2</v>
      </c>
      <c r="BK553">
        <f t="shared" si="40"/>
        <v>1</v>
      </c>
      <c r="BL553">
        <f t="shared" si="41"/>
        <v>0</v>
      </c>
      <c r="BM553">
        <f t="shared" si="42"/>
        <v>0</v>
      </c>
      <c r="BN553">
        <f t="shared" si="43"/>
        <v>0</v>
      </c>
      <c r="BO553">
        <f t="shared" si="44"/>
        <v>0</v>
      </c>
      <c r="BP553">
        <f t="shared" si="45"/>
        <v>0</v>
      </c>
      <c r="BQ553">
        <f t="shared" si="46"/>
        <v>0</v>
      </c>
      <c r="BR553">
        <f t="shared" si="47"/>
        <v>0</v>
      </c>
      <c r="BS553">
        <f t="shared" si="48"/>
        <v>0</v>
      </c>
      <c r="BT553">
        <f t="shared" si="49"/>
        <v>0</v>
      </c>
      <c r="BU553">
        <f t="shared" si="50"/>
        <v>0</v>
      </c>
      <c r="BV553">
        <f t="shared" si="51"/>
        <v>0</v>
      </c>
      <c r="BW553">
        <f t="shared" si="52"/>
        <v>0</v>
      </c>
      <c r="BX553">
        <f t="shared" si="53"/>
        <v>0</v>
      </c>
      <c r="BY553">
        <f t="shared" si="54"/>
        <v>0</v>
      </c>
      <c r="BZ553">
        <f t="shared" si="55"/>
        <v>0</v>
      </c>
      <c r="CA553">
        <f t="shared" si="56"/>
        <v>0</v>
      </c>
      <c r="CB553">
        <f t="shared" si="57"/>
        <v>0</v>
      </c>
      <c r="CC553">
        <f t="shared" si="58"/>
        <v>0</v>
      </c>
      <c r="CD553">
        <f t="shared" si="59"/>
        <v>0</v>
      </c>
      <c r="CE553">
        <f t="shared" si="60"/>
        <v>0</v>
      </c>
      <c r="CF553" t="e">
        <f>IF(#REF!=BG553,0,1)</f>
        <v>#REF!</v>
      </c>
      <c r="CG553">
        <f t="shared" si="61"/>
        <v>0</v>
      </c>
      <c r="CH553" t="e">
        <f>IF(#REF!=BI553,0,1)</f>
        <v>#REF!</v>
      </c>
      <c r="CI553" t="e">
        <f>IF(#REF!=BJ553,0,1)</f>
        <v>#REF!</v>
      </c>
      <c r="CJ553" t="e">
        <f>IF(#REF!=BK553,0,1)</f>
        <v>#REF!</v>
      </c>
      <c r="CK553">
        <f t="shared" si="62"/>
        <v>0</v>
      </c>
      <c r="CL553">
        <f t="shared" si="63"/>
        <v>0</v>
      </c>
      <c r="CM553">
        <f t="shared" si="64"/>
        <v>0</v>
      </c>
      <c r="CN553">
        <f t="shared" si="65"/>
        <v>0</v>
      </c>
      <c r="CO553">
        <f t="shared" si="66"/>
        <v>0</v>
      </c>
      <c r="CP553">
        <f t="shared" si="67"/>
        <v>0</v>
      </c>
      <c r="CQ553">
        <f t="shared" si="68"/>
        <v>0</v>
      </c>
    </row>
    <row r="554" spans="1:95" x14ac:dyDescent="0.3">
      <c r="A554" s="19" t="s">
        <v>23</v>
      </c>
      <c r="M554" s="42"/>
      <c r="Q554" s="46">
        <f>c_lung+c_cog+c_hosp_fu+c_CSG</f>
        <v>58348.510902399998</v>
      </c>
      <c r="R554" s="46"/>
      <c r="T554" s="78"/>
      <c r="Z554" s="42"/>
      <c r="AA554" s="6"/>
      <c r="AB554" s="42">
        <f t="shared" si="69"/>
        <v>0</v>
      </c>
      <c r="AC554" s="42">
        <f>U554*(Q556-c_CSG)</f>
        <v>0</v>
      </c>
      <c r="AK554" t="s">
        <v>23</v>
      </c>
      <c r="BB554">
        <v>45990.200000000004</v>
      </c>
      <c r="BK554">
        <f t="shared" si="40"/>
        <v>0</v>
      </c>
      <c r="BL554">
        <f t="shared" si="41"/>
        <v>0</v>
      </c>
      <c r="BM554">
        <f t="shared" si="42"/>
        <v>0</v>
      </c>
      <c r="BN554">
        <f t="shared" si="43"/>
        <v>0</v>
      </c>
      <c r="BO554">
        <f t="shared" si="44"/>
        <v>0</v>
      </c>
      <c r="BP554">
        <f t="shared" si="45"/>
        <v>0</v>
      </c>
      <c r="BQ554">
        <f t="shared" si="46"/>
        <v>0</v>
      </c>
      <c r="BR554">
        <f t="shared" si="47"/>
        <v>0</v>
      </c>
      <c r="BS554">
        <f t="shared" si="48"/>
        <v>0</v>
      </c>
      <c r="BT554">
        <f t="shared" si="49"/>
        <v>0</v>
      </c>
      <c r="BU554">
        <f t="shared" si="50"/>
        <v>0</v>
      </c>
      <c r="BV554">
        <f t="shared" si="51"/>
        <v>0</v>
      </c>
      <c r="BW554">
        <f t="shared" si="52"/>
        <v>0</v>
      </c>
      <c r="BX554">
        <f t="shared" si="53"/>
        <v>0</v>
      </c>
      <c r="BY554">
        <f t="shared" si="54"/>
        <v>0</v>
      </c>
      <c r="BZ554">
        <f t="shared" si="55"/>
        <v>0</v>
      </c>
      <c r="CA554">
        <f t="shared" si="56"/>
        <v>1</v>
      </c>
      <c r="CB554">
        <f t="shared" si="57"/>
        <v>0</v>
      </c>
      <c r="CC554">
        <f t="shared" si="58"/>
        <v>0</v>
      </c>
      <c r="CD554">
        <f t="shared" si="59"/>
        <v>0</v>
      </c>
      <c r="CE554">
        <f t="shared" si="60"/>
        <v>1</v>
      </c>
      <c r="CF554" t="e">
        <f>IF(#REF!=BG554,0,1)</f>
        <v>#REF!</v>
      </c>
      <c r="CG554">
        <f t="shared" si="61"/>
        <v>0</v>
      </c>
      <c r="CH554" t="e">
        <f>IF(#REF!=BI554,0,1)</f>
        <v>#REF!</v>
      </c>
      <c r="CI554" t="e">
        <f>IF(#REF!=BJ554,0,1)</f>
        <v>#REF!</v>
      </c>
      <c r="CJ554" t="e">
        <f>IF(#REF!=BK554,0,1)</f>
        <v>#REF!</v>
      </c>
      <c r="CK554">
        <f t="shared" si="62"/>
        <v>0</v>
      </c>
      <c r="CL554">
        <f t="shared" si="63"/>
        <v>0</v>
      </c>
      <c r="CM554">
        <f t="shared" si="64"/>
        <v>0</v>
      </c>
      <c r="CN554">
        <f t="shared" si="65"/>
        <v>0</v>
      </c>
      <c r="CO554">
        <f t="shared" si="66"/>
        <v>0</v>
      </c>
      <c r="CP554">
        <f t="shared" si="67"/>
        <v>0</v>
      </c>
      <c r="CQ554">
        <f t="shared" si="68"/>
        <v>0</v>
      </c>
    </row>
    <row r="555" spans="1:95" x14ac:dyDescent="0.3">
      <c r="A555" s="45">
        <f>G2noANC</f>
        <v>8.5069000000000061E-2</v>
      </c>
      <c r="M555" s="42"/>
      <c r="Q555" s="19" t="s">
        <v>369</v>
      </c>
      <c r="R555" s="19"/>
      <c r="T555" s="78"/>
      <c r="U555">
        <f>$G$493*$E$531*$C$600*$A$555*$I$525*$K$536*$M$551*$O$549*Q556</f>
        <v>1.5263470831955529E-4</v>
      </c>
      <c r="V555">
        <v>5.1861899690364317E-4</v>
      </c>
      <c r="W555" s="42">
        <f>$K$537+$I$526+$G$494+$E$532+$C$601+$A$556+$M$552+$O$550+Q557</f>
        <v>274918.72020810808</v>
      </c>
      <c r="X555">
        <f>u_Healthy</f>
        <v>0</v>
      </c>
      <c r="Z555" s="42">
        <f>U555*W555</f>
        <v>41.962138670550004</v>
      </c>
      <c r="AA555" s="6">
        <f>U555*X555</f>
        <v>0</v>
      </c>
      <c r="AB555" s="42">
        <f t="shared" si="69"/>
        <v>1.6850871798478904</v>
      </c>
      <c r="AC555" s="42">
        <f>U555*(Q557-c_CSG)</f>
        <v>0.5133105240786644</v>
      </c>
      <c r="AK555">
        <v>0.16900000000000004</v>
      </c>
      <c r="BB555" t="s">
        <v>369</v>
      </c>
      <c r="BE555">
        <v>5.1861899690364306E-4</v>
      </c>
      <c r="BK555">
        <f t="shared" si="40"/>
        <v>1</v>
      </c>
      <c r="BL555">
        <f t="shared" si="41"/>
        <v>0</v>
      </c>
      <c r="BM555">
        <f t="shared" si="42"/>
        <v>0</v>
      </c>
      <c r="BN555">
        <f t="shared" si="43"/>
        <v>0</v>
      </c>
      <c r="BO555">
        <f t="shared" si="44"/>
        <v>0</v>
      </c>
      <c r="BP555">
        <f t="shared" si="45"/>
        <v>0</v>
      </c>
      <c r="BQ555">
        <f t="shared" si="46"/>
        <v>0</v>
      </c>
      <c r="BR555">
        <f t="shared" si="47"/>
        <v>0</v>
      </c>
      <c r="BS555">
        <f t="shared" si="48"/>
        <v>0</v>
      </c>
      <c r="BT555">
        <f t="shared" si="49"/>
        <v>0</v>
      </c>
      <c r="BU555">
        <f t="shared" si="50"/>
        <v>0</v>
      </c>
      <c r="BV555">
        <f t="shared" si="51"/>
        <v>0</v>
      </c>
      <c r="BW555">
        <f t="shared" si="52"/>
        <v>0</v>
      </c>
      <c r="BX555">
        <f t="shared" si="53"/>
        <v>0</v>
      </c>
      <c r="BY555">
        <f t="shared" si="54"/>
        <v>0</v>
      </c>
      <c r="BZ555">
        <f t="shared" si="55"/>
        <v>0</v>
      </c>
      <c r="CA555">
        <f t="shared" si="56"/>
        <v>0</v>
      </c>
      <c r="CB555">
        <f t="shared" si="57"/>
        <v>0</v>
      </c>
      <c r="CC555">
        <f t="shared" si="58"/>
        <v>0</v>
      </c>
      <c r="CD555">
        <f t="shared" si="59"/>
        <v>1</v>
      </c>
      <c r="CE555">
        <f t="shared" si="60"/>
        <v>0</v>
      </c>
      <c r="CF555" t="e">
        <f>IF(#REF!=BG555,0,1)</f>
        <v>#REF!</v>
      </c>
      <c r="CG555">
        <f t="shared" si="61"/>
        <v>1</v>
      </c>
      <c r="CH555" t="e">
        <f>IF(#REF!=BI555,0,1)</f>
        <v>#REF!</v>
      </c>
      <c r="CI555" t="e">
        <f>IF(#REF!=BJ555,0,1)</f>
        <v>#REF!</v>
      </c>
      <c r="CJ555" t="e">
        <f>IF(#REF!=BK555,0,1)</f>
        <v>#REF!</v>
      </c>
      <c r="CK555">
        <f t="shared" si="62"/>
        <v>0</v>
      </c>
      <c r="CL555">
        <f t="shared" si="63"/>
        <v>1</v>
      </c>
      <c r="CM555">
        <f t="shared" si="64"/>
        <v>0</v>
      </c>
      <c r="CN555">
        <f t="shared" si="65"/>
        <v>0</v>
      </c>
      <c r="CO555">
        <f t="shared" si="66"/>
        <v>0</v>
      </c>
      <c r="CP555">
        <f t="shared" si="67"/>
        <v>0</v>
      </c>
      <c r="CQ555">
        <f t="shared" si="68"/>
        <v>0</v>
      </c>
    </row>
    <row r="556" spans="1:95" x14ac:dyDescent="0.3">
      <c r="A556" s="46">
        <f>c_grant</f>
        <v>2300</v>
      </c>
      <c r="M556" s="42"/>
      <c r="O556" s="42"/>
      <c r="Q556" s="45">
        <f>1-Q547-Q550-Q553</f>
        <v>0.60619800000000001</v>
      </c>
      <c r="R556" s="45"/>
      <c r="T556" s="78"/>
      <c r="Z556" s="42"/>
      <c r="AA556" s="6"/>
      <c r="AB556" s="42">
        <f t="shared" si="69"/>
        <v>0</v>
      </c>
      <c r="AC556" s="42">
        <f>U556*(Q558-c_CSG)</f>
        <v>0</v>
      </c>
      <c r="BB556">
        <v>0.60619800000000001</v>
      </c>
      <c r="BK556">
        <f t="shared" si="40"/>
        <v>1</v>
      </c>
      <c r="BL556">
        <f t="shared" si="41"/>
        <v>0</v>
      </c>
      <c r="BM556">
        <f t="shared" si="42"/>
        <v>0</v>
      </c>
      <c r="BN556">
        <f t="shared" si="43"/>
        <v>0</v>
      </c>
      <c r="BO556">
        <f t="shared" si="44"/>
        <v>0</v>
      </c>
      <c r="BP556">
        <f t="shared" si="45"/>
        <v>0</v>
      </c>
      <c r="BQ556">
        <f t="shared" si="46"/>
        <v>0</v>
      </c>
      <c r="BR556">
        <f t="shared" si="47"/>
        <v>0</v>
      </c>
      <c r="BS556">
        <f t="shared" si="48"/>
        <v>0</v>
      </c>
      <c r="BT556">
        <f t="shared" si="49"/>
        <v>0</v>
      </c>
      <c r="BU556">
        <f t="shared" si="50"/>
        <v>0</v>
      </c>
      <c r="BV556">
        <f t="shared" si="51"/>
        <v>0</v>
      </c>
      <c r="BW556">
        <f t="shared" si="52"/>
        <v>0</v>
      </c>
      <c r="BX556">
        <f t="shared" si="53"/>
        <v>0</v>
      </c>
      <c r="BY556">
        <f t="shared" si="54"/>
        <v>0</v>
      </c>
      <c r="BZ556">
        <f t="shared" si="55"/>
        <v>0</v>
      </c>
      <c r="CA556">
        <f t="shared" si="56"/>
        <v>0</v>
      </c>
      <c r="CB556">
        <f t="shared" si="57"/>
        <v>0</v>
      </c>
      <c r="CC556">
        <f t="shared" si="58"/>
        <v>0</v>
      </c>
      <c r="CD556">
        <f t="shared" si="59"/>
        <v>0</v>
      </c>
      <c r="CE556">
        <f t="shared" si="60"/>
        <v>0</v>
      </c>
      <c r="CF556" t="e">
        <f>IF(#REF!=BG556,0,1)</f>
        <v>#REF!</v>
      </c>
      <c r="CG556">
        <f t="shared" si="61"/>
        <v>0</v>
      </c>
      <c r="CH556" t="e">
        <f>IF(#REF!=BI556,0,1)</f>
        <v>#REF!</v>
      </c>
      <c r="CI556" t="e">
        <f>IF(#REF!=BJ556,0,1)</f>
        <v>#REF!</v>
      </c>
      <c r="CJ556" t="e">
        <f>IF(#REF!=BK556,0,1)</f>
        <v>#REF!</v>
      </c>
      <c r="CK556">
        <f t="shared" si="62"/>
        <v>0</v>
      </c>
      <c r="CL556">
        <f t="shared" si="63"/>
        <v>0</v>
      </c>
      <c r="CM556">
        <f t="shared" si="64"/>
        <v>0</v>
      </c>
      <c r="CN556">
        <f t="shared" si="65"/>
        <v>0</v>
      </c>
      <c r="CO556">
        <f t="shared" si="66"/>
        <v>0</v>
      </c>
      <c r="CP556">
        <f t="shared" si="67"/>
        <v>0</v>
      </c>
      <c r="CQ556">
        <f t="shared" si="68"/>
        <v>0</v>
      </c>
    </row>
    <row r="557" spans="1:95" x14ac:dyDescent="0.3">
      <c r="M557" s="42"/>
      <c r="Q557" s="46">
        <f>c_clinic_fu+c_CSG</f>
        <v>14403</v>
      </c>
      <c r="R557" s="46"/>
      <c r="T557" s="78"/>
      <c r="Z557" s="42"/>
      <c r="AA557" s="6"/>
      <c r="AB557" s="42">
        <f t="shared" si="69"/>
        <v>0</v>
      </c>
      <c r="AC557" s="42"/>
      <c r="BB557">
        <v>3230</v>
      </c>
      <c r="BK557">
        <f t="shared" si="40"/>
        <v>0</v>
      </c>
      <c r="BL557">
        <f t="shared" si="41"/>
        <v>0</v>
      </c>
      <c r="BM557">
        <f t="shared" si="42"/>
        <v>0</v>
      </c>
      <c r="BN557">
        <f t="shared" si="43"/>
        <v>0</v>
      </c>
      <c r="BO557">
        <f t="shared" si="44"/>
        <v>0</v>
      </c>
      <c r="BP557">
        <f t="shared" si="45"/>
        <v>0</v>
      </c>
      <c r="BQ557">
        <f t="shared" si="46"/>
        <v>0</v>
      </c>
      <c r="BR557">
        <f t="shared" si="47"/>
        <v>0</v>
      </c>
      <c r="BS557">
        <f t="shared" si="48"/>
        <v>0</v>
      </c>
      <c r="BT557">
        <f t="shared" si="49"/>
        <v>0</v>
      </c>
      <c r="BU557">
        <f t="shared" si="50"/>
        <v>0</v>
      </c>
      <c r="BV557">
        <f t="shared" si="51"/>
        <v>0</v>
      </c>
      <c r="BW557">
        <f t="shared" si="52"/>
        <v>0</v>
      </c>
      <c r="BX557">
        <f t="shared" si="53"/>
        <v>0</v>
      </c>
      <c r="BY557">
        <f t="shared" si="54"/>
        <v>0</v>
      </c>
      <c r="BZ557">
        <f t="shared" si="55"/>
        <v>0</v>
      </c>
      <c r="CA557">
        <f t="shared" si="56"/>
        <v>1</v>
      </c>
      <c r="CB557">
        <f t="shared" si="57"/>
        <v>0</v>
      </c>
      <c r="CC557">
        <f t="shared" si="58"/>
        <v>0</v>
      </c>
      <c r="CD557">
        <f t="shared" si="59"/>
        <v>0</v>
      </c>
      <c r="CE557">
        <f t="shared" si="60"/>
        <v>0</v>
      </c>
      <c r="CF557" t="e">
        <f>IF(#REF!=BG557,0,1)</f>
        <v>#REF!</v>
      </c>
      <c r="CG557">
        <f t="shared" si="61"/>
        <v>0</v>
      </c>
      <c r="CH557" t="e">
        <f>IF(#REF!=BI557,0,1)</f>
        <v>#REF!</v>
      </c>
      <c r="CI557" t="e">
        <f>IF(#REF!=BJ557,0,1)</f>
        <v>#REF!</v>
      </c>
      <c r="CJ557" t="e">
        <f>IF(#REF!=BK557,0,1)</f>
        <v>#REF!</v>
      </c>
      <c r="CK557">
        <f t="shared" si="62"/>
        <v>0</v>
      </c>
      <c r="CL557">
        <f t="shared" si="63"/>
        <v>0</v>
      </c>
      <c r="CM557">
        <f t="shared" si="64"/>
        <v>0</v>
      </c>
      <c r="CN557">
        <f t="shared" si="65"/>
        <v>0</v>
      </c>
      <c r="CO557">
        <f t="shared" si="66"/>
        <v>0</v>
      </c>
      <c r="CP557">
        <f t="shared" si="67"/>
        <v>0</v>
      </c>
      <c r="CQ557">
        <f t="shared" si="68"/>
        <v>0</v>
      </c>
    </row>
    <row r="558" spans="1:95" x14ac:dyDescent="0.3">
      <c r="M558" s="42"/>
      <c r="Q558" s="42"/>
      <c r="R558" s="42"/>
      <c r="S558" s="94"/>
      <c r="T558" s="78"/>
      <c r="Z558" s="42"/>
      <c r="AA558" s="6"/>
      <c r="AB558" s="42">
        <f t="shared" si="69"/>
        <v>0</v>
      </c>
      <c r="AC558" s="42">
        <f>U558*(Q560-c_CSG)</f>
        <v>0</v>
      </c>
      <c r="BK558">
        <f t="shared" si="40"/>
        <v>0</v>
      </c>
      <c r="BL558">
        <f t="shared" si="41"/>
        <v>0</v>
      </c>
      <c r="BM558">
        <f t="shared" si="42"/>
        <v>0</v>
      </c>
      <c r="BN558">
        <f t="shared" si="43"/>
        <v>0</v>
      </c>
      <c r="BO558">
        <f t="shared" si="44"/>
        <v>0</v>
      </c>
      <c r="BP558">
        <f t="shared" si="45"/>
        <v>0</v>
      </c>
      <c r="BQ558">
        <f t="shared" si="46"/>
        <v>0</v>
      </c>
      <c r="BR558">
        <f t="shared" si="47"/>
        <v>0</v>
      </c>
      <c r="BS558">
        <f t="shared" si="48"/>
        <v>0</v>
      </c>
      <c r="BT558">
        <f t="shared" si="49"/>
        <v>0</v>
      </c>
      <c r="BU558">
        <f t="shared" si="50"/>
        <v>0</v>
      </c>
      <c r="BV558">
        <f t="shared" si="51"/>
        <v>0</v>
      </c>
      <c r="BW558">
        <f t="shared" si="52"/>
        <v>0</v>
      </c>
      <c r="BX558">
        <f t="shared" si="53"/>
        <v>0</v>
      </c>
      <c r="BY558">
        <f t="shared" si="54"/>
        <v>0</v>
      </c>
      <c r="BZ558">
        <f t="shared" si="55"/>
        <v>0</v>
      </c>
      <c r="CA558">
        <f t="shared" si="56"/>
        <v>0</v>
      </c>
      <c r="CB558">
        <f t="shared" si="57"/>
        <v>0</v>
      </c>
      <c r="CC558">
        <f t="shared" si="58"/>
        <v>0</v>
      </c>
      <c r="CD558">
        <f t="shared" si="59"/>
        <v>0</v>
      </c>
      <c r="CE558">
        <f t="shared" si="60"/>
        <v>1</v>
      </c>
      <c r="CF558" t="e">
        <f>IF(#REF!=BG558,0,1)</f>
        <v>#REF!</v>
      </c>
      <c r="CG558">
        <f t="shared" si="61"/>
        <v>0</v>
      </c>
      <c r="CH558" t="e">
        <f>IF(#REF!=BI558,0,1)</f>
        <v>#REF!</v>
      </c>
      <c r="CI558" t="e">
        <f>IF(#REF!=BJ558,0,1)</f>
        <v>#REF!</v>
      </c>
      <c r="CJ558" t="e">
        <f>IF(#REF!=BK558,0,1)</f>
        <v>#REF!</v>
      </c>
      <c r="CK558">
        <f t="shared" si="62"/>
        <v>0</v>
      </c>
      <c r="CL558">
        <f t="shared" si="63"/>
        <v>0</v>
      </c>
      <c r="CM558">
        <f t="shared" si="64"/>
        <v>0</v>
      </c>
      <c r="CN558">
        <f t="shared" si="65"/>
        <v>0</v>
      </c>
      <c r="CO558">
        <f t="shared" si="66"/>
        <v>0</v>
      </c>
      <c r="CP558">
        <f t="shared" si="67"/>
        <v>0</v>
      </c>
      <c r="CQ558">
        <f t="shared" si="68"/>
        <v>0</v>
      </c>
    </row>
    <row r="559" spans="1:95" x14ac:dyDescent="0.3">
      <c r="M559" s="42"/>
      <c r="Q559" s="19" t="s">
        <v>367</v>
      </c>
      <c r="R559" s="19"/>
      <c r="T559" s="78"/>
      <c r="U559">
        <f>$G$493*$E$531*$C$600*$A$555*$I$525*$K$536*$M$551*$O$563*Q560</f>
        <v>4.980371154903445E-4</v>
      </c>
      <c r="V559">
        <v>1.6922200205973369E-3</v>
      </c>
      <c r="W559" s="42">
        <f>$K$537+$I$526+$G$494+$E$532+$C$601+$A$556+$M$552+$O$564+Q561</f>
        <v>312108.97071050806</v>
      </c>
      <c r="X559">
        <f>u_ChronicResp</f>
        <v>0.53465956747782661</v>
      </c>
      <c r="Z559" s="42">
        <f>U559*W559</f>
        <v>155.44185149132184</v>
      </c>
      <c r="AA559" s="6">
        <f>U559*X559</f>
        <v>2.6628030875597199E-4</v>
      </c>
      <c r="AB559" s="42">
        <f t="shared" si="69"/>
        <v>5.4983297550134029</v>
      </c>
      <c r="AC559" s="42">
        <f>U559*(Q561-c_CSG)</f>
        <v>21.659390563917185</v>
      </c>
      <c r="BB559" t="s">
        <v>367</v>
      </c>
      <c r="BE559">
        <v>1.6922200205973365E-3</v>
      </c>
      <c r="BK559">
        <f t="shared" si="40"/>
        <v>0</v>
      </c>
      <c r="BL559">
        <f t="shared" si="41"/>
        <v>0</v>
      </c>
      <c r="BM559">
        <f t="shared" si="42"/>
        <v>0</v>
      </c>
      <c r="BN559">
        <f t="shared" si="43"/>
        <v>0</v>
      </c>
      <c r="BO559">
        <f t="shared" si="44"/>
        <v>0</v>
      </c>
      <c r="BP559">
        <f t="shared" si="45"/>
        <v>0</v>
      </c>
      <c r="BQ559">
        <f t="shared" si="46"/>
        <v>0</v>
      </c>
      <c r="BR559">
        <f t="shared" si="47"/>
        <v>0</v>
      </c>
      <c r="BS559">
        <f t="shared" si="48"/>
        <v>0</v>
      </c>
      <c r="BT559">
        <f t="shared" si="49"/>
        <v>0</v>
      </c>
      <c r="BU559">
        <f t="shared" si="50"/>
        <v>0</v>
      </c>
      <c r="BV559">
        <f t="shared" si="51"/>
        <v>0</v>
      </c>
      <c r="BW559">
        <f t="shared" si="52"/>
        <v>0</v>
      </c>
      <c r="BX559">
        <f t="shared" si="53"/>
        <v>0</v>
      </c>
      <c r="BY559">
        <f t="shared" si="54"/>
        <v>0</v>
      </c>
      <c r="BZ559">
        <f t="shared" si="55"/>
        <v>0</v>
      </c>
      <c r="CA559">
        <f t="shared" si="56"/>
        <v>0</v>
      </c>
      <c r="CB559">
        <f t="shared" si="57"/>
        <v>0</v>
      </c>
      <c r="CC559">
        <f t="shared" si="58"/>
        <v>0</v>
      </c>
      <c r="CD559">
        <f t="shared" si="59"/>
        <v>1</v>
      </c>
      <c r="CE559">
        <f t="shared" si="60"/>
        <v>0</v>
      </c>
      <c r="CF559" t="e">
        <f>IF(#REF!=BG559,0,1)</f>
        <v>#REF!</v>
      </c>
      <c r="CG559">
        <f t="shared" si="61"/>
        <v>1</v>
      </c>
      <c r="CH559" t="e">
        <f>IF(#REF!=BI559,0,1)</f>
        <v>#REF!</v>
      </c>
      <c r="CI559" t="e">
        <f>IF(#REF!=BJ559,0,1)</f>
        <v>#REF!</v>
      </c>
      <c r="CJ559" t="e">
        <f>IF(#REF!=BK559,0,1)</f>
        <v>#REF!</v>
      </c>
      <c r="CK559">
        <f t="shared" si="62"/>
        <v>1</v>
      </c>
      <c r="CL559">
        <f t="shared" si="63"/>
        <v>1</v>
      </c>
      <c r="CM559">
        <f t="shared" si="64"/>
        <v>1</v>
      </c>
      <c r="CN559">
        <f t="shared" si="65"/>
        <v>0</v>
      </c>
      <c r="CO559">
        <f t="shared" si="66"/>
        <v>0</v>
      </c>
      <c r="CP559">
        <f t="shared" si="67"/>
        <v>0</v>
      </c>
      <c r="CQ559">
        <f t="shared" si="68"/>
        <v>0</v>
      </c>
    </row>
    <row r="560" spans="1:95" x14ac:dyDescent="0.3">
      <c r="M560" s="42"/>
      <c r="Q560" s="45">
        <f>RDS2CLD_2-(RDS2CLD_2*noHypo2CI_2)</f>
        <v>0.34905610687022898</v>
      </c>
      <c r="R560" s="45"/>
      <c r="T560" s="78"/>
      <c r="Z560" s="42"/>
      <c r="AA560" s="6"/>
      <c r="AB560" s="42">
        <f t="shared" si="69"/>
        <v>0</v>
      </c>
      <c r="AC560" s="42"/>
      <c r="BB560">
        <v>0.34905610687022898</v>
      </c>
      <c r="BK560">
        <f t="shared" si="40"/>
        <v>0</v>
      </c>
      <c r="BL560">
        <f t="shared" si="41"/>
        <v>0</v>
      </c>
      <c r="BM560">
        <f t="shared" si="42"/>
        <v>0</v>
      </c>
      <c r="BN560">
        <f t="shared" si="43"/>
        <v>0</v>
      </c>
      <c r="BO560">
        <f t="shared" si="44"/>
        <v>0</v>
      </c>
      <c r="BP560">
        <f t="shared" si="45"/>
        <v>0</v>
      </c>
      <c r="BQ560">
        <f t="shared" si="46"/>
        <v>0</v>
      </c>
      <c r="BR560">
        <f t="shared" si="47"/>
        <v>0</v>
      </c>
      <c r="BS560">
        <f t="shared" si="48"/>
        <v>0</v>
      </c>
      <c r="BT560">
        <f t="shared" si="49"/>
        <v>0</v>
      </c>
      <c r="BU560">
        <f t="shared" si="50"/>
        <v>0</v>
      </c>
      <c r="BV560">
        <f t="shared" si="51"/>
        <v>0</v>
      </c>
      <c r="BW560">
        <f t="shared" si="52"/>
        <v>0</v>
      </c>
      <c r="BX560">
        <f t="shared" si="53"/>
        <v>0</v>
      </c>
      <c r="BY560">
        <f t="shared" si="54"/>
        <v>0</v>
      </c>
      <c r="BZ560">
        <f t="shared" si="55"/>
        <v>0</v>
      </c>
      <c r="CA560">
        <f t="shared" si="56"/>
        <v>0</v>
      </c>
      <c r="CB560">
        <f t="shared" si="57"/>
        <v>0</v>
      </c>
      <c r="CC560">
        <f t="shared" si="58"/>
        <v>0</v>
      </c>
      <c r="CD560">
        <f t="shared" si="59"/>
        <v>0</v>
      </c>
      <c r="CE560">
        <f t="shared" si="60"/>
        <v>0</v>
      </c>
      <c r="CF560" t="e">
        <f>IF(#REF!=BG560,0,1)</f>
        <v>#REF!</v>
      </c>
      <c r="CG560">
        <f t="shared" si="61"/>
        <v>0</v>
      </c>
      <c r="CH560" t="e">
        <f>IF(#REF!=BI560,0,1)</f>
        <v>#REF!</v>
      </c>
      <c r="CI560" t="e">
        <f>IF(#REF!=BJ560,0,1)</f>
        <v>#REF!</v>
      </c>
      <c r="CJ560" t="e">
        <f>IF(#REF!=BK560,0,1)</f>
        <v>#REF!</v>
      </c>
      <c r="CK560">
        <f t="shared" si="62"/>
        <v>0</v>
      </c>
      <c r="CL560">
        <f t="shared" si="63"/>
        <v>0</v>
      </c>
      <c r="CM560">
        <f t="shared" si="64"/>
        <v>0</v>
      </c>
      <c r="CN560">
        <f t="shared" si="65"/>
        <v>0</v>
      </c>
      <c r="CO560">
        <f t="shared" si="66"/>
        <v>0</v>
      </c>
      <c r="CP560">
        <f t="shared" si="67"/>
        <v>0</v>
      </c>
      <c r="CQ560">
        <f t="shared" si="68"/>
        <v>0</v>
      </c>
    </row>
    <row r="561" spans="11:95" x14ac:dyDescent="0.3">
      <c r="M561" s="42"/>
      <c r="Q561" s="46">
        <f>c_lung+c_hosp_fu+c_CSG</f>
        <v>54529.510902399998</v>
      </c>
      <c r="R561" s="46"/>
      <c r="T561" s="78"/>
      <c r="Z561" s="42"/>
      <c r="AA561" s="6"/>
      <c r="AB561" s="42">
        <f t="shared" si="69"/>
        <v>0</v>
      </c>
      <c r="AC561" s="42">
        <f>U561*(Q563-c_CSG)</f>
        <v>0</v>
      </c>
      <c r="BB561">
        <v>42323.200000000004</v>
      </c>
      <c r="BK561">
        <f t="shared" si="40"/>
        <v>0</v>
      </c>
      <c r="BL561">
        <f t="shared" si="41"/>
        <v>0</v>
      </c>
      <c r="BM561">
        <f t="shared" si="42"/>
        <v>0</v>
      </c>
      <c r="BN561">
        <f t="shared" si="43"/>
        <v>0</v>
      </c>
      <c r="BO561">
        <f t="shared" si="44"/>
        <v>0</v>
      </c>
      <c r="BP561">
        <f t="shared" si="45"/>
        <v>0</v>
      </c>
      <c r="BQ561">
        <f t="shared" si="46"/>
        <v>0</v>
      </c>
      <c r="BR561">
        <f t="shared" si="47"/>
        <v>0</v>
      </c>
      <c r="BS561">
        <f t="shared" si="48"/>
        <v>0</v>
      </c>
      <c r="BT561">
        <f t="shared" si="49"/>
        <v>0</v>
      </c>
      <c r="BU561">
        <f t="shared" si="50"/>
        <v>0</v>
      </c>
      <c r="BV561">
        <f t="shared" si="51"/>
        <v>0</v>
      </c>
      <c r="BW561">
        <f t="shared" si="52"/>
        <v>0</v>
      </c>
      <c r="BX561">
        <f t="shared" si="53"/>
        <v>0</v>
      </c>
      <c r="BY561">
        <f t="shared" si="54"/>
        <v>0</v>
      </c>
      <c r="BZ561">
        <f t="shared" si="55"/>
        <v>0</v>
      </c>
      <c r="CA561">
        <f t="shared" si="56"/>
        <v>1</v>
      </c>
      <c r="CB561">
        <f t="shared" si="57"/>
        <v>0</v>
      </c>
      <c r="CC561">
        <f t="shared" si="58"/>
        <v>0</v>
      </c>
      <c r="CD561">
        <f t="shared" si="59"/>
        <v>0</v>
      </c>
      <c r="CE561">
        <f t="shared" si="60"/>
        <v>1</v>
      </c>
      <c r="CF561" t="e">
        <f>IF(#REF!=BG561,0,1)</f>
        <v>#REF!</v>
      </c>
      <c r="CG561">
        <f t="shared" si="61"/>
        <v>0</v>
      </c>
      <c r="CH561" t="e">
        <f>IF(#REF!=BI561,0,1)</f>
        <v>#REF!</v>
      </c>
      <c r="CI561" t="e">
        <f>IF(#REF!=BJ561,0,1)</f>
        <v>#REF!</v>
      </c>
      <c r="CJ561" t="e">
        <f>IF(#REF!=BK561,0,1)</f>
        <v>#REF!</v>
      </c>
      <c r="CK561">
        <f t="shared" si="62"/>
        <v>0</v>
      </c>
      <c r="CL561">
        <f t="shared" si="63"/>
        <v>0</v>
      </c>
      <c r="CM561">
        <f t="shared" si="64"/>
        <v>0</v>
      </c>
      <c r="CN561">
        <f t="shared" si="65"/>
        <v>0</v>
      </c>
      <c r="CO561">
        <f t="shared" si="66"/>
        <v>0</v>
      </c>
      <c r="CP561">
        <f t="shared" si="67"/>
        <v>0</v>
      </c>
      <c r="CQ561">
        <f t="shared" si="68"/>
        <v>0</v>
      </c>
    </row>
    <row r="562" spans="11:95" x14ac:dyDescent="0.3">
      <c r="M562" s="42"/>
      <c r="O562" s="19" t="s">
        <v>370</v>
      </c>
      <c r="Q562" s="19" t="s">
        <v>226</v>
      </c>
      <c r="R562" s="19"/>
      <c r="T562" s="78"/>
      <c r="U562">
        <f>$G$493*$E$531*$C$600*$A$555*$I$525*$K$536*$M$551*$O$563*Q563</f>
        <v>3.0165187811890443E-5</v>
      </c>
      <c r="V562">
        <v>1.0249463976214322E-4</v>
      </c>
      <c r="W562" s="42">
        <f>$K$537+$I$526+$G$494+$E$532+$C$601+$A$556+$M$552+$O$564+Q564</f>
        <v>273345.45980810805</v>
      </c>
      <c r="X562">
        <f>u_CongnitiveImpairement</f>
        <v>17.270393127285455</v>
      </c>
      <c r="Z562" s="42">
        <f>U562*W562</f>
        <v>8.2455171326391294</v>
      </c>
      <c r="AA562" s="6">
        <f>U562*X562</f>
        <v>5.2096465226974772E-4</v>
      </c>
      <c r="AB562" s="42">
        <f t="shared" si="69"/>
        <v>0.3330236734432705</v>
      </c>
      <c r="AC562" s="42">
        <f>U562*(Q564-c_CSG)</f>
        <v>0.14256067759899424</v>
      </c>
      <c r="AZ562" t="s">
        <v>370</v>
      </c>
      <c r="BB562" t="s">
        <v>226</v>
      </c>
      <c r="BE562">
        <v>1.0249463976214319E-4</v>
      </c>
      <c r="BK562">
        <f t="shared" ref="BK562:BK593" si="70">IF(A562=AK562,0,1)</f>
        <v>0</v>
      </c>
      <c r="BL562">
        <f t="shared" ref="BL562:BL593" si="71">IF(B562=AL562,0,1)</f>
        <v>0</v>
      </c>
      <c r="BM562">
        <f t="shared" ref="BM562:BM593" si="72">IF(C562=AM563,0,1)</f>
        <v>0</v>
      </c>
      <c r="BN562">
        <f t="shared" ref="BN562:BN593" si="73">IF(D562=AO565,0,1)</f>
        <v>0</v>
      </c>
      <c r="BO562">
        <f t="shared" ref="BO562:BO593" si="74">IF(E562=AP563,0,1)</f>
        <v>0</v>
      </c>
      <c r="BP562">
        <f t="shared" ref="BP562:BP593" si="75">IF(F562=AQ563,0,1)</f>
        <v>0</v>
      </c>
      <c r="BQ562">
        <f t="shared" ref="BQ562:BQ593" si="76">IF(G562=AR563,0,1)</f>
        <v>0</v>
      </c>
      <c r="BR562">
        <f t="shared" ref="BR562:BR593" si="77">IF(H562=AS562,0,1)</f>
        <v>0</v>
      </c>
      <c r="BS562">
        <f t="shared" ref="BS562:BS593" si="78">IF(I562=AT563,0,1)</f>
        <v>0</v>
      </c>
      <c r="BT562">
        <f t="shared" ref="BT562:BT593" si="79">IF(J562=AU560,0,1)</f>
        <v>0</v>
      </c>
      <c r="BU562">
        <f t="shared" ref="BU562:BU593" si="80">IF(K562=AV562,0,1)</f>
        <v>0</v>
      </c>
      <c r="BV562">
        <f t="shared" ref="BV562:BV593" si="81">IF(L562=AW562,0,1)</f>
        <v>0</v>
      </c>
      <c r="BW562">
        <f t="shared" ref="BW562:BW593" si="82">IF(M562=AX562,0,1)</f>
        <v>0</v>
      </c>
      <c r="BX562">
        <f t="shared" ref="BX562:BX593" si="83">IF(N562=AY562,0,1)</f>
        <v>0</v>
      </c>
      <c r="BY562">
        <f t="shared" ref="BY562:BY593" si="84">IF(O562=AZ562,0,1)</f>
        <v>0</v>
      </c>
      <c r="BZ562">
        <f t="shared" ref="BZ562:BZ593" si="85">IF(P562=BA562,0,1)</f>
        <v>0</v>
      </c>
      <c r="CA562">
        <f t="shared" ref="CA562:CA593" si="86">IF(Q562=BB562,0,1)</f>
        <v>0</v>
      </c>
      <c r="CB562">
        <f t="shared" ref="CB562:CB593" si="87">IF(S562=BC562,0,1)</f>
        <v>0</v>
      </c>
      <c r="CC562">
        <f t="shared" ref="CC562:CC593" si="88">IF(T562=BD562,0,1)</f>
        <v>0</v>
      </c>
      <c r="CD562">
        <f t="shared" ref="CD562:CD593" si="89">IF(U562=BE562,0,1)</f>
        <v>1</v>
      </c>
      <c r="CE562">
        <f t="shared" ref="CE562:CE593" si="90">IF(V563=BF562,0,1)</f>
        <v>0</v>
      </c>
      <c r="CF562" t="e">
        <f>IF(#REF!=BG562,0,1)</f>
        <v>#REF!</v>
      </c>
      <c r="CG562">
        <f t="shared" ref="CG562:CG593" si="91">IF(W562=BH562,0,1)</f>
        <v>1</v>
      </c>
      <c r="CH562" t="e">
        <f>IF(#REF!=BI562,0,1)</f>
        <v>#REF!</v>
      </c>
      <c r="CI562" t="e">
        <f>IF(#REF!=BJ562,0,1)</f>
        <v>#REF!</v>
      </c>
      <c r="CJ562" t="e">
        <f>IF(#REF!=BK562,0,1)</f>
        <v>#REF!</v>
      </c>
      <c r="CK562">
        <f t="shared" ref="CK562:CK593" si="92">IF(X562=BL562,0,1)</f>
        <v>1</v>
      </c>
      <c r="CL562">
        <f t="shared" ref="CL562:CL593" si="93">IF(Z562=BM562,0,1)</f>
        <v>1</v>
      </c>
      <c r="CM562">
        <f t="shared" ref="CM562:CM593" si="94">IF(AA562=BN562,0,1)</f>
        <v>1</v>
      </c>
      <c r="CN562">
        <f t="shared" ref="CN562:CN593" si="95">IF(AD562=BO562,0,1)</f>
        <v>0</v>
      </c>
      <c r="CO562">
        <f t="shared" ref="CO562:CO593" si="96">IF(AE562=BP562,0,1)</f>
        <v>0</v>
      </c>
      <c r="CP562">
        <f t="shared" ref="CP562:CP593" si="97">IF(AF562=BQ562,0,1)</f>
        <v>0</v>
      </c>
      <c r="CQ562">
        <f t="shared" ref="CQ562:CQ593" si="98">IF(AH562=BR562,0,1)</f>
        <v>0</v>
      </c>
    </row>
    <row r="563" spans="11:95" x14ac:dyDescent="0.3">
      <c r="M563" s="42"/>
      <c r="O563" s="45">
        <f>AGA_prem_2normoglycaemia_2</f>
        <v>0.85</v>
      </c>
      <c r="Q563" s="45">
        <f>noHypo2CI_2-(RDS2CLD_2*noHypo2CI_2)</f>
        <v>2.1141683406990762E-2</v>
      </c>
      <c r="R563" s="45"/>
      <c r="T563" s="78"/>
      <c r="Z563" s="42"/>
      <c r="AA563" s="6"/>
      <c r="AB563" s="42">
        <f t="shared" si="69"/>
        <v>0</v>
      </c>
      <c r="AC563" s="42"/>
      <c r="AZ563">
        <v>0.85</v>
      </c>
      <c r="BB563">
        <v>2.1141683406990762E-2</v>
      </c>
      <c r="BK563">
        <f t="shared" si="70"/>
        <v>0</v>
      </c>
      <c r="BL563">
        <f t="shared" si="71"/>
        <v>0</v>
      </c>
      <c r="BM563">
        <f t="shared" si="72"/>
        <v>0</v>
      </c>
      <c r="BN563">
        <f t="shared" si="73"/>
        <v>0</v>
      </c>
      <c r="BO563">
        <f t="shared" si="74"/>
        <v>0</v>
      </c>
      <c r="BP563">
        <f t="shared" si="75"/>
        <v>0</v>
      </c>
      <c r="BQ563">
        <f t="shared" si="76"/>
        <v>0</v>
      </c>
      <c r="BR563">
        <f t="shared" si="77"/>
        <v>0</v>
      </c>
      <c r="BS563">
        <f t="shared" si="78"/>
        <v>0</v>
      </c>
      <c r="BT563">
        <f t="shared" si="79"/>
        <v>0</v>
      </c>
      <c r="BU563">
        <f t="shared" si="80"/>
        <v>0</v>
      </c>
      <c r="BV563">
        <f t="shared" si="81"/>
        <v>0</v>
      </c>
      <c r="BW563">
        <f t="shared" si="82"/>
        <v>0</v>
      </c>
      <c r="BX563">
        <f t="shared" si="83"/>
        <v>0</v>
      </c>
      <c r="BY563">
        <f t="shared" si="84"/>
        <v>0</v>
      </c>
      <c r="BZ563">
        <f t="shared" si="85"/>
        <v>0</v>
      </c>
      <c r="CA563">
        <f t="shared" si="86"/>
        <v>0</v>
      </c>
      <c r="CB563">
        <f t="shared" si="87"/>
        <v>0</v>
      </c>
      <c r="CC563">
        <f t="shared" si="88"/>
        <v>0</v>
      </c>
      <c r="CD563">
        <f t="shared" si="89"/>
        <v>0</v>
      </c>
      <c r="CE563">
        <f t="shared" si="90"/>
        <v>0</v>
      </c>
      <c r="CF563" t="e">
        <f>IF(#REF!=BG563,0,1)</f>
        <v>#REF!</v>
      </c>
      <c r="CG563">
        <f t="shared" si="91"/>
        <v>0</v>
      </c>
      <c r="CH563" t="e">
        <f>IF(#REF!=BI563,0,1)</f>
        <v>#REF!</v>
      </c>
      <c r="CI563" t="e">
        <f>IF(#REF!=BJ563,0,1)</f>
        <v>#REF!</v>
      </c>
      <c r="CJ563" t="e">
        <f>IF(#REF!=BK563,0,1)</f>
        <v>#REF!</v>
      </c>
      <c r="CK563">
        <f t="shared" si="92"/>
        <v>0</v>
      </c>
      <c r="CL563">
        <f t="shared" si="93"/>
        <v>0</v>
      </c>
      <c r="CM563">
        <f t="shared" si="94"/>
        <v>0</v>
      </c>
      <c r="CN563">
        <f t="shared" si="95"/>
        <v>0</v>
      </c>
      <c r="CO563">
        <f t="shared" si="96"/>
        <v>0</v>
      </c>
      <c r="CP563">
        <f t="shared" si="97"/>
        <v>0</v>
      </c>
      <c r="CQ563">
        <f t="shared" si="98"/>
        <v>0</v>
      </c>
    </row>
    <row r="564" spans="11:95" x14ac:dyDescent="0.3">
      <c r="M564" s="42"/>
      <c r="O564" s="46"/>
      <c r="Q564" s="46">
        <f>c_cog+c_hosp_fu+c_CSG</f>
        <v>15766</v>
      </c>
      <c r="R564" s="46"/>
      <c r="T564" s="78"/>
      <c r="Z564" s="42"/>
      <c r="AA564" s="6"/>
      <c r="AB564" s="42">
        <f t="shared" si="69"/>
        <v>0</v>
      </c>
      <c r="AC564" s="42">
        <f>U564*(Q566-c_CSG)</f>
        <v>0</v>
      </c>
      <c r="BB564">
        <v>4840</v>
      </c>
      <c r="BK564">
        <f t="shared" si="70"/>
        <v>0</v>
      </c>
      <c r="BL564">
        <f t="shared" si="71"/>
        <v>0</v>
      </c>
      <c r="BM564">
        <f t="shared" si="72"/>
        <v>0</v>
      </c>
      <c r="BN564">
        <f t="shared" si="73"/>
        <v>0</v>
      </c>
      <c r="BO564">
        <f t="shared" si="74"/>
        <v>0</v>
      </c>
      <c r="BP564">
        <f t="shared" si="75"/>
        <v>0</v>
      </c>
      <c r="BQ564">
        <f t="shared" si="76"/>
        <v>0</v>
      </c>
      <c r="BR564">
        <f t="shared" si="77"/>
        <v>0</v>
      </c>
      <c r="BS564">
        <f t="shared" si="78"/>
        <v>0</v>
      </c>
      <c r="BT564">
        <f t="shared" si="79"/>
        <v>0</v>
      </c>
      <c r="BU564">
        <f t="shared" si="80"/>
        <v>0</v>
      </c>
      <c r="BV564">
        <f t="shared" si="81"/>
        <v>0</v>
      </c>
      <c r="BW564">
        <f t="shared" si="82"/>
        <v>0</v>
      </c>
      <c r="BX564">
        <f t="shared" si="83"/>
        <v>0</v>
      </c>
      <c r="BY564">
        <f t="shared" si="84"/>
        <v>0</v>
      </c>
      <c r="BZ564">
        <f t="shared" si="85"/>
        <v>0</v>
      </c>
      <c r="CA564">
        <f t="shared" si="86"/>
        <v>1</v>
      </c>
      <c r="CB564">
        <f t="shared" si="87"/>
        <v>0</v>
      </c>
      <c r="CC564">
        <f t="shared" si="88"/>
        <v>0</v>
      </c>
      <c r="CD564">
        <f t="shared" si="89"/>
        <v>0</v>
      </c>
      <c r="CE564">
        <f t="shared" si="90"/>
        <v>1</v>
      </c>
      <c r="CF564" t="e">
        <f>IF(#REF!=BG564,0,1)</f>
        <v>#REF!</v>
      </c>
      <c r="CG564">
        <f t="shared" si="91"/>
        <v>0</v>
      </c>
      <c r="CH564" t="e">
        <f>IF(#REF!=BI564,0,1)</f>
        <v>#REF!</v>
      </c>
      <c r="CI564" t="e">
        <f>IF(#REF!=BJ564,0,1)</f>
        <v>#REF!</v>
      </c>
      <c r="CJ564" t="e">
        <f>IF(#REF!=BK564,0,1)</f>
        <v>#REF!</v>
      </c>
      <c r="CK564">
        <f t="shared" si="92"/>
        <v>0</v>
      </c>
      <c r="CL564">
        <f t="shared" si="93"/>
        <v>0</v>
      </c>
      <c r="CM564">
        <f t="shared" si="94"/>
        <v>0</v>
      </c>
      <c r="CN564">
        <f t="shared" si="95"/>
        <v>0</v>
      </c>
      <c r="CO564">
        <f t="shared" si="96"/>
        <v>0</v>
      </c>
      <c r="CP564">
        <f t="shared" si="97"/>
        <v>0</v>
      </c>
      <c r="CQ564">
        <f t="shared" si="98"/>
        <v>0</v>
      </c>
    </row>
    <row r="565" spans="11:95" x14ac:dyDescent="0.3">
      <c r="M565" s="42"/>
      <c r="Q565" s="19" t="s">
        <v>368</v>
      </c>
      <c r="R565" s="19"/>
      <c r="T565" s="78"/>
      <c r="U565">
        <f>$G$493*$E$531*$C$600*$A$555*$I$525*$K$536*$M$551*$O$563*Q566</f>
        <v>1.7041678873384111E-5</v>
      </c>
      <c r="V565">
        <v>5.7903857518206092E-5</v>
      </c>
      <c r="W565" s="42">
        <f>$K$537+$I$526+$G$494+$E$532+$C$601+$A$556+$M$552+$O$564+Q567</f>
        <v>315927.97071050806</v>
      </c>
      <c r="X565">
        <f>u_ChronicResp+u_CongnitiveImpairement</f>
        <v>17.805052694763283</v>
      </c>
      <c r="Z565" s="42">
        <f>U565*W565</f>
        <v>5.3839430239683796</v>
      </c>
      <c r="AA565" s="6">
        <f>U565*X565</f>
        <v>3.0342799034783829E-4</v>
      </c>
      <c r="AB565" s="42">
        <f t="shared" si="69"/>
        <v>0.1881401347621606</v>
      </c>
      <c r="AC565" s="42">
        <f>U565*(Q567-c_CSG)</f>
        <v>0.80621645077669191</v>
      </c>
      <c r="BB565" t="s">
        <v>368</v>
      </c>
      <c r="BE565">
        <v>5.7903857518206079E-5</v>
      </c>
      <c r="BK565">
        <f t="shared" si="70"/>
        <v>0</v>
      </c>
      <c r="BL565">
        <f t="shared" si="71"/>
        <v>0</v>
      </c>
      <c r="BM565">
        <f t="shared" si="72"/>
        <v>0</v>
      </c>
      <c r="BN565">
        <f t="shared" si="73"/>
        <v>0</v>
      </c>
      <c r="BO565">
        <f t="shared" si="74"/>
        <v>0</v>
      </c>
      <c r="BP565">
        <f t="shared" si="75"/>
        <v>0</v>
      </c>
      <c r="BQ565">
        <f t="shared" si="76"/>
        <v>0</v>
      </c>
      <c r="BR565">
        <f t="shared" si="77"/>
        <v>0</v>
      </c>
      <c r="BS565">
        <f t="shared" si="78"/>
        <v>0</v>
      </c>
      <c r="BT565">
        <f t="shared" si="79"/>
        <v>0</v>
      </c>
      <c r="BU565">
        <f t="shared" si="80"/>
        <v>0</v>
      </c>
      <c r="BV565">
        <f t="shared" si="81"/>
        <v>0</v>
      </c>
      <c r="BW565">
        <f t="shared" si="82"/>
        <v>0</v>
      </c>
      <c r="BX565">
        <f t="shared" si="83"/>
        <v>0</v>
      </c>
      <c r="BY565">
        <f t="shared" si="84"/>
        <v>0</v>
      </c>
      <c r="BZ565">
        <f t="shared" si="85"/>
        <v>0</v>
      </c>
      <c r="CA565">
        <f t="shared" si="86"/>
        <v>0</v>
      </c>
      <c r="CB565">
        <f t="shared" si="87"/>
        <v>0</v>
      </c>
      <c r="CC565">
        <f t="shared" si="88"/>
        <v>0</v>
      </c>
      <c r="CD565">
        <f t="shared" si="89"/>
        <v>1</v>
      </c>
      <c r="CE565">
        <f t="shared" si="90"/>
        <v>0</v>
      </c>
      <c r="CF565" t="e">
        <f>IF(#REF!=BG565,0,1)</f>
        <v>#REF!</v>
      </c>
      <c r="CG565">
        <f t="shared" si="91"/>
        <v>1</v>
      </c>
      <c r="CH565" t="e">
        <f>IF(#REF!=BI565,0,1)</f>
        <v>#REF!</v>
      </c>
      <c r="CI565" t="e">
        <f>IF(#REF!=BJ565,0,1)</f>
        <v>#REF!</v>
      </c>
      <c r="CJ565" t="e">
        <f>IF(#REF!=BK565,0,1)</f>
        <v>#REF!</v>
      </c>
      <c r="CK565">
        <f t="shared" si="92"/>
        <v>1</v>
      </c>
      <c r="CL565">
        <f t="shared" si="93"/>
        <v>1</v>
      </c>
      <c r="CM565">
        <f t="shared" si="94"/>
        <v>1</v>
      </c>
      <c r="CN565">
        <f t="shared" si="95"/>
        <v>0</v>
      </c>
      <c r="CO565">
        <f t="shared" si="96"/>
        <v>0</v>
      </c>
      <c r="CP565">
        <f t="shared" si="97"/>
        <v>0</v>
      </c>
      <c r="CQ565">
        <f t="shared" si="98"/>
        <v>0</v>
      </c>
    </row>
    <row r="566" spans="11:95" x14ac:dyDescent="0.3">
      <c r="Q566" s="45">
        <f>RDS2CLD_2*noHypo2CI_2</f>
        <v>1.1943893129770991E-2</v>
      </c>
      <c r="R566" s="45"/>
      <c r="T566" s="78"/>
      <c r="Z566" s="42"/>
      <c r="AA566" s="6"/>
      <c r="AB566" s="42">
        <f t="shared" si="69"/>
        <v>0</v>
      </c>
      <c r="AC566" s="42"/>
      <c r="BB566">
        <v>1.1943893129770991E-2</v>
      </c>
      <c r="BK566">
        <f t="shared" si="70"/>
        <v>0</v>
      </c>
      <c r="BL566">
        <f t="shared" si="71"/>
        <v>0</v>
      </c>
      <c r="BM566">
        <f t="shared" si="72"/>
        <v>0</v>
      </c>
      <c r="BN566">
        <f t="shared" si="73"/>
        <v>0</v>
      </c>
      <c r="BO566">
        <f t="shared" si="74"/>
        <v>0</v>
      </c>
      <c r="BP566">
        <f t="shared" si="75"/>
        <v>0</v>
      </c>
      <c r="BQ566">
        <f t="shared" si="76"/>
        <v>0</v>
      </c>
      <c r="BR566">
        <f t="shared" si="77"/>
        <v>0</v>
      </c>
      <c r="BS566">
        <f t="shared" si="78"/>
        <v>0</v>
      </c>
      <c r="BT566">
        <f t="shared" si="79"/>
        <v>0</v>
      </c>
      <c r="BU566">
        <f t="shared" si="80"/>
        <v>0</v>
      </c>
      <c r="BV566">
        <f t="shared" si="81"/>
        <v>0</v>
      </c>
      <c r="BW566">
        <f t="shared" si="82"/>
        <v>0</v>
      </c>
      <c r="BX566">
        <f t="shared" si="83"/>
        <v>0</v>
      </c>
      <c r="BY566">
        <f t="shared" si="84"/>
        <v>0</v>
      </c>
      <c r="BZ566">
        <f t="shared" si="85"/>
        <v>0</v>
      </c>
      <c r="CA566">
        <f t="shared" si="86"/>
        <v>0</v>
      </c>
      <c r="CB566">
        <f t="shared" si="87"/>
        <v>0</v>
      </c>
      <c r="CC566">
        <f t="shared" si="88"/>
        <v>0</v>
      </c>
      <c r="CD566">
        <f t="shared" si="89"/>
        <v>0</v>
      </c>
      <c r="CE566">
        <f t="shared" si="90"/>
        <v>0</v>
      </c>
      <c r="CF566" t="e">
        <f>IF(#REF!=BG566,0,1)</f>
        <v>#REF!</v>
      </c>
      <c r="CG566">
        <f t="shared" si="91"/>
        <v>0</v>
      </c>
      <c r="CH566" t="e">
        <f>IF(#REF!=BI566,0,1)</f>
        <v>#REF!</v>
      </c>
      <c r="CI566" t="e">
        <f>IF(#REF!=BJ566,0,1)</f>
        <v>#REF!</v>
      </c>
      <c r="CJ566" t="e">
        <f>IF(#REF!=BK566,0,1)</f>
        <v>#REF!</v>
      </c>
      <c r="CK566">
        <f t="shared" si="92"/>
        <v>0</v>
      </c>
      <c r="CL566">
        <f t="shared" si="93"/>
        <v>0</v>
      </c>
      <c r="CM566">
        <f t="shared" si="94"/>
        <v>0</v>
      </c>
      <c r="CN566">
        <f t="shared" si="95"/>
        <v>0</v>
      </c>
      <c r="CO566">
        <f t="shared" si="96"/>
        <v>0</v>
      </c>
      <c r="CP566">
        <f t="shared" si="97"/>
        <v>0</v>
      </c>
      <c r="CQ566">
        <f t="shared" si="98"/>
        <v>0</v>
      </c>
    </row>
    <row r="567" spans="11:95" x14ac:dyDescent="0.3">
      <c r="Q567" s="46">
        <f>c_cog+c_lung+c_hosp_fu+c_CSG</f>
        <v>58348.510902399998</v>
      </c>
      <c r="R567" s="46"/>
      <c r="T567" s="78"/>
      <c r="Z567" s="42"/>
      <c r="AA567" s="6"/>
      <c r="AB567" s="42">
        <f t="shared" si="69"/>
        <v>0</v>
      </c>
      <c r="AC567" s="42">
        <f>U567*(Q569-c_CSG)</f>
        <v>0</v>
      </c>
      <c r="BB567">
        <v>45990.200000000004</v>
      </c>
      <c r="BK567">
        <f t="shared" si="70"/>
        <v>0</v>
      </c>
      <c r="BL567">
        <f t="shared" si="71"/>
        <v>0</v>
      </c>
      <c r="BM567">
        <f t="shared" si="72"/>
        <v>0</v>
      </c>
      <c r="BN567">
        <f t="shared" si="73"/>
        <v>0</v>
      </c>
      <c r="BO567">
        <f t="shared" si="74"/>
        <v>0</v>
      </c>
      <c r="BP567">
        <f t="shared" si="75"/>
        <v>0</v>
      </c>
      <c r="BQ567">
        <f t="shared" si="76"/>
        <v>0</v>
      </c>
      <c r="BR567">
        <f t="shared" si="77"/>
        <v>0</v>
      </c>
      <c r="BS567">
        <f t="shared" si="78"/>
        <v>0</v>
      </c>
      <c r="BT567">
        <f t="shared" si="79"/>
        <v>0</v>
      </c>
      <c r="BU567">
        <f t="shared" si="80"/>
        <v>0</v>
      </c>
      <c r="BV567">
        <f t="shared" si="81"/>
        <v>0</v>
      </c>
      <c r="BW567">
        <f t="shared" si="82"/>
        <v>0</v>
      </c>
      <c r="BX567">
        <f t="shared" si="83"/>
        <v>0</v>
      </c>
      <c r="BY567">
        <f t="shared" si="84"/>
        <v>0</v>
      </c>
      <c r="BZ567">
        <f t="shared" si="85"/>
        <v>0</v>
      </c>
      <c r="CA567">
        <f t="shared" si="86"/>
        <v>1</v>
      </c>
      <c r="CB567">
        <f t="shared" si="87"/>
        <v>0</v>
      </c>
      <c r="CC567">
        <f t="shared" si="88"/>
        <v>0</v>
      </c>
      <c r="CD567">
        <f t="shared" si="89"/>
        <v>0</v>
      </c>
      <c r="CE567">
        <f t="shared" si="90"/>
        <v>1</v>
      </c>
      <c r="CF567" t="e">
        <f>IF(#REF!=BG567,0,1)</f>
        <v>#REF!</v>
      </c>
      <c r="CG567">
        <f t="shared" si="91"/>
        <v>0</v>
      </c>
      <c r="CH567" t="e">
        <f>IF(#REF!=BI567,0,1)</f>
        <v>#REF!</v>
      </c>
      <c r="CI567" t="e">
        <f>IF(#REF!=BJ567,0,1)</f>
        <v>#REF!</v>
      </c>
      <c r="CJ567" t="e">
        <f>IF(#REF!=BK567,0,1)</f>
        <v>#REF!</v>
      </c>
      <c r="CK567">
        <f t="shared" si="92"/>
        <v>0</v>
      </c>
      <c r="CL567">
        <f t="shared" si="93"/>
        <v>0</v>
      </c>
      <c r="CM567">
        <f t="shared" si="94"/>
        <v>0</v>
      </c>
      <c r="CN567">
        <f t="shared" si="95"/>
        <v>0</v>
      </c>
      <c r="CO567">
        <f t="shared" si="96"/>
        <v>0</v>
      </c>
      <c r="CP567">
        <f t="shared" si="97"/>
        <v>0</v>
      </c>
      <c r="CQ567">
        <f t="shared" si="98"/>
        <v>0</v>
      </c>
    </row>
    <row r="568" spans="11:95" x14ac:dyDescent="0.3">
      <c r="M568" s="42"/>
      <c r="Q568" s="19" t="s">
        <v>369</v>
      </c>
      <c r="R568" s="19"/>
      <c r="T568" s="78"/>
      <c r="U568">
        <f>$G$493*$E$531*$C$600*$A$555*$I$525*$K$536*$M$551*$O$563*Q569</f>
        <v>8.8156708254385119E-4</v>
      </c>
      <c r="V568">
        <v>2.99537006415983E-3</v>
      </c>
      <c r="W568" s="42">
        <f>$K$537+$I$526+$G$494+$E$532+$C$601+$A$556+$M$552+$O$564+Q570</f>
        <v>271982.45980810805</v>
      </c>
      <c r="X568">
        <f>u_Healthy</f>
        <v>0</v>
      </c>
      <c r="Z568" s="42">
        <f>U568*W568</f>
        <v>239.77078359613407</v>
      </c>
      <c r="AA568" s="6">
        <f>U568*X568</f>
        <v>0</v>
      </c>
      <c r="AB568" s="42">
        <f t="shared" si="69"/>
        <v>9.7325005912841167</v>
      </c>
      <c r="AC568" s="42">
        <f>U568*(Q570-c_CSG)</f>
        <v>2.9647100985949715</v>
      </c>
      <c r="BB568" t="s">
        <v>369</v>
      </c>
      <c r="BE568">
        <v>2.9953700641598292E-3</v>
      </c>
      <c r="BK568">
        <f t="shared" si="70"/>
        <v>0</v>
      </c>
      <c r="BL568">
        <f t="shared" si="71"/>
        <v>0</v>
      </c>
      <c r="BM568">
        <f t="shared" si="72"/>
        <v>0</v>
      </c>
      <c r="BN568">
        <f t="shared" si="73"/>
        <v>0</v>
      </c>
      <c r="BO568">
        <f t="shared" si="74"/>
        <v>0</v>
      </c>
      <c r="BP568">
        <f t="shared" si="75"/>
        <v>0</v>
      </c>
      <c r="BQ568">
        <f t="shared" si="76"/>
        <v>0</v>
      </c>
      <c r="BR568">
        <f t="shared" si="77"/>
        <v>0</v>
      </c>
      <c r="BS568">
        <f t="shared" si="78"/>
        <v>0</v>
      </c>
      <c r="BT568">
        <f t="shared" si="79"/>
        <v>0</v>
      </c>
      <c r="BU568">
        <f t="shared" si="80"/>
        <v>0</v>
      </c>
      <c r="BV568">
        <f t="shared" si="81"/>
        <v>0</v>
      </c>
      <c r="BW568">
        <f t="shared" si="82"/>
        <v>0</v>
      </c>
      <c r="BX568">
        <f t="shared" si="83"/>
        <v>0</v>
      </c>
      <c r="BY568">
        <f t="shared" si="84"/>
        <v>0</v>
      </c>
      <c r="BZ568">
        <f t="shared" si="85"/>
        <v>0</v>
      </c>
      <c r="CA568">
        <f t="shared" si="86"/>
        <v>0</v>
      </c>
      <c r="CB568">
        <f t="shared" si="87"/>
        <v>0</v>
      </c>
      <c r="CC568">
        <f t="shared" si="88"/>
        <v>0</v>
      </c>
      <c r="CD568">
        <f t="shared" si="89"/>
        <v>1</v>
      </c>
      <c r="CE568">
        <f t="shared" si="90"/>
        <v>0</v>
      </c>
      <c r="CF568" t="e">
        <f>IF(#REF!=BG568,0,1)</f>
        <v>#REF!</v>
      </c>
      <c r="CG568">
        <f t="shared" si="91"/>
        <v>1</v>
      </c>
      <c r="CH568" t="e">
        <f>IF(#REF!=BI568,0,1)</f>
        <v>#REF!</v>
      </c>
      <c r="CI568" t="e">
        <f>IF(#REF!=BJ568,0,1)</f>
        <v>#REF!</v>
      </c>
      <c r="CJ568" t="e">
        <f>IF(#REF!=BK568,0,1)</f>
        <v>#REF!</v>
      </c>
      <c r="CK568">
        <f t="shared" si="92"/>
        <v>0</v>
      </c>
      <c r="CL568">
        <f t="shared" si="93"/>
        <v>1</v>
      </c>
      <c r="CM568">
        <f t="shared" si="94"/>
        <v>0</v>
      </c>
      <c r="CN568">
        <f t="shared" si="95"/>
        <v>0</v>
      </c>
      <c r="CO568">
        <f t="shared" si="96"/>
        <v>0</v>
      </c>
      <c r="CP568">
        <f t="shared" si="97"/>
        <v>0</v>
      </c>
      <c r="CQ568">
        <f t="shared" si="98"/>
        <v>0</v>
      </c>
    </row>
    <row r="569" spans="11:95" x14ac:dyDescent="0.3">
      <c r="M569" s="42"/>
      <c r="Q569" s="45">
        <f>1-Q566-Q563-Q560</f>
        <v>0.61785831659300938</v>
      </c>
      <c r="R569" s="45"/>
      <c r="T569" s="78"/>
      <c r="Z569" s="42"/>
      <c r="AA569" s="6"/>
      <c r="AB569" s="42">
        <f t="shared" si="69"/>
        <v>0</v>
      </c>
      <c r="AC569" s="42">
        <f>U569*(Q571-c_CSG)</f>
        <v>0</v>
      </c>
      <c r="BB569">
        <v>0.61785831659300938</v>
      </c>
      <c r="BK569">
        <f t="shared" si="70"/>
        <v>0</v>
      </c>
      <c r="BL569">
        <f t="shared" si="71"/>
        <v>0</v>
      </c>
      <c r="BM569">
        <f t="shared" si="72"/>
        <v>0</v>
      </c>
      <c r="BN569">
        <f t="shared" si="73"/>
        <v>0</v>
      </c>
      <c r="BO569">
        <f t="shared" si="74"/>
        <v>0</v>
      </c>
      <c r="BP569">
        <f t="shared" si="75"/>
        <v>0</v>
      </c>
      <c r="BQ569">
        <f t="shared" si="76"/>
        <v>0</v>
      </c>
      <c r="BR569">
        <f t="shared" si="77"/>
        <v>0</v>
      </c>
      <c r="BS569">
        <f t="shared" si="78"/>
        <v>0</v>
      </c>
      <c r="BT569">
        <f t="shared" si="79"/>
        <v>0</v>
      </c>
      <c r="BU569">
        <f t="shared" si="80"/>
        <v>0</v>
      </c>
      <c r="BV569">
        <f t="shared" si="81"/>
        <v>0</v>
      </c>
      <c r="BW569">
        <f t="shared" si="82"/>
        <v>0</v>
      </c>
      <c r="BX569">
        <f t="shared" si="83"/>
        <v>0</v>
      </c>
      <c r="BY569">
        <f t="shared" si="84"/>
        <v>0</v>
      </c>
      <c r="BZ569">
        <f t="shared" si="85"/>
        <v>0</v>
      </c>
      <c r="CA569">
        <f t="shared" si="86"/>
        <v>0</v>
      </c>
      <c r="CB569">
        <f t="shared" si="87"/>
        <v>0</v>
      </c>
      <c r="CC569">
        <f t="shared" si="88"/>
        <v>0</v>
      </c>
      <c r="CD569">
        <f t="shared" si="89"/>
        <v>0</v>
      </c>
      <c r="CE569">
        <f t="shared" si="90"/>
        <v>0</v>
      </c>
      <c r="CF569" t="e">
        <f>IF(#REF!=BG569,0,1)</f>
        <v>#REF!</v>
      </c>
      <c r="CG569">
        <f t="shared" si="91"/>
        <v>0</v>
      </c>
      <c r="CH569" t="e">
        <f>IF(#REF!=BI569,0,1)</f>
        <v>#REF!</v>
      </c>
      <c r="CI569" t="e">
        <f>IF(#REF!=BJ569,0,1)</f>
        <v>#REF!</v>
      </c>
      <c r="CJ569" t="e">
        <f>IF(#REF!=BK569,0,1)</f>
        <v>#REF!</v>
      </c>
      <c r="CK569">
        <f t="shared" si="92"/>
        <v>0</v>
      </c>
      <c r="CL569">
        <f t="shared" si="93"/>
        <v>0</v>
      </c>
      <c r="CM569">
        <f t="shared" si="94"/>
        <v>0</v>
      </c>
      <c r="CN569">
        <f t="shared" si="95"/>
        <v>0</v>
      </c>
      <c r="CO569">
        <f t="shared" si="96"/>
        <v>0</v>
      </c>
      <c r="CP569">
        <f t="shared" si="97"/>
        <v>0</v>
      </c>
      <c r="CQ569">
        <f t="shared" si="98"/>
        <v>0</v>
      </c>
    </row>
    <row r="570" spans="11:95" x14ac:dyDescent="0.3">
      <c r="M570" s="42"/>
      <c r="Q570" s="46">
        <f>c_clinic_fu+c_CSG</f>
        <v>14403</v>
      </c>
      <c r="R570" s="46"/>
      <c r="T570" s="78"/>
      <c r="Z570" s="42"/>
      <c r="AA570" s="6"/>
      <c r="AB570" s="42">
        <f t="shared" si="69"/>
        <v>0</v>
      </c>
      <c r="AC570" s="42">
        <f>U570*(Q572-c_CSG)</f>
        <v>0</v>
      </c>
      <c r="BB570">
        <v>3230</v>
      </c>
      <c r="BK570">
        <f t="shared" si="70"/>
        <v>0</v>
      </c>
      <c r="BL570">
        <f t="shared" si="71"/>
        <v>0</v>
      </c>
      <c r="BM570">
        <f t="shared" si="72"/>
        <v>0</v>
      </c>
      <c r="BN570">
        <f t="shared" si="73"/>
        <v>0</v>
      </c>
      <c r="BO570">
        <f t="shared" si="74"/>
        <v>0</v>
      </c>
      <c r="BP570">
        <f t="shared" si="75"/>
        <v>0</v>
      </c>
      <c r="BQ570">
        <f t="shared" si="76"/>
        <v>0</v>
      </c>
      <c r="BR570">
        <f t="shared" si="77"/>
        <v>0</v>
      </c>
      <c r="BS570">
        <f t="shared" si="78"/>
        <v>0</v>
      </c>
      <c r="BT570">
        <f t="shared" si="79"/>
        <v>0</v>
      </c>
      <c r="BU570">
        <f t="shared" si="80"/>
        <v>0</v>
      </c>
      <c r="BV570">
        <f t="shared" si="81"/>
        <v>0</v>
      </c>
      <c r="BW570">
        <f t="shared" si="82"/>
        <v>0</v>
      </c>
      <c r="BX570">
        <f t="shared" si="83"/>
        <v>0</v>
      </c>
      <c r="BY570">
        <f t="shared" si="84"/>
        <v>0</v>
      </c>
      <c r="BZ570">
        <f t="shared" si="85"/>
        <v>0</v>
      </c>
      <c r="CA570">
        <f t="shared" si="86"/>
        <v>1</v>
      </c>
      <c r="CB570">
        <f t="shared" si="87"/>
        <v>0</v>
      </c>
      <c r="CC570">
        <f t="shared" si="88"/>
        <v>0</v>
      </c>
      <c r="CD570">
        <f t="shared" si="89"/>
        <v>0</v>
      </c>
      <c r="CE570">
        <f t="shared" si="90"/>
        <v>0</v>
      </c>
      <c r="CF570" t="e">
        <f>IF(#REF!=BG570,0,1)</f>
        <v>#REF!</v>
      </c>
      <c r="CG570">
        <f t="shared" si="91"/>
        <v>0</v>
      </c>
      <c r="CH570" t="e">
        <f>IF(#REF!=BI570,0,1)</f>
        <v>#REF!</v>
      </c>
      <c r="CI570" t="e">
        <f>IF(#REF!=BJ570,0,1)</f>
        <v>#REF!</v>
      </c>
      <c r="CJ570" t="e">
        <f>IF(#REF!=BK570,0,1)</f>
        <v>#REF!</v>
      </c>
      <c r="CK570">
        <f t="shared" si="92"/>
        <v>0</v>
      </c>
      <c r="CL570">
        <f t="shared" si="93"/>
        <v>0</v>
      </c>
      <c r="CM570">
        <f t="shared" si="94"/>
        <v>0</v>
      </c>
      <c r="CN570">
        <f t="shared" si="95"/>
        <v>0</v>
      </c>
      <c r="CO570">
        <f t="shared" si="96"/>
        <v>0</v>
      </c>
      <c r="CP570">
        <f t="shared" si="97"/>
        <v>0</v>
      </c>
      <c r="CQ570">
        <f t="shared" si="98"/>
        <v>0</v>
      </c>
    </row>
    <row r="571" spans="11:95" x14ac:dyDescent="0.3">
      <c r="M571" s="42"/>
      <c r="Q571" s="42"/>
      <c r="R571" s="42"/>
      <c r="T571" s="78"/>
      <c r="Z571" s="42"/>
      <c r="AA571" s="6"/>
      <c r="AB571" s="42">
        <f t="shared" si="69"/>
        <v>0</v>
      </c>
      <c r="AC571" s="42">
        <f>U571*(Q573-c_CSG)</f>
        <v>0</v>
      </c>
      <c r="BK571">
        <f t="shared" si="70"/>
        <v>0</v>
      </c>
      <c r="BL571">
        <f t="shared" si="71"/>
        <v>0</v>
      </c>
      <c r="BM571">
        <f t="shared" si="72"/>
        <v>0</v>
      </c>
      <c r="BN571">
        <f t="shared" si="73"/>
        <v>0</v>
      </c>
      <c r="BO571">
        <f t="shared" si="74"/>
        <v>0</v>
      </c>
      <c r="BP571">
        <f t="shared" si="75"/>
        <v>0</v>
      </c>
      <c r="BQ571">
        <f t="shared" si="76"/>
        <v>0</v>
      </c>
      <c r="BR571">
        <f t="shared" si="77"/>
        <v>0</v>
      </c>
      <c r="BS571">
        <f t="shared" si="78"/>
        <v>0</v>
      </c>
      <c r="BT571">
        <f t="shared" si="79"/>
        <v>0</v>
      </c>
      <c r="BU571">
        <f t="shared" si="80"/>
        <v>0</v>
      </c>
      <c r="BV571">
        <f t="shared" si="81"/>
        <v>0</v>
      </c>
      <c r="BW571">
        <f t="shared" si="82"/>
        <v>0</v>
      </c>
      <c r="BX571">
        <f t="shared" si="83"/>
        <v>0</v>
      </c>
      <c r="BY571">
        <f t="shared" si="84"/>
        <v>0</v>
      </c>
      <c r="BZ571">
        <f t="shared" si="85"/>
        <v>0</v>
      </c>
      <c r="CA571">
        <f t="shared" si="86"/>
        <v>0</v>
      </c>
      <c r="CB571">
        <f t="shared" si="87"/>
        <v>0</v>
      </c>
      <c r="CC571">
        <f t="shared" si="88"/>
        <v>0</v>
      </c>
      <c r="CD571">
        <f t="shared" si="89"/>
        <v>0</v>
      </c>
      <c r="CE571">
        <f t="shared" si="90"/>
        <v>0</v>
      </c>
      <c r="CF571" t="e">
        <f>IF(#REF!=BG571,0,1)</f>
        <v>#REF!</v>
      </c>
      <c r="CG571">
        <f t="shared" si="91"/>
        <v>0</v>
      </c>
      <c r="CH571" t="e">
        <f>IF(#REF!=BI571,0,1)</f>
        <v>#REF!</v>
      </c>
      <c r="CI571" t="e">
        <f>IF(#REF!=BJ571,0,1)</f>
        <v>#REF!</v>
      </c>
      <c r="CJ571" t="e">
        <f>IF(#REF!=BK571,0,1)</f>
        <v>#REF!</v>
      </c>
      <c r="CK571">
        <f t="shared" si="92"/>
        <v>0</v>
      </c>
      <c r="CL571">
        <f t="shared" si="93"/>
        <v>0</v>
      </c>
      <c r="CM571">
        <f t="shared" si="94"/>
        <v>0</v>
      </c>
      <c r="CN571">
        <f t="shared" si="95"/>
        <v>0</v>
      </c>
      <c r="CO571">
        <f t="shared" si="96"/>
        <v>0</v>
      </c>
      <c r="CP571">
        <f t="shared" si="97"/>
        <v>0</v>
      </c>
      <c r="CQ571">
        <f t="shared" si="98"/>
        <v>0</v>
      </c>
    </row>
    <row r="572" spans="11:95" x14ac:dyDescent="0.3">
      <c r="K572" s="19" t="s">
        <v>165</v>
      </c>
      <c r="L572" s="19"/>
      <c r="M572" s="19"/>
      <c r="N572" s="19"/>
      <c r="O572" s="19"/>
      <c r="P572" s="19"/>
      <c r="Q572" s="19"/>
      <c r="R572" s="19"/>
      <c r="T572" s="78"/>
      <c r="U572">
        <f>$K$573*$I$581*$G$602*$E$531*$C$600*$A$555</f>
        <v>0</v>
      </c>
      <c r="W572" s="42">
        <f>$K$574+$I$582+$G$603+$E$532+$C$601+$A$556</f>
        <v>5925.1017081081081</v>
      </c>
      <c r="X572">
        <f>u_Death</f>
        <v>19.181538114427529</v>
      </c>
      <c r="Z572" s="42">
        <f>U572*W572</f>
        <v>0</v>
      </c>
      <c r="AA572" s="6">
        <f>U572*X572</f>
        <v>0</v>
      </c>
      <c r="AB572" s="42"/>
      <c r="AC572" s="42"/>
      <c r="AV572" t="s">
        <v>165</v>
      </c>
      <c r="BE572">
        <v>0</v>
      </c>
      <c r="BK572">
        <f t="shared" si="70"/>
        <v>0</v>
      </c>
      <c r="BL572">
        <f t="shared" si="71"/>
        <v>0</v>
      </c>
      <c r="BM572">
        <f t="shared" si="72"/>
        <v>0</v>
      </c>
      <c r="BN572">
        <f t="shared" si="73"/>
        <v>0</v>
      </c>
      <c r="BO572">
        <f t="shared" si="74"/>
        <v>0</v>
      </c>
      <c r="BP572">
        <f t="shared" si="75"/>
        <v>0</v>
      </c>
      <c r="BQ572">
        <f t="shared" si="76"/>
        <v>0</v>
      </c>
      <c r="BR572">
        <f t="shared" si="77"/>
        <v>0</v>
      </c>
      <c r="BS572">
        <f t="shared" si="78"/>
        <v>0</v>
      </c>
      <c r="BT572">
        <f t="shared" si="79"/>
        <v>0</v>
      </c>
      <c r="BU572">
        <f t="shared" si="80"/>
        <v>0</v>
      </c>
      <c r="BV572">
        <f t="shared" si="81"/>
        <v>0</v>
      </c>
      <c r="BW572">
        <f t="shared" si="82"/>
        <v>0</v>
      </c>
      <c r="BX572">
        <f t="shared" si="83"/>
        <v>0</v>
      </c>
      <c r="BY572">
        <f t="shared" si="84"/>
        <v>0</v>
      </c>
      <c r="BZ572">
        <f t="shared" si="85"/>
        <v>0</v>
      </c>
      <c r="CA572">
        <f t="shared" si="86"/>
        <v>0</v>
      </c>
      <c r="CB572">
        <f t="shared" si="87"/>
        <v>0</v>
      </c>
      <c r="CC572">
        <f t="shared" si="88"/>
        <v>0</v>
      </c>
      <c r="CD572">
        <f t="shared" si="89"/>
        <v>0</v>
      </c>
      <c r="CE572">
        <f t="shared" si="90"/>
        <v>0</v>
      </c>
      <c r="CF572" t="e">
        <f>IF(#REF!=BG572,0,1)</f>
        <v>#REF!</v>
      </c>
      <c r="CG572">
        <f t="shared" si="91"/>
        <v>1</v>
      </c>
      <c r="CH572" t="e">
        <f>IF(#REF!=BI572,0,1)</f>
        <v>#REF!</v>
      </c>
      <c r="CI572" t="e">
        <f>IF(#REF!=BJ572,0,1)</f>
        <v>#REF!</v>
      </c>
      <c r="CJ572" t="e">
        <f>IF(#REF!=BK572,0,1)</f>
        <v>#REF!</v>
      </c>
      <c r="CK572">
        <f t="shared" si="92"/>
        <v>1</v>
      </c>
      <c r="CL572">
        <f t="shared" si="93"/>
        <v>0</v>
      </c>
      <c r="CM572">
        <f t="shared" si="94"/>
        <v>0</v>
      </c>
      <c r="CN572">
        <f t="shared" si="95"/>
        <v>0</v>
      </c>
      <c r="CO572">
        <f t="shared" si="96"/>
        <v>0</v>
      </c>
      <c r="CP572">
        <f t="shared" si="97"/>
        <v>0</v>
      </c>
      <c r="CQ572">
        <f t="shared" si="98"/>
        <v>0</v>
      </c>
    </row>
    <row r="573" spans="11:95" x14ac:dyDescent="0.3">
      <c r="K573" s="45">
        <f>SGA_prem_2d_1</f>
        <v>7.6248466666666667E-2</v>
      </c>
      <c r="T573" s="78"/>
      <c r="V573">
        <v>0</v>
      </c>
      <c r="Z573" s="42"/>
      <c r="AA573" s="6"/>
      <c r="AB573" s="42">
        <f t="shared" ref="AB573:AB604" si="99">U573*c_CSG</f>
        <v>0</v>
      </c>
      <c r="AC573" s="42">
        <f>U573*(Q575-c_CSG)</f>
        <v>0</v>
      </c>
      <c r="AV573">
        <v>8.4066666666666665E-2</v>
      </c>
      <c r="BK573">
        <f t="shared" si="70"/>
        <v>0</v>
      </c>
      <c r="BL573">
        <f t="shared" si="71"/>
        <v>0</v>
      </c>
      <c r="BM573">
        <f t="shared" si="72"/>
        <v>0</v>
      </c>
      <c r="BN573">
        <f t="shared" si="73"/>
        <v>0</v>
      </c>
      <c r="BO573">
        <f t="shared" si="74"/>
        <v>0</v>
      </c>
      <c r="BP573">
        <f t="shared" si="75"/>
        <v>0</v>
      </c>
      <c r="BQ573">
        <f t="shared" si="76"/>
        <v>0</v>
      </c>
      <c r="BR573">
        <f t="shared" si="77"/>
        <v>0</v>
      </c>
      <c r="BS573">
        <f t="shared" si="78"/>
        <v>0</v>
      </c>
      <c r="BT573">
        <f t="shared" si="79"/>
        <v>0</v>
      </c>
      <c r="BU573">
        <f t="shared" si="80"/>
        <v>1</v>
      </c>
      <c r="BV573">
        <f t="shared" si="81"/>
        <v>0</v>
      </c>
      <c r="BW573">
        <f t="shared" si="82"/>
        <v>0</v>
      </c>
      <c r="BX573">
        <f t="shared" si="83"/>
        <v>0</v>
      </c>
      <c r="BY573">
        <f t="shared" si="84"/>
        <v>0</v>
      </c>
      <c r="BZ573">
        <f t="shared" si="85"/>
        <v>0</v>
      </c>
      <c r="CA573">
        <f t="shared" si="86"/>
        <v>0</v>
      </c>
      <c r="CB573">
        <f t="shared" si="87"/>
        <v>0</v>
      </c>
      <c r="CC573">
        <f t="shared" si="88"/>
        <v>0</v>
      </c>
      <c r="CD573">
        <f t="shared" si="89"/>
        <v>0</v>
      </c>
      <c r="CE573">
        <f t="shared" si="90"/>
        <v>0</v>
      </c>
      <c r="CF573" t="e">
        <f>IF(#REF!=BG573,0,1)</f>
        <v>#REF!</v>
      </c>
      <c r="CG573">
        <f t="shared" si="91"/>
        <v>0</v>
      </c>
      <c r="CH573" t="e">
        <f>IF(#REF!=BI573,0,1)</f>
        <v>#REF!</v>
      </c>
      <c r="CI573" t="e">
        <f>IF(#REF!=BJ573,0,1)</f>
        <v>#REF!</v>
      </c>
      <c r="CJ573" t="e">
        <f>IF(#REF!=BK573,0,1)</f>
        <v>#REF!</v>
      </c>
      <c r="CK573">
        <f t="shared" si="92"/>
        <v>0</v>
      </c>
      <c r="CL573">
        <f t="shared" si="93"/>
        <v>0</v>
      </c>
      <c r="CM573">
        <f t="shared" si="94"/>
        <v>0</v>
      </c>
      <c r="CN573">
        <f t="shared" si="95"/>
        <v>0</v>
      </c>
      <c r="CO573">
        <f t="shared" si="96"/>
        <v>0</v>
      </c>
      <c r="CP573">
        <f t="shared" si="97"/>
        <v>0</v>
      </c>
      <c r="CQ573">
        <f t="shared" si="98"/>
        <v>0</v>
      </c>
    </row>
    <row r="574" spans="11:95" x14ac:dyDescent="0.3">
      <c r="K574" s="46">
        <f>c_SB</f>
        <v>1792</v>
      </c>
      <c r="T574" s="78"/>
      <c r="Z574" s="42"/>
      <c r="AA574" s="6"/>
      <c r="AB574" s="42">
        <f t="shared" si="99"/>
        <v>0</v>
      </c>
      <c r="AC574" s="42"/>
      <c r="AV574">
        <v>1720</v>
      </c>
      <c r="BK574">
        <f t="shared" si="70"/>
        <v>0</v>
      </c>
      <c r="BL574">
        <f t="shared" si="71"/>
        <v>0</v>
      </c>
      <c r="BM574">
        <f t="shared" si="72"/>
        <v>0</v>
      </c>
      <c r="BN574">
        <f t="shared" si="73"/>
        <v>0</v>
      </c>
      <c r="BO574">
        <f t="shared" si="74"/>
        <v>0</v>
      </c>
      <c r="BP574">
        <f t="shared" si="75"/>
        <v>0</v>
      </c>
      <c r="BQ574">
        <f t="shared" si="76"/>
        <v>0</v>
      </c>
      <c r="BR574">
        <f t="shared" si="77"/>
        <v>0</v>
      </c>
      <c r="BS574">
        <f t="shared" si="78"/>
        <v>0</v>
      </c>
      <c r="BT574">
        <f t="shared" si="79"/>
        <v>0</v>
      </c>
      <c r="BU574">
        <f t="shared" si="80"/>
        <v>1</v>
      </c>
      <c r="BV574">
        <f t="shared" si="81"/>
        <v>0</v>
      </c>
      <c r="BW574">
        <f t="shared" si="82"/>
        <v>0</v>
      </c>
      <c r="BX574">
        <f t="shared" si="83"/>
        <v>0</v>
      </c>
      <c r="BY574">
        <f t="shared" si="84"/>
        <v>0</v>
      </c>
      <c r="BZ574">
        <f t="shared" si="85"/>
        <v>0</v>
      </c>
      <c r="CA574">
        <f t="shared" si="86"/>
        <v>0</v>
      </c>
      <c r="CB574">
        <f t="shared" si="87"/>
        <v>0</v>
      </c>
      <c r="CC574">
        <f t="shared" si="88"/>
        <v>0</v>
      </c>
      <c r="CD574">
        <f t="shared" si="89"/>
        <v>0</v>
      </c>
      <c r="CE574">
        <f t="shared" si="90"/>
        <v>0</v>
      </c>
      <c r="CF574" t="e">
        <f>IF(#REF!=BG574,0,1)</f>
        <v>#REF!</v>
      </c>
      <c r="CG574">
        <f t="shared" si="91"/>
        <v>0</v>
      </c>
      <c r="CH574" t="e">
        <f>IF(#REF!=BI574,0,1)</f>
        <v>#REF!</v>
      </c>
      <c r="CI574" t="e">
        <f>IF(#REF!=BJ574,0,1)</f>
        <v>#REF!</v>
      </c>
      <c r="CJ574" t="e">
        <f>IF(#REF!=BK574,0,1)</f>
        <v>#REF!</v>
      </c>
      <c r="CK574">
        <f t="shared" si="92"/>
        <v>0</v>
      </c>
      <c r="CL574">
        <f t="shared" si="93"/>
        <v>0</v>
      </c>
      <c r="CM574">
        <f t="shared" si="94"/>
        <v>0</v>
      </c>
      <c r="CN574">
        <f t="shared" si="95"/>
        <v>0</v>
      </c>
      <c r="CO574">
        <f t="shared" si="96"/>
        <v>0</v>
      </c>
      <c r="CP574">
        <f t="shared" si="97"/>
        <v>0</v>
      </c>
      <c r="CQ574">
        <f t="shared" si="98"/>
        <v>0</v>
      </c>
    </row>
    <row r="575" spans="11:95" x14ac:dyDescent="0.3">
      <c r="T575" s="78"/>
      <c r="Z575" s="42"/>
      <c r="AA575" s="6"/>
      <c r="AB575" s="42">
        <f t="shared" si="99"/>
        <v>0</v>
      </c>
      <c r="AC575" s="42">
        <f>U575*(Q577-c_CSG)</f>
        <v>0</v>
      </c>
      <c r="BK575">
        <f t="shared" si="70"/>
        <v>0</v>
      </c>
      <c r="BL575">
        <f t="shared" si="71"/>
        <v>0</v>
      </c>
      <c r="BM575">
        <f t="shared" si="72"/>
        <v>0</v>
      </c>
      <c r="BN575">
        <f t="shared" si="73"/>
        <v>0</v>
      </c>
      <c r="BO575">
        <f t="shared" si="74"/>
        <v>0</v>
      </c>
      <c r="BP575">
        <f t="shared" si="75"/>
        <v>0</v>
      </c>
      <c r="BQ575">
        <f t="shared" si="76"/>
        <v>0</v>
      </c>
      <c r="BR575">
        <f t="shared" si="77"/>
        <v>0</v>
      </c>
      <c r="BS575">
        <f t="shared" si="78"/>
        <v>0</v>
      </c>
      <c r="BT575">
        <f t="shared" si="79"/>
        <v>0</v>
      </c>
      <c r="BU575">
        <f t="shared" si="80"/>
        <v>0</v>
      </c>
      <c r="BV575">
        <f t="shared" si="81"/>
        <v>0</v>
      </c>
      <c r="BW575">
        <f t="shared" si="82"/>
        <v>0</v>
      </c>
      <c r="BX575">
        <f t="shared" si="83"/>
        <v>0</v>
      </c>
      <c r="BY575">
        <f t="shared" si="84"/>
        <v>0</v>
      </c>
      <c r="BZ575">
        <f t="shared" si="85"/>
        <v>0</v>
      </c>
      <c r="CA575">
        <f t="shared" si="86"/>
        <v>0</v>
      </c>
      <c r="CB575">
        <f t="shared" si="87"/>
        <v>0</v>
      </c>
      <c r="CC575">
        <f t="shared" si="88"/>
        <v>0</v>
      </c>
      <c r="CD575">
        <f t="shared" si="89"/>
        <v>0</v>
      </c>
      <c r="CE575">
        <f t="shared" si="90"/>
        <v>0</v>
      </c>
      <c r="CF575" t="e">
        <f>IF(#REF!=BG575,0,1)</f>
        <v>#REF!</v>
      </c>
      <c r="CG575">
        <f t="shared" si="91"/>
        <v>0</v>
      </c>
      <c r="CH575" t="e">
        <f>IF(#REF!=BI575,0,1)</f>
        <v>#REF!</v>
      </c>
      <c r="CI575" t="e">
        <f>IF(#REF!=BJ575,0,1)</f>
        <v>#REF!</v>
      </c>
      <c r="CJ575" t="e">
        <f>IF(#REF!=BK575,0,1)</f>
        <v>#REF!</v>
      </c>
      <c r="CK575">
        <f t="shared" si="92"/>
        <v>0</v>
      </c>
      <c r="CL575">
        <f t="shared" si="93"/>
        <v>0</v>
      </c>
      <c r="CM575">
        <f t="shared" si="94"/>
        <v>0</v>
      </c>
      <c r="CN575">
        <f t="shared" si="95"/>
        <v>0</v>
      </c>
      <c r="CO575">
        <f t="shared" si="96"/>
        <v>0</v>
      </c>
      <c r="CP575">
        <f t="shared" si="97"/>
        <v>0</v>
      </c>
      <c r="CQ575">
        <f t="shared" si="98"/>
        <v>0</v>
      </c>
    </row>
    <row r="576" spans="11:95" x14ac:dyDescent="0.3">
      <c r="Q576" s="19" t="s">
        <v>367</v>
      </c>
      <c r="R576" s="19"/>
      <c r="T576" s="78"/>
      <c r="U576">
        <f>$K$592*$I$581*$G$602*$E$531*$C$600*$A$555*$M$587*$O$582*Q577</f>
        <v>0</v>
      </c>
      <c r="W576" s="42">
        <f>$K$593+$I$582+$G$603+$E$532+$C$601+$A$556+$M$588+$O$583+Q578</f>
        <v>92194.483158713745</v>
      </c>
      <c r="X576">
        <f>u_ChronicResp</f>
        <v>0.53465956747782661</v>
      </c>
      <c r="Z576" s="42">
        <f>U576*W576</f>
        <v>0</v>
      </c>
      <c r="AA576" s="6">
        <f>U576*X576</f>
        <v>0</v>
      </c>
      <c r="AB576" s="42">
        <f t="shared" si="99"/>
        <v>0</v>
      </c>
      <c r="AC576" s="42">
        <f>U576*(Q578-c_CSG)</f>
        <v>0</v>
      </c>
      <c r="BB576" t="s">
        <v>367</v>
      </c>
      <c r="BE576">
        <v>0</v>
      </c>
      <c r="BK576">
        <f t="shared" si="70"/>
        <v>0</v>
      </c>
      <c r="BL576">
        <f t="shared" si="71"/>
        <v>0</v>
      </c>
      <c r="BM576">
        <f t="shared" si="72"/>
        <v>0</v>
      </c>
      <c r="BN576">
        <f t="shared" si="73"/>
        <v>0</v>
      </c>
      <c r="BO576">
        <f t="shared" si="74"/>
        <v>0</v>
      </c>
      <c r="BP576">
        <f t="shared" si="75"/>
        <v>0</v>
      </c>
      <c r="BQ576">
        <f t="shared" si="76"/>
        <v>0</v>
      </c>
      <c r="BR576">
        <f t="shared" si="77"/>
        <v>0</v>
      </c>
      <c r="BS576">
        <f t="shared" si="78"/>
        <v>0</v>
      </c>
      <c r="BT576">
        <f t="shared" si="79"/>
        <v>0</v>
      </c>
      <c r="BU576">
        <f t="shared" si="80"/>
        <v>0</v>
      </c>
      <c r="BV576">
        <f t="shared" si="81"/>
        <v>0</v>
      </c>
      <c r="BW576">
        <f t="shared" si="82"/>
        <v>0</v>
      </c>
      <c r="BX576">
        <f t="shared" si="83"/>
        <v>0</v>
      </c>
      <c r="BY576">
        <f t="shared" si="84"/>
        <v>0</v>
      </c>
      <c r="BZ576">
        <f t="shared" si="85"/>
        <v>0</v>
      </c>
      <c r="CA576">
        <f t="shared" si="86"/>
        <v>0</v>
      </c>
      <c r="CB576">
        <f t="shared" si="87"/>
        <v>0</v>
      </c>
      <c r="CC576">
        <f t="shared" si="88"/>
        <v>0</v>
      </c>
      <c r="CD576">
        <f t="shared" si="89"/>
        <v>0</v>
      </c>
      <c r="CE576">
        <f t="shared" si="90"/>
        <v>0</v>
      </c>
      <c r="CF576" t="e">
        <f>IF(#REF!=BG576,0,1)</f>
        <v>#REF!</v>
      </c>
      <c r="CG576">
        <f t="shared" si="91"/>
        <v>1</v>
      </c>
      <c r="CH576" t="e">
        <f>IF(#REF!=BI576,0,1)</f>
        <v>#REF!</v>
      </c>
      <c r="CI576" t="e">
        <f>IF(#REF!=BJ576,0,1)</f>
        <v>#REF!</v>
      </c>
      <c r="CJ576" t="e">
        <f>IF(#REF!=BK576,0,1)</f>
        <v>#REF!</v>
      </c>
      <c r="CK576">
        <f t="shared" si="92"/>
        <v>1</v>
      </c>
      <c r="CL576">
        <f t="shared" si="93"/>
        <v>0</v>
      </c>
      <c r="CM576">
        <f t="shared" si="94"/>
        <v>0</v>
      </c>
      <c r="CN576">
        <f t="shared" si="95"/>
        <v>0</v>
      </c>
      <c r="CO576">
        <f t="shared" si="96"/>
        <v>0</v>
      </c>
      <c r="CP576">
        <f t="shared" si="97"/>
        <v>0</v>
      </c>
      <c r="CQ576">
        <f t="shared" si="98"/>
        <v>0</v>
      </c>
    </row>
    <row r="577" spans="9:95" x14ac:dyDescent="0.3">
      <c r="Q577" s="45">
        <f>RDS2CLD_2-(Hypo2CI_2*RDS2CLD_2)</f>
        <v>0.34246866666666664</v>
      </c>
      <c r="R577" s="45"/>
      <c r="T577" s="78"/>
      <c r="V577">
        <v>0</v>
      </c>
      <c r="Z577" s="42"/>
      <c r="AA577" s="6"/>
      <c r="AB577" s="42">
        <f t="shared" si="99"/>
        <v>0</v>
      </c>
      <c r="AC577" s="42"/>
      <c r="BB577">
        <v>0.34246866666666664</v>
      </c>
      <c r="BK577">
        <f t="shared" si="70"/>
        <v>0</v>
      </c>
      <c r="BL577">
        <f t="shared" si="71"/>
        <v>0</v>
      </c>
      <c r="BM577">
        <f t="shared" si="72"/>
        <v>0</v>
      </c>
      <c r="BN577">
        <f t="shared" si="73"/>
        <v>0</v>
      </c>
      <c r="BO577">
        <f t="shared" si="74"/>
        <v>0</v>
      </c>
      <c r="BP577">
        <f t="shared" si="75"/>
        <v>0</v>
      </c>
      <c r="BQ577">
        <f t="shared" si="76"/>
        <v>0</v>
      </c>
      <c r="BR577">
        <f t="shared" si="77"/>
        <v>0</v>
      </c>
      <c r="BS577">
        <f t="shared" si="78"/>
        <v>0</v>
      </c>
      <c r="BT577">
        <f t="shared" si="79"/>
        <v>0</v>
      </c>
      <c r="BU577">
        <f t="shared" si="80"/>
        <v>0</v>
      </c>
      <c r="BV577">
        <f t="shared" si="81"/>
        <v>0</v>
      </c>
      <c r="BW577">
        <f t="shared" si="82"/>
        <v>0</v>
      </c>
      <c r="BX577">
        <f t="shared" si="83"/>
        <v>0</v>
      </c>
      <c r="BY577">
        <f t="shared" si="84"/>
        <v>0</v>
      </c>
      <c r="BZ577">
        <f t="shared" si="85"/>
        <v>0</v>
      </c>
      <c r="CA577">
        <f t="shared" si="86"/>
        <v>0</v>
      </c>
      <c r="CB577">
        <f t="shared" si="87"/>
        <v>0</v>
      </c>
      <c r="CC577">
        <f t="shared" si="88"/>
        <v>0</v>
      </c>
      <c r="CD577">
        <f t="shared" si="89"/>
        <v>0</v>
      </c>
      <c r="CE577">
        <f t="shared" si="90"/>
        <v>0</v>
      </c>
      <c r="CF577" t="e">
        <f>IF(#REF!=BG577,0,1)</f>
        <v>#REF!</v>
      </c>
      <c r="CG577">
        <f t="shared" si="91"/>
        <v>0</v>
      </c>
      <c r="CH577" t="e">
        <f>IF(#REF!=BI577,0,1)</f>
        <v>#REF!</v>
      </c>
      <c r="CI577" t="e">
        <f>IF(#REF!=BJ577,0,1)</f>
        <v>#REF!</v>
      </c>
      <c r="CJ577" t="e">
        <f>IF(#REF!=BK577,0,1)</f>
        <v>#REF!</v>
      </c>
      <c r="CK577">
        <f t="shared" si="92"/>
        <v>0</v>
      </c>
      <c r="CL577">
        <f t="shared" si="93"/>
        <v>0</v>
      </c>
      <c r="CM577">
        <f t="shared" si="94"/>
        <v>0</v>
      </c>
      <c r="CN577">
        <f t="shared" si="95"/>
        <v>0</v>
      </c>
      <c r="CO577">
        <f t="shared" si="96"/>
        <v>0</v>
      </c>
      <c r="CP577">
        <f t="shared" si="97"/>
        <v>0</v>
      </c>
      <c r="CQ577">
        <f t="shared" si="98"/>
        <v>0</v>
      </c>
    </row>
    <row r="578" spans="9:95" x14ac:dyDescent="0.3">
      <c r="Q578" s="46">
        <f>c_lung+c_hosp_fu+c_CSG</f>
        <v>54529.510902399998</v>
      </c>
      <c r="R578" s="46"/>
      <c r="T578" s="78"/>
      <c r="Z578" s="42"/>
      <c r="AA578" s="6"/>
      <c r="AB578" s="42">
        <f t="shared" si="99"/>
        <v>0</v>
      </c>
      <c r="AC578" s="42">
        <f>U578*(Q580-c_CSG)</f>
        <v>0</v>
      </c>
      <c r="BB578">
        <v>42323.200000000004</v>
      </c>
      <c r="BK578">
        <f t="shared" si="70"/>
        <v>0</v>
      </c>
      <c r="BL578">
        <f t="shared" si="71"/>
        <v>0</v>
      </c>
      <c r="BM578">
        <f t="shared" si="72"/>
        <v>0</v>
      </c>
      <c r="BN578">
        <f t="shared" si="73"/>
        <v>0</v>
      </c>
      <c r="BO578">
        <f t="shared" si="74"/>
        <v>0</v>
      </c>
      <c r="BP578">
        <f t="shared" si="75"/>
        <v>0</v>
      </c>
      <c r="BQ578">
        <f t="shared" si="76"/>
        <v>0</v>
      </c>
      <c r="BR578">
        <f t="shared" si="77"/>
        <v>0</v>
      </c>
      <c r="BS578">
        <f t="shared" si="78"/>
        <v>0</v>
      </c>
      <c r="BT578">
        <f t="shared" si="79"/>
        <v>0</v>
      </c>
      <c r="BU578">
        <f t="shared" si="80"/>
        <v>0</v>
      </c>
      <c r="BV578">
        <f t="shared" si="81"/>
        <v>0</v>
      </c>
      <c r="BW578">
        <f t="shared" si="82"/>
        <v>0</v>
      </c>
      <c r="BX578">
        <f t="shared" si="83"/>
        <v>0</v>
      </c>
      <c r="BY578">
        <f t="shared" si="84"/>
        <v>0</v>
      </c>
      <c r="BZ578">
        <f t="shared" si="85"/>
        <v>0</v>
      </c>
      <c r="CA578">
        <f t="shared" si="86"/>
        <v>1</v>
      </c>
      <c r="CB578">
        <f t="shared" si="87"/>
        <v>0</v>
      </c>
      <c r="CC578">
        <f t="shared" si="88"/>
        <v>0</v>
      </c>
      <c r="CD578">
        <f t="shared" si="89"/>
        <v>0</v>
      </c>
      <c r="CE578">
        <f t="shared" si="90"/>
        <v>0</v>
      </c>
      <c r="CF578" t="e">
        <f>IF(#REF!=BG578,0,1)</f>
        <v>#REF!</v>
      </c>
      <c r="CG578">
        <f t="shared" si="91"/>
        <v>0</v>
      </c>
      <c r="CH578" t="e">
        <f>IF(#REF!=BI578,0,1)</f>
        <v>#REF!</v>
      </c>
      <c r="CI578" t="e">
        <f>IF(#REF!=BJ578,0,1)</f>
        <v>#REF!</v>
      </c>
      <c r="CJ578" t="e">
        <f>IF(#REF!=BK578,0,1)</f>
        <v>#REF!</v>
      </c>
      <c r="CK578">
        <f t="shared" si="92"/>
        <v>0</v>
      </c>
      <c r="CL578">
        <f t="shared" si="93"/>
        <v>0</v>
      </c>
      <c r="CM578">
        <f t="shared" si="94"/>
        <v>0</v>
      </c>
      <c r="CN578">
        <f t="shared" si="95"/>
        <v>0</v>
      </c>
      <c r="CO578">
        <f t="shared" si="96"/>
        <v>0</v>
      </c>
      <c r="CP578">
        <f t="shared" si="97"/>
        <v>0</v>
      </c>
      <c r="CQ578">
        <f t="shared" si="98"/>
        <v>0</v>
      </c>
    </row>
    <row r="579" spans="9:95" x14ac:dyDescent="0.3">
      <c r="Q579" s="19" t="s">
        <v>226</v>
      </c>
      <c r="R579" s="19"/>
      <c r="T579" s="78"/>
      <c r="U579">
        <f>$K$592*$I$581*$G$602*$E$531*$C$600*$A$555*$M$587*$O$582*Q580</f>
        <v>0</v>
      </c>
      <c r="W579" s="42">
        <f>$K$593+$I$582+$G$603+$E$532+$C$601+$A$556+$M$588+$O$583+Q581</f>
        <v>53430.972256313747</v>
      </c>
      <c r="X579">
        <f>u_CongnitiveImpairement</f>
        <v>17.270393127285455</v>
      </c>
      <c r="Z579" s="42">
        <f>U579*W579</f>
        <v>0</v>
      </c>
      <c r="AA579" s="6">
        <f>U579*X579</f>
        <v>0</v>
      </c>
      <c r="AB579" s="42">
        <f t="shared" si="99"/>
        <v>0</v>
      </c>
      <c r="AC579" s="42">
        <f>U579*(Q581-c_CSG)</f>
        <v>0</v>
      </c>
      <c r="BB579" t="s">
        <v>226</v>
      </c>
      <c r="BE579">
        <v>0</v>
      </c>
      <c r="BK579">
        <f t="shared" si="70"/>
        <v>0</v>
      </c>
      <c r="BL579">
        <f t="shared" si="71"/>
        <v>0</v>
      </c>
      <c r="BM579">
        <f t="shared" si="72"/>
        <v>0</v>
      </c>
      <c r="BN579">
        <f t="shared" si="73"/>
        <v>0</v>
      </c>
      <c r="BO579">
        <f t="shared" si="74"/>
        <v>0</v>
      </c>
      <c r="BP579">
        <f t="shared" si="75"/>
        <v>0</v>
      </c>
      <c r="BQ579">
        <f t="shared" si="76"/>
        <v>0</v>
      </c>
      <c r="BR579">
        <f t="shared" si="77"/>
        <v>0</v>
      </c>
      <c r="BS579">
        <f t="shared" si="78"/>
        <v>0</v>
      </c>
      <c r="BT579">
        <f t="shared" si="79"/>
        <v>0</v>
      </c>
      <c r="BU579">
        <f t="shared" si="80"/>
        <v>0</v>
      </c>
      <c r="BV579">
        <f t="shared" si="81"/>
        <v>0</v>
      </c>
      <c r="BW579">
        <f t="shared" si="82"/>
        <v>0</v>
      </c>
      <c r="BX579">
        <f t="shared" si="83"/>
        <v>0</v>
      </c>
      <c r="BY579">
        <f t="shared" si="84"/>
        <v>0</v>
      </c>
      <c r="BZ579">
        <f t="shared" si="85"/>
        <v>0</v>
      </c>
      <c r="CA579">
        <f t="shared" si="86"/>
        <v>0</v>
      </c>
      <c r="CB579">
        <f t="shared" si="87"/>
        <v>0</v>
      </c>
      <c r="CC579">
        <f t="shared" si="88"/>
        <v>0</v>
      </c>
      <c r="CD579">
        <f t="shared" si="89"/>
        <v>0</v>
      </c>
      <c r="CE579">
        <f t="shared" si="90"/>
        <v>0</v>
      </c>
      <c r="CF579" t="e">
        <f>IF(#REF!=BG579,0,1)</f>
        <v>#REF!</v>
      </c>
      <c r="CG579">
        <f t="shared" si="91"/>
        <v>1</v>
      </c>
      <c r="CH579" t="e">
        <f>IF(#REF!=BI579,0,1)</f>
        <v>#REF!</v>
      </c>
      <c r="CI579" t="e">
        <f>IF(#REF!=BJ579,0,1)</f>
        <v>#REF!</v>
      </c>
      <c r="CJ579" t="e">
        <f>IF(#REF!=BK579,0,1)</f>
        <v>#REF!</v>
      </c>
      <c r="CK579">
        <f t="shared" si="92"/>
        <v>1</v>
      </c>
      <c r="CL579">
        <f t="shared" si="93"/>
        <v>0</v>
      </c>
      <c r="CM579">
        <f t="shared" si="94"/>
        <v>0</v>
      </c>
      <c r="CN579">
        <f t="shared" si="95"/>
        <v>0</v>
      </c>
      <c r="CO579">
        <f t="shared" si="96"/>
        <v>0</v>
      </c>
      <c r="CP579">
        <f t="shared" si="97"/>
        <v>0</v>
      </c>
      <c r="CQ579">
        <f t="shared" si="98"/>
        <v>0</v>
      </c>
    </row>
    <row r="580" spans="9:95" x14ac:dyDescent="0.3">
      <c r="I580" s="19" t="s">
        <v>164</v>
      </c>
      <c r="Q580" s="45">
        <f>Hypo2CI_2-(Hypo2CI_2*RDS2CLD_2)</f>
        <v>3.2801999999999998E-2</v>
      </c>
      <c r="R580" s="45"/>
      <c r="T580" s="78"/>
      <c r="V580">
        <v>0</v>
      </c>
      <c r="Z580" s="42"/>
      <c r="AA580" s="6"/>
      <c r="AB580" s="42">
        <f t="shared" si="99"/>
        <v>0</v>
      </c>
      <c r="AC580" s="42"/>
      <c r="BB580">
        <v>3.2801999999999998E-2</v>
      </c>
      <c r="BK580">
        <f t="shared" si="70"/>
        <v>0</v>
      </c>
      <c r="BL580">
        <f t="shared" si="71"/>
        <v>0</v>
      </c>
      <c r="BM580">
        <f t="shared" si="72"/>
        <v>0</v>
      </c>
      <c r="BN580">
        <f t="shared" si="73"/>
        <v>0</v>
      </c>
      <c r="BO580">
        <f t="shared" si="74"/>
        <v>0</v>
      </c>
      <c r="BP580">
        <f t="shared" si="75"/>
        <v>0</v>
      </c>
      <c r="BQ580">
        <f t="shared" si="76"/>
        <v>0</v>
      </c>
      <c r="BR580">
        <f t="shared" si="77"/>
        <v>0</v>
      </c>
      <c r="BS580">
        <f t="shared" si="78"/>
        <v>0</v>
      </c>
      <c r="BT580">
        <f t="shared" si="79"/>
        <v>0</v>
      </c>
      <c r="BU580">
        <f t="shared" si="80"/>
        <v>0</v>
      </c>
      <c r="BV580">
        <f t="shared" si="81"/>
        <v>0</v>
      </c>
      <c r="BW580">
        <f t="shared" si="82"/>
        <v>0</v>
      </c>
      <c r="BX580">
        <f t="shared" si="83"/>
        <v>0</v>
      </c>
      <c r="BY580">
        <f t="shared" si="84"/>
        <v>0</v>
      </c>
      <c r="BZ580">
        <f t="shared" si="85"/>
        <v>0</v>
      </c>
      <c r="CA580">
        <f t="shared" si="86"/>
        <v>0</v>
      </c>
      <c r="CB580">
        <f t="shared" si="87"/>
        <v>0</v>
      </c>
      <c r="CC580">
        <f t="shared" si="88"/>
        <v>0</v>
      </c>
      <c r="CD580">
        <f t="shared" si="89"/>
        <v>0</v>
      </c>
      <c r="CE580">
        <f t="shared" si="90"/>
        <v>0</v>
      </c>
      <c r="CF580" t="e">
        <f>IF(#REF!=BG580,0,1)</f>
        <v>#REF!</v>
      </c>
      <c r="CG580">
        <f t="shared" si="91"/>
        <v>0</v>
      </c>
      <c r="CH580" t="e">
        <f>IF(#REF!=BI580,0,1)</f>
        <v>#REF!</v>
      </c>
      <c r="CI580" t="e">
        <f>IF(#REF!=BJ580,0,1)</f>
        <v>#REF!</v>
      </c>
      <c r="CJ580" t="e">
        <f>IF(#REF!=BK580,0,1)</f>
        <v>#REF!</v>
      </c>
      <c r="CK580">
        <f t="shared" si="92"/>
        <v>0</v>
      </c>
      <c r="CL580">
        <f t="shared" si="93"/>
        <v>0</v>
      </c>
      <c r="CM580">
        <f t="shared" si="94"/>
        <v>0</v>
      </c>
      <c r="CN580">
        <f t="shared" si="95"/>
        <v>0</v>
      </c>
      <c r="CO580">
        <f t="shared" si="96"/>
        <v>0</v>
      </c>
      <c r="CP580">
        <f t="shared" si="97"/>
        <v>0</v>
      </c>
      <c r="CQ580">
        <f t="shared" si="98"/>
        <v>0</v>
      </c>
    </row>
    <row r="581" spans="9:95" x14ac:dyDescent="0.3">
      <c r="I581" s="45">
        <f>NBW_prem_2SGA_1</f>
        <v>0</v>
      </c>
      <c r="O581" s="19" t="s">
        <v>161</v>
      </c>
      <c r="Q581" s="46">
        <f>c_cog+c_hosp_fu+c_CSG</f>
        <v>15766</v>
      </c>
      <c r="R581" s="46"/>
      <c r="T581" s="78"/>
      <c r="Z581" s="42"/>
      <c r="AA581" s="6"/>
      <c r="AB581" s="42">
        <f t="shared" si="99"/>
        <v>0</v>
      </c>
      <c r="AC581" s="42">
        <f>U581*(Q583-c_CSG)</f>
        <v>0</v>
      </c>
      <c r="AT581" t="s">
        <v>164</v>
      </c>
      <c r="AZ581" t="s">
        <v>161</v>
      </c>
      <c r="BB581">
        <v>4840</v>
      </c>
      <c r="BK581">
        <f t="shared" si="70"/>
        <v>0</v>
      </c>
      <c r="BL581">
        <f t="shared" si="71"/>
        <v>0</v>
      </c>
      <c r="BM581">
        <f t="shared" si="72"/>
        <v>0</v>
      </c>
      <c r="BN581">
        <f t="shared" si="73"/>
        <v>0</v>
      </c>
      <c r="BO581">
        <f t="shared" si="74"/>
        <v>0</v>
      </c>
      <c r="BP581">
        <f t="shared" si="75"/>
        <v>0</v>
      </c>
      <c r="BQ581">
        <f t="shared" si="76"/>
        <v>0</v>
      </c>
      <c r="BR581">
        <f t="shared" si="77"/>
        <v>0</v>
      </c>
      <c r="BS581">
        <f t="shared" si="78"/>
        <v>0</v>
      </c>
      <c r="BT581">
        <f t="shared" si="79"/>
        <v>0</v>
      </c>
      <c r="BU581">
        <f t="shared" si="80"/>
        <v>0</v>
      </c>
      <c r="BV581">
        <f t="shared" si="81"/>
        <v>0</v>
      </c>
      <c r="BW581">
        <f t="shared" si="82"/>
        <v>0</v>
      </c>
      <c r="BX581">
        <f t="shared" si="83"/>
        <v>0</v>
      </c>
      <c r="BY581">
        <f t="shared" si="84"/>
        <v>0</v>
      </c>
      <c r="BZ581">
        <f t="shared" si="85"/>
        <v>0</v>
      </c>
      <c r="CA581">
        <f t="shared" si="86"/>
        <v>1</v>
      </c>
      <c r="CB581">
        <f t="shared" si="87"/>
        <v>0</v>
      </c>
      <c r="CC581">
        <f t="shared" si="88"/>
        <v>0</v>
      </c>
      <c r="CD581">
        <f t="shared" si="89"/>
        <v>0</v>
      </c>
      <c r="CE581">
        <f t="shared" si="90"/>
        <v>0</v>
      </c>
      <c r="CF581" t="e">
        <f>IF(#REF!=BG581,0,1)</f>
        <v>#REF!</v>
      </c>
      <c r="CG581">
        <f t="shared" si="91"/>
        <v>0</v>
      </c>
      <c r="CH581" t="e">
        <f>IF(#REF!=BI581,0,1)</f>
        <v>#REF!</v>
      </c>
      <c r="CI581" t="e">
        <f>IF(#REF!=BJ581,0,1)</f>
        <v>#REF!</v>
      </c>
      <c r="CJ581" t="e">
        <f>IF(#REF!=BK581,0,1)</f>
        <v>#REF!</v>
      </c>
      <c r="CK581">
        <f t="shared" si="92"/>
        <v>0</v>
      </c>
      <c r="CL581">
        <f t="shared" si="93"/>
        <v>0</v>
      </c>
      <c r="CM581">
        <f t="shared" si="94"/>
        <v>0</v>
      </c>
      <c r="CN581">
        <f t="shared" si="95"/>
        <v>0</v>
      </c>
      <c r="CO581">
        <f t="shared" si="96"/>
        <v>0</v>
      </c>
      <c r="CP581">
        <f t="shared" si="97"/>
        <v>0</v>
      </c>
      <c r="CQ581">
        <f t="shared" si="98"/>
        <v>0</v>
      </c>
    </row>
    <row r="582" spans="9:95" x14ac:dyDescent="0.3">
      <c r="I582" s="46"/>
      <c r="O582" s="45">
        <f>SGA_prem_2hypoglycaemia_1</f>
        <v>0.2155</v>
      </c>
      <c r="Q582" s="19" t="s">
        <v>368</v>
      </c>
      <c r="R582" s="19"/>
      <c r="T582" s="78"/>
      <c r="U582">
        <f>$K$592*$I$581*$G$602*$E$531*$C$600*$A$555*$M$587*$O$582*Q583</f>
        <v>0</v>
      </c>
      <c r="W582" s="42">
        <f>$K$593+$I$582+$G$603+$E$532+$C$601+$A$556+$M$588+$O$583+Q584</f>
        <v>96013.483158713745</v>
      </c>
      <c r="X582">
        <f>u_ChronicResp+u_CongnitiveImpairement</f>
        <v>17.805052694763283</v>
      </c>
      <c r="Z582" s="42">
        <f>U582*W582</f>
        <v>0</v>
      </c>
      <c r="AA582" s="6">
        <f>U582*X582</f>
        <v>0</v>
      </c>
      <c r="AB582" s="42">
        <f t="shared" si="99"/>
        <v>0</v>
      </c>
      <c r="AC582" s="42">
        <f>U582*(Q584-c_CSG)</f>
        <v>0</v>
      </c>
      <c r="AT582">
        <v>0</v>
      </c>
      <c r="AZ582">
        <v>0.2155</v>
      </c>
      <c r="BB582" t="s">
        <v>368</v>
      </c>
      <c r="BE582">
        <v>0</v>
      </c>
      <c r="BK582">
        <f t="shared" si="70"/>
        <v>0</v>
      </c>
      <c r="BL582">
        <f t="shared" si="71"/>
        <v>0</v>
      </c>
      <c r="BM582">
        <f t="shared" si="72"/>
        <v>0</v>
      </c>
      <c r="BN582">
        <f t="shared" si="73"/>
        <v>0</v>
      </c>
      <c r="BO582">
        <f t="shared" si="74"/>
        <v>0</v>
      </c>
      <c r="BP582">
        <f t="shared" si="75"/>
        <v>0</v>
      </c>
      <c r="BQ582">
        <f t="shared" si="76"/>
        <v>0</v>
      </c>
      <c r="BR582">
        <f t="shared" si="77"/>
        <v>0</v>
      </c>
      <c r="BS582">
        <f t="shared" si="78"/>
        <v>0</v>
      </c>
      <c r="BT582">
        <f t="shared" si="79"/>
        <v>0</v>
      </c>
      <c r="BU582">
        <f t="shared" si="80"/>
        <v>0</v>
      </c>
      <c r="BV582">
        <f t="shared" si="81"/>
        <v>0</v>
      </c>
      <c r="BW582">
        <f t="shared" si="82"/>
        <v>0</v>
      </c>
      <c r="BX582">
        <f t="shared" si="83"/>
        <v>0</v>
      </c>
      <c r="BY582">
        <f t="shared" si="84"/>
        <v>0</v>
      </c>
      <c r="BZ582">
        <f t="shared" si="85"/>
        <v>0</v>
      </c>
      <c r="CA582">
        <f t="shared" si="86"/>
        <v>0</v>
      </c>
      <c r="CB582">
        <f t="shared" si="87"/>
        <v>0</v>
      </c>
      <c r="CC582">
        <f t="shared" si="88"/>
        <v>0</v>
      </c>
      <c r="CD582">
        <f t="shared" si="89"/>
        <v>0</v>
      </c>
      <c r="CE582">
        <f t="shared" si="90"/>
        <v>0</v>
      </c>
      <c r="CF582" t="e">
        <f>IF(#REF!=BG582,0,1)</f>
        <v>#REF!</v>
      </c>
      <c r="CG582">
        <f t="shared" si="91"/>
        <v>1</v>
      </c>
      <c r="CH582" t="e">
        <f>IF(#REF!=BI582,0,1)</f>
        <v>#REF!</v>
      </c>
      <c r="CI582" t="e">
        <f>IF(#REF!=BJ582,0,1)</f>
        <v>#REF!</v>
      </c>
      <c r="CJ582" t="e">
        <f>IF(#REF!=BK582,0,1)</f>
        <v>#REF!</v>
      </c>
      <c r="CK582">
        <f t="shared" si="92"/>
        <v>1</v>
      </c>
      <c r="CL582">
        <f t="shared" si="93"/>
        <v>0</v>
      </c>
      <c r="CM582">
        <f t="shared" si="94"/>
        <v>0</v>
      </c>
      <c r="CN582">
        <f t="shared" si="95"/>
        <v>0</v>
      </c>
      <c r="CO582">
        <f t="shared" si="96"/>
        <v>0</v>
      </c>
      <c r="CP582">
        <f t="shared" si="97"/>
        <v>0</v>
      </c>
      <c r="CQ582">
        <f t="shared" si="98"/>
        <v>0</v>
      </c>
    </row>
    <row r="583" spans="9:95" x14ac:dyDescent="0.3">
      <c r="O583" s="46">
        <f>c_hypo</f>
        <v>2936.2604000000001</v>
      </c>
      <c r="Q583" s="45">
        <f>Hypo2CI_2*RDS2CLD_2</f>
        <v>1.8531333333333334E-2</v>
      </c>
      <c r="R583" s="45"/>
      <c r="T583" s="78"/>
      <c r="V583">
        <v>0</v>
      </c>
      <c r="Z583" s="42"/>
      <c r="AA583" s="6"/>
      <c r="AB583" s="42">
        <f t="shared" si="99"/>
        <v>0</v>
      </c>
      <c r="AC583" s="42"/>
      <c r="AZ583">
        <v>2728.1</v>
      </c>
      <c r="BB583">
        <v>1.8531333333333334E-2</v>
      </c>
      <c r="BK583">
        <f t="shared" si="70"/>
        <v>0</v>
      </c>
      <c r="BL583">
        <f t="shared" si="71"/>
        <v>0</v>
      </c>
      <c r="BM583">
        <f t="shared" si="72"/>
        <v>0</v>
      </c>
      <c r="BN583">
        <f t="shared" si="73"/>
        <v>0</v>
      </c>
      <c r="BO583">
        <f t="shared" si="74"/>
        <v>0</v>
      </c>
      <c r="BP583">
        <f t="shared" si="75"/>
        <v>0</v>
      </c>
      <c r="BQ583">
        <f t="shared" si="76"/>
        <v>0</v>
      </c>
      <c r="BR583">
        <f t="shared" si="77"/>
        <v>0</v>
      </c>
      <c r="BS583">
        <f t="shared" si="78"/>
        <v>0</v>
      </c>
      <c r="BT583">
        <f t="shared" si="79"/>
        <v>0</v>
      </c>
      <c r="BU583">
        <f t="shared" si="80"/>
        <v>0</v>
      </c>
      <c r="BV583">
        <f t="shared" si="81"/>
        <v>0</v>
      </c>
      <c r="BW583">
        <f t="shared" si="82"/>
        <v>0</v>
      </c>
      <c r="BX583">
        <f t="shared" si="83"/>
        <v>0</v>
      </c>
      <c r="BY583">
        <f t="shared" si="84"/>
        <v>1</v>
      </c>
      <c r="BZ583">
        <f t="shared" si="85"/>
        <v>0</v>
      </c>
      <c r="CA583">
        <f t="shared" si="86"/>
        <v>0</v>
      </c>
      <c r="CB583">
        <f t="shared" si="87"/>
        <v>0</v>
      </c>
      <c r="CC583">
        <f t="shared" si="88"/>
        <v>0</v>
      </c>
      <c r="CD583">
        <f t="shared" si="89"/>
        <v>0</v>
      </c>
      <c r="CE583">
        <f t="shared" si="90"/>
        <v>0</v>
      </c>
      <c r="CF583" t="e">
        <f>IF(#REF!=BG583,0,1)</f>
        <v>#REF!</v>
      </c>
      <c r="CG583">
        <f t="shared" si="91"/>
        <v>0</v>
      </c>
      <c r="CH583" t="e">
        <f>IF(#REF!=BI583,0,1)</f>
        <v>#REF!</v>
      </c>
      <c r="CI583" t="e">
        <f>IF(#REF!=BJ583,0,1)</f>
        <v>#REF!</v>
      </c>
      <c r="CJ583" t="e">
        <f>IF(#REF!=BK583,0,1)</f>
        <v>#REF!</v>
      </c>
      <c r="CK583">
        <f t="shared" si="92"/>
        <v>0</v>
      </c>
      <c r="CL583">
        <f t="shared" si="93"/>
        <v>0</v>
      </c>
      <c r="CM583">
        <f t="shared" si="94"/>
        <v>0</v>
      </c>
      <c r="CN583">
        <f t="shared" si="95"/>
        <v>0</v>
      </c>
      <c r="CO583">
        <f t="shared" si="96"/>
        <v>0</v>
      </c>
      <c r="CP583">
        <f t="shared" si="97"/>
        <v>0</v>
      </c>
      <c r="CQ583">
        <f t="shared" si="98"/>
        <v>0</v>
      </c>
    </row>
    <row r="584" spans="9:95" x14ac:dyDescent="0.3">
      <c r="M584" s="42"/>
      <c r="Q584" s="46">
        <f>c_lung+c_cog+c_hosp_fu+c_CSG</f>
        <v>58348.510902399998</v>
      </c>
      <c r="R584" s="46"/>
      <c r="T584" s="78"/>
      <c r="Z584" s="42"/>
      <c r="AA584" s="6"/>
      <c r="AB584" s="42">
        <f t="shared" si="99"/>
        <v>0</v>
      </c>
      <c r="AC584" s="42">
        <f>U584*(Q586-c_CSG)</f>
        <v>0</v>
      </c>
      <c r="BB584">
        <v>45990.200000000004</v>
      </c>
      <c r="BK584">
        <f t="shared" si="70"/>
        <v>0</v>
      </c>
      <c r="BL584">
        <f t="shared" si="71"/>
        <v>0</v>
      </c>
      <c r="BM584">
        <f t="shared" si="72"/>
        <v>0</v>
      </c>
      <c r="BN584">
        <f t="shared" si="73"/>
        <v>0</v>
      </c>
      <c r="BO584">
        <f t="shared" si="74"/>
        <v>0</v>
      </c>
      <c r="BP584">
        <f t="shared" si="75"/>
        <v>0</v>
      </c>
      <c r="BQ584">
        <f t="shared" si="76"/>
        <v>0</v>
      </c>
      <c r="BR584">
        <f t="shared" si="77"/>
        <v>0</v>
      </c>
      <c r="BS584">
        <f t="shared" si="78"/>
        <v>0</v>
      </c>
      <c r="BT584">
        <f t="shared" si="79"/>
        <v>0</v>
      </c>
      <c r="BU584">
        <f t="shared" si="80"/>
        <v>0</v>
      </c>
      <c r="BV584">
        <f t="shared" si="81"/>
        <v>0</v>
      </c>
      <c r="BW584">
        <f t="shared" si="82"/>
        <v>0</v>
      </c>
      <c r="BX584">
        <f t="shared" si="83"/>
        <v>0</v>
      </c>
      <c r="BY584">
        <f t="shared" si="84"/>
        <v>0</v>
      </c>
      <c r="BZ584">
        <f t="shared" si="85"/>
        <v>0</v>
      </c>
      <c r="CA584">
        <f t="shared" si="86"/>
        <v>1</v>
      </c>
      <c r="CB584">
        <f t="shared" si="87"/>
        <v>0</v>
      </c>
      <c r="CC584">
        <f t="shared" si="88"/>
        <v>0</v>
      </c>
      <c r="CD584">
        <f t="shared" si="89"/>
        <v>0</v>
      </c>
      <c r="CE584">
        <f t="shared" si="90"/>
        <v>0</v>
      </c>
      <c r="CF584" t="e">
        <f>IF(#REF!=BG584,0,1)</f>
        <v>#REF!</v>
      </c>
      <c r="CG584">
        <f t="shared" si="91"/>
        <v>0</v>
      </c>
      <c r="CH584" t="e">
        <f>IF(#REF!=BI584,0,1)</f>
        <v>#REF!</v>
      </c>
      <c r="CI584" t="e">
        <f>IF(#REF!=BJ584,0,1)</f>
        <v>#REF!</v>
      </c>
      <c r="CJ584" t="e">
        <f>IF(#REF!=BK584,0,1)</f>
        <v>#REF!</v>
      </c>
      <c r="CK584">
        <f t="shared" si="92"/>
        <v>0</v>
      </c>
      <c r="CL584">
        <f t="shared" si="93"/>
        <v>0</v>
      </c>
      <c r="CM584">
        <f t="shared" si="94"/>
        <v>0</v>
      </c>
      <c r="CN584">
        <f t="shared" si="95"/>
        <v>0</v>
      </c>
      <c r="CO584">
        <f t="shared" si="96"/>
        <v>0</v>
      </c>
      <c r="CP584">
        <f t="shared" si="97"/>
        <v>0</v>
      </c>
      <c r="CQ584">
        <f t="shared" si="98"/>
        <v>0</v>
      </c>
    </row>
    <row r="585" spans="9:95" x14ac:dyDescent="0.3">
      <c r="Q585" s="19" t="s">
        <v>369</v>
      </c>
      <c r="R585" s="19"/>
      <c r="T585" s="78"/>
      <c r="U585">
        <f>$K$592*$I$581*$G$602*$E$531*$C$600*$A$555*$M$587*$O$582*Q586</f>
        <v>0</v>
      </c>
      <c r="W585" s="42">
        <f>$K$593+$I$582+$G$603+$E$532+$C$601+$A$556+$M$588+$O$583+Q587</f>
        <v>52067.972256313747</v>
      </c>
      <c r="X585">
        <f>u_Healthy</f>
        <v>0</v>
      </c>
      <c r="Z585" s="42">
        <f>U585*W585</f>
        <v>0</v>
      </c>
      <c r="AA585" s="6">
        <f>U585*X585</f>
        <v>0</v>
      </c>
      <c r="AB585" s="42">
        <f t="shared" si="99"/>
        <v>0</v>
      </c>
      <c r="AC585" s="42">
        <f>U585*(Q587-c_CSG)</f>
        <v>0</v>
      </c>
      <c r="BB585" t="s">
        <v>369</v>
      </c>
      <c r="BE585">
        <v>0</v>
      </c>
      <c r="BK585">
        <f t="shared" si="70"/>
        <v>0</v>
      </c>
      <c r="BL585">
        <f t="shared" si="71"/>
        <v>0</v>
      </c>
      <c r="BM585">
        <f t="shared" si="72"/>
        <v>0</v>
      </c>
      <c r="BN585">
        <f t="shared" si="73"/>
        <v>0</v>
      </c>
      <c r="BO585">
        <f t="shared" si="74"/>
        <v>0</v>
      </c>
      <c r="BP585">
        <f t="shared" si="75"/>
        <v>0</v>
      </c>
      <c r="BQ585">
        <f t="shared" si="76"/>
        <v>0</v>
      </c>
      <c r="BR585">
        <f t="shared" si="77"/>
        <v>0</v>
      </c>
      <c r="BS585">
        <f t="shared" si="78"/>
        <v>0</v>
      </c>
      <c r="BT585">
        <f t="shared" si="79"/>
        <v>0</v>
      </c>
      <c r="BU585">
        <f t="shared" si="80"/>
        <v>0</v>
      </c>
      <c r="BV585">
        <f t="shared" si="81"/>
        <v>0</v>
      </c>
      <c r="BW585">
        <f t="shared" si="82"/>
        <v>0</v>
      </c>
      <c r="BX585">
        <f t="shared" si="83"/>
        <v>0</v>
      </c>
      <c r="BY585">
        <f t="shared" si="84"/>
        <v>0</v>
      </c>
      <c r="BZ585">
        <f t="shared" si="85"/>
        <v>0</v>
      </c>
      <c r="CA585">
        <f t="shared" si="86"/>
        <v>0</v>
      </c>
      <c r="CB585">
        <f t="shared" si="87"/>
        <v>0</v>
      </c>
      <c r="CC585">
        <f t="shared" si="88"/>
        <v>0</v>
      </c>
      <c r="CD585">
        <f t="shared" si="89"/>
        <v>0</v>
      </c>
      <c r="CE585">
        <f t="shared" si="90"/>
        <v>0</v>
      </c>
      <c r="CF585" t="e">
        <f>IF(#REF!=BG585,0,1)</f>
        <v>#REF!</v>
      </c>
      <c r="CG585">
        <f t="shared" si="91"/>
        <v>1</v>
      </c>
      <c r="CH585" t="e">
        <f>IF(#REF!=BI585,0,1)</f>
        <v>#REF!</v>
      </c>
      <c r="CI585" t="e">
        <f>IF(#REF!=BJ585,0,1)</f>
        <v>#REF!</v>
      </c>
      <c r="CJ585" t="e">
        <f>IF(#REF!=BK585,0,1)</f>
        <v>#REF!</v>
      </c>
      <c r="CK585">
        <f t="shared" si="92"/>
        <v>0</v>
      </c>
      <c r="CL585">
        <f t="shared" si="93"/>
        <v>0</v>
      </c>
      <c r="CM585">
        <f t="shared" si="94"/>
        <v>0</v>
      </c>
      <c r="CN585">
        <f t="shared" si="95"/>
        <v>0</v>
      </c>
      <c r="CO585">
        <f t="shared" si="96"/>
        <v>0</v>
      </c>
      <c r="CP585">
        <f t="shared" si="97"/>
        <v>0</v>
      </c>
      <c r="CQ585">
        <f t="shared" si="98"/>
        <v>0</v>
      </c>
    </row>
    <row r="586" spans="9:95" x14ac:dyDescent="0.3">
      <c r="M586" s="19" t="s">
        <v>9</v>
      </c>
      <c r="Q586" s="45">
        <f>1-Q577-Q580-Q583</f>
        <v>0.60619800000000001</v>
      </c>
      <c r="R586" s="45"/>
      <c r="T586" s="78"/>
      <c r="V586">
        <v>0</v>
      </c>
      <c r="Z586" s="42"/>
      <c r="AA586" s="6"/>
      <c r="AB586" s="42">
        <f t="shared" si="99"/>
        <v>0</v>
      </c>
      <c r="AC586" s="42">
        <f>U586*(Q588-c_CSG)</f>
        <v>0</v>
      </c>
      <c r="AX586" t="s">
        <v>9</v>
      </c>
      <c r="BB586">
        <v>0.60619800000000001</v>
      </c>
      <c r="BK586">
        <f t="shared" si="70"/>
        <v>0</v>
      </c>
      <c r="BL586">
        <f t="shared" si="71"/>
        <v>0</v>
      </c>
      <c r="BM586">
        <f t="shared" si="72"/>
        <v>0</v>
      </c>
      <c r="BN586">
        <f t="shared" si="73"/>
        <v>0</v>
      </c>
      <c r="BO586">
        <f t="shared" si="74"/>
        <v>0</v>
      </c>
      <c r="BP586">
        <f t="shared" si="75"/>
        <v>0</v>
      </c>
      <c r="BQ586">
        <f t="shared" si="76"/>
        <v>0</v>
      </c>
      <c r="BR586">
        <f t="shared" si="77"/>
        <v>0</v>
      </c>
      <c r="BS586">
        <f t="shared" si="78"/>
        <v>0</v>
      </c>
      <c r="BT586">
        <f t="shared" si="79"/>
        <v>0</v>
      </c>
      <c r="BU586">
        <f t="shared" si="80"/>
        <v>0</v>
      </c>
      <c r="BV586">
        <f t="shared" si="81"/>
        <v>0</v>
      </c>
      <c r="BW586">
        <f t="shared" si="82"/>
        <v>0</v>
      </c>
      <c r="BX586">
        <f t="shared" si="83"/>
        <v>0</v>
      </c>
      <c r="BY586">
        <f t="shared" si="84"/>
        <v>0</v>
      </c>
      <c r="BZ586">
        <f t="shared" si="85"/>
        <v>0</v>
      </c>
      <c r="CA586">
        <f t="shared" si="86"/>
        <v>0</v>
      </c>
      <c r="CB586">
        <f t="shared" si="87"/>
        <v>0</v>
      </c>
      <c r="CC586">
        <f t="shared" si="88"/>
        <v>0</v>
      </c>
      <c r="CD586">
        <f t="shared" si="89"/>
        <v>0</v>
      </c>
      <c r="CE586">
        <f t="shared" si="90"/>
        <v>0</v>
      </c>
      <c r="CF586" t="e">
        <f>IF(#REF!=BG586,0,1)</f>
        <v>#REF!</v>
      </c>
      <c r="CG586">
        <f t="shared" si="91"/>
        <v>0</v>
      </c>
      <c r="CH586" t="e">
        <f>IF(#REF!=BI586,0,1)</f>
        <v>#REF!</v>
      </c>
      <c r="CI586" t="e">
        <f>IF(#REF!=BJ586,0,1)</f>
        <v>#REF!</v>
      </c>
      <c r="CJ586" t="e">
        <f>IF(#REF!=BK586,0,1)</f>
        <v>#REF!</v>
      </c>
      <c r="CK586">
        <f t="shared" si="92"/>
        <v>0</v>
      </c>
      <c r="CL586">
        <f t="shared" si="93"/>
        <v>0</v>
      </c>
      <c r="CM586">
        <f t="shared" si="94"/>
        <v>0</v>
      </c>
      <c r="CN586">
        <f t="shared" si="95"/>
        <v>0</v>
      </c>
      <c r="CO586">
        <f t="shared" si="96"/>
        <v>0</v>
      </c>
      <c r="CP586">
        <f t="shared" si="97"/>
        <v>0</v>
      </c>
      <c r="CQ586">
        <f t="shared" si="98"/>
        <v>0</v>
      </c>
    </row>
    <row r="587" spans="9:95" x14ac:dyDescent="0.3">
      <c r="K587" s="42"/>
      <c r="M587" s="45">
        <f>S_prem_2RDS_1</f>
        <v>0.45</v>
      </c>
      <c r="Q587" s="46">
        <f>c_clinic_fu+c_CSG</f>
        <v>14403</v>
      </c>
      <c r="R587" s="46"/>
      <c r="T587" s="78"/>
      <c r="Z587" s="42"/>
      <c r="AA587" s="6"/>
      <c r="AB587" s="42">
        <f t="shared" si="99"/>
        <v>0</v>
      </c>
      <c r="AC587" s="42"/>
      <c r="AX587">
        <v>0.45</v>
      </c>
      <c r="BB587">
        <v>3230</v>
      </c>
      <c r="BK587">
        <f t="shared" si="70"/>
        <v>0</v>
      </c>
      <c r="BL587">
        <f t="shared" si="71"/>
        <v>0</v>
      </c>
      <c r="BM587">
        <f t="shared" si="72"/>
        <v>0</v>
      </c>
      <c r="BN587">
        <f t="shared" si="73"/>
        <v>0</v>
      </c>
      <c r="BO587">
        <f t="shared" si="74"/>
        <v>0</v>
      </c>
      <c r="BP587">
        <f t="shared" si="75"/>
        <v>0</v>
      </c>
      <c r="BQ587">
        <f t="shared" si="76"/>
        <v>0</v>
      </c>
      <c r="BR587">
        <f t="shared" si="77"/>
        <v>0</v>
      </c>
      <c r="BS587">
        <f t="shared" si="78"/>
        <v>0</v>
      </c>
      <c r="BT587">
        <f t="shared" si="79"/>
        <v>0</v>
      </c>
      <c r="BU587">
        <f t="shared" si="80"/>
        <v>0</v>
      </c>
      <c r="BV587">
        <f t="shared" si="81"/>
        <v>0</v>
      </c>
      <c r="BW587">
        <f t="shared" si="82"/>
        <v>0</v>
      </c>
      <c r="BX587">
        <f t="shared" si="83"/>
        <v>0</v>
      </c>
      <c r="BY587">
        <f t="shared" si="84"/>
        <v>0</v>
      </c>
      <c r="BZ587">
        <f t="shared" si="85"/>
        <v>0</v>
      </c>
      <c r="CA587">
        <f t="shared" si="86"/>
        <v>1</v>
      </c>
      <c r="CB587">
        <f t="shared" si="87"/>
        <v>0</v>
      </c>
      <c r="CC587">
        <f t="shared" si="88"/>
        <v>0</v>
      </c>
      <c r="CD587">
        <f t="shared" si="89"/>
        <v>0</v>
      </c>
      <c r="CE587">
        <f t="shared" si="90"/>
        <v>0</v>
      </c>
      <c r="CF587" t="e">
        <f>IF(#REF!=BG587,0,1)</f>
        <v>#REF!</v>
      </c>
      <c r="CG587">
        <f t="shared" si="91"/>
        <v>0</v>
      </c>
      <c r="CH587" t="e">
        <f>IF(#REF!=BI587,0,1)</f>
        <v>#REF!</v>
      </c>
      <c r="CI587" t="e">
        <f>IF(#REF!=BJ587,0,1)</f>
        <v>#REF!</v>
      </c>
      <c r="CJ587" t="e">
        <f>IF(#REF!=BK587,0,1)</f>
        <v>#REF!</v>
      </c>
      <c r="CK587">
        <f t="shared" si="92"/>
        <v>0</v>
      </c>
      <c r="CL587">
        <f t="shared" si="93"/>
        <v>0</v>
      </c>
      <c r="CM587">
        <f t="shared" si="94"/>
        <v>0</v>
      </c>
      <c r="CN587">
        <f t="shared" si="95"/>
        <v>0</v>
      </c>
      <c r="CO587">
        <f t="shared" si="96"/>
        <v>0</v>
      </c>
      <c r="CP587">
        <f t="shared" si="97"/>
        <v>0</v>
      </c>
      <c r="CQ587">
        <f t="shared" si="98"/>
        <v>0</v>
      </c>
    </row>
    <row r="588" spans="9:95" x14ac:dyDescent="0.3">
      <c r="K588" s="42"/>
      <c r="M588" s="46">
        <f>c_RDS</f>
        <v>30595.610148205637</v>
      </c>
      <c r="Q588" s="42"/>
      <c r="R588" s="42"/>
      <c r="T588" s="78"/>
      <c r="Z588" s="42"/>
      <c r="AA588" s="6"/>
      <c r="AB588" s="42">
        <f t="shared" si="99"/>
        <v>0</v>
      </c>
      <c r="AC588" s="42">
        <f>U588*(Q590-c_CSG)</f>
        <v>0</v>
      </c>
      <c r="AX588">
        <v>23624</v>
      </c>
      <c r="BK588">
        <f t="shared" si="70"/>
        <v>0</v>
      </c>
      <c r="BL588">
        <f t="shared" si="71"/>
        <v>0</v>
      </c>
      <c r="BM588">
        <f t="shared" si="72"/>
        <v>0</v>
      </c>
      <c r="BN588">
        <f t="shared" si="73"/>
        <v>0</v>
      </c>
      <c r="BO588">
        <f t="shared" si="74"/>
        <v>0</v>
      </c>
      <c r="BP588">
        <f t="shared" si="75"/>
        <v>0</v>
      </c>
      <c r="BQ588">
        <f t="shared" si="76"/>
        <v>0</v>
      </c>
      <c r="BR588">
        <f t="shared" si="77"/>
        <v>0</v>
      </c>
      <c r="BS588">
        <f t="shared" si="78"/>
        <v>0</v>
      </c>
      <c r="BT588">
        <f t="shared" si="79"/>
        <v>0</v>
      </c>
      <c r="BU588">
        <f t="shared" si="80"/>
        <v>0</v>
      </c>
      <c r="BV588">
        <f t="shared" si="81"/>
        <v>0</v>
      </c>
      <c r="BW588">
        <f t="shared" si="82"/>
        <v>1</v>
      </c>
      <c r="BX588">
        <f t="shared" si="83"/>
        <v>0</v>
      </c>
      <c r="BY588">
        <f t="shared" si="84"/>
        <v>0</v>
      </c>
      <c r="BZ588">
        <f t="shared" si="85"/>
        <v>0</v>
      </c>
      <c r="CA588">
        <f t="shared" si="86"/>
        <v>0</v>
      </c>
      <c r="CB588">
        <f t="shared" si="87"/>
        <v>0</v>
      </c>
      <c r="CC588">
        <f t="shared" si="88"/>
        <v>0</v>
      </c>
      <c r="CD588">
        <f t="shared" si="89"/>
        <v>0</v>
      </c>
      <c r="CE588">
        <f t="shared" si="90"/>
        <v>0</v>
      </c>
      <c r="CF588" t="e">
        <f>IF(#REF!=BG588,0,1)</f>
        <v>#REF!</v>
      </c>
      <c r="CG588">
        <f t="shared" si="91"/>
        <v>0</v>
      </c>
      <c r="CH588" t="e">
        <f>IF(#REF!=BI588,0,1)</f>
        <v>#REF!</v>
      </c>
      <c r="CI588" t="e">
        <f>IF(#REF!=BJ588,0,1)</f>
        <v>#REF!</v>
      </c>
      <c r="CJ588" t="e">
        <f>IF(#REF!=BK588,0,1)</f>
        <v>#REF!</v>
      </c>
      <c r="CK588">
        <f t="shared" si="92"/>
        <v>0</v>
      </c>
      <c r="CL588">
        <f t="shared" si="93"/>
        <v>0</v>
      </c>
      <c r="CM588">
        <f t="shared" si="94"/>
        <v>0</v>
      </c>
      <c r="CN588">
        <f t="shared" si="95"/>
        <v>0</v>
      </c>
      <c r="CO588">
        <f t="shared" si="96"/>
        <v>0</v>
      </c>
      <c r="CP588">
        <f t="shared" si="97"/>
        <v>0</v>
      </c>
      <c r="CQ588">
        <f t="shared" si="98"/>
        <v>0</v>
      </c>
    </row>
    <row r="589" spans="9:95" x14ac:dyDescent="0.3">
      <c r="Q589" s="19" t="s">
        <v>367</v>
      </c>
      <c r="R589" s="19"/>
      <c r="T589" s="78"/>
      <c r="U589">
        <f>$K$592*$I$581*$G$602*$E$531*$C$600*$A$555*$M$587*$O$592*Q590</f>
        <v>0</v>
      </c>
      <c r="W589" s="42">
        <f>$K$593+$I$582+$G$603+$E$532+$C$601+$A$556+$M$588+$O$593+Q591</f>
        <v>89258.222758713746</v>
      </c>
      <c r="X589">
        <f>u_ChronicResp</f>
        <v>0.53465956747782661</v>
      </c>
      <c r="Z589" s="42">
        <f>U589*W589</f>
        <v>0</v>
      </c>
      <c r="AA589" s="6">
        <f>U589*X589</f>
        <v>0</v>
      </c>
      <c r="AB589" s="42">
        <f t="shared" si="99"/>
        <v>0</v>
      </c>
      <c r="AC589" s="42">
        <f>U589*(Q591-c_CSG)</f>
        <v>0</v>
      </c>
      <c r="BB589" t="s">
        <v>367</v>
      </c>
      <c r="BE589">
        <v>0</v>
      </c>
      <c r="BK589">
        <f t="shared" si="70"/>
        <v>0</v>
      </c>
      <c r="BL589">
        <f t="shared" si="71"/>
        <v>0</v>
      </c>
      <c r="BM589">
        <f t="shared" si="72"/>
        <v>0</v>
      </c>
      <c r="BN589">
        <f t="shared" si="73"/>
        <v>0</v>
      </c>
      <c r="BO589">
        <f t="shared" si="74"/>
        <v>0</v>
      </c>
      <c r="BP589">
        <f t="shared" si="75"/>
        <v>0</v>
      </c>
      <c r="BQ589">
        <f t="shared" si="76"/>
        <v>0</v>
      </c>
      <c r="BR589">
        <f t="shared" si="77"/>
        <v>0</v>
      </c>
      <c r="BS589">
        <f t="shared" si="78"/>
        <v>0</v>
      </c>
      <c r="BT589">
        <f t="shared" si="79"/>
        <v>0</v>
      </c>
      <c r="BU589">
        <f t="shared" si="80"/>
        <v>0</v>
      </c>
      <c r="BV589">
        <f t="shared" si="81"/>
        <v>0</v>
      </c>
      <c r="BW589">
        <f t="shared" si="82"/>
        <v>0</v>
      </c>
      <c r="BX589">
        <f t="shared" si="83"/>
        <v>0</v>
      </c>
      <c r="BY589">
        <f t="shared" si="84"/>
        <v>0</v>
      </c>
      <c r="BZ589">
        <f t="shared" si="85"/>
        <v>0</v>
      </c>
      <c r="CA589">
        <f t="shared" si="86"/>
        <v>0</v>
      </c>
      <c r="CB589">
        <f t="shared" si="87"/>
        <v>0</v>
      </c>
      <c r="CC589">
        <f t="shared" si="88"/>
        <v>0</v>
      </c>
      <c r="CD589">
        <f t="shared" si="89"/>
        <v>0</v>
      </c>
      <c r="CE589">
        <f t="shared" si="90"/>
        <v>0</v>
      </c>
      <c r="CF589" t="e">
        <f>IF(#REF!=BG589,0,1)</f>
        <v>#REF!</v>
      </c>
      <c r="CG589">
        <f t="shared" si="91"/>
        <v>1</v>
      </c>
      <c r="CH589" t="e">
        <f>IF(#REF!=BI589,0,1)</f>
        <v>#REF!</v>
      </c>
      <c r="CI589" t="e">
        <f>IF(#REF!=BJ589,0,1)</f>
        <v>#REF!</v>
      </c>
      <c r="CJ589" t="e">
        <f>IF(#REF!=BK589,0,1)</f>
        <v>#REF!</v>
      </c>
      <c r="CK589">
        <f t="shared" si="92"/>
        <v>1</v>
      </c>
      <c r="CL589">
        <f t="shared" si="93"/>
        <v>0</v>
      </c>
      <c r="CM589">
        <f t="shared" si="94"/>
        <v>0</v>
      </c>
      <c r="CN589">
        <f t="shared" si="95"/>
        <v>0</v>
      </c>
      <c r="CO589">
        <f t="shared" si="96"/>
        <v>0</v>
      </c>
      <c r="CP589">
        <f t="shared" si="97"/>
        <v>0</v>
      </c>
      <c r="CQ589">
        <f t="shared" si="98"/>
        <v>0</v>
      </c>
    </row>
    <row r="590" spans="9:95" x14ac:dyDescent="0.3">
      <c r="Q590" s="45">
        <f>RDS2CLD_2-(RDS2CLD_2*noHypo2CI_2)</f>
        <v>0.34905610687022898</v>
      </c>
      <c r="R590" s="45"/>
      <c r="T590" s="78"/>
      <c r="V590">
        <v>0</v>
      </c>
      <c r="Z590" s="42"/>
      <c r="AA590" s="6"/>
      <c r="AB590" s="42">
        <f t="shared" si="99"/>
        <v>0</v>
      </c>
      <c r="AC590" s="42"/>
      <c r="BB590">
        <v>0.34905610687022898</v>
      </c>
      <c r="BK590">
        <f t="shared" si="70"/>
        <v>0</v>
      </c>
      <c r="BL590">
        <f t="shared" si="71"/>
        <v>0</v>
      </c>
      <c r="BM590">
        <f t="shared" si="72"/>
        <v>0</v>
      </c>
      <c r="BN590">
        <f t="shared" si="73"/>
        <v>0</v>
      </c>
      <c r="BO590">
        <f t="shared" si="74"/>
        <v>0</v>
      </c>
      <c r="BP590">
        <f t="shared" si="75"/>
        <v>0</v>
      </c>
      <c r="BQ590">
        <f t="shared" si="76"/>
        <v>0</v>
      </c>
      <c r="BR590">
        <f t="shared" si="77"/>
        <v>0</v>
      </c>
      <c r="BS590">
        <f t="shared" si="78"/>
        <v>0</v>
      </c>
      <c r="BT590">
        <f t="shared" si="79"/>
        <v>0</v>
      </c>
      <c r="BU590">
        <f t="shared" si="80"/>
        <v>0</v>
      </c>
      <c r="BV590">
        <f t="shared" si="81"/>
        <v>0</v>
      </c>
      <c r="BW590">
        <f t="shared" si="82"/>
        <v>0</v>
      </c>
      <c r="BX590">
        <f t="shared" si="83"/>
        <v>0</v>
      </c>
      <c r="BY590">
        <f t="shared" si="84"/>
        <v>0</v>
      </c>
      <c r="BZ590">
        <f t="shared" si="85"/>
        <v>0</v>
      </c>
      <c r="CA590">
        <f t="shared" si="86"/>
        <v>0</v>
      </c>
      <c r="CB590">
        <f t="shared" si="87"/>
        <v>0</v>
      </c>
      <c r="CC590">
        <f t="shared" si="88"/>
        <v>0</v>
      </c>
      <c r="CD590">
        <f t="shared" si="89"/>
        <v>0</v>
      </c>
      <c r="CE590">
        <f t="shared" si="90"/>
        <v>0</v>
      </c>
      <c r="CF590" t="e">
        <f>IF(#REF!=BG590,0,1)</f>
        <v>#REF!</v>
      </c>
      <c r="CG590">
        <f t="shared" si="91"/>
        <v>0</v>
      </c>
      <c r="CH590" t="e">
        <f>IF(#REF!=BI590,0,1)</f>
        <v>#REF!</v>
      </c>
      <c r="CI590" t="e">
        <f>IF(#REF!=BJ590,0,1)</f>
        <v>#REF!</v>
      </c>
      <c r="CJ590" t="e">
        <f>IF(#REF!=BK590,0,1)</f>
        <v>#REF!</v>
      </c>
      <c r="CK590">
        <f t="shared" si="92"/>
        <v>0</v>
      </c>
      <c r="CL590">
        <f t="shared" si="93"/>
        <v>0</v>
      </c>
      <c r="CM590">
        <f t="shared" si="94"/>
        <v>0</v>
      </c>
      <c r="CN590">
        <f t="shared" si="95"/>
        <v>0</v>
      </c>
      <c r="CO590">
        <f t="shared" si="96"/>
        <v>0</v>
      </c>
      <c r="CP590">
        <f t="shared" si="97"/>
        <v>0</v>
      </c>
      <c r="CQ590">
        <f t="shared" si="98"/>
        <v>0</v>
      </c>
    </row>
    <row r="591" spans="9:95" x14ac:dyDescent="0.3">
      <c r="K591" s="19" t="s">
        <v>37</v>
      </c>
      <c r="M591" s="42"/>
      <c r="O591" s="19" t="s">
        <v>370</v>
      </c>
      <c r="Q591" s="46">
        <f>c_lung+c_hosp_fu+c_CSG</f>
        <v>54529.510902399998</v>
      </c>
      <c r="R591" s="46"/>
      <c r="T591" s="78"/>
      <c r="Z591" s="42"/>
      <c r="AA591" s="6"/>
      <c r="AB591" s="42">
        <f t="shared" si="99"/>
        <v>0</v>
      </c>
      <c r="AC591" s="42">
        <f>U591*(Q593-c_CSG)</f>
        <v>0</v>
      </c>
      <c r="AV591" t="s">
        <v>37</v>
      </c>
      <c r="AZ591" t="s">
        <v>370</v>
      </c>
      <c r="BB591">
        <v>42323.200000000004</v>
      </c>
      <c r="BK591">
        <f t="shared" si="70"/>
        <v>0</v>
      </c>
      <c r="BL591">
        <f t="shared" si="71"/>
        <v>0</v>
      </c>
      <c r="BM591">
        <f t="shared" si="72"/>
        <v>0</v>
      </c>
      <c r="BN591">
        <f t="shared" si="73"/>
        <v>0</v>
      </c>
      <c r="BO591">
        <f t="shared" si="74"/>
        <v>0</v>
      </c>
      <c r="BP591">
        <f t="shared" si="75"/>
        <v>0</v>
      </c>
      <c r="BQ591">
        <f t="shared" si="76"/>
        <v>0</v>
      </c>
      <c r="BR591">
        <f t="shared" si="77"/>
        <v>0</v>
      </c>
      <c r="BS591">
        <f t="shared" si="78"/>
        <v>0</v>
      </c>
      <c r="BT591">
        <f t="shared" si="79"/>
        <v>0</v>
      </c>
      <c r="BU591">
        <f t="shared" si="80"/>
        <v>0</v>
      </c>
      <c r="BV591">
        <f t="shared" si="81"/>
        <v>0</v>
      </c>
      <c r="BW591">
        <f t="shared" si="82"/>
        <v>0</v>
      </c>
      <c r="BX591">
        <f t="shared" si="83"/>
        <v>0</v>
      </c>
      <c r="BY591">
        <f t="shared" si="84"/>
        <v>0</v>
      </c>
      <c r="BZ591">
        <f t="shared" si="85"/>
        <v>0</v>
      </c>
      <c r="CA591">
        <f t="shared" si="86"/>
        <v>1</v>
      </c>
      <c r="CB591">
        <f t="shared" si="87"/>
        <v>0</v>
      </c>
      <c r="CC591">
        <f t="shared" si="88"/>
        <v>0</v>
      </c>
      <c r="CD591">
        <f t="shared" si="89"/>
        <v>0</v>
      </c>
      <c r="CE591">
        <f t="shared" si="90"/>
        <v>0</v>
      </c>
      <c r="CF591" t="e">
        <f>IF(#REF!=BG591,0,1)</f>
        <v>#REF!</v>
      </c>
      <c r="CG591">
        <f t="shared" si="91"/>
        <v>0</v>
      </c>
      <c r="CH591" t="e">
        <f>IF(#REF!=BI591,0,1)</f>
        <v>#REF!</v>
      </c>
      <c r="CI591" t="e">
        <f>IF(#REF!=BJ591,0,1)</f>
        <v>#REF!</v>
      </c>
      <c r="CJ591" t="e">
        <f>IF(#REF!=BK591,0,1)</f>
        <v>#REF!</v>
      </c>
      <c r="CK591">
        <f t="shared" si="92"/>
        <v>0</v>
      </c>
      <c r="CL591">
        <f t="shared" si="93"/>
        <v>0</v>
      </c>
      <c r="CM591">
        <f t="shared" si="94"/>
        <v>0</v>
      </c>
      <c r="CN591">
        <f t="shared" si="95"/>
        <v>0</v>
      </c>
      <c r="CO591">
        <f t="shared" si="96"/>
        <v>0</v>
      </c>
      <c r="CP591">
        <f t="shared" si="97"/>
        <v>0</v>
      </c>
      <c r="CQ591">
        <f t="shared" si="98"/>
        <v>0</v>
      </c>
    </row>
    <row r="592" spans="9:95" x14ac:dyDescent="0.3">
      <c r="K592" s="45">
        <f>SGA_prem_2s_1</f>
        <v>0.92375153333333337</v>
      </c>
      <c r="O592" s="45">
        <f>SGA_prem_2normoglycaemia_1</f>
        <v>0.78449999999999998</v>
      </c>
      <c r="Q592" s="19" t="s">
        <v>226</v>
      </c>
      <c r="R592" s="19"/>
      <c r="T592" s="78"/>
      <c r="U592">
        <f>$K$592*$I$581*$G$602*$E$531*$C$600*$A$555*$M$587*$O$592*Q593</f>
        <v>0</v>
      </c>
      <c r="W592" s="42">
        <f>$K$593+$I$582+$G$603+$E$532+$C$601+$A$556+$M$588+$O$593+Q594</f>
        <v>50494.711856313748</v>
      </c>
      <c r="X592">
        <f>u_CongnitiveImpairement</f>
        <v>17.270393127285455</v>
      </c>
      <c r="Z592" s="42">
        <f>U592*W592</f>
        <v>0</v>
      </c>
      <c r="AA592" s="6">
        <f>U592*X592</f>
        <v>0</v>
      </c>
      <c r="AB592" s="42">
        <f t="shared" si="99"/>
        <v>0</v>
      </c>
      <c r="AC592" s="42">
        <f>U592*(Q594-c_CSG)</f>
        <v>0</v>
      </c>
      <c r="AV592">
        <v>0.91593333333333338</v>
      </c>
      <c r="AZ592">
        <v>0.78449999999999998</v>
      </c>
      <c r="BB592" t="s">
        <v>226</v>
      </c>
      <c r="BE592">
        <v>0</v>
      </c>
      <c r="BK592">
        <f t="shared" si="70"/>
        <v>0</v>
      </c>
      <c r="BL592">
        <f t="shared" si="71"/>
        <v>0</v>
      </c>
      <c r="BM592">
        <f t="shared" si="72"/>
        <v>0</v>
      </c>
      <c r="BN592">
        <f t="shared" si="73"/>
        <v>0</v>
      </c>
      <c r="BO592">
        <f t="shared" si="74"/>
        <v>0</v>
      </c>
      <c r="BP592">
        <f t="shared" si="75"/>
        <v>0</v>
      </c>
      <c r="BQ592">
        <f t="shared" si="76"/>
        <v>0</v>
      </c>
      <c r="BR592">
        <f t="shared" si="77"/>
        <v>0</v>
      </c>
      <c r="BS592">
        <f t="shared" si="78"/>
        <v>0</v>
      </c>
      <c r="BT592">
        <f t="shared" si="79"/>
        <v>0</v>
      </c>
      <c r="BU592">
        <f t="shared" si="80"/>
        <v>1</v>
      </c>
      <c r="BV592">
        <f t="shared" si="81"/>
        <v>0</v>
      </c>
      <c r="BW592">
        <f t="shared" si="82"/>
        <v>0</v>
      </c>
      <c r="BX592">
        <f t="shared" si="83"/>
        <v>0</v>
      </c>
      <c r="BY592">
        <f t="shared" si="84"/>
        <v>0</v>
      </c>
      <c r="BZ592">
        <f t="shared" si="85"/>
        <v>0</v>
      </c>
      <c r="CA592">
        <f t="shared" si="86"/>
        <v>0</v>
      </c>
      <c r="CB592">
        <f t="shared" si="87"/>
        <v>0</v>
      </c>
      <c r="CC592">
        <f t="shared" si="88"/>
        <v>0</v>
      </c>
      <c r="CD592">
        <f t="shared" si="89"/>
        <v>0</v>
      </c>
      <c r="CE592">
        <f t="shared" si="90"/>
        <v>0</v>
      </c>
      <c r="CF592" t="e">
        <f>IF(#REF!=BG592,0,1)</f>
        <v>#REF!</v>
      </c>
      <c r="CG592">
        <f t="shared" si="91"/>
        <v>1</v>
      </c>
      <c r="CH592" t="e">
        <f>IF(#REF!=BI592,0,1)</f>
        <v>#REF!</v>
      </c>
      <c r="CI592" t="e">
        <f>IF(#REF!=BJ592,0,1)</f>
        <v>#REF!</v>
      </c>
      <c r="CJ592" t="e">
        <f>IF(#REF!=BK592,0,1)</f>
        <v>#REF!</v>
      </c>
      <c r="CK592">
        <f t="shared" si="92"/>
        <v>1</v>
      </c>
      <c r="CL592">
        <f t="shared" si="93"/>
        <v>0</v>
      </c>
      <c r="CM592">
        <f t="shared" si="94"/>
        <v>0</v>
      </c>
      <c r="CN592">
        <f t="shared" si="95"/>
        <v>0</v>
      </c>
      <c r="CO592">
        <f t="shared" si="96"/>
        <v>0</v>
      </c>
      <c r="CP592">
        <f t="shared" si="97"/>
        <v>0</v>
      </c>
      <c r="CQ592">
        <f t="shared" si="98"/>
        <v>0</v>
      </c>
    </row>
    <row r="593" spans="3:95" x14ac:dyDescent="0.3">
      <c r="K593" s="46"/>
      <c r="O593" s="46"/>
      <c r="Q593" s="45">
        <f>noHypo2CI_2-(RDS2CLD_2*noHypo2CI_2)</f>
        <v>2.1141683406990762E-2</v>
      </c>
      <c r="R593" s="45"/>
      <c r="T593" s="78"/>
      <c r="V593">
        <v>0</v>
      </c>
      <c r="Z593" s="42"/>
      <c r="AA593" s="6"/>
      <c r="AB593" s="42">
        <f t="shared" si="99"/>
        <v>0</v>
      </c>
      <c r="AC593" s="42"/>
      <c r="BB593">
        <v>2.1141683406990762E-2</v>
      </c>
      <c r="BK593">
        <f t="shared" si="70"/>
        <v>0</v>
      </c>
      <c r="BL593">
        <f t="shared" si="71"/>
        <v>0</v>
      </c>
      <c r="BM593">
        <f t="shared" si="72"/>
        <v>0</v>
      </c>
      <c r="BN593">
        <f t="shared" si="73"/>
        <v>0</v>
      </c>
      <c r="BO593">
        <f t="shared" si="74"/>
        <v>0</v>
      </c>
      <c r="BP593">
        <f t="shared" si="75"/>
        <v>0</v>
      </c>
      <c r="BQ593">
        <f t="shared" si="76"/>
        <v>0</v>
      </c>
      <c r="BR593">
        <f t="shared" si="77"/>
        <v>0</v>
      </c>
      <c r="BS593">
        <f t="shared" si="78"/>
        <v>0</v>
      </c>
      <c r="BT593">
        <f t="shared" si="79"/>
        <v>0</v>
      </c>
      <c r="BU593">
        <f t="shared" si="80"/>
        <v>0</v>
      </c>
      <c r="BV593">
        <f t="shared" si="81"/>
        <v>0</v>
      </c>
      <c r="BW593">
        <f t="shared" si="82"/>
        <v>0</v>
      </c>
      <c r="BX593">
        <f t="shared" si="83"/>
        <v>0</v>
      </c>
      <c r="BY593">
        <f t="shared" si="84"/>
        <v>0</v>
      </c>
      <c r="BZ593">
        <f t="shared" si="85"/>
        <v>0</v>
      </c>
      <c r="CA593">
        <f t="shared" si="86"/>
        <v>0</v>
      </c>
      <c r="CB593">
        <f t="shared" si="87"/>
        <v>0</v>
      </c>
      <c r="CC593">
        <f t="shared" si="88"/>
        <v>0</v>
      </c>
      <c r="CD593">
        <f t="shared" si="89"/>
        <v>0</v>
      </c>
      <c r="CE593">
        <f t="shared" si="90"/>
        <v>0</v>
      </c>
      <c r="CF593" t="e">
        <f>IF(#REF!=BG593,0,1)</f>
        <v>#REF!</v>
      </c>
      <c r="CG593">
        <f t="shared" si="91"/>
        <v>0</v>
      </c>
      <c r="CH593" t="e">
        <f>IF(#REF!=BI593,0,1)</f>
        <v>#REF!</v>
      </c>
      <c r="CI593" t="e">
        <f>IF(#REF!=BJ593,0,1)</f>
        <v>#REF!</v>
      </c>
      <c r="CJ593" t="e">
        <f>IF(#REF!=BK593,0,1)</f>
        <v>#REF!</v>
      </c>
      <c r="CK593">
        <f t="shared" si="92"/>
        <v>0</v>
      </c>
      <c r="CL593">
        <f t="shared" si="93"/>
        <v>0</v>
      </c>
      <c r="CM593">
        <f t="shared" si="94"/>
        <v>0</v>
      </c>
      <c r="CN593">
        <f t="shared" si="95"/>
        <v>0</v>
      </c>
      <c r="CO593">
        <f t="shared" si="96"/>
        <v>0</v>
      </c>
      <c r="CP593">
        <f t="shared" si="97"/>
        <v>0</v>
      </c>
      <c r="CQ593">
        <f t="shared" si="98"/>
        <v>0</v>
      </c>
    </row>
    <row r="594" spans="3:95" x14ac:dyDescent="0.3">
      <c r="Q594" s="46">
        <f>c_cog+c_hosp_fu+c_CSG</f>
        <v>15766</v>
      </c>
      <c r="R594" s="46"/>
      <c r="T594" s="78"/>
      <c r="Z594" s="42"/>
      <c r="AA594" s="6"/>
      <c r="AB594" s="42">
        <f t="shared" si="99"/>
        <v>0</v>
      </c>
      <c r="AC594" s="42">
        <f>U594*(Q596-c_CSG)</f>
        <v>0</v>
      </c>
      <c r="BB594">
        <v>4840</v>
      </c>
      <c r="BK594">
        <f t="shared" ref="BK594:BK601" si="100">IF(A594=AK594,0,1)</f>
        <v>0</v>
      </c>
      <c r="BL594">
        <f t="shared" ref="BL594:BL601" si="101">IF(B594=AL594,0,1)</f>
        <v>0</v>
      </c>
      <c r="BM594">
        <f t="shared" ref="BM594:BM601" si="102">IF(C594=AM595,0,1)</f>
        <v>0</v>
      </c>
      <c r="BN594">
        <f t="shared" ref="BN594:BN601" si="103">IF(D594=AO597,0,1)</f>
        <v>0</v>
      </c>
      <c r="BO594">
        <f t="shared" ref="BO594:BO601" si="104">IF(E594=AP595,0,1)</f>
        <v>0</v>
      </c>
      <c r="BP594">
        <f t="shared" ref="BP594:BP601" si="105">IF(F594=AQ595,0,1)</f>
        <v>0</v>
      </c>
      <c r="BQ594">
        <f t="shared" ref="BQ594:BQ601" si="106">IF(G594=AR595,0,1)</f>
        <v>0</v>
      </c>
      <c r="BR594">
        <f t="shared" ref="BR594:BR601" si="107">IF(H594=AS594,0,1)</f>
        <v>0</v>
      </c>
      <c r="BS594">
        <f t="shared" ref="BS594:BS601" si="108">IF(I594=AT595,0,1)</f>
        <v>0</v>
      </c>
      <c r="BT594">
        <f t="shared" ref="BT594:BT601" si="109">IF(J594=AU592,0,1)</f>
        <v>0</v>
      </c>
      <c r="BU594">
        <f t="shared" ref="BU594:BU601" si="110">IF(K594=AV594,0,1)</f>
        <v>0</v>
      </c>
      <c r="BV594">
        <f t="shared" ref="BV594:BV601" si="111">IF(L594=AW594,0,1)</f>
        <v>0</v>
      </c>
      <c r="BW594">
        <f t="shared" ref="BW594:BW601" si="112">IF(M594=AX594,0,1)</f>
        <v>0</v>
      </c>
      <c r="BX594">
        <f t="shared" ref="BX594:BX601" si="113">IF(N594=AY594,0,1)</f>
        <v>0</v>
      </c>
      <c r="BY594">
        <f t="shared" ref="BY594:BY601" si="114">IF(O594=AZ594,0,1)</f>
        <v>0</v>
      </c>
      <c r="BZ594">
        <f t="shared" ref="BZ594:BZ601" si="115">IF(P594=BA594,0,1)</f>
        <v>0</v>
      </c>
      <c r="CA594">
        <f t="shared" ref="CA594:CA601" si="116">IF(Q594=BB594,0,1)</f>
        <v>1</v>
      </c>
      <c r="CB594">
        <f t="shared" ref="CB594:CB601" si="117">IF(S594=BC594,0,1)</f>
        <v>0</v>
      </c>
      <c r="CC594">
        <f t="shared" ref="CC594:CC601" si="118">IF(T594=BD594,0,1)</f>
        <v>0</v>
      </c>
      <c r="CD594">
        <f t="shared" ref="CD594:CD601" si="119">IF(U594=BE594,0,1)</f>
        <v>0</v>
      </c>
      <c r="CE594">
        <f t="shared" ref="CE594:CE601" si="120">IF(V595=BF594,0,1)</f>
        <v>0</v>
      </c>
      <c r="CF594" t="e">
        <f>IF(#REF!=BG594,0,1)</f>
        <v>#REF!</v>
      </c>
      <c r="CG594">
        <f t="shared" ref="CG594:CG601" si="121">IF(W594=BH594,0,1)</f>
        <v>0</v>
      </c>
      <c r="CH594" t="e">
        <f>IF(#REF!=BI594,0,1)</f>
        <v>#REF!</v>
      </c>
      <c r="CI594" t="e">
        <f>IF(#REF!=BJ594,0,1)</f>
        <v>#REF!</v>
      </c>
      <c r="CJ594" t="e">
        <f>IF(#REF!=BK594,0,1)</f>
        <v>#REF!</v>
      </c>
      <c r="CK594">
        <f t="shared" ref="CK594:CK601" si="122">IF(X594=BL594,0,1)</f>
        <v>0</v>
      </c>
      <c r="CL594">
        <f t="shared" ref="CL594:CL601" si="123">IF(Z594=BM594,0,1)</f>
        <v>0</v>
      </c>
      <c r="CM594">
        <f t="shared" ref="CM594:CM601" si="124">IF(AA594=BN594,0,1)</f>
        <v>0</v>
      </c>
      <c r="CN594">
        <f t="shared" ref="CN594:CN601" si="125">IF(AD594=BO594,0,1)</f>
        <v>0</v>
      </c>
      <c r="CO594">
        <f t="shared" ref="CO594:CO601" si="126">IF(AE594=BP594,0,1)</f>
        <v>0</v>
      </c>
      <c r="CP594">
        <f t="shared" ref="CP594:CP601" si="127">IF(AF594=BQ594,0,1)</f>
        <v>0</v>
      </c>
      <c r="CQ594">
        <f t="shared" ref="CQ594:CQ601" si="128">IF(AH594=BR594,0,1)</f>
        <v>0</v>
      </c>
    </row>
    <row r="595" spans="3:95" x14ac:dyDescent="0.3">
      <c r="Q595" s="19" t="s">
        <v>368</v>
      </c>
      <c r="R595" s="19"/>
      <c r="T595" s="78"/>
      <c r="U595">
        <f>$K$592*$I$581*$G$602*$E$531*$C$600*$A$555*$M$587*$O$592*Q596</f>
        <v>0</v>
      </c>
      <c r="W595" s="42">
        <f>$K$593+$I$582+$G$603+$E$532+$C$601+$A$556+$M$588+$O$593+Q597</f>
        <v>93077.222758713746</v>
      </c>
      <c r="X595">
        <f>u_ChronicResp+u_CongnitiveImpairement</f>
        <v>17.805052694763283</v>
      </c>
      <c r="Z595" s="42">
        <f>U595*W595</f>
        <v>0</v>
      </c>
      <c r="AA595" s="6">
        <f>U595*X595</f>
        <v>0</v>
      </c>
      <c r="AB595" s="42">
        <f t="shared" si="99"/>
        <v>0</v>
      </c>
      <c r="AC595" s="42">
        <f>U595*(Q597-c_CSG)</f>
        <v>0</v>
      </c>
      <c r="BB595" t="s">
        <v>368</v>
      </c>
      <c r="BE595">
        <v>0</v>
      </c>
      <c r="BK595">
        <f t="shared" si="100"/>
        <v>0</v>
      </c>
      <c r="BL595">
        <f t="shared" si="101"/>
        <v>0</v>
      </c>
      <c r="BM595">
        <f t="shared" si="102"/>
        <v>0</v>
      </c>
      <c r="BN595">
        <f t="shared" si="103"/>
        <v>0</v>
      </c>
      <c r="BO595">
        <f t="shared" si="104"/>
        <v>0</v>
      </c>
      <c r="BP595">
        <f t="shared" si="105"/>
        <v>0</v>
      </c>
      <c r="BQ595">
        <f t="shared" si="106"/>
        <v>0</v>
      </c>
      <c r="BR595">
        <f t="shared" si="107"/>
        <v>0</v>
      </c>
      <c r="BS595">
        <f t="shared" si="108"/>
        <v>0</v>
      </c>
      <c r="BT595">
        <f t="shared" si="109"/>
        <v>0</v>
      </c>
      <c r="BU595">
        <f t="shared" si="110"/>
        <v>0</v>
      </c>
      <c r="BV595">
        <f t="shared" si="111"/>
        <v>0</v>
      </c>
      <c r="BW595">
        <f t="shared" si="112"/>
        <v>0</v>
      </c>
      <c r="BX595">
        <f t="shared" si="113"/>
        <v>0</v>
      </c>
      <c r="BY595">
        <f t="shared" si="114"/>
        <v>0</v>
      </c>
      <c r="BZ595">
        <f t="shared" si="115"/>
        <v>0</v>
      </c>
      <c r="CA595">
        <f t="shared" si="116"/>
        <v>0</v>
      </c>
      <c r="CB595">
        <f t="shared" si="117"/>
        <v>0</v>
      </c>
      <c r="CC595">
        <f t="shared" si="118"/>
        <v>0</v>
      </c>
      <c r="CD595">
        <f t="shared" si="119"/>
        <v>0</v>
      </c>
      <c r="CE595">
        <f t="shared" si="120"/>
        <v>0</v>
      </c>
      <c r="CF595" t="e">
        <f>IF(#REF!=BG595,0,1)</f>
        <v>#REF!</v>
      </c>
      <c r="CG595">
        <f t="shared" si="121"/>
        <v>1</v>
      </c>
      <c r="CH595" t="e">
        <f>IF(#REF!=BI595,0,1)</f>
        <v>#REF!</v>
      </c>
      <c r="CI595" t="e">
        <f>IF(#REF!=BJ595,0,1)</f>
        <v>#REF!</v>
      </c>
      <c r="CJ595" t="e">
        <f>IF(#REF!=BK595,0,1)</f>
        <v>#REF!</v>
      </c>
      <c r="CK595">
        <f t="shared" si="122"/>
        <v>1</v>
      </c>
      <c r="CL595">
        <f t="shared" si="123"/>
        <v>0</v>
      </c>
      <c r="CM595">
        <f t="shared" si="124"/>
        <v>0</v>
      </c>
      <c r="CN595">
        <f t="shared" si="125"/>
        <v>0</v>
      </c>
      <c r="CO595">
        <f t="shared" si="126"/>
        <v>0</v>
      </c>
      <c r="CP595">
        <f t="shared" si="127"/>
        <v>0</v>
      </c>
      <c r="CQ595">
        <f t="shared" si="128"/>
        <v>0</v>
      </c>
    </row>
    <row r="596" spans="3:95" x14ac:dyDescent="0.3">
      <c r="Q596" s="45">
        <f>RDS2CLD_2*noHypo2CI_2</f>
        <v>1.1943893129770991E-2</v>
      </c>
      <c r="R596" s="45"/>
      <c r="T596" s="78"/>
      <c r="V596">
        <v>0</v>
      </c>
      <c r="Z596" s="42"/>
      <c r="AA596" s="6"/>
      <c r="AB596" s="42">
        <f t="shared" si="99"/>
        <v>0</v>
      </c>
      <c r="AC596" s="42"/>
      <c r="BB596">
        <v>1.1943893129770991E-2</v>
      </c>
      <c r="BK596">
        <f t="shared" si="100"/>
        <v>0</v>
      </c>
      <c r="BL596">
        <f t="shared" si="101"/>
        <v>0</v>
      </c>
      <c r="BM596">
        <f t="shared" si="102"/>
        <v>0</v>
      </c>
      <c r="BN596">
        <f t="shared" si="103"/>
        <v>0</v>
      </c>
      <c r="BO596">
        <f t="shared" si="104"/>
        <v>0</v>
      </c>
      <c r="BP596">
        <f t="shared" si="105"/>
        <v>0</v>
      </c>
      <c r="BQ596">
        <f t="shared" si="106"/>
        <v>0</v>
      </c>
      <c r="BR596">
        <f t="shared" si="107"/>
        <v>0</v>
      </c>
      <c r="BS596">
        <f t="shared" si="108"/>
        <v>0</v>
      </c>
      <c r="BT596">
        <f t="shared" si="109"/>
        <v>0</v>
      </c>
      <c r="BU596">
        <f t="shared" si="110"/>
        <v>0</v>
      </c>
      <c r="BV596">
        <f t="shared" si="111"/>
        <v>0</v>
      </c>
      <c r="BW596">
        <f t="shared" si="112"/>
        <v>0</v>
      </c>
      <c r="BX596">
        <f t="shared" si="113"/>
        <v>0</v>
      </c>
      <c r="BY596">
        <f t="shared" si="114"/>
        <v>0</v>
      </c>
      <c r="BZ596">
        <f t="shared" si="115"/>
        <v>0</v>
      </c>
      <c r="CA596">
        <f t="shared" si="116"/>
        <v>0</v>
      </c>
      <c r="CB596">
        <f t="shared" si="117"/>
        <v>0</v>
      </c>
      <c r="CC596">
        <f t="shared" si="118"/>
        <v>0</v>
      </c>
      <c r="CD596">
        <f t="shared" si="119"/>
        <v>0</v>
      </c>
      <c r="CE596">
        <f t="shared" si="120"/>
        <v>0</v>
      </c>
      <c r="CF596" t="e">
        <f>IF(#REF!=BG596,0,1)</f>
        <v>#REF!</v>
      </c>
      <c r="CG596">
        <f t="shared" si="121"/>
        <v>0</v>
      </c>
      <c r="CH596" t="e">
        <f>IF(#REF!=BI596,0,1)</f>
        <v>#REF!</v>
      </c>
      <c r="CI596" t="e">
        <f>IF(#REF!=BJ596,0,1)</f>
        <v>#REF!</v>
      </c>
      <c r="CJ596" t="e">
        <f>IF(#REF!=BK596,0,1)</f>
        <v>#REF!</v>
      </c>
      <c r="CK596">
        <f t="shared" si="122"/>
        <v>0</v>
      </c>
      <c r="CL596">
        <f t="shared" si="123"/>
        <v>0</v>
      </c>
      <c r="CM596">
        <f t="shared" si="124"/>
        <v>0</v>
      </c>
      <c r="CN596">
        <f t="shared" si="125"/>
        <v>0</v>
      </c>
      <c r="CO596">
        <f t="shared" si="126"/>
        <v>0</v>
      </c>
      <c r="CP596">
        <f t="shared" si="127"/>
        <v>0</v>
      </c>
      <c r="CQ596">
        <f t="shared" si="128"/>
        <v>0</v>
      </c>
    </row>
    <row r="597" spans="3:95" x14ac:dyDescent="0.3">
      <c r="Q597" s="46">
        <f>c_cog+c_lung+c_hosp_fu+c_CSG</f>
        <v>58348.510902399998</v>
      </c>
      <c r="R597" s="46"/>
      <c r="T597" s="78"/>
      <c r="Z597" s="42"/>
      <c r="AA597" s="6"/>
      <c r="AB597" s="42">
        <f t="shared" si="99"/>
        <v>0</v>
      </c>
      <c r="AC597" s="42">
        <f>U597*(Q599-c_CSG)</f>
        <v>0</v>
      </c>
      <c r="BB597">
        <v>45990.200000000004</v>
      </c>
      <c r="BK597">
        <f t="shared" si="100"/>
        <v>0</v>
      </c>
      <c r="BL597">
        <f t="shared" si="101"/>
        <v>0</v>
      </c>
      <c r="BM597">
        <f t="shared" si="102"/>
        <v>0</v>
      </c>
      <c r="BN597">
        <f t="shared" si="103"/>
        <v>0</v>
      </c>
      <c r="BO597">
        <f t="shared" si="104"/>
        <v>0</v>
      </c>
      <c r="BP597">
        <f t="shared" si="105"/>
        <v>0</v>
      </c>
      <c r="BQ597">
        <f t="shared" si="106"/>
        <v>0</v>
      </c>
      <c r="BR597">
        <f t="shared" si="107"/>
        <v>0</v>
      </c>
      <c r="BS597">
        <f t="shared" si="108"/>
        <v>0</v>
      </c>
      <c r="BT597">
        <f t="shared" si="109"/>
        <v>0</v>
      </c>
      <c r="BU597">
        <f t="shared" si="110"/>
        <v>0</v>
      </c>
      <c r="BV597">
        <f t="shared" si="111"/>
        <v>0</v>
      </c>
      <c r="BW597">
        <f t="shared" si="112"/>
        <v>0</v>
      </c>
      <c r="BX597">
        <f t="shared" si="113"/>
        <v>0</v>
      </c>
      <c r="BY597">
        <f t="shared" si="114"/>
        <v>0</v>
      </c>
      <c r="BZ597">
        <f t="shared" si="115"/>
        <v>0</v>
      </c>
      <c r="CA597">
        <f t="shared" si="116"/>
        <v>1</v>
      </c>
      <c r="CB597">
        <f t="shared" si="117"/>
        <v>0</v>
      </c>
      <c r="CC597">
        <f t="shared" si="118"/>
        <v>0</v>
      </c>
      <c r="CD597">
        <f t="shared" si="119"/>
        <v>0</v>
      </c>
      <c r="CE597">
        <f t="shared" si="120"/>
        <v>0</v>
      </c>
      <c r="CF597" t="e">
        <f>IF(#REF!=BG597,0,1)</f>
        <v>#REF!</v>
      </c>
      <c r="CG597">
        <f t="shared" si="121"/>
        <v>0</v>
      </c>
      <c r="CH597" t="e">
        <f>IF(#REF!=BI597,0,1)</f>
        <v>#REF!</v>
      </c>
      <c r="CI597" t="e">
        <f>IF(#REF!=BJ597,0,1)</f>
        <v>#REF!</v>
      </c>
      <c r="CJ597" t="e">
        <f>IF(#REF!=BK597,0,1)</f>
        <v>#REF!</v>
      </c>
      <c r="CK597">
        <f t="shared" si="122"/>
        <v>0</v>
      </c>
      <c r="CL597">
        <f t="shared" si="123"/>
        <v>0</v>
      </c>
      <c r="CM597">
        <f t="shared" si="124"/>
        <v>0</v>
      </c>
      <c r="CN597">
        <f t="shared" si="125"/>
        <v>0</v>
      </c>
      <c r="CO597">
        <f t="shared" si="126"/>
        <v>0</v>
      </c>
      <c r="CP597">
        <f t="shared" si="127"/>
        <v>0</v>
      </c>
      <c r="CQ597">
        <f t="shared" si="128"/>
        <v>0</v>
      </c>
    </row>
    <row r="598" spans="3:95" x14ac:dyDescent="0.3">
      <c r="Q598" s="19" t="s">
        <v>369</v>
      </c>
      <c r="R598" s="19"/>
      <c r="T598" s="78"/>
      <c r="U598">
        <f>$K$592*$I$581*$G$602*$E$531*$C$600*$A$555*$M$587*$O$592*Q599</f>
        <v>0</v>
      </c>
      <c r="W598" s="42">
        <f>$K$593+$I$582+$G$603+$E$532+$C$601+$A$556+$M$588+$O$593+Q600</f>
        <v>49131.711856313748</v>
      </c>
      <c r="X598">
        <f>u_Healthy</f>
        <v>0</v>
      </c>
      <c r="Z598" s="42">
        <f>U598*W598</f>
        <v>0</v>
      </c>
      <c r="AA598" s="6">
        <f>U598*X598</f>
        <v>0</v>
      </c>
      <c r="AB598" s="42">
        <f t="shared" si="99"/>
        <v>0</v>
      </c>
      <c r="AC598" s="42">
        <f>U598*(Q600-c_CSG)</f>
        <v>0</v>
      </c>
      <c r="BB598" t="s">
        <v>369</v>
      </c>
      <c r="BE598">
        <v>0</v>
      </c>
      <c r="BK598">
        <f t="shared" si="100"/>
        <v>0</v>
      </c>
      <c r="BL598">
        <f t="shared" si="101"/>
        <v>0</v>
      </c>
      <c r="BM598">
        <f t="shared" si="102"/>
        <v>0</v>
      </c>
      <c r="BN598">
        <f t="shared" si="103"/>
        <v>0</v>
      </c>
      <c r="BO598">
        <f t="shared" si="104"/>
        <v>0</v>
      </c>
      <c r="BP598">
        <f t="shared" si="105"/>
        <v>0</v>
      </c>
      <c r="BQ598">
        <f t="shared" si="106"/>
        <v>0</v>
      </c>
      <c r="BR598">
        <f t="shared" si="107"/>
        <v>0</v>
      </c>
      <c r="BS598">
        <f t="shared" si="108"/>
        <v>0</v>
      </c>
      <c r="BT598">
        <f t="shared" si="109"/>
        <v>0</v>
      </c>
      <c r="BU598">
        <f t="shared" si="110"/>
        <v>0</v>
      </c>
      <c r="BV598">
        <f t="shared" si="111"/>
        <v>0</v>
      </c>
      <c r="BW598">
        <f t="shared" si="112"/>
        <v>0</v>
      </c>
      <c r="BX598">
        <f t="shared" si="113"/>
        <v>0</v>
      </c>
      <c r="BY598">
        <f t="shared" si="114"/>
        <v>0</v>
      </c>
      <c r="BZ598">
        <f t="shared" si="115"/>
        <v>0</v>
      </c>
      <c r="CA598">
        <f t="shared" si="116"/>
        <v>0</v>
      </c>
      <c r="CB598">
        <f t="shared" si="117"/>
        <v>0</v>
      </c>
      <c r="CC598">
        <f t="shared" si="118"/>
        <v>0</v>
      </c>
      <c r="CD598">
        <f t="shared" si="119"/>
        <v>0</v>
      </c>
      <c r="CE598">
        <f t="shared" si="120"/>
        <v>0</v>
      </c>
      <c r="CF598" t="e">
        <f>IF(#REF!=BG598,0,1)</f>
        <v>#REF!</v>
      </c>
      <c r="CG598">
        <f t="shared" si="121"/>
        <v>1</v>
      </c>
      <c r="CH598" t="e">
        <f>IF(#REF!=BI598,0,1)</f>
        <v>#REF!</v>
      </c>
      <c r="CI598" t="e">
        <f>IF(#REF!=BJ598,0,1)</f>
        <v>#REF!</v>
      </c>
      <c r="CJ598" t="e">
        <f>IF(#REF!=BK598,0,1)</f>
        <v>#REF!</v>
      </c>
      <c r="CK598">
        <f t="shared" si="122"/>
        <v>0</v>
      </c>
      <c r="CL598">
        <f t="shared" si="123"/>
        <v>0</v>
      </c>
      <c r="CM598">
        <f t="shared" si="124"/>
        <v>0</v>
      </c>
      <c r="CN598">
        <f t="shared" si="125"/>
        <v>0</v>
      </c>
      <c r="CO598">
        <f t="shared" si="126"/>
        <v>0</v>
      </c>
      <c r="CP598">
        <f t="shared" si="127"/>
        <v>0</v>
      </c>
      <c r="CQ598">
        <f t="shared" si="128"/>
        <v>0</v>
      </c>
    </row>
    <row r="599" spans="3:95" x14ac:dyDescent="0.3">
      <c r="C599" s="19" t="s">
        <v>372</v>
      </c>
      <c r="Q599" s="45">
        <f>1-Q596-Q593-Q590</f>
        <v>0.61785831659300938</v>
      </c>
      <c r="R599" s="45"/>
      <c r="T599" s="78"/>
      <c r="V599">
        <v>0</v>
      </c>
      <c r="Z599" s="42"/>
      <c r="AA599" s="6"/>
      <c r="AB599" s="42">
        <f t="shared" si="99"/>
        <v>0</v>
      </c>
      <c r="AC599" s="42">
        <f>U599*(Q601-c_CSG)</f>
        <v>0</v>
      </c>
      <c r="BB599">
        <v>0.61785831659300938</v>
      </c>
      <c r="BK599">
        <f t="shared" si="100"/>
        <v>0</v>
      </c>
      <c r="BL599">
        <f t="shared" si="101"/>
        <v>0</v>
      </c>
      <c r="BM599">
        <f t="shared" si="102"/>
        <v>0</v>
      </c>
      <c r="BN599">
        <f t="shared" si="103"/>
        <v>0</v>
      </c>
      <c r="BO599">
        <f t="shared" si="104"/>
        <v>0</v>
      </c>
      <c r="BP599">
        <f t="shared" si="105"/>
        <v>0</v>
      </c>
      <c r="BQ599">
        <f t="shared" si="106"/>
        <v>0</v>
      </c>
      <c r="BR599">
        <f t="shared" si="107"/>
        <v>0</v>
      </c>
      <c r="BS599">
        <f t="shared" si="108"/>
        <v>0</v>
      </c>
      <c r="BT599">
        <f t="shared" si="109"/>
        <v>0</v>
      </c>
      <c r="BU599">
        <f t="shared" si="110"/>
        <v>0</v>
      </c>
      <c r="BV599">
        <f t="shared" si="111"/>
        <v>0</v>
      </c>
      <c r="BW599">
        <f t="shared" si="112"/>
        <v>0</v>
      </c>
      <c r="BX599">
        <f t="shared" si="113"/>
        <v>0</v>
      </c>
      <c r="BY599">
        <f t="shared" si="114"/>
        <v>0</v>
      </c>
      <c r="BZ599">
        <f t="shared" si="115"/>
        <v>0</v>
      </c>
      <c r="CA599">
        <f t="shared" si="116"/>
        <v>0</v>
      </c>
      <c r="CB599">
        <f t="shared" si="117"/>
        <v>0</v>
      </c>
      <c r="CC599">
        <f t="shared" si="118"/>
        <v>0</v>
      </c>
      <c r="CD599">
        <f t="shared" si="119"/>
        <v>0</v>
      </c>
      <c r="CE599">
        <f t="shared" si="120"/>
        <v>0</v>
      </c>
      <c r="CF599" t="e">
        <f>IF(#REF!=BG599,0,1)</f>
        <v>#REF!</v>
      </c>
      <c r="CG599">
        <f t="shared" si="121"/>
        <v>0</v>
      </c>
      <c r="CH599" t="e">
        <f>IF(#REF!=BI599,0,1)</f>
        <v>#REF!</v>
      </c>
      <c r="CI599" t="e">
        <f>IF(#REF!=BJ599,0,1)</f>
        <v>#REF!</v>
      </c>
      <c r="CJ599" t="e">
        <f>IF(#REF!=BK599,0,1)</f>
        <v>#REF!</v>
      </c>
      <c r="CK599">
        <f t="shared" si="122"/>
        <v>0</v>
      </c>
      <c r="CL599">
        <f t="shared" si="123"/>
        <v>0</v>
      </c>
      <c r="CM599">
        <f t="shared" si="124"/>
        <v>0</v>
      </c>
      <c r="CN599">
        <f t="shared" si="125"/>
        <v>0</v>
      </c>
      <c r="CO599">
        <f t="shared" si="126"/>
        <v>0</v>
      </c>
      <c r="CP599">
        <f t="shared" si="127"/>
        <v>0</v>
      </c>
      <c r="CQ599">
        <f t="shared" si="128"/>
        <v>0</v>
      </c>
    </row>
    <row r="600" spans="3:95" x14ac:dyDescent="0.3">
      <c r="C600" s="45">
        <f>NoANC2LB_2</f>
        <v>0.96843702579666158</v>
      </c>
      <c r="Q600" s="46">
        <f>c_clinic_fu+c_CSG</f>
        <v>14403</v>
      </c>
      <c r="R600" s="46"/>
      <c r="T600" s="78"/>
      <c r="Z600" s="42"/>
      <c r="AA600" s="6"/>
      <c r="AB600" s="42">
        <f t="shared" si="99"/>
        <v>0</v>
      </c>
      <c r="AC600" s="42"/>
      <c r="AM600" t="s">
        <v>372</v>
      </c>
      <c r="BB600">
        <v>3230</v>
      </c>
      <c r="BK600">
        <f t="shared" si="100"/>
        <v>0</v>
      </c>
      <c r="BL600">
        <f t="shared" si="101"/>
        <v>0</v>
      </c>
      <c r="BM600">
        <f t="shared" si="102"/>
        <v>0</v>
      </c>
      <c r="BN600">
        <f t="shared" si="103"/>
        <v>0</v>
      </c>
      <c r="BO600">
        <f t="shared" si="104"/>
        <v>0</v>
      </c>
      <c r="BP600">
        <f t="shared" si="105"/>
        <v>0</v>
      </c>
      <c r="BQ600">
        <f t="shared" si="106"/>
        <v>0</v>
      </c>
      <c r="BR600">
        <f t="shared" si="107"/>
        <v>0</v>
      </c>
      <c r="BS600">
        <f t="shared" si="108"/>
        <v>0</v>
      </c>
      <c r="BT600">
        <f t="shared" si="109"/>
        <v>0</v>
      </c>
      <c r="BU600">
        <f t="shared" si="110"/>
        <v>0</v>
      </c>
      <c r="BV600">
        <f t="shared" si="111"/>
        <v>0</v>
      </c>
      <c r="BW600">
        <f t="shared" si="112"/>
        <v>0</v>
      </c>
      <c r="BX600">
        <f t="shared" si="113"/>
        <v>0</v>
      </c>
      <c r="BY600">
        <f t="shared" si="114"/>
        <v>0</v>
      </c>
      <c r="BZ600">
        <f t="shared" si="115"/>
        <v>0</v>
      </c>
      <c r="CA600">
        <f t="shared" si="116"/>
        <v>1</v>
      </c>
      <c r="CB600">
        <f t="shared" si="117"/>
        <v>0</v>
      </c>
      <c r="CC600">
        <f t="shared" si="118"/>
        <v>0</v>
      </c>
      <c r="CD600">
        <f t="shared" si="119"/>
        <v>0</v>
      </c>
      <c r="CE600">
        <f t="shared" si="120"/>
        <v>0</v>
      </c>
      <c r="CF600" t="e">
        <f>IF(#REF!=BG600,0,1)</f>
        <v>#REF!</v>
      </c>
      <c r="CG600">
        <f t="shared" si="121"/>
        <v>0</v>
      </c>
      <c r="CH600" t="e">
        <f>IF(#REF!=BI600,0,1)</f>
        <v>#REF!</v>
      </c>
      <c r="CI600" t="e">
        <f>IF(#REF!=BJ600,0,1)</f>
        <v>#REF!</v>
      </c>
      <c r="CJ600" t="e">
        <f>IF(#REF!=BK600,0,1)</f>
        <v>#REF!</v>
      </c>
      <c r="CK600">
        <f t="shared" si="122"/>
        <v>0</v>
      </c>
      <c r="CL600">
        <f t="shared" si="123"/>
        <v>0</v>
      </c>
      <c r="CM600">
        <f t="shared" si="124"/>
        <v>0</v>
      </c>
      <c r="CN600">
        <f t="shared" si="125"/>
        <v>0</v>
      </c>
      <c r="CO600">
        <f t="shared" si="126"/>
        <v>0</v>
      </c>
      <c r="CP600">
        <f t="shared" si="127"/>
        <v>0</v>
      </c>
      <c r="CQ600">
        <f t="shared" si="128"/>
        <v>0</v>
      </c>
    </row>
    <row r="601" spans="3:95" x14ac:dyDescent="0.3">
      <c r="C601" s="46"/>
      <c r="G601" s="19" t="s">
        <v>371</v>
      </c>
      <c r="Q601" s="42"/>
      <c r="R601" s="42"/>
      <c r="T601" s="78"/>
      <c r="Z601" s="42"/>
      <c r="AA601" s="6"/>
      <c r="AB601" s="42">
        <f t="shared" si="99"/>
        <v>0</v>
      </c>
      <c r="AC601" s="42">
        <f>U601*(Q603-c_CSG)</f>
        <v>0</v>
      </c>
      <c r="AM601">
        <v>0.96843702579666158</v>
      </c>
      <c r="BK601">
        <f t="shared" si="100"/>
        <v>0</v>
      </c>
      <c r="BL601">
        <f t="shared" si="101"/>
        <v>0</v>
      </c>
      <c r="BM601">
        <f t="shared" si="102"/>
        <v>0</v>
      </c>
      <c r="BN601">
        <f t="shared" si="103"/>
        <v>0</v>
      </c>
      <c r="BO601">
        <f t="shared" si="104"/>
        <v>0</v>
      </c>
      <c r="BP601">
        <f t="shared" si="105"/>
        <v>0</v>
      </c>
      <c r="BQ601">
        <f t="shared" si="106"/>
        <v>0</v>
      </c>
      <c r="BR601">
        <f t="shared" si="107"/>
        <v>0</v>
      </c>
      <c r="BS601">
        <f t="shared" si="108"/>
        <v>0</v>
      </c>
      <c r="BT601">
        <f t="shared" si="109"/>
        <v>0</v>
      </c>
      <c r="BU601">
        <f t="shared" si="110"/>
        <v>0</v>
      </c>
      <c r="BV601">
        <f t="shared" si="111"/>
        <v>0</v>
      </c>
      <c r="BW601">
        <f t="shared" si="112"/>
        <v>0</v>
      </c>
      <c r="BX601">
        <f t="shared" si="113"/>
        <v>0</v>
      </c>
      <c r="BY601">
        <f t="shared" si="114"/>
        <v>0</v>
      </c>
      <c r="BZ601">
        <f t="shared" si="115"/>
        <v>0</v>
      </c>
      <c r="CA601">
        <f t="shared" si="116"/>
        <v>0</v>
      </c>
      <c r="CB601">
        <f t="shared" si="117"/>
        <v>0</v>
      </c>
      <c r="CC601">
        <f t="shared" si="118"/>
        <v>0</v>
      </c>
      <c r="CD601">
        <f t="shared" si="119"/>
        <v>0</v>
      </c>
      <c r="CE601">
        <f t="shared" si="120"/>
        <v>0</v>
      </c>
      <c r="CF601" t="e">
        <f>IF(#REF!=BG601,0,1)</f>
        <v>#REF!</v>
      </c>
      <c r="CG601">
        <f t="shared" si="121"/>
        <v>0</v>
      </c>
      <c r="CH601" t="e">
        <f>IF(#REF!=BI601,0,1)</f>
        <v>#REF!</v>
      </c>
      <c r="CI601" t="e">
        <f>IF(#REF!=BJ601,0,1)</f>
        <v>#REF!</v>
      </c>
      <c r="CJ601" t="e">
        <f>IF(#REF!=BK601,0,1)</f>
        <v>#REF!</v>
      </c>
      <c r="CK601">
        <f t="shared" si="122"/>
        <v>0</v>
      </c>
      <c r="CL601">
        <f t="shared" si="123"/>
        <v>0</v>
      </c>
      <c r="CM601">
        <f t="shared" si="124"/>
        <v>0</v>
      </c>
      <c r="CN601">
        <f t="shared" si="125"/>
        <v>0</v>
      </c>
      <c r="CO601">
        <f t="shared" si="126"/>
        <v>0</v>
      </c>
      <c r="CP601">
        <f t="shared" si="127"/>
        <v>0</v>
      </c>
      <c r="CQ601">
        <f t="shared" si="128"/>
        <v>0</v>
      </c>
    </row>
    <row r="602" spans="3:95" x14ac:dyDescent="0.3">
      <c r="G602" s="45">
        <f>Prem2NBW_1</f>
        <v>0.51623728813559322</v>
      </c>
      <c r="Q602" s="19" t="s">
        <v>367</v>
      </c>
      <c r="R602" s="19"/>
      <c r="T602" s="78"/>
      <c r="U602">
        <f>$K$592*$I$581*$G$602*$E$531*$C$600*$A$555*$M$607*$O$605*Q603</f>
        <v>0</v>
      </c>
      <c r="W602" s="42">
        <f>$K$593+$I$582+$G$603+$E$532+$C$601+$A$556+$M$608+$O$606+Q604</f>
        <v>61598.873010508105</v>
      </c>
      <c r="X602">
        <f>u_ChronicResp</f>
        <v>0.53465956747782661</v>
      </c>
      <c r="Z602" s="42">
        <f>U602*W602</f>
        <v>0</v>
      </c>
      <c r="AA602" s="6">
        <f>U602*X602</f>
        <v>0</v>
      </c>
      <c r="AB602" s="42">
        <f t="shared" si="99"/>
        <v>0</v>
      </c>
      <c r="AC602" s="42">
        <f>U602*(Q604-c_CSG)</f>
        <v>0</v>
      </c>
      <c r="AR602" t="s">
        <v>371</v>
      </c>
    </row>
    <row r="603" spans="3:95" x14ac:dyDescent="0.3">
      <c r="G603" s="46">
        <f>c_NICU_NBW</f>
        <v>1255.2</v>
      </c>
      <c r="Q603" s="45">
        <f>RDS2CLD_2-(Hypo2CI_2*RDS2CLD_2)</f>
        <v>0.34246866666666664</v>
      </c>
      <c r="R603" s="45"/>
      <c r="T603" s="78"/>
      <c r="V603">
        <v>0</v>
      </c>
      <c r="Z603" s="42"/>
      <c r="AA603" s="6"/>
      <c r="AB603" s="42">
        <f t="shared" si="99"/>
        <v>0</v>
      </c>
      <c r="AC603" s="42"/>
    </row>
    <row r="604" spans="3:95" x14ac:dyDescent="0.3">
      <c r="O604" s="19" t="s">
        <v>161</v>
      </c>
      <c r="Q604" s="46">
        <f>c_lung+c_hosp_fu+c_CSG</f>
        <v>54529.510902399998</v>
      </c>
      <c r="R604" s="46"/>
      <c r="T604" s="78"/>
      <c r="Z604" s="42"/>
      <c r="AA604" s="6"/>
      <c r="AB604" s="42">
        <f t="shared" si="99"/>
        <v>0</v>
      </c>
      <c r="AC604" s="42">
        <f>U604*(Q606-c_CSG)</f>
        <v>0</v>
      </c>
    </row>
    <row r="605" spans="3:95" x14ac:dyDescent="0.3">
      <c r="O605" s="45">
        <f>SGA_prem_2hypoglycaemia_1</f>
        <v>0.2155</v>
      </c>
      <c r="Q605" s="19" t="s">
        <v>226</v>
      </c>
      <c r="R605" s="19"/>
      <c r="T605" s="78"/>
      <c r="U605">
        <f>$K$592*$I$581*$G$602*$E$531*$C$600*$A$555*$M$607*$O$605*Q606</f>
        <v>0</v>
      </c>
      <c r="W605" s="42">
        <f>$K$593+$I$582+$G$603+$E$532+$C$601+$A$556+$M$608+$O$606+Q607</f>
        <v>22835.362108108107</v>
      </c>
      <c r="X605">
        <f>u_CongnitiveImpairement</f>
        <v>17.270393127285455</v>
      </c>
      <c r="Z605" s="42">
        <f>U605*W605</f>
        <v>0</v>
      </c>
      <c r="AA605" s="6">
        <f>U605*X605</f>
        <v>0</v>
      </c>
      <c r="AB605" s="42">
        <f t="shared" ref="AB605:AB627" si="129">U605*c_CSG</f>
        <v>0</v>
      </c>
      <c r="AC605" s="42">
        <f>U605*(Q607-c_CSG)</f>
        <v>0</v>
      </c>
    </row>
    <row r="606" spans="3:95" x14ac:dyDescent="0.3">
      <c r="M606" s="19" t="s">
        <v>203</v>
      </c>
      <c r="O606" s="46">
        <f>c_hypo</f>
        <v>2936.2604000000001</v>
      </c>
      <c r="Q606" s="45">
        <f>Hypo2CI_2-(Hypo2CI_2*RDS2CLD_2)</f>
        <v>3.2801999999999998E-2</v>
      </c>
      <c r="R606" s="45"/>
      <c r="T606" s="78"/>
      <c r="V606">
        <v>0</v>
      </c>
      <c r="Z606" s="42"/>
      <c r="AA606" s="6"/>
      <c r="AB606" s="42">
        <f t="shared" si="129"/>
        <v>0</v>
      </c>
      <c r="AC606" s="42"/>
    </row>
    <row r="607" spans="3:95" x14ac:dyDescent="0.3">
      <c r="M607" s="45">
        <f>S_prem_2noRDS_1</f>
        <v>0.55000000000000004</v>
      </c>
      <c r="Q607" s="46">
        <f>c_cog+c_hosp_fu+c_CSG</f>
        <v>15766</v>
      </c>
      <c r="R607" s="46"/>
      <c r="T607" s="78"/>
      <c r="Z607" s="42"/>
      <c r="AA607" s="6"/>
      <c r="AB607" s="42">
        <f t="shared" si="129"/>
        <v>0</v>
      </c>
      <c r="AC607" s="42">
        <f>U607*(Q609-c_CSG)</f>
        <v>0</v>
      </c>
    </row>
    <row r="608" spans="3:95" x14ac:dyDescent="0.3">
      <c r="G608" s="42"/>
      <c r="M608" s="46"/>
      <c r="O608" s="42"/>
      <c r="Q608" s="19" t="s">
        <v>368</v>
      </c>
      <c r="R608" s="19"/>
      <c r="T608" s="78"/>
      <c r="U608">
        <f>$K$592*$I$581*$G$602*$E$531*$C$600*$A$555*$M$607*$O$605*Q609</f>
        <v>0</v>
      </c>
      <c r="W608" s="42">
        <f>$K$593+$I$582+$G$603+$E$532+$C$601+$A$556+$M$608+$O$606+Q610</f>
        <v>65417.873010508105</v>
      </c>
      <c r="X608">
        <f>u_ChronicResp+u_CongnitiveImpairement</f>
        <v>17.805052694763283</v>
      </c>
      <c r="Z608" s="42">
        <f>U608*W608</f>
        <v>0</v>
      </c>
      <c r="AA608" s="6">
        <f>U608*X608</f>
        <v>0</v>
      </c>
      <c r="AB608" s="42">
        <f t="shared" si="129"/>
        <v>0</v>
      </c>
      <c r="AC608" s="42">
        <f>U608*(Q610-c_CSG)</f>
        <v>0</v>
      </c>
    </row>
    <row r="609" spans="13:29" x14ac:dyDescent="0.3">
      <c r="M609" s="42"/>
      <c r="Q609" s="45">
        <f>Hypo2CI_2*RDS2CLD_2</f>
        <v>1.8531333333333334E-2</v>
      </c>
      <c r="R609" s="45"/>
      <c r="T609" s="78"/>
      <c r="V609">
        <v>0</v>
      </c>
      <c r="Z609" s="42"/>
      <c r="AA609" s="6"/>
      <c r="AB609" s="42">
        <f t="shared" si="129"/>
        <v>0</v>
      </c>
      <c r="AC609" s="42"/>
    </row>
    <row r="610" spans="13:29" x14ac:dyDescent="0.3">
      <c r="M610" s="42"/>
      <c r="Q610" s="46">
        <f>c_lung+c_cog+c_hosp_fu+c_CSG</f>
        <v>58348.510902399998</v>
      </c>
      <c r="R610" s="46"/>
      <c r="T610" s="78"/>
      <c r="Z610" s="42"/>
      <c r="AA610" s="6"/>
      <c r="AB610" s="42">
        <f t="shared" si="129"/>
        <v>0</v>
      </c>
      <c r="AC610" s="42">
        <f>U610*(Q612-c_CSG)</f>
        <v>0</v>
      </c>
    </row>
    <row r="611" spans="13:29" x14ac:dyDescent="0.3">
      <c r="M611" s="42"/>
      <c r="Q611" s="19" t="s">
        <v>369</v>
      </c>
      <c r="R611" s="19"/>
      <c r="T611" s="78"/>
      <c r="U611">
        <f>$K$592*$I$581*$G$602*$E$531*$C$600*$A$555*$M$607*$O$605*Q612</f>
        <v>0</v>
      </c>
      <c r="W611" s="42">
        <f>$K$593+$I$582+$G$603+$E$532+$C$601+$A$556+$M$608+$O$606+Q613</f>
        <v>21472.362108108107</v>
      </c>
      <c r="X611">
        <f>u_Healthy</f>
        <v>0</v>
      </c>
      <c r="Z611" s="42">
        <f>U611*W611</f>
        <v>0</v>
      </c>
      <c r="AA611" s="6">
        <f>U611*X611</f>
        <v>0</v>
      </c>
      <c r="AB611" s="42">
        <f t="shared" si="129"/>
        <v>0</v>
      </c>
      <c r="AC611" s="42">
        <f>U611*(Q613-c_CSG)</f>
        <v>0</v>
      </c>
    </row>
    <row r="612" spans="13:29" x14ac:dyDescent="0.3">
      <c r="M612" s="42"/>
      <c r="O612" s="42"/>
      <c r="Q612" s="45">
        <f>1-Q603-Q606-Q609</f>
        <v>0.60619800000000001</v>
      </c>
      <c r="R612" s="45"/>
      <c r="T612" s="78"/>
      <c r="V612">
        <v>0</v>
      </c>
      <c r="Z612" s="42"/>
      <c r="AA612" s="6"/>
      <c r="AB612" s="42">
        <f t="shared" si="129"/>
        <v>0</v>
      </c>
      <c r="AC612" s="42">
        <f>U612*(Q614-c_CSG)</f>
        <v>0</v>
      </c>
    </row>
    <row r="613" spans="13:29" x14ac:dyDescent="0.3">
      <c r="M613" s="42"/>
      <c r="Q613" s="46">
        <f>c_clinic_fu+c_CSG</f>
        <v>14403</v>
      </c>
      <c r="R613" s="46"/>
      <c r="T613" s="78"/>
      <c r="Z613" s="42"/>
      <c r="AA613" s="6"/>
      <c r="AB613" s="42">
        <f t="shared" si="129"/>
        <v>0</v>
      </c>
      <c r="AC613" s="42"/>
    </row>
    <row r="614" spans="13:29" x14ac:dyDescent="0.3">
      <c r="M614" s="42"/>
      <c r="Q614" s="42"/>
      <c r="R614" s="42"/>
      <c r="S614" s="94"/>
      <c r="T614" s="78"/>
      <c r="Z614" s="42"/>
      <c r="AA614" s="6"/>
      <c r="AB614" s="42">
        <f t="shared" si="129"/>
        <v>0</v>
      </c>
      <c r="AC614" s="42">
        <f>U614*(Q616-c_CSG)</f>
        <v>0</v>
      </c>
    </row>
    <row r="615" spans="13:29" x14ac:dyDescent="0.3">
      <c r="M615" s="42"/>
      <c r="Q615" s="19" t="s">
        <v>367</v>
      </c>
      <c r="R615" s="19"/>
      <c r="T615" s="78"/>
      <c r="U615">
        <f>$K$592*$I$581*$G$602*$E$531*$C$600*$A$555*$M$607*$O$619*Q616</f>
        <v>0</v>
      </c>
      <c r="W615" s="42">
        <f>$K$593+$I$582+$G$603+$E$532+$C$601+$A$556+$M$608+$O$620+Q617</f>
        <v>58662.612610508106</v>
      </c>
      <c r="X615">
        <f>u_ChronicResp</f>
        <v>0.53465956747782661</v>
      </c>
      <c r="Z615" s="42">
        <f>U615*W615</f>
        <v>0</v>
      </c>
      <c r="AA615" s="6">
        <f>U615*X615</f>
        <v>0</v>
      </c>
      <c r="AB615" s="42">
        <f t="shared" si="129"/>
        <v>0</v>
      </c>
      <c r="AC615" s="42">
        <f>U615*(Q617-c_CSG)</f>
        <v>0</v>
      </c>
    </row>
    <row r="616" spans="13:29" x14ac:dyDescent="0.3">
      <c r="M616" s="42"/>
      <c r="Q616" s="45">
        <f>RDS2CLD_2-(RDS2CLD_2*noHypo2CI_2)</f>
        <v>0.34905610687022898</v>
      </c>
      <c r="R616" s="45"/>
      <c r="T616" s="78"/>
      <c r="V616">
        <v>0</v>
      </c>
      <c r="Z616" s="42"/>
      <c r="AA616" s="6"/>
      <c r="AB616" s="42">
        <f t="shared" si="129"/>
        <v>0</v>
      </c>
      <c r="AC616" s="42"/>
    </row>
    <row r="617" spans="13:29" x14ac:dyDescent="0.3">
      <c r="M617" s="42"/>
      <c r="Q617" s="46">
        <f>c_lung+c_hosp_fu+c_CSG</f>
        <v>54529.510902399998</v>
      </c>
      <c r="R617" s="46"/>
      <c r="T617" s="78"/>
      <c r="Z617" s="42"/>
      <c r="AA617" s="6"/>
      <c r="AB617" s="42">
        <f t="shared" si="129"/>
        <v>0</v>
      </c>
      <c r="AC617" s="42">
        <f>U617*(Q619-c_CSG)</f>
        <v>0</v>
      </c>
    </row>
    <row r="618" spans="13:29" x14ac:dyDescent="0.3">
      <c r="M618" s="42"/>
      <c r="O618" s="19" t="s">
        <v>370</v>
      </c>
      <c r="Q618" s="19" t="s">
        <v>226</v>
      </c>
      <c r="R618" s="19"/>
      <c r="T618" s="78"/>
      <c r="U618">
        <f>$K$592*$I$581*$G$602*$E$531*$C$600*$A$555*$M$607*$O$619*Q619</f>
        <v>0</v>
      </c>
      <c r="W618" s="42">
        <f>$K$593+$I$582+$G$603+$E$532+$C$601+$A$556+$M$608+$O$620+Q620</f>
        <v>19899.101708108108</v>
      </c>
      <c r="X618">
        <f>u_CongnitiveImpairement</f>
        <v>17.270393127285455</v>
      </c>
      <c r="Z618" s="42">
        <f>U618*W618</f>
        <v>0</v>
      </c>
      <c r="AA618" s="6">
        <f>U618*X618</f>
        <v>0</v>
      </c>
      <c r="AB618" s="42">
        <f t="shared" si="129"/>
        <v>0</v>
      </c>
      <c r="AC618" s="42">
        <f>U618*(Q620-c_CSG)</f>
        <v>0</v>
      </c>
    </row>
    <row r="619" spans="13:29" x14ac:dyDescent="0.3">
      <c r="M619" s="42"/>
      <c r="O619" s="45">
        <f>SGA_prem_2normoglycaemia_1</f>
        <v>0.78449999999999998</v>
      </c>
      <c r="Q619" s="45">
        <f>noHypo2CI_2-(RDS2CLD_2*noHypo2CI_2)</f>
        <v>2.1141683406990762E-2</v>
      </c>
      <c r="R619" s="45"/>
      <c r="T619" s="78"/>
      <c r="V619">
        <v>0</v>
      </c>
      <c r="Z619" s="42"/>
      <c r="AA619" s="6"/>
      <c r="AB619" s="42">
        <f t="shared" si="129"/>
        <v>0</v>
      </c>
      <c r="AC619" s="42"/>
    </row>
    <row r="620" spans="13:29" x14ac:dyDescent="0.3">
      <c r="M620" s="42"/>
      <c r="O620" s="46"/>
      <c r="Q620" s="46">
        <f>c_cog+c_hosp_fu+c_CSG</f>
        <v>15766</v>
      </c>
      <c r="R620" s="46"/>
      <c r="T620" s="78"/>
      <c r="Z620" s="42"/>
      <c r="AA620" s="6"/>
      <c r="AB620" s="42">
        <f t="shared" si="129"/>
        <v>0</v>
      </c>
      <c r="AC620" s="42">
        <f>U620*(Q622-c_CSG)</f>
        <v>0</v>
      </c>
    </row>
    <row r="621" spans="13:29" x14ac:dyDescent="0.3">
      <c r="M621" s="42"/>
      <c r="Q621" s="19" t="s">
        <v>368</v>
      </c>
      <c r="R621" s="19"/>
      <c r="T621" s="78"/>
      <c r="U621">
        <f>$K$592*$I$581*$G$602*$E$531*$C$600*$A$555*$M$607*$O$619*Q622</f>
        <v>0</v>
      </c>
      <c r="W621" s="42">
        <f>$K$593+$I$582+$G$603+$E$532+$C$601+$A$556+$M$608+$O$620+Q623</f>
        <v>62481.612610508106</v>
      </c>
      <c r="X621">
        <f>u_ChronicResp+u_CongnitiveImpairement</f>
        <v>17.805052694763283</v>
      </c>
      <c r="Z621" s="42">
        <f>U621*W621</f>
        <v>0</v>
      </c>
      <c r="AA621" s="6">
        <f>U621*X621</f>
        <v>0</v>
      </c>
      <c r="AB621" s="42">
        <f t="shared" si="129"/>
        <v>0</v>
      </c>
      <c r="AC621" s="42">
        <f>U621*(Q623-c_CSG)</f>
        <v>0</v>
      </c>
    </row>
    <row r="622" spans="13:29" x14ac:dyDescent="0.3">
      <c r="M622" s="42"/>
      <c r="Q622" s="45">
        <f>RDS2CLD_2*noHypo2CI_2</f>
        <v>1.1943893129770991E-2</v>
      </c>
      <c r="R622" s="45"/>
      <c r="T622" s="78"/>
      <c r="V622">
        <v>0</v>
      </c>
      <c r="Z622" s="42"/>
      <c r="AA622" s="6"/>
      <c r="AB622" s="42">
        <f t="shared" si="129"/>
        <v>0</v>
      </c>
      <c r="AC622" s="42"/>
    </row>
    <row r="623" spans="13:29" x14ac:dyDescent="0.3">
      <c r="M623" s="42"/>
      <c r="Q623" s="46">
        <f>c_cog+c_lung+c_hosp_fu+c_CSG</f>
        <v>58348.510902399998</v>
      </c>
      <c r="R623" s="46"/>
      <c r="T623" s="78"/>
      <c r="Z623" s="42"/>
      <c r="AA623" s="6"/>
      <c r="AB623" s="42">
        <f t="shared" si="129"/>
        <v>0</v>
      </c>
      <c r="AC623" s="42">
        <f>U623*(Q625-c_CSG)</f>
        <v>0</v>
      </c>
    </row>
    <row r="624" spans="13:29" x14ac:dyDescent="0.3">
      <c r="M624" s="42"/>
      <c r="Q624" s="19" t="s">
        <v>369</v>
      </c>
      <c r="R624" s="19"/>
      <c r="T624" s="78"/>
      <c r="U624">
        <f>$K$592*$I$581*$G$602*$E$531*$C$600*$A$555*$M$607*$O$619*Q625</f>
        <v>0</v>
      </c>
      <c r="W624" s="42">
        <f>$K$593+$I$582+$G$603+$E$532+$C$601+$A$556+$M$608+$O$620+Q626</f>
        <v>18536.101708108108</v>
      </c>
      <c r="X624">
        <f>u_Healthy</f>
        <v>0</v>
      </c>
      <c r="Z624" s="42">
        <f>U624*W624</f>
        <v>0</v>
      </c>
      <c r="AA624" s="6">
        <f>U624*X624</f>
        <v>0</v>
      </c>
      <c r="AB624" s="42">
        <f t="shared" si="129"/>
        <v>0</v>
      </c>
      <c r="AC624" s="42">
        <f>U624*(Q626-c_CSG)</f>
        <v>0</v>
      </c>
    </row>
    <row r="625" spans="9:29" x14ac:dyDescent="0.3">
      <c r="M625" s="42"/>
      <c r="Q625" s="45">
        <f>1-Q622-Q619-Q616</f>
        <v>0.61785831659300938</v>
      </c>
      <c r="R625" s="45"/>
      <c r="T625" s="78"/>
      <c r="V625">
        <v>0</v>
      </c>
      <c r="Z625" s="42"/>
      <c r="AA625" s="6"/>
      <c r="AB625" s="42">
        <f t="shared" si="129"/>
        <v>0</v>
      </c>
      <c r="AC625" s="42">
        <f>U625*(Q627-c_CSG)</f>
        <v>0</v>
      </c>
    </row>
    <row r="626" spans="9:29" x14ac:dyDescent="0.3">
      <c r="M626" s="42"/>
      <c r="Q626" s="46">
        <f>c_clinic_fu+c_CSG</f>
        <v>14403</v>
      </c>
      <c r="R626" s="46"/>
      <c r="T626" s="78"/>
      <c r="Z626" s="42"/>
      <c r="AA626" s="6"/>
      <c r="AB626" s="42">
        <f t="shared" si="129"/>
        <v>0</v>
      </c>
      <c r="AC626" s="42">
        <f>U626*(Q628-c_CSG)</f>
        <v>0</v>
      </c>
    </row>
    <row r="627" spans="9:29" x14ac:dyDescent="0.3">
      <c r="M627" s="42"/>
      <c r="Q627" s="42"/>
      <c r="R627" s="42"/>
      <c r="T627" s="78"/>
      <c r="Z627" s="42"/>
      <c r="AA627" s="6"/>
      <c r="AB627" s="42">
        <f t="shared" si="129"/>
        <v>0</v>
      </c>
      <c r="AC627" s="42">
        <f>U627*(Q629-c_CSG)</f>
        <v>0</v>
      </c>
    </row>
    <row r="628" spans="9:29" x14ac:dyDescent="0.3">
      <c r="K628" s="19" t="s">
        <v>165</v>
      </c>
      <c r="L628" s="19"/>
      <c r="M628" s="19"/>
      <c r="N628" s="19"/>
      <c r="O628" s="19"/>
      <c r="P628" s="19"/>
      <c r="Q628" s="19"/>
      <c r="R628" s="19"/>
      <c r="T628" s="78"/>
      <c r="U628">
        <f>$K$629*$I$637*$G$602*$E$531*$C$600*$A$555</f>
        <v>1.787912066408661E-4</v>
      </c>
      <c r="V628">
        <v>3.180512596551397E-4</v>
      </c>
      <c r="W628" s="42">
        <f>$K$630+$I$638+$G$603+$E$532+$C$601+$A$556</f>
        <v>5925.1017081081081</v>
      </c>
      <c r="X628">
        <f>u_Death</f>
        <v>19.181538114427529</v>
      </c>
      <c r="Z628" s="42">
        <f>U628*W628</f>
        <v>1.0593560838625053</v>
      </c>
      <c r="AA628" s="6">
        <f>U628*X628</f>
        <v>3.4294903447062612E-3</v>
      </c>
      <c r="AB628" s="42"/>
      <c r="AC628" s="42"/>
    </row>
    <row r="629" spans="9:29" x14ac:dyDescent="0.3">
      <c r="K629" s="45">
        <f>AGA_prem_2d_2</f>
        <v>3.1903725000000001E-2</v>
      </c>
      <c r="T629" s="78"/>
      <c r="Z629" s="42"/>
      <c r="AA629" s="6"/>
      <c r="AB629" s="42">
        <f t="shared" ref="AB629:AB660" si="130">U629*c_CSG</f>
        <v>0</v>
      </c>
      <c r="AC629" s="42">
        <f>U629*(Q631-c_CSG)</f>
        <v>0</v>
      </c>
    </row>
    <row r="630" spans="9:29" x14ac:dyDescent="0.3">
      <c r="K630" s="46">
        <f>c_SB</f>
        <v>1792</v>
      </c>
      <c r="T630" s="78"/>
      <c r="Z630" s="42"/>
      <c r="AA630" s="6"/>
      <c r="AB630" s="42">
        <f t="shared" si="130"/>
        <v>0</v>
      </c>
      <c r="AC630" s="42"/>
    </row>
    <row r="631" spans="9:29" x14ac:dyDescent="0.3">
      <c r="T631" s="78"/>
      <c r="Z631" s="42"/>
      <c r="AA631" s="6"/>
      <c r="AB631" s="42">
        <f t="shared" si="130"/>
        <v>0</v>
      </c>
      <c r="AC631" s="42">
        <f>U631*(Q633-c_CSG)</f>
        <v>0</v>
      </c>
    </row>
    <row r="632" spans="9:29" x14ac:dyDescent="0.3">
      <c r="Q632" s="19" t="s">
        <v>367</v>
      </c>
      <c r="R632" s="19"/>
      <c r="T632" s="78"/>
      <c r="U632">
        <f>$K$648*$I$637*$G$602*$E$531*$C$600*$A$555*$M$643*$O$638*Q633</f>
        <v>1.254145508254514E-4</v>
      </c>
      <c r="V632">
        <v>2.0166762222624391E-4</v>
      </c>
      <c r="W632" s="42">
        <f>$K$649+$I$638+$G$603+$E$532+$C$601+$A$556+$M$644+$O$639+Q634</f>
        <v>92194.483158713745</v>
      </c>
      <c r="X632">
        <f>u_ChronicResp</f>
        <v>0.53465956747782661</v>
      </c>
      <c r="Z632" s="42">
        <f>U632*W632</f>
        <v>11.562529693934728</v>
      </c>
      <c r="AA632" s="6">
        <f>U632*X632</f>
        <v>6.7054089499761754E-5</v>
      </c>
      <c r="AB632" s="42">
        <f t="shared" si="130"/>
        <v>1.3845766411129834</v>
      </c>
      <c r="AC632" s="42">
        <f>U632*(Q634-c_CSG)</f>
        <v>5.454217475443067</v>
      </c>
    </row>
    <row r="633" spans="9:29" x14ac:dyDescent="0.3">
      <c r="Q633" s="45">
        <f>RDS2CLD_2-(Hypo2CI_2*RDS2CLD_2)</f>
        <v>0.34246866666666664</v>
      </c>
      <c r="R633" s="45"/>
      <c r="T633" s="78"/>
      <c r="Z633" s="42"/>
      <c r="AA633" s="6"/>
      <c r="AB633" s="42">
        <f t="shared" si="130"/>
        <v>0</v>
      </c>
      <c r="AC633" s="42"/>
    </row>
    <row r="634" spans="9:29" x14ac:dyDescent="0.3">
      <c r="Q634" s="46">
        <f>c_lung+c_hosp_fu+c_CSG</f>
        <v>54529.510902399998</v>
      </c>
      <c r="R634" s="46"/>
      <c r="T634" s="78"/>
      <c r="Z634" s="42"/>
      <c r="AA634" s="6"/>
      <c r="AB634" s="42">
        <f t="shared" si="130"/>
        <v>0</v>
      </c>
      <c r="AC634" s="42">
        <f>U634*(Q636-c_CSG)</f>
        <v>0</v>
      </c>
    </row>
    <row r="635" spans="9:29" x14ac:dyDescent="0.3">
      <c r="Q635" s="19" t="s">
        <v>226</v>
      </c>
      <c r="R635" s="19"/>
      <c r="T635" s="78"/>
      <c r="U635">
        <f>$K$648*$I$637*$G$602*$E$531*$C$600*$A$555*$M$643*$O$638*Q636</f>
        <v>1.201233425591185E-5</v>
      </c>
      <c r="V635">
        <v>1.9315931611062969E-5</v>
      </c>
      <c r="W635" s="42">
        <f>$K$649+$I$638+$G$603+$E$532+$C$601+$A$556+$M$644+$O$639+Q637</f>
        <v>53430.972256313747</v>
      </c>
      <c r="X635">
        <f>u_CongnitiveImpairement</f>
        <v>17.270393127285455</v>
      </c>
      <c r="Z635" s="42">
        <f>U635*W635</f>
        <v>0.64183069836119333</v>
      </c>
      <c r="AA635" s="6">
        <f>U635*X635</f>
        <v>2.0745773497595567E-4</v>
      </c>
      <c r="AB635" s="42">
        <f t="shared" si="130"/>
        <v>0.13261617018526684</v>
      </c>
      <c r="AC635" s="42">
        <f>U635*(Q637-c_CSG)</f>
        <v>5.6770291693439404E-2</v>
      </c>
    </row>
    <row r="636" spans="9:29" x14ac:dyDescent="0.3">
      <c r="I636" s="19" t="s">
        <v>424</v>
      </c>
      <c r="Q636" s="45">
        <f>Hypo2CI_2-(Hypo2CI_2*RDS2CLD_2)</f>
        <v>3.2801999999999998E-2</v>
      </c>
      <c r="R636" s="45"/>
      <c r="T636" s="78"/>
      <c r="Z636" s="42"/>
      <c r="AA636" s="6"/>
      <c r="AB636" s="42">
        <f t="shared" si="130"/>
        <v>0</v>
      </c>
      <c r="AC636" s="42"/>
    </row>
    <row r="637" spans="9:29" x14ac:dyDescent="0.3">
      <c r="I637" s="45">
        <f>NBW_prem_2AGA_2</f>
        <v>1</v>
      </c>
      <c r="O637" s="19" t="s">
        <v>161</v>
      </c>
      <c r="Q637" s="46">
        <f>c_cog+c_hosp_fu+c_CSG</f>
        <v>15766</v>
      </c>
      <c r="R637" s="46"/>
      <c r="T637" s="78"/>
      <c r="Z637" s="42"/>
      <c r="AA637" s="6"/>
      <c r="AB637" s="42">
        <f t="shared" si="130"/>
        <v>0</v>
      </c>
      <c r="AC637" s="42">
        <f>U637*(Q639-c_CSG)</f>
        <v>0</v>
      </c>
    </row>
    <row r="638" spans="9:29" x14ac:dyDescent="0.3">
      <c r="I638" s="46"/>
      <c r="O638" s="45">
        <f>AGA_prem_2hypoglycaemia_2</f>
        <v>0.15</v>
      </c>
      <c r="Q638" s="19" t="s">
        <v>368</v>
      </c>
      <c r="R638" s="19"/>
      <c r="T638" s="78"/>
      <c r="U638">
        <f>$K$648*$I$637*$G$602*$E$531*$C$600*$A$555*$M$643*$O$638*Q639</f>
        <v>6.7863109020096686E-6</v>
      </c>
      <c r="V638">
        <v>1.0912443367126341E-5</v>
      </c>
      <c r="W638" s="42">
        <f>$K$649+$I$638+$G$603+$E$532+$C$601+$A$556+$M$644+$O$639+Q640</f>
        <v>96013.483158713745</v>
      </c>
      <c r="X638">
        <f>u_ChronicResp+u_CongnitiveImpairement</f>
        <v>17.805052694763283</v>
      </c>
      <c r="Z638" s="42">
        <f>U638*W638</f>
        <v>0.65157734749990082</v>
      </c>
      <c r="AA638" s="6">
        <f>U638*X638</f>
        <v>1.208306232133287E-4</v>
      </c>
      <c r="AB638" s="42">
        <f t="shared" si="130"/>
        <v>7.4920872358186744E-2</v>
      </c>
      <c r="AC638" s="42">
        <f>U638*(Q640-c_CSG)</f>
        <v>0.32105026329480035</v>
      </c>
    </row>
    <row r="639" spans="9:29" x14ac:dyDescent="0.3">
      <c r="O639" s="46">
        <f>c_hypo</f>
        <v>2936.2604000000001</v>
      </c>
      <c r="Q639" s="45">
        <f>Hypo2CI_2*RDS2CLD_2</f>
        <v>1.8531333333333334E-2</v>
      </c>
      <c r="R639" s="45"/>
      <c r="T639" s="78"/>
      <c r="Z639" s="42"/>
      <c r="AA639" s="6"/>
      <c r="AB639" s="42">
        <f t="shared" si="130"/>
        <v>0</v>
      </c>
      <c r="AC639" s="42"/>
    </row>
    <row r="640" spans="9:29" x14ac:dyDescent="0.3">
      <c r="M640" s="42"/>
      <c r="Q640" s="46">
        <f>c_lung+c_cog+c_hosp_fu+c_CSG</f>
        <v>58348.510902399998</v>
      </c>
      <c r="R640" s="46"/>
      <c r="T640" s="78"/>
      <c r="Z640" s="42"/>
      <c r="AA640" s="6"/>
      <c r="AB640" s="42">
        <f t="shared" si="130"/>
        <v>0</v>
      </c>
      <c r="AC640" s="42">
        <f>U640*(Q642-c_CSG)</f>
        <v>0</v>
      </c>
    </row>
    <row r="641" spans="11:29" x14ac:dyDescent="0.3">
      <c r="Q641" s="19" t="s">
        <v>369</v>
      </c>
      <c r="R641" s="19"/>
      <c r="T641" s="78"/>
      <c r="U641">
        <f>$K$648*$I$637*$G$602*$E$531*$C$600*$A$555*$M$643*$O$638*Q642</f>
        <v>2.2199417722289046E-4</v>
      </c>
      <c r="V641">
        <v>3.5696845042263126E-4</v>
      </c>
      <c r="W641" s="42">
        <f>$K$649+$I$638+$G$603+$E$532+$C$601+$A$556+$M$644+$O$639+Q643</f>
        <v>52067.972256313747</v>
      </c>
      <c r="X641">
        <f>u_Healthy</f>
        <v>0</v>
      </c>
      <c r="Z641" s="42">
        <f>U641*W641</f>
        <v>11.558786660704659</v>
      </c>
      <c r="AA641" s="6">
        <f>U641*X641</f>
        <v>0</v>
      </c>
      <c r="AB641" s="42">
        <f t="shared" si="130"/>
        <v>2.4508157165407107</v>
      </c>
      <c r="AC641" s="42">
        <f>U641*(Q643-c_CSG)</f>
        <v>0.74656641800058066</v>
      </c>
    </row>
    <row r="642" spans="11:29" x14ac:dyDescent="0.3">
      <c r="M642" s="19" t="s">
        <v>9</v>
      </c>
      <c r="Q642" s="45">
        <f>1-Q633-Q636-Q639</f>
        <v>0.60619800000000001</v>
      </c>
      <c r="R642" s="45"/>
      <c r="T642" s="78"/>
      <c r="Z642" s="42"/>
      <c r="AA642" s="6"/>
      <c r="AB642" s="42">
        <f t="shared" si="130"/>
        <v>0</v>
      </c>
      <c r="AC642" s="42">
        <f>U642*(Q644-c_CSG)</f>
        <v>0</v>
      </c>
    </row>
    <row r="643" spans="11:29" x14ac:dyDescent="0.3">
      <c r="K643" s="42"/>
      <c r="M643" s="45">
        <f>S_prem_2RDS_2</f>
        <v>0.45</v>
      </c>
      <c r="Q643" s="46">
        <f>c_clinic_fu+c_CSG</f>
        <v>14403</v>
      </c>
      <c r="R643" s="46"/>
      <c r="T643" s="78"/>
      <c r="Z643" s="42"/>
      <c r="AA643" s="6"/>
      <c r="AB643" s="42">
        <f t="shared" si="130"/>
        <v>0</v>
      </c>
      <c r="AC643" s="42"/>
    </row>
    <row r="644" spans="11:29" x14ac:dyDescent="0.3">
      <c r="K644" s="42"/>
      <c r="M644" s="46">
        <f>c_RDS</f>
        <v>30595.610148205637</v>
      </c>
      <c r="Q644" s="42"/>
      <c r="R644" s="42"/>
      <c r="T644" s="78"/>
      <c r="Z644" s="42"/>
      <c r="AA644" s="6"/>
      <c r="AB644" s="42">
        <f t="shared" si="130"/>
        <v>0</v>
      </c>
      <c r="AC644" s="42">
        <f>U644*(Q646-c_CSG)</f>
        <v>0</v>
      </c>
    </row>
    <row r="645" spans="11:29" x14ac:dyDescent="0.3">
      <c r="Q645" s="19" t="s">
        <v>367</v>
      </c>
      <c r="R645" s="19"/>
      <c r="T645" s="78"/>
      <c r="U645">
        <f>$K$648*$I$637*$G$602*$E$531*$C$600*$A$555*$M$643*$O$648*Q646</f>
        <v>7.2435254665845737E-4</v>
      </c>
      <c r="V645">
        <v>1.1647648121902823E-3</v>
      </c>
      <c r="W645" s="42">
        <f>$K$649+$I$638+$G$603+$E$532+$C$601+$A$556+$M$644+$O$649+Q647</f>
        <v>89258.222758713746</v>
      </c>
      <c r="X645">
        <f>u_ChronicResp</f>
        <v>0.53465956747782661</v>
      </c>
      <c r="Z645" s="42">
        <f>U645*W645</f>
        <v>64.654420965482174</v>
      </c>
      <c r="AA645" s="6">
        <f>U645*X645</f>
        <v>3.8728201929787306E-4</v>
      </c>
      <c r="AB645" s="42">
        <f t="shared" si="130"/>
        <v>7.9968521151093697</v>
      </c>
      <c r="AC645" s="42">
        <f>U645*(Q647-c_CSG)</f>
        <v>31.501737975084186</v>
      </c>
    </row>
    <row r="646" spans="11:29" x14ac:dyDescent="0.3">
      <c r="Q646" s="45">
        <f>RDS2CLD_2-(RDS2CLD_2*noHypo2CI_2)</f>
        <v>0.34905610687022898</v>
      </c>
      <c r="R646" s="45"/>
      <c r="T646" s="78"/>
      <c r="Z646" s="42"/>
      <c r="AA646" s="6"/>
      <c r="AB646" s="42">
        <f t="shared" si="130"/>
        <v>0</v>
      </c>
      <c r="AC646" s="42"/>
    </row>
    <row r="647" spans="11:29" x14ac:dyDescent="0.3">
      <c r="K647" s="19" t="s">
        <v>37</v>
      </c>
      <c r="M647" s="42"/>
      <c r="O647" s="19" t="s">
        <v>370</v>
      </c>
      <c r="Q647" s="46">
        <f>c_lung+c_hosp_fu+c_CSG</f>
        <v>54529.510902399998</v>
      </c>
      <c r="R647" s="46"/>
      <c r="T647" s="78"/>
      <c r="Z647" s="42"/>
      <c r="AA647" s="6"/>
      <c r="AB647" s="42">
        <f t="shared" si="130"/>
        <v>0</v>
      </c>
      <c r="AC647" s="42">
        <f>U647*(Q649-c_CSG)</f>
        <v>0</v>
      </c>
    </row>
    <row r="648" spans="11:29" x14ac:dyDescent="0.3">
      <c r="K648" s="45">
        <f>AGA_prem_2s_2</f>
        <v>0.96809627499999995</v>
      </c>
      <c r="O648" s="45">
        <f>AGA_prem_2normoglycaemia_2</f>
        <v>0.85</v>
      </c>
      <c r="Q648" s="19" t="s">
        <v>226</v>
      </c>
      <c r="R648" s="19"/>
      <c r="T648" s="78"/>
      <c r="U648">
        <f>$K$648*$I$637*$G$602*$E$531*$C$600*$A$555*$M$643*$O$648*Q649</f>
        <v>4.3872695291917678E-5</v>
      </c>
      <c r="V648">
        <v>7.0547652421062041E-5</v>
      </c>
      <c r="W648" s="42">
        <f>$K$649+$I$638+$G$603+$E$532+$C$601+$A$556+$M$644+$O$649+Q650</f>
        <v>50494.711856313748</v>
      </c>
      <c r="X648">
        <f>u_CongnitiveImpairement</f>
        <v>17.270393127285455</v>
      </c>
      <c r="Z648" s="42">
        <f>U648*W648</f>
        <v>2.215339107125236</v>
      </c>
      <c r="AA648" s="6">
        <f>U648*X648</f>
        <v>7.57698695245024E-4</v>
      </c>
      <c r="AB648" s="42">
        <f t="shared" si="130"/>
        <v>0.48435455602277117</v>
      </c>
      <c r="AC648" s="42">
        <f>U648*(Q650-c_CSG)</f>
        <v>0.20734235794960296</v>
      </c>
    </row>
    <row r="649" spans="11:29" x14ac:dyDescent="0.3">
      <c r="K649" s="46"/>
      <c r="O649" s="46"/>
      <c r="Q649" s="45">
        <f>noHypo2CI_2-(RDS2CLD_2*noHypo2CI_2)</f>
        <v>2.1141683406990762E-2</v>
      </c>
      <c r="R649" s="45"/>
      <c r="T649" s="78"/>
      <c r="Z649" s="42"/>
      <c r="AA649" s="6"/>
      <c r="AB649" s="42">
        <f t="shared" si="130"/>
        <v>0</v>
      </c>
      <c r="AC649" s="42"/>
    </row>
    <row r="650" spans="11:29" x14ac:dyDescent="0.3">
      <c r="Q650" s="46">
        <f>c_cog+c_hosp_fu+c_CSG</f>
        <v>15766</v>
      </c>
      <c r="R650" s="46"/>
      <c r="T650" s="78"/>
      <c r="Z650" s="42"/>
      <c r="AA650" s="6"/>
      <c r="AB650" s="42">
        <f t="shared" si="130"/>
        <v>0</v>
      </c>
      <c r="AC650" s="42">
        <f>U650*(Q652-c_CSG)</f>
        <v>0</v>
      </c>
    </row>
    <row r="651" spans="11:29" x14ac:dyDescent="0.3">
      <c r="Q651" s="19" t="s">
        <v>368</v>
      </c>
      <c r="R651" s="19"/>
      <c r="T651" s="78"/>
      <c r="U651">
        <f>$K$648*$I$637*$G$602*$E$531*$C$600*$A$555*$M$643*$O$648*Q652</f>
        <v>2.4785669797155369E-5</v>
      </c>
      <c r="V651">
        <v>3.9855559505482618E-5</v>
      </c>
      <c r="W651" s="42">
        <f>$K$649+$I$638+$G$603+$E$532+$C$601+$A$556+$M$644+$O$649+Q653</f>
        <v>93077.222758713746</v>
      </c>
      <c r="X651">
        <f>u_ChronicResp+u_CongnitiveImpairement</f>
        <v>17.805052694763283</v>
      </c>
      <c r="Z651" s="42">
        <f>U651*W651</f>
        <v>2.3069813089337536</v>
      </c>
      <c r="AA651" s="6">
        <f>U651*X651</f>
        <v>4.4131015681335412E-4</v>
      </c>
      <c r="AB651" s="42">
        <f t="shared" si="130"/>
        <v>0.27363379456059528</v>
      </c>
      <c r="AC651" s="42">
        <f>U651*(Q653-c_CSG)</f>
        <v>1.172573129822011</v>
      </c>
    </row>
    <row r="652" spans="11:29" x14ac:dyDescent="0.3">
      <c r="Q652" s="45">
        <f>RDS2CLD_2*noHypo2CI_2</f>
        <v>1.1943893129770991E-2</v>
      </c>
      <c r="R652" s="45"/>
      <c r="T652" s="78"/>
      <c r="Z652" s="42"/>
      <c r="AA652" s="6"/>
      <c r="AB652" s="42">
        <f t="shared" si="130"/>
        <v>0</v>
      </c>
      <c r="AC652" s="42"/>
    </row>
    <row r="653" spans="11:29" x14ac:dyDescent="0.3">
      <c r="Q653" s="46">
        <f>c_cog+c_lung+c_hosp_fu+c_CSG</f>
        <v>58348.510902399998</v>
      </c>
      <c r="R653" s="46"/>
      <c r="T653" s="78"/>
      <c r="Z653" s="42"/>
      <c r="AA653" s="6"/>
      <c r="AB653" s="42">
        <f t="shared" si="130"/>
        <v>0</v>
      </c>
      <c r="AC653" s="42">
        <f>U653*(Q655-c_CSG)</f>
        <v>0</v>
      </c>
    </row>
    <row r="654" spans="11:29" x14ac:dyDescent="0.3">
      <c r="Q654" s="19" t="s">
        <v>369</v>
      </c>
      <c r="R654" s="19"/>
      <c r="T654" s="78"/>
      <c r="U654">
        <f>$K$648*$I$637*$G$602*$E$531*$C$600*$A$555*$M$643*$O$648*Q655</f>
        <v>1.2821642030879624E-3</v>
      </c>
      <c r="V654">
        <v>2.0617305124365388E-3</v>
      </c>
      <c r="W654" s="42">
        <f>$K$649+$I$638+$G$603+$E$532+$C$601+$A$556+$M$644+$O$649+Q656</f>
        <v>49131.711856313748</v>
      </c>
      <c r="X654">
        <f>u_Healthy</f>
        <v>0</v>
      </c>
      <c r="Z654" s="42">
        <f>U654*W654</f>
        <v>62.994922178597911</v>
      </c>
      <c r="AA654" s="6">
        <f>U654*X654</f>
        <v>0</v>
      </c>
      <c r="AB654" s="42">
        <f t="shared" si="130"/>
        <v>14.155092802091104</v>
      </c>
      <c r="AC654" s="42">
        <f>U654*(Q656-c_CSG)</f>
        <v>4.3119182149848179</v>
      </c>
    </row>
    <row r="655" spans="11:29" x14ac:dyDescent="0.3">
      <c r="Q655" s="45">
        <f>1-Q652-Q649-Q646</f>
        <v>0.61785831659300938</v>
      </c>
      <c r="R655" s="45"/>
      <c r="T655" s="78"/>
      <c r="Z655" s="42"/>
      <c r="AA655" s="6"/>
      <c r="AB655" s="42">
        <f t="shared" si="130"/>
        <v>0</v>
      </c>
      <c r="AC655" s="42">
        <f>U655*(Q657-c_CSG)</f>
        <v>0</v>
      </c>
    </row>
    <row r="656" spans="11:29" x14ac:dyDescent="0.3">
      <c r="Q656" s="46">
        <f>c_clinic_fu+c_CSG</f>
        <v>14403</v>
      </c>
      <c r="R656" s="46"/>
      <c r="T656" s="78"/>
      <c r="Z656" s="42"/>
      <c r="AA656" s="6"/>
      <c r="AB656" s="42">
        <f t="shared" si="130"/>
        <v>0</v>
      </c>
      <c r="AC656" s="42"/>
    </row>
    <row r="657" spans="13:29" x14ac:dyDescent="0.3">
      <c r="Q657" s="42"/>
      <c r="R657" s="42"/>
      <c r="T657" s="78"/>
      <c r="Z657" s="42"/>
      <c r="AA657" s="6"/>
      <c r="AB657" s="42">
        <f t="shared" si="130"/>
        <v>0</v>
      </c>
      <c r="AC657" s="42">
        <f>U657*(Q659-c_CSG)</f>
        <v>0</v>
      </c>
    </row>
    <row r="658" spans="13:29" x14ac:dyDescent="0.3">
      <c r="Q658" s="19" t="s">
        <v>367</v>
      </c>
      <c r="R658" s="19"/>
      <c r="T658" s="78"/>
      <c r="U658">
        <f>$K$648*$I$637*$G$602*$E$531*$C$600*$A$555*$M$663*$O$661*Q659</f>
        <v>1.5328445100888506E-4</v>
      </c>
      <c r="V658">
        <v>2.4648264938763152E-4</v>
      </c>
      <c r="W658" s="42">
        <f>$K$649+$I$638+$G$603+$E$532+$C$601+$A$556+$M$664+$O$662+Q660</f>
        <v>61598.873010508105</v>
      </c>
      <c r="X658">
        <f>u_ChronicResp</f>
        <v>0.53465956747782661</v>
      </c>
      <c r="Z658" s="42">
        <f>U658*W658</f>
        <v>9.4421494321817612</v>
      </c>
      <c r="AA658" s="6">
        <f>U658*X658</f>
        <v>8.1954998277486589E-5</v>
      </c>
      <c r="AB658" s="42">
        <f t="shared" si="130"/>
        <v>1.692260339138091</v>
      </c>
      <c r="AC658" s="42">
        <f>U658*(Q660-c_CSG)</f>
        <v>6.6662658033193045</v>
      </c>
    </row>
    <row r="659" spans="13:29" x14ac:dyDescent="0.3">
      <c r="Q659" s="45">
        <f>RDS2CLD_2-(Hypo2CI_2*RDS2CLD_2)</f>
        <v>0.34246866666666664</v>
      </c>
      <c r="R659" s="45"/>
      <c r="T659" s="78"/>
      <c r="Z659" s="42"/>
      <c r="AA659" s="6"/>
      <c r="AB659" s="42">
        <f t="shared" si="130"/>
        <v>0</v>
      </c>
      <c r="AC659" s="42"/>
    </row>
    <row r="660" spans="13:29" x14ac:dyDescent="0.3">
      <c r="O660" s="19" t="s">
        <v>161</v>
      </c>
      <c r="Q660" s="46">
        <f>c_lung+c_hosp_fu+c_CSG</f>
        <v>54529.510902399998</v>
      </c>
      <c r="R660" s="46"/>
      <c r="T660" s="78"/>
      <c r="Z660" s="42"/>
      <c r="AA660" s="6"/>
      <c r="AB660" s="42">
        <f t="shared" si="130"/>
        <v>0</v>
      </c>
      <c r="AC660" s="42">
        <f>U660*(Q662-c_CSG)</f>
        <v>0</v>
      </c>
    </row>
    <row r="661" spans="13:29" x14ac:dyDescent="0.3">
      <c r="O661" s="45">
        <f>AGA_prem_2hypoglycaemia_2</f>
        <v>0.15</v>
      </c>
      <c r="Q661" s="19" t="s">
        <v>226</v>
      </c>
      <c r="R661" s="19"/>
      <c r="T661" s="78"/>
      <c r="U661">
        <f>$K$648*$I$637*$G$602*$E$531*$C$600*$A$555*$M$663*$O$661*Q662</f>
        <v>1.4681741868336708E-5</v>
      </c>
      <c r="V661">
        <v>2.3608360857965852E-5</v>
      </c>
      <c r="W661" s="42">
        <f>$K$649+$I$638+$G$603+$E$532+$C$601+$A$556+$M$664+$O$662+Q663</f>
        <v>22835.362108108107</v>
      </c>
      <c r="X661">
        <f>u_CongnitiveImpairement</f>
        <v>17.270393127285455</v>
      </c>
      <c r="Z661" s="42">
        <f>U661*W661</f>
        <v>0.33526289194124037</v>
      </c>
      <c r="AA661" s="6">
        <f>U661*X661</f>
        <v>2.535594538595014E-4</v>
      </c>
      <c r="AB661" s="42">
        <f t="shared" ref="AB661:AB683" si="131">U661*c_CSG</f>
        <v>0.16208643022643726</v>
      </c>
      <c r="AC661" s="42">
        <f>U661*(Q663-c_CSG)</f>
        <v>6.9385912069759276E-2</v>
      </c>
    </row>
    <row r="662" spans="13:29" x14ac:dyDescent="0.3">
      <c r="M662" s="19" t="s">
        <v>203</v>
      </c>
      <c r="O662" s="46">
        <f>c_hypo</f>
        <v>2936.2604000000001</v>
      </c>
      <c r="Q662" s="45">
        <f>Hypo2CI_2-(Hypo2CI_2*RDS2CLD_2)</f>
        <v>3.2801999999999998E-2</v>
      </c>
      <c r="R662" s="45"/>
      <c r="T662" s="78"/>
      <c r="Z662" s="42"/>
      <c r="AA662" s="6"/>
      <c r="AB662" s="42">
        <f t="shared" si="131"/>
        <v>0</v>
      </c>
      <c r="AC662" s="42"/>
    </row>
    <row r="663" spans="13:29" x14ac:dyDescent="0.3">
      <c r="M663" s="45">
        <f>S_prem_2noRDS_2</f>
        <v>0.55000000000000004</v>
      </c>
      <c r="Q663" s="46">
        <f>c_cog+c_hosp_fu+c_CSG</f>
        <v>15766</v>
      </c>
      <c r="R663" s="46"/>
      <c r="T663" s="78"/>
      <c r="Z663" s="42"/>
      <c r="AA663" s="6"/>
      <c r="AB663" s="42">
        <f t="shared" si="131"/>
        <v>0</v>
      </c>
      <c r="AC663" s="42">
        <f>U663*(Q665-c_CSG)</f>
        <v>0</v>
      </c>
    </row>
    <row r="664" spans="13:29" x14ac:dyDescent="0.3">
      <c r="M664" s="46"/>
      <c r="O664" s="42"/>
      <c r="Q664" s="19" t="s">
        <v>368</v>
      </c>
      <c r="R664" s="19"/>
      <c r="T664" s="78"/>
      <c r="U664">
        <f>$K$648*$I$637*$G$602*$E$531*$C$600*$A$555*$M$663*$O$661*Q665</f>
        <v>8.2943799913451512E-6</v>
      </c>
      <c r="V664">
        <v>1.3337430782043308E-5</v>
      </c>
      <c r="W664" s="42">
        <f>$K$649+$I$638+$G$603+$E$532+$C$601+$A$556+$M$664+$O$662+Q666</f>
        <v>65417.873010508105</v>
      </c>
      <c r="X664">
        <f>u_ChronicResp+u_CongnitiveImpairement</f>
        <v>17.805052694763283</v>
      </c>
      <c r="Z664" s="42">
        <f>U664*W664</f>
        <v>0.54260069697471647</v>
      </c>
      <c r="AA664" s="6">
        <f>U664*X664</f>
        <v>1.4768187281629063E-4</v>
      </c>
      <c r="AB664" s="42">
        <f t="shared" si="131"/>
        <v>9.1569955104450471E-2</v>
      </c>
      <c r="AC664" s="42">
        <f>U664*(Q666-c_CSG)</f>
        <v>0.3923947662492005</v>
      </c>
    </row>
    <row r="665" spans="13:29" x14ac:dyDescent="0.3">
      <c r="M665" s="42"/>
      <c r="Q665" s="45">
        <f>Hypo2CI_2*RDS2CLD_2</f>
        <v>1.8531333333333334E-2</v>
      </c>
      <c r="R665" s="45"/>
      <c r="T665" s="78"/>
      <c r="Z665" s="42"/>
      <c r="AA665" s="6"/>
      <c r="AB665" s="42">
        <f t="shared" si="131"/>
        <v>0</v>
      </c>
      <c r="AC665" s="42"/>
    </row>
    <row r="666" spans="13:29" x14ac:dyDescent="0.3">
      <c r="M666" s="42"/>
      <c r="Q666" s="46">
        <f>c_lung+c_cog+c_hosp_fu+c_CSG</f>
        <v>58348.510902399998</v>
      </c>
      <c r="R666" s="46"/>
      <c r="T666" s="78"/>
      <c r="Z666" s="42"/>
      <c r="AA666" s="6"/>
      <c r="AB666" s="42">
        <f t="shared" si="131"/>
        <v>0</v>
      </c>
      <c r="AC666" s="42">
        <f>U666*(Q668-c_CSG)</f>
        <v>0</v>
      </c>
    </row>
    <row r="667" spans="13:29" x14ac:dyDescent="0.3">
      <c r="M667" s="42"/>
      <c r="Q667" s="19" t="s">
        <v>369</v>
      </c>
      <c r="R667" s="19"/>
      <c r="T667" s="78"/>
      <c r="U667">
        <f>$K$648*$I$637*$G$602*$E$531*$C$600*$A$555*$M$663*$O$661*Q668</f>
        <v>2.7132621660575504E-4</v>
      </c>
      <c r="V667">
        <v>4.3629477273877156E-4</v>
      </c>
      <c r="W667" s="42">
        <f>$K$649+$I$638+$G$603+$E$532+$C$601+$A$556+$M$664+$O$662+Q669</f>
        <v>21472.362108108107</v>
      </c>
      <c r="X667">
        <f>u_Healthy</f>
        <v>0</v>
      </c>
      <c r="Z667" s="42">
        <f>U667*W667</f>
        <v>5.8260147723817477</v>
      </c>
      <c r="AA667" s="6">
        <f>U667*X667</f>
        <v>0</v>
      </c>
      <c r="AB667" s="42">
        <f t="shared" si="131"/>
        <v>2.9954414313275355</v>
      </c>
      <c r="AC667" s="42">
        <f>U667*(Q669-c_CSG)</f>
        <v>0.91247006644515416</v>
      </c>
    </row>
    <row r="668" spans="13:29" x14ac:dyDescent="0.3">
      <c r="M668" s="42"/>
      <c r="O668" s="42"/>
      <c r="Q668" s="45">
        <f>1-Q659-Q662-Q665</f>
        <v>0.60619800000000001</v>
      </c>
      <c r="R668" s="45"/>
      <c r="T668" s="78"/>
      <c r="Z668" s="42"/>
      <c r="AA668" s="6"/>
      <c r="AB668" s="42">
        <f t="shared" si="131"/>
        <v>0</v>
      </c>
      <c r="AC668" s="42">
        <f>U668*(Q670-c_CSG)</f>
        <v>0</v>
      </c>
    </row>
    <row r="669" spans="13:29" x14ac:dyDescent="0.3">
      <c r="M669" s="42"/>
      <c r="Q669" s="46">
        <f>c_clinic_fu+c_CSG</f>
        <v>14403</v>
      </c>
      <c r="R669" s="46"/>
      <c r="T669" s="78"/>
      <c r="Z669" s="42"/>
      <c r="AA669" s="6"/>
      <c r="AB669" s="42">
        <f t="shared" si="131"/>
        <v>0</v>
      </c>
      <c r="AC669" s="42"/>
    </row>
    <row r="670" spans="13:29" x14ac:dyDescent="0.3">
      <c r="M670" s="42"/>
      <c r="Q670" s="42"/>
      <c r="R670" s="42"/>
      <c r="S670" s="94"/>
      <c r="T670" s="78"/>
      <c r="Z670" s="42"/>
      <c r="AA670" s="6"/>
      <c r="AB670" s="42">
        <f t="shared" si="131"/>
        <v>0</v>
      </c>
      <c r="AC670" s="42">
        <f>U670*(Q672-c_CSG)</f>
        <v>0</v>
      </c>
    </row>
    <row r="671" spans="13:29" x14ac:dyDescent="0.3">
      <c r="M671" s="42"/>
      <c r="Q671" s="19" t="s">
        <v>367</v>
      </c>
      <c r="R671" s="19"/>
      <c r="T671" s="78"/>
      <c r="U671">
        <f>$K$648*$I$637*$G$602*$E$531*$C$600*$A$555*$M$663*$O$675*Q672</f>
        <v>8.8531977924922566E-4</v>
      </c>
      <c r="V671">
        <v>1.423601437121456E-3</v>
      </c>
      <c r="W671" s="42">
        <f>$K$649+$I$638+$G$603+$E$532+$C$601+$A$556+$M$664+$O$676+Q673</f>
        <v>58662.612610508106</v>
      </c>
      <c r="X671">
        <f>u_ChronicResp</f>
        <v>0.53465956747782661</v>
      </c>
      <c r="Z671" s="42">
        <f>U671*W671</f>
        <v>51.935171246517875</v>
      </c>
      <c r="AA671" s="6">
        <f>U671*X671</f>
        <v>4.7334469025295592E-4</v>
      </c>
      <c r="AB671" s="42">
        <f t="shared" si="131"/>
        <v>9.773930362911452</v>
      </c>
      <c r="AC671" s="42">
        <f>U671*(Q673-c_CSG)</f>
        <v>38.50212419176956</v>
      </c>
    </row>
    <row r="672" spans="13:29" x14ac:dyDescent="0.3">
      <c r="M672" s="42"/>
      <c r="Q672" s="45">
        <f>RDS2CLD_2-(RDS2CLD_2*noHypo2CI_2)</f>
        <v>0.34905610687022898</v>
      </c>
      <c r="R672" s="45"/>
      <c r="T672" s="78"/>
      <c r="Z672" s="42"/>
      <c r="AA672" s="6"/>
      <c r="AB672" s="42">
        <f t="shared" si="131"/>
        <v>0</v>
      </c>
      <c r="AC672" s="42"/>
    </row>
    <row r="673" spans="7:29" x14ac:dyDescent="0.3">
      <c r="M673" s="42"/>
      <c r="Q673" s="46">
        <f>c_lung+c_hosp_fu+c_CSG</f>
        <v>54529.510902399998</v>
      </c>
      <c r="R673" s="46"/>
      <c r="T673" s="78"/>
      <c r="Z673" s="42"/>
      <c r="AA673" s="6"/>
      <c r="AB673" s="42">
        <f t="shared" si="131"/>
        <v>0</v>
      </c>
      <c r="AC673" s="42">
        <f>U673*(Q675-c_CSG)</f>
        <v>0</v>
      </c>
    </row>
    <row r="674" spans="7:29" x14ac:dyDescent="0.3">
      <c r="M674" s="42"/>
      <c r="O674" s="19" t="s">
        <v>370</v>
      </c>
      <c r="Q674" s="19" t="s">
        <v>226</v>
      </c>
      <c r="R674" s="19"/>
      <c r="T674" s="78"/>
      <c r="U674">
        <f>$K$648*$I$637*$G$602*$E$531*$C$600*$A$555*$M$663*$O$675*Q675</f>
        <v>5.3622183134566054E-5</v>
      </c>
      <c r="V674">
        <v>8.6224908514631385E-5</v>
      </c>
      <c r="W674" s="42">
        <f>$K$649+$I$638+$G$603+$E$532+$C$601+$A$556+$M$664+$O$676+Q676</f>
        <v>19899.101708108108</v>
      </c>
      <c r="X674">
        <f>u_CongnitiveImpairement</f>
        <v>17.270393127285455</v>
      </c>
      <c r="Z674" s="42">
        <f>U674*W674</f>
        <v>1.0670332760055292</v>
      </c>
      <c r="AA674" s="6">
        <f>U674*X674</f>
        <v>9.2607618307725167E-4</v>
      </c>
      <c r="AB674" s="42">
        <f t="shared" si="131"/>
        <v>0.59198890180560926</v>
      </c>
      <c r="AC674" s="42">
        <f>U674*(Q676-c_CSG)</f>
        <v>0.25341843749395915</v>
      </c>
    </row>
    <row r="675" spans="7:29" x14ac:dyDescent="0.3">
      <c r="M675" s="42"/>
      <c r="O675" s="45">
        <f>AGA_prem_2normoglycaemia_2</f>
        <v>0.85</v>
      </c>
      <c r="Q675" s="45">
        <f>noHypo2CI_2-(RDS2CLD_2*noHypo2CI_2)</f>
        <v>2.1141683406990762E-2</v>
      </c>
      <c r="R675" s="45"/>
      <c r="T675" s="78"/>
      <c r="Z675" s="42"/>
      <c r="AA675" s="6"/>
      <c r="AB675" s="42">
        <f t="shared" si="131"/>
        <v>0</v>
      </c>
      <c r="AC675" s="42"/>
    </row>
    <row r="676" spans="7:29" x14ac:dyDescent="0.3">
      <c r="M676" s="42"/>
      <c r="O676" s="46"/>
      <c r="Q676" s="46">
        <f>c_cog+c_hosp_fu+c_CSG</f>
        <v>15766</v>
      </c>
      <c r="R676" s="46"/>
      <c r="T676" s="78"/>
      <c r="Z676" s="42"/>
      <c r="AA676" s="6"/>
      <c r="AB676" s="42">
        <f t="shared" si="131"/>
        <v>0</v>
      </c>
      <c r="AC676" s="42">
        <f>U676*(Q678-c_CSG)</f>
        <v>0</v>
      </c>
    </row>
    <row r="677" spans="7:29" x14ac:dyDescent="0.3">
      <c r="G677" s="42"/>
      <c r="M677" s="42"/>
      <c r="Q677" s="19" t="s">
        <v>368</v>
      </c>
      <c r="R677" s="19"/>
      <c r="T677" s="78"/>
      <c r="U677">
        <f>$K$648*$I$637*$G$602*$E$531*$C$600*$A$555*$M$663*$O$675*Q678</f>
        <v>3.0293596418745449E-5</v>
      </c>
      <c r="V677">
        <v>4.8712350506700979E-5</v>
      </c>
      <c r="W677" s="42">
        <f>$K$649+$I$638+$G$603+$E$532+$C$601+$A$556+$M$664+$O$676+Q679</f>
        <v>62481.612610508106</v>
      </c>
      <c r="X677">
        <f>u_ChronicResp+u_CongnitiveImpairement</f>
        <v>17.805052694763283</v>
      </c>
      <c r="Z677" s="42">
        <f>U677*W677</f>
        <v>1.8927927560151288</v>
      </c>
      <c r="AA677" s="6">
        <f>U677*X677</f>
        <v>5.3937908054965504E-4</v>
      </c>
      <c r="AB677" s="42">
        <f t="shared" si="131"/>
        <v>0.33444130446294973</v>
      </c>
      <c r="AC677" s="42">
        <f>U677*(Q679-c_CSG)</f>
        <v>1.4331449364491247</v>
      </c>
    </row>
    <row r="678" spans="7:29" x14ac:dyDescent="0.3">
      <c r="Q678" s="45">
        <f>RDS2CLD_2*noHypo2CI_2</f>
        <v>1.1943893129770991E-2</v>
      </c>
      <c r="R678" s="45"/>
      <c r="T678" s="78"/>
      <c r="Z678" s="42"/>
      <c r="AA678" s="6"/>
      <c r="AB678" s="42">
        <f t="shared" si="131"/>
        <v>0</v>
      </c>
      <c r="AC678" s="42"/>
    </row>
    <row r="679" spans="7:29" x14ac:dyDescent="0.3">
      <c r="Q679" s="46">
        <f>c_cog+c_lung+c_hosp_fu+c_CSG</f>
        <v>58348.510902399998</v>
      </c>
      <c r="R679" s="46"/>
      <c r="T679" s="78"/>
      <c r="Z679" s="42"/>
      <c r="AA679" s="6"/>
      <c r="AB679" s="42">
        <f t="shared" si="131"/>
        <v>0</v>
      </c>
      <c r="AC679" s="42">
        <f>U679*(Q681-c_CSG)</f>
        <v>0</v>
      </c>
    </row>
    <row r="680" spans="7:29" x14ac:dyDescent="0.3">
      <c r="M680" s="42"/>
      <c r="Q680" s="19" t="s">
        <v>369</v>
      </c>
      <c r="R680" s="19"/>
      <c r="T680" s="78"/>
      <c r="U680">
        <f>$K$648*$I$637*$G$602*$E$531*$C$600*$A$555*$M$663*$O$675*Q681</f>
        <v>1.567089581551954E-3</v>
      </c>
      <c r="V680">
        <v>2.5198928485335478E-3</v>
      </c>
      <c r="W680" s="42">
        <f>$K$649+$I$638+$G$603+$E$532+$C$601+$A$556+$M$664+$O$676+Q682</f>
        <v>18536.101708108108</v>
      </c>
      <c r="X680">
        <f>u_Healthy</f>
        <v>0</v>
      </c>
      <c r="Z680" s="42">
        <f>U680*W680</f>
        <v>29.047731869363595</v>
      </c>
      <c r="AA680" s="6">
        <f>U680*X680</f>
        <v>0</v>
      </c>
      <c r="AB680" s="42">
        <f t="shared" si="131"/>
        <v>17.300668980333572</v>
      </c>
      <c r="AC680" s="42">
        <f>U680*(Q682-c_CSG)</f>
        <v>5.2701222627592212</v>
      </c>
    </row>
    <row r="681" spans="7:29" x14ac:dyDescent="0.3">
      <c r="M681" s="42"/>
      <c r="Q681" s="45">
        <f>1-Q678-Q675-Q672</f>
        <v>0.61785831659300938</v>
      </c>
      <c r="R681" s="45"/>
      <c r="T681" s="78"/>
      <c r="Z681" s="42"/>
      <c r="AA681" s="6"/>
      <c r="AB681" s="42">
        <f t="shared" si="131"/>
        <v>0</v>
      </c>
      <c r="AC681" s="42">
        <f>U681*(Q683-c_CSG)</f>
        <v>0</v>
      </c>
    </row>
    <row r="682" spans="7:29" x14ac:dyDescent="0.3">
      <c r="M682" s="42"/>
      <c r="Q682" s="46">
        <f>c_clinic_fu+c_CSG</f>
        <v>14403</v>
      </c>
      <c r="R682" s="46"/>
      <c r="T682" s="78"/>
      <c r="Z682" s="42"/>
      <c r="AA682" s="6"/>
      <c r="AB682" s="42">
        <f t="shared" si="131"/>
        <v>0</v>
      </c>
      <c r="AC682" s="42">
        <f>U682*(Q684-c_CSG)</f>
        <v>0</v>
      </c>
    </row>
    <row r="683" spans="7:29" x14ac:dyDescent="0.3">
      <c r="M683" s="42"/>
      <c r="Q683" s="42"/>
      <c r="R683" s="42"/>
      <c r="T683" s="78"/>
      <c r="Z683" s="42"/>
      <c r="AA683" s="6"/>
      <c r="AB683" s="42">
        <f t="shared" si="131"/>
        <v>0</v>
      </c>
      <c r="AC683" s="42">
        <f>U683*(Q685-c_CSG)</f>
        <v>0</v>
      </c>
    </row>
    <row r="684" spans="7:29" x14ac:dyDescent="0.3">
      <c r="K684" s="19" t="s">
        <v>165</v>
      </c>
      <c r="L684" s="19"/>
      <c r="M684" s="19"/>
      <c r="N684" s="19"/>
      <c r="O684" s="19"/>
      <c r="P684" s="19"/>
      <c r="Q684" s="19"/>
      <c r="R684" s="19"/>
      <c r="T684" s="78"/>
      <c r="U684">
        <f>$K$685*$I$693*$G$717*$E$754*$C$600*$A$555</f>
        <v>1.9026339711462176E-4</v>
      </c>
      <c r="V684">
        <v>6.2091620433443457E-4</v>
      </c>
      <c r="W684" s="42">
        <f>$K$686+$I$694+$G$718+$E$755+$C$601+$A$556</f>
        <v>258793.55809999997</v>
      </c>
      <c r="X684">
        <f>u_Death</f>
        <v>19.181538114427529</v>
      </c>
      <c r="Z684" s="42">
        <f>U684*W684</f>
        <v>49.238941515486232</v>
      </c>
      <c r="AA684" s="6">
        <f>U684*X684</f>
        <v>3.649544603534578E-3</v>
      </c>
      <c r="AB684" s="42"/>
      <c r="AC684" s="42"/>
    </row>
    <row r="685" spans="7:29" x14ac:dyDescent="0.3">
      <c r="K685" s="45">
        <f>SGA_term_2d_2</f>
        <v>1.1972400000000001E-2</v>
      </c>
      <c r="T685" s="78"/>
      <c r="Z685" s="42"/>
      <c r="AA685" s="6"/>
      <c r="AB685" s="42">
        <f t="shared" ref="AB685:AB716" si="132">U685*c_CSG</f>
        <v>0</v>
      </c>
      <c r="AC685" s="42">
        <f>U685*(Q687-c_CSG)</f>
        <v>0</v>
      </c>
    </row>
    <row r="686" spans="7:29" x14ac:dyDescent="0.3">
      <c r="K686" s="46">
        <f>c_SB</f>
        <v>1792</v>
      </c>
      <c r="T686" s="78"/>
      <c r="Z686" s="42"/>
      <c r="AA686" s="6"/>
      <c r="AB686" s="42">
        <f t="shared" si="132"/>
        <v>0</v>
      </c>
      <c r="AC686" s="42"/>
    </row>
    <row r="687" spans="7:29" x14ac:dyDescent="0.3">
      <c r="T687" s="78"/>
      <c r="Z687" s="42"/>
      <c r="AA687" s="6"/>
      <c r="AB687" s="42">
        <f t="shared" si="132"/>
        <v>0</v>
      </c>
      <c r="AC687" s="42">
        <f>U687*(Q689-c_CSG)</f>
        <v>0</v>
      </c>
    </row>
    <row r="688" spans="7:29" x14ac:dyDescent="0.3">
      <c r="Q688" s="19" t="s">
        <v>367</v>
      </c>
      <c r="R688" s="19"/>
      <c r="T688" s="78"/>
      <c r="U688">
        <f>$K$704*$I$693*$G$717*$E$754*$C$600*$A$555*$M$699*$O$694*Q689</f>
        <v>0</v>
      </c>
      <c r="W688" s="42">
        <f>$K$705+$I$694+$G$718+$E$755+$C$601+$A$556+$M$700+$O$695+Q690</f>
        <v>345062.93955060566</v>
      </c>
      <c r="X688">
        <f>u_ChronicResp</f>
        <v>0.53465956747782661</v>
      </c>
      <c r="Z688" s="42">
        <f>U688*W688</f>
        <v>0</v>
      </c>
      <c r="AA688" s="6">
        <f>U688*X688</f>
        <v>0</v>
      </c>
      <c r="AB688" s="42">
        <f t="shared" si="132"/>
        <v>0</v>
      </c>
      <c r="AC688" s="42">
        <f>U688*(Q690-c_CSG)</f>
        <v>0</v>
      </c>
    </row>
    <row r="689" spans="9:29" x14ac:dyDescent="0.3">
      <c r="Q689" s="45">
        <f>RDS2CLD_2-(Hypo2CI_2*RDS2CLD_2)</f>
        <v>0.34246866666666664</v>
      </c>
      <c r="R689" s="45"/>
      <c r="T689" s="78"/>
      <c r="V689">
        <v>0</v>
      </c>
      <c r="Z689" s="42"/>
      <c r="AA689" s="6"/>
      <c r="AB689" s="42">
        <f t="shared" si="132"/>
        <v>0</v>
      </c>
      <c r="AC689" s="42"/>
    </row>
    <row r="690" spans="9:29" x14ac:dyDescent="0.3">
      <c r="Q690" s="46">
        <f>c_lung+c_hosp_fu+c_CSG</f>
        <v>54529.510902399998</v>
      </c>
      <c r="R690" s="46"/>
      <c r="T690" s="78"/>
      <c r="Z690" s="42"/>
      <c r="AA690" s="6"/>
      <c r="AB690" s="42">
        <f t="shared" si="132"/>
        <v>0</v>
      </c>
      <c r="AC690" s="42">
        <f>U690*(Q692-c_CSG)</f>
        <v>0</v>
      </c>
    </row>
    <row r="691" spans="9:29" x14ac:dyDescent="0.3">
      <c r="Q691" s="19" t="s">
        <v>226</v>
      </c>
      <c r="R691" s="19"/>
      <c r="T691" s="78"/>
      <c r="U691">
        <f>$K$704*$I$693*$G$717*$E$754*$C$600*$A$555*$M$699*$O$694*Q692</f>
        <v>0</v>
      </c>
      <c r="W691" s="42">
        <f>$K$705+$I$694+$G$718+$E$755+$C$601+$A$556+$M$700+$O$695+Q693</f>
        <v>306299.42864820565</v>
      </c>
      <c r="X691">
        <f>u_CongnitiveImpairement</f>
        <v>17.270393127285455</v>
      </c>
      <c r="Z691" s="42">
        <f>U691*W691</f>
        <v>0</v>
      </c>
      <c r="AA691" s="6">
        <f>U691*X691</f>
        <v>0</v>
      </c>
      <c r="AB691" s="42">
        <f t="shared" si="132"/>
        <v>0</v>
      </c>
      <c r="AC691" s="42">
        <f>U691*(Q693-c_CSG)</f>
        <v>0</v>
      </c>
    </row>
    <row r="692" spans="9:29" x14ac:dyDescent="0.3">
      <c r="I692" s="19" t="s">
        <v>164</v>
      </c>
      <c r="Q692" s="45">
        <f>Hypo2CI_2-(Hypo2CI_2*RDS2CLD_2)</f>
        <v>3.2801999999999998E-2</v>
      </c>
      <c r="R692" s="45"/>
      <c r="T692" s="78"/>
      <c r="V692">
        <v>0</v>
      </c>
      <c r="Z692" s="42"/>
      <c r="AA692" s="6"/>
      <c r="AB692" s="42">
        <f t="shared" si="132"/>
        <v>0</v>
      </c>
      <c r="AC692" s="42"/>
    </row>
    <row r="693" spans="9:29" x14ac:dyDescent="0.3">
      <c r="I693" s="45">
        <f>LBW_term_2SGA_2</f>
        <v>0.9</v>
      </c>
      <c r="O693" s="19" t="s">
        <v>161</v>
      </c>
      <c r="Q693" s="46">
        <f>c_cog+c_hosp_fu+c_CSG</f>
        <v>15766</v>
      </c>
      <c r="R693" s="46"/>
      <c r="T693" s="78"/>
      <c r="Z693" s="42"/>
      <c r="AA693" s="6"/>
      <c r="AB693" s="42">
        <f t="shared" si="132"/>
        <v>0</v>
      </c>
      <c r="AC693" s="42">
        <f>U693*(Q695-c_CSG)</f>
        <v>0</v>
      </c>
    </row>
    <row r="694" spans="9:29" x14ac:dyDescent="0.3">
      <c r="I694" s="46"/>
      <c r="O694" s="45">
        <f>SGA_term_2hypoglycaemia_2</f>
        <v>0.26</v>
      </c>
      <c r="Q694" s="19" t="s">
        <v>368</v>
      </c>
      <c r="R694" s="19"/>
      <c r="T694" s="78"/>
      <c r="U694">
        <f>$K$704*$I$693*$G$717*$E$754*$C$600*$A$555*$M$699*$O$694*Q695</f>
        <v>0</v>
      </c>
      <c r="W694" s="42">
        <f>$K$705+$I$694+$G$718+$E$755+$C$601+$A$556+$M$700+$O$695+Q696</f>
        <v>348881.93955060566</v>
      </c>
      <c r="X694">
        <f>u_ChronicResp+u_CongnitiveImpairement</f>
        <v>17.805052694763283</v>
      </c>
      <c r="Z694" s="42">
        <f>U694*W694</f>
        <v>0</v>
      </c>
      <c r="AA694" s="6">
        <f>U694*X694</f>
        <v>0</v>
      </c>
      <c r="AB694" s="42">
        <f t="shared" si="132"/>
        <v>0</v>
      </c>
      <c r="AC694" s="42">
        <f>U694*(Q696-c_CSG)</f>
        <v>0</v>
      </c>
    </row>
    <row r="695" spans="9:29" x14ac:dyDescent="0.3">
      <c r="O695" s="46">
        <f>c_hypo</f>
        <v>2936.2604000000001</v>
      </c>
      <c r="Q695" s="45">
        <f>Hypo2CI_2*RDS2CLD_2</f>
        <v>1.8531333333333334E-2</v>
      </c>
      <c r="R695" s="45"/>
      <c r="T695" s="78"/>
      <c r="V695">
        <v>0</v>
      </c>
      <c r="Z695" s="42"/>
      <c r="AA695" s="6"/>
      <c r="AB695" s="42">
        <f t="shared" si="132"/>
        <v>0</v>
      </c>
      <c r="AC695" s="42"/>
    </row>
    <row r="696" spans="9:29" x14ac:dyDescent="0.3">
      <c r="M696" s="42"/>
      <c r="Q696" s="46">
        <f>c_lung+c_cog+c_hosp_fu+c_CSG</f>
        <v>58348.510902399998</v>
      </c>
      <c r="R696" s="46"/>
      <c r="T696" s="78"/>
      <c r="Z696" s="42"/>
      <c r="AA696" s="6"/>
      <c r="AB696" s="42">
        <f t="shared" si="132"/>
        <v>0</v>
      </c>
      <c r="AC696" s="42">
        <f>U696*(Q698-c_CSG)</f>
        <v>0</v>
      </c>
    </row>
    <row r="697" spans="9:29" x14ac:dyDescent="0.3">
      <c r="Q697" s="19" t="s">
        <v>369</v>
      </c>
      <c r="R697" s="19"/>
      <c r="T697" s="78"/>
      <c r="U697">
        <f>$K$704*$I$693*$G$717*$E$754*$C$600*$A$555*$M$699*$O$694*Q698</f>
        <v>0</v>
      </c>
      <c r="W697" s="42">
        <f>$K$705+$I$694+$G$718+$E$755+$C$601+$A$556+$M$700+$O$695+Q699</f>
        <v>304936.42864820565</v>
      </c>
      <c r="X697">
        <f>u_Healthy</f>
        <v>0</v>
      </c>
      <c r="Z697" s="42">
        <f>U697*W697</f>
        <v>0</v>
      </c>
      <c r="AA697" s="6">
        <f>U697*X697</f>
        <v>0</v>
      </c>
      <c r="AB697" s="42">
        <f t="shared" si="132"/>
        <v>0</v>
      </c>
      <c r="AC697" s="42">
        <f>U697*(Q699-c_CSG)</f>
        <v>0</v>
      </c>
    </row>
    <row r="698" spans="9:29" x14ac:dyDescent="0.3">
      <c r="M698" s="19" t="s">
        <v>9</v>
      </c>
      <c r="Q698" s="45">
        <f>1-Q689-Q692-Q695</f>
        <v>0.60619800000000001</v>
      </c>
      <c r="R698" s="45"/>
      <c r="T698" s="78"/>
      <c r="V698">
        <v>0</v>
      </c>
      <c r="Z698" s="42"/>
      <c r="AA698" s="6"/>
      <c r="AB698" s="42">
        <f t="shared" si="132"/>
        <v>0</v>
      </c>
      <c r="AC698" s="42">
        <f>U698*(Q700-c_CSG)</f>
        <v>0</v>
      </c>
    </row>
    <row r="699" spans="9:29" x14ac:dyDescent="0.3">
      <c r="K699" s="42"/>
      <c r="M699" s="45">
        <f>S_term_2RDS_2</f>
        <v>0</v>
      </c>
      <c r="Q699" s="46">
        <f>c_clinic_fu+c_CSG</f>
        <v>14403</v>
      </c>
      <c r="R699" s="46"/>
      <c r="T699" s="78"/>
      <c r="Z699" s="42"/>
      <c r="AA699" s="6"/>
      <c r="AB699" s="42">
        <f t="shared" si="132"/>
        <v>0</v>
      </c>
      <c r="AC699" s="42"/>
    </row>
    <row r="700" spans="9:29" x14ac:dyDescent="0.3">
      <c r="K700" s="42"/>
      <c r="M700" s="46">
        <f>c_RDS</f>
        <v>30595.610148205637</v>
      </c>
      <c r="Q700" s="42"/>
      <c r="R700" s="42"/>
      <c r="T700" s="78"/>
      <c r="Z700" s="42"/>
      <c r="AA700" s="6"/>
      <c r="AB700" s="42">
        <f t="shared" si="132"/>
        <v>0</v>
      </c>
      <c r="AC700" s="42">
        <f>U700*(Q702-c_CSG)</f>
        <v>0</v>
      </c>
    </row>
    <row r="701" spans="9:29" x14ac:dyDescent="0.3">
      <c r="Q701" s="19" t="s">
        <v>367</v>
      </c>
      <c r="R701" s="19"/>
      <c r="T701" s="78"/>
      <c r="U701">
        <f>$K$704*$I$693*$G$717*$E$754*$C$600*$A$555*$M$699*$O$704*Q702</f>
        <v>0</v>
      </c>
      <c r="W701" s="42">
        <f>$K$705+$I$694+$G$718+$E$755+$C$601+$A$556+$M$700+$O$705+Q703</f>
        <v>342126.67915060563</v>
      </c>
      <c r="X701">
        <f>u_ChronicResp</f>
        <v>0.53465956747782661</v>
      </c>
      <c r="Z701" s="42">
        <f>U701*W701</f>
        <v>0</v>
      </c>
      <c r="AA701" s="6">
        <f>U701*X701</f>
        <v>0</v>
      </c>
      <c r="AB701" s="42">
        <f t="shared" si="132"/>
        <v>0</v>
      </c>
      <c r="AC701" s="42">
        <f>U701*(Q703-c_CSG)</f>
        <v>0</v>
      </c>
    </row>
    <row r="702" spans="9:29" x14ac:dyDescent="0.3">
      <c r="Q702" s="45">
        <f>RDS2CLD_2-(RDS2CLD_2*noHypo2CI_2)</f>
        <v>0.34905610687022898</v>
      </c>
      <c r="R702" s="45"/>
      <c r="T702" s="78"/>
      <c r="V702">
        <v>0</v>
      </c>
      <c r="Z702" s="42"/>
      <c r="AA702" s="6"/>
      <c r="AB702" s="42">
        <f t="shared" si="132"/>
        <v>0</v>
      </c>
      <c r="AC702" s="42"/>
    </row>
    <row r="703" spans="9:29" x14ac:dyDescent="0.3">
      <c r="K703" s="19" t="s">
        <v>37</v>
      </c>
      <c r="M703" s="42"/>
      <c r="O703" s="19" t="s">
        <v>370</v>
      </c>
      <c r="Q703" s="46">
        <f>c_lung+c_hosp_fu+c_CSG</f>
        <v>54529.510902399998</v>
      </c>
      <c r="R703" s="46"/>
      <c r="T703" s="78"/>
      <c r="Z703" s="42"/>
      <c r="AA703" s="6"/>
      <c r="AB703" s="42">
        <f t="shared" si="132"/>
        <v>0</v>
      </c>
      <c r="AC703" s="42">
        <f>U703*(Q705-c_CSG)</f>
        <v>0</v>
      </c>
    </row>
    <row r="704" spans="9:29" x14ac:dyDescent="0.3">
      <c r="K704" s="45">
        <f>SGA_term_2s_2</f>
        <v>0.98802760000000001</v>
      </c>
      <c r="O704" s="45">
        <f>SGA_term_2normoglycaemia_2</f>
        <v>0.74</v>
      </c>
      <c r="Q704" s="19" t="s">
        <v>226</v>
      </c>
      <c r="R704" s="19"/>
      <c r="T704" s="78"/>
      <c r="U704">
        <f>$K$704*$I$693*$G$717*$E$754*$C$600*$A$555*$M$699*$O$704*Q705</f>
        <v>0</v>
      </c>
      <c r="W704" s="42">
        <f>$K$705+$I$694+$G$718+$E$755+$C$601+$A$556+$M$700+$O$705+Q706</f>
        <v>303363.16824820562</v>
      </c>
      <c r="X704">
        <f>u_CongnitiveImpairement</f>
        <v>17.270393127285455</v>
      </c>
      <c r="Z704" s="42">
        <f>U704*W704</f>
        <v>0</v>
      </c>
      <c r="AA704" s="6">
        <f>U704*X704</f>
        <v>0</v>
      </c>
      <c r="AB704" s="42">
        <f t="shared" si="132"/>
        <v>0</v>
      </c>
      <c r="AC704" s="42">
        <f>U704*(Q706-c_CSG)</f>
        <v>0</v>
      </c>
    </row>
    <row r="705" spans="7:29" x14ac:dyDescent="0.3">
      <c r="K705" s="46"/>
      <c r="O705" s="46"/>
      <c r="Q705" s="45">
        <f>noHypo2CI_2-(RDS2CLD_2*noHypo2CI_2)</f>
        <v>2.1141683406990762E-2</v>
      </c>
      <c r="R705" s="45"/>
      <c r="T705" s="78"/>
      <c r="V705">
        <v>0</v>
      </c>
      <c r="Z705" s="42"/>
      <c r="AA705" s="6"/>
      <c r="AB705" s="42">
        <f t="shared" si="132"/>
        <v>0</v>
      </c>
      <c r="AC705" s="42"/>
    </row>
    <row r="706" spans="7:29" x14ac:dyDescent="0.3">
      <c r="Q706" s="46">
        <f>c_cog+c_hosp_fu+c_CSG</f>
        <v>15766</v>
      </c>
      <c r="R706" s="46"/>
      <c r="T706" s="78"/>
      <c r="Z706" s="42"/>
      <c r="AA706" s="6"/>
      <c r="AB706" s="42">
        <f t="shared" si="132"/>
        <v>0</v>
      </c>
      <c r="AC706" s="42">
        <f>U706*(Q708-c_CSG)</f>
        <v>0</v>
      </c>
    </row>
    <row r="707" spans="7:29" x14ac:dyDescent="0.3">
      <c r="Q707" s="19" t="s">
        <v>368</v>
      </c>
      <c r="R707" s="19"/>
      <c r="T707" s="78"/>
      <c r="U707">
        <f>$K$704*$I$693*$G$717*$E$754*$C$600*$A$555*$M$699*$O$704*Q708</f>
        <v>0</v>
      </c>
      <c r="W707" s="42">
        <f>$K$705+$I$694+$G$718+$E$755+$C$601+$A$556+$M$700+$O$705+Q709</f>
        <v>345945.67915060563</v>
      </c>
      <c r="X707">
        <f>u_ChronicResp+u_CongnitiveImpairement</f>
        <v>17.805052694763283</v>
      </c>
      <c r="Z707" s="42">
        <f>U707*W707</f>
        <v>0</v>
      </c>
      <c r="AA707" s="6">
        <f>U707*X707</f>
        <v>0</v>
      </c>
      <c r="AB707" s="42">
        <f t="shared" si="132"/>
        <v>0</v>
      </c>
      <c r="AC707" s="42">
        <f>U707*(Q709-c_CSG)</f>
        <v>0</v>
      </c>
    </row>
    <row r="708" spans="7:29" x14ac:dyDescent="0.3">
      <c r="G708" s="42"/>
      <c r="Q708" s="45">
        <f>RDS2CLD_2*noHypo2CI_2</f>
        <v>1.1943893129770991E-2</v>
      </c>
      <c r="R708" s="45"/>
      <c r="T708" s="78"/>
      <c r="V708">
        <v>0</v>
      </c>
      <c r="Z708" s="42"/>
      <c r="AA708" s="6"/>
      <c r="AB708" s="42">
        <f t="shared" si="132"/>
        <v>0</v>
      </c>
      <c r="AC708" s="42"/>
    </row>
    <row r="709" spans="7:29" x14ac:dyDescent="0.3">
      <c r="G709" s="42"/>
      <c r="Q709" s="46">
        <f>c_cog+c_lung+c_hosp_fu+c_CSG</f>
        <v>58348.510902399998</v>
      </c>
      <c r="R709" s="46"/>
      <c r="T709" s="78"/>
      <c r="Z709" s="42"/>
      <c r="AA709" s="6"/>
      <c r="AB709" s="42">
        <f t="shared" si="132"/>
        <v>0</v>
      </c>
      <c r="AC709" s="42">
        <f>U709*(Q711-c_CSG)</f>
        <v>0</v>
      </c>
    </row>
    <row r="710" spans="7:29" x14ac:dyDescent="0.3">
      <c r="Q710" s="19" t="s">
        <v>369</v>
      </c>
      <c r="R710" s="19"/>
      <c r="T710" s="78"/>
      <c r="U710">
        <f>$K$704*$I$693*$G$717*$E$754*$C$600*$A$555*$M$699*$O$704*Q711</f>
        <v>0</v>
      </c>
      <c r="W710" s="42">
        <f>$K$705+$I$694+$G$718+$E$755+$C$601+$A$556+$M$700+$O$705+Q712</f>
        <v>302000.16824820562</v>
      </c>
      <c r="X710">
        <f>u_Healthy</f>
        <v>0</v>
      </c>
      <c r="Z710" s="42">
        <f>U710*W710</f>
        <v>0</v>
      </c>
      <c r="AA710" s="6">
        <f>U710*X710</f>
        <v>0</v>
      </c>
      <c r="AB710" s="42">
        <f t="shared" si="132"/>
        <v>0</v>
      </c>
      <c r="AC710" s="42">
        <f>U710*(Q712-c_CSG)</f>
        <v>0</v>
      </c>
    </row>
    <row r="711" spans="7:29" x14ac:dyDescent="0.3">
      <c r="Q711" s="45">
        <f>1-Q708-Q705-Q702</f>
        <v>0.61785831659300938</v>
      </c>
      <c r="R711" s="45"/>
      <c r="T711" s="78"/>
      <c r="V711">
        <v>0</v>
      </c>
      <c r="Z711" s="42"/>
      <c r="AA711" s="6"/>
      <c r="AB711" s="42">
        <f t="shared" si="132"/>
        <v>0</v>
      </c>
      <c r="AC711" s="42">
        <f>U711*(Q713-c_CSG)</f>
        <v>0</v>
      </c>
    </row>
    <row r="712" spans="7:29" x14ac:dyDescent="0.3">
      <c r="Q712" s="46">
        <f>c_clinic_fu+c_CSG</f>
        <v>14403</v>
      </c>
      <c r="R712" s="46"/>
      <c r="T712" s="78"/>
      <c r="Z712" s="42"/>
      <c r="AA712" s="6"/>
      <c r="AB712" s="42">
        <f t="shared" si="132"/>
        <v>0</v>
      </c>
      <c r="AC712" s="42"/>
    </row>
    <row r="713" spans="7:29" x14ac:dyDescent="0.3">
      <c r="Q713" s="42"/>
      <c r="R713" s="42"/>
      <c r="T713" s="78"/>
      <c r="Z713" s="42"/>
      <c r="AA713" s="6"/>
      <c r="AB713" s="42">
        <f t="shared" si="132"/>
        <v>0</v>
      </c>
      <c r="AC713" s="42">
        <f>U713*(Q715-c_CSG)</f>
        <v>0</v>
      </c>
    </row>
    <row r="714" spans="7:29" x14ac:dyDescent="0.3">
      <c r="Q714" s="19" t="s">
        <v>367</v>
      </c>
      <c r="R714" s="19"/>
      <c r="T714" s="78"/>
      <c r="U714">
        <f>$K$704*$I$693*$G$717*$E$754*$C$600*$A$555*$M$719*$O$717*Q715</f>
        <v>1.3980969744885521E-3</v>
      </c>
      <c r="V714">
        <v>4.1331616824192988E-3</v>
      </c>
      <c r="W714" s="42">
        <f>$K$705+$I$694+$G$718+$E$755+$C$601+$A$556+$M$720+$O$718+Q716</f>
        <v>314467.32940239995</v>
      </c>
      <c r="X714">
        <f>u_ChronicResp</f>
        <v>0.53465956747782661</v>
      </c>
      <c r="Z714" s="42">
        <f>U714*W714</f>
        <v>439.65582181299027</v>
      </c>
      <c r="AA714" s="6">
        <f>U714*X714</f>
        <v>7.475059236721072E-4</v>
      </c>
      <c r="AB714" s="42">
        <f t="shared" si="132"/>
        <v>15.434990598353615</v>
      </c>
      <c r="AC714" s="42">
        <f>U714*(Q716-c_CSG)</f>
        <v>60.802553614632338</v>
      </c>
    </row>
    <row r="715" spans="7:29" x14ac:dyDescent="0.3">
      <c r="Q715" s="45">
        <f>RDS2CLD_2-(Hypo2CI_2*RDS2CLD_2)</f>
        <v>0.34246866666666664</v>
      </c>
      <c r="R715" s="45"/>
      <c r="T715" s="78"/>
      <c r="Z715" s="42"/>
      <c r="AA715" s="6"/>
      <c r="AB715" s="42">
        <f t="shared" si="132"/>
        <v>0</v>
      </c>
      <c r="AC715" s="42"/>
    </row>
    <row r="716" spans="7:29" x14ac:dyDescent="0.3">
      <c r="G716" s="19" t="s">
        <v>8</v>
      </c>
      <c r="O716" s="19" t="s">
        <v>161</v>
      </c>
      <c r="Q716" s="46">
        <f>c_lung+c_hosp_fu+c_CSG</f>
        <v>54529.510902399998</v>
      </c>
      <c r="R716" s="46"/>
      <c r="T716" s="78"/>
      <c r="Z716" s="42"/>
      <c r="AA716" s="6"/>
      <c r="AB716" s="42">
        <f t="shared" si="132"/>
        <v>0</v>
      </c>
      <c r="AC716" s="42">
        <f>U716*(Q718-c_CSG)</f>
        <v>0</v>
      </c>
    </row>
    <row r="717" spans="7:29" x14ac:dyDescent="0.3">
      <c r="G717" s="45">
        <f>Term2LBW_2</f>
        <v>0.24686153846153844</v>
      </c>
      <c r="O717" s="45">
        <f>SGA_term_2hypoglycaemia_2</f>
        <v>0.26</v>
      </c>
      <c r="Q717" s="19" t="s">
        <v>226</v>
      </c>
      <c r="R717" s="19"/>
      <c r="T717" s="78"/>
      <c r="U717">
        <f>$K$704*$I$693*$G$717*$E$754*$C$600*$A$555*$M$719*$O$717*Q718</f>
        <v>1.3391116157733209E-4</v>
      </c>
      <c r="V717">
        <v>3.958784633534878E-4</v>
      </c>
      <c r="W717" s="42">
        <f>$K$705+$I$694+$G$718+$E$755+$C$601+$A$556+$M$720+$O$718+Q719</f>
        <v>275703.81849999994</v>
      </c>
      <c r="X717">
        <f>u_CongnitiveImpairement</f>
        <v>17.270393127285455</v>
      </c>
      <c r="Z717" s="42">
        <f>U717*W717</f>
        <v>36.919818586640929</v>
      </c>
      <c r="AA717" s="6">
        <f>U717*X717</f>
        <v>2.3126984045719681E-3</v>
      </c>
      <c r="AB717" s="42">
        <f t="shared" ref="AB717:AB739" si="133">U717*c_CSG</f>
        <v>1.4783792238137463</v>
      </c>
      <c r="AC717" s="42">
        <f>U717*(Q719-c_CSG)</f>
        <v>0.63286414961447146</v>
      </c>
    </row>
    <row r="718" spans="7:29" x14ac:dyDescent="0.3">
      <c r="G718" s="46">
        <f>c_LBW</f>
        <v>254701.55809999997</v>
      </c>
      <c r="M718" s="19" t="s">
        <v>203</v>
      </c>
      <c r="O718" s="46">
        <f>c_hypo</f>
        <v>2936.2604000000001</v>
      </c>
      <c r="Q718" s="45">
        <f>Hypo2CI_2-(Hypo2CI_2*RDS2CLD_2)</f>
        <v>3.2801999999999998E-2</v>
      </c>
      <c r="R718" s="45"/>
      <c r="T718" s="78"/>
      <c r="Z718" s="42"/>
      <c r="AA718" s="6"/>
      <c r="AB718" s="42">
        <f t="shared" si="133"/>
        <v>0</v>
      </c>
      <c r="AC718" s="42"/>
    </row>
    <row r="719" spans="7:29" x14ac:dyDescent="0.3">
      <c r="M719" s="45">
        <f>S_term_2noRDS_2</f>
        <v>1</v>
      </c>
      <c r="Q719" s="46">
        <f>c_cog+c_hosp_fu+c_CSG</f>
        <v>15766</v>
      </c>
      <c r="R719" s="46"/>
      <c r="T719" s="78"/>
      <c r="Z719" s="42"/>
      <c r="AA719" s="6"/>
      <c r="AB719" s="42">
        <f t="shared" si="133"/>
        <v>0</v>
      </c>
      <c r="AC719" s="42">
        <f>U719*(Q721-c_CSG)</f>
        <v>0</v>
      </c>
    </row>
    <row r="720" spans="7:29" x14ac:dyDescent="0.3">
      <c r="M720" s="46"/>
      <c r="O720" s="42"/>
      <c r="Q720" s="19" t="s">
        <v>368</v>
      </c>
      <c r="R720" s="19"/>
      <c r="T720" s="78"/>
      <c r="U720">
        <f>$K$704*$I$693*$G$717*$E$754*$C$600*$A$555*$M$719*$O$717*Q721</f>
        <v>7.5652471564032682E-5</v>
      </c>
      <c r="V720">
        <v>2.2364964831081237E-4</v>
      </c>
      <c r="W720" s="42">
        <f>$K$705+$I$694+$G$718+$E$755+$C$601+$A$556+$M$720+$O$718+Q722</f>
        <v>318286.32940239995</v>
      </c>
      <c r="X720">
        <f>u_ChronicResp+u_CongnitiveImpairement</f>
        <v>17.805052694763283</v>
      </c>
      <c r="Z720" s="42">
        <f>U720*W720</f>
        <v>24.079147484335401</v>
      </c>
      <c r="AA720" s="6">
        <f>U720*X720</f>
        <v>1.3469962426866829E-3</v>
      </c>
      <c r="AB720" s="42">
        <f t="shared" si="133"/>
        <v>0.83520328606692085</v>
      </c>
      <c r="AC720" s="42">
        <f>U720*(Q722-c_CSG)</f>
        <v>3.579005775780546</v>
      </c>
    </row>
    <row r="721" spans="13:29" x14ac:dyDescent="0.3">
      <c r="M721" s="42"/>
      <c r="Q721" s="45">
        <f>Hypo2CI_2*RDS2CLD_2</f>
        <v>1.8531333333333334E-2</v>
      </c>
      <c r="R721" s="45"/>
      <c r="T721" s="78"/>
      <c r="Z721" s="42"/>
      <c r="AA721" s="6"/>
      <c r="AB721" s="42">
        <f t="shared" si="133"/>
        <v>0</v>
      </c>
      <c r="AC721" s="42"/>
    </row>
    <row r="722" spans="13:29" x14ac:dyDescent="0.3">
      <c r="M722" s="42"/>
      <c r="Q722" s="46">
        <f>c_lung+c_cog+c_hosp_fu+c_CSG</f>
        <v>58348.510902399998</v>
      </c>
      <c r="R722" s="46"/>
      <c r="T722" s="78"/>
      <c r="Z722" s="42"/>
      <c r="AA722" s="6"/>
      <c r="AB722" s="42">
        <f t="shared" si="133"/>
        <v>0</v>
      </c>
      <c r="AC722" s="42">
        <f>U722*(Q724-c_CSG)</f>
        <v>0</v>
      </c>
    </row>
    <row r="723" spans="13:29" x14ac:dyDescent="0.3">
      <c r="M723" s="42"/>
      <c r="Q723" s="19" t="s">
        <v>369</v>
      </c>
      <c r="R723" s="19"/>
      <c r="T723" s="78"/>
      <c r="U723">
        <f>$K$704*$I$693*$G$717*$E$754*$C$600*$A$555*$M$719*$O$717*Q724</f>
        <v>2.4747478301888775E-3</v>
      </c>
      <c r="V723">
        <v>7.3160396539222496E-3</v>
      </c>
      <c r="W723" s="42">
        <f>$K$705+$I$694+$G$718+$E$755+$C$601+$A$556+$M$720+$O$718+Q725</f>
        <v>274340.81849999994</v>
      </c>
      <c r="X723">
        <f>u_Healthy</f>
        <v>0</v>
      </c>
      <c r="Z723" s="42">
        <f>U723*W723</f>
        <v>678.92434531511549</v>
      </c>
      <c r="AA723" s="6">
        <f>U723*X723</f>
        <v>0</v>
      </c>
      <c r="AB723" s="42">
        <f t="shared" si="133"/>
        <v>27.321216045285208</v>
      </c>
      <c r="AC723" s="42">
        <f>U723*(Q725-c_CSG)</f>
        <v>8.3225769529251945</v>
      </c>
    </row>
    <row r="724" spans="13:29" x14ac:dyDescent="0.3">
      <c r="M724" s="42"/>
      <c r="O724" s="42"/>
      <c r="Q724" s="45">
        <f>1-Q715-Q718-Q721</f>
        <v>0.60619800000000001</v>
      </c>
      <c r="R724" s="45"/>
      <c r="T724" s="78"/>
      <c r="Z724" s="42"/>
      <c r="AA724" s="6"/>
      <c r="AB724" s="42">
        <f t="shared" si="133"/>
        <v>0</v>
      </c>
      <c r="AC724" s="42">
        <f>U724*(Q726-c_CSG)</f>
        <v>0</v>
      </c>
    </row>
    <row r="725" spans="13:29" x14ac:dyDescent="0.3">
      <c r="M725" s="42"/>
      <c r="Q725" s="46">
        <f>c_clinic_fu+c_CSG</f>
        <v>14403</v>
      </c>
      <c r="R725" s="46"/>
      <c r="T725" s="78"/>
      <c r="Z725" s="42"/>
      <c r="AA725" s="6"/>
      <c r="AB725" s="42">
        <f t="shared" si="133"/>
        <v>0</v>
      </c>
      <c r="AC725" s="42"/>
    </row>
    <row r="726" spans="13:29" x14ac:dyDescent="0.3">
      <c r="M726" s="42"/>
      <c r="Q726" s="42"/>
      <c r="R726" s="42"/>
      <c r="S726" s="94"/>
      <c r="T726" s="78"/>
      <c r="Z726" s="42"/>
      <c r="AA726" s="6"/>
      <c r="AB726" s="42">
        <f t="shared" si="133"/>
        <v>0</v>
      </c>
      <c r="AC726" s="42">
        <f>U726*(Q728-c_CSG)</f>
        <v>0</v>
      </c>
    </row>
    <row r="727" spans="13:29" x14ac:dyDescent="0.3">
      <c r="M727" s="42"/>
      <c r="Q727" s="19" t="s">
        <v>367</v>
      </c>
      <c r="R727" s="19"/>
      <c r="T727" s="78"/>
      <c r="U727">
        <f>$K$704*$I$693*$G$717*$E$754*$C$600*$A$555*$M$719*$O$731*Q728</f>
        <v>4.0557396192684968E-3</v>
      </c>
      <c r="V727">
        <v>1.1989889037820563E-2</v>
      </c>
      <c r="W727" s="42">
        <f>$K$705+$I$694+$G$718+$E$755+$C$601+$A$556+$M$720+$O$732+Q729</f>
        <v>311531.06900239998</v>
      </c>
      <c r="X727">
        <f>u_ChronicResp</f>
        <v>0.53465956747782661</v>
      </c>
      <c r="Z727" s="42">
        <f>U727*W727</f>
        <v>1263.4888991861014</v>
      </c>
      <c r="AA727" s="6">
        <f>U727*X727</f>
        <v>2.1684399906407798E-3</v>
      </c>
      <c r="AB727" s="42">
        <f t="shared" si="133"/>
        <v>44.775365396724204</v>
      </c>
      <c r="AC727" s="42">
        <f>U727*(Q729-c_CSG)</f>
        <v>176.3821323894729</v>
      </c>
    </row>
    <row r="728" spans="13:29" x14ac:dyDescent="0.3">
      <c r="M728" s="42"/>
      <c r="Q728" s="45">
        <f>RDS2CLD_2-(RDS2CLD_2*noHypo2CI_2)</f>
        <v>0.34905610687022898</v>
      </c>
      <c r="R728" s="45"/>
      <c r="T728" s="78"/>
      <c r="Z728" s="42"/>
      <c r="AA728" s="6"/>
      <c r="AB728" s="42">
        <f t="shared" si="133"/>
        <v>0</v>
      </c>
      <c r="AC728" s="42"/>
    </row>
    <row r="729" spans="13:29" x14ac:dyDescent="0.3">
      <c r="M729" s="42"/>
      <c r="Q729" s="46">
        <f>c_lung+c_hosp_fu+c_CSG</f>
        <v>54529.510902399998</v>
      </c>
      <c r="R729" s="46"/>
      <c r="T729" s="78"/>
      <c r="Z729" s="42"/>
      <c r="AA729" s="6"/>
      <c r="AB729" s="42">
        <f t="shared" si="133"/>
        <v>0</v>
      </c>
      <c r="AC729" s="42">
        <f>U729*(Q731-c_CSG)</f>
        <v>0</v>
      </c>
    </row>
    <row r="730" spans="13:29" x14ac:dyDescent="0.3">
      <c r="M730" s="42"/>
      <c r="O730" s="19" t="s">
        <v>370</v>
      </c>
      <c r="Q730" s="19" t="s">
        <v>226</v>
      </c>
      <c r="R730" s="19"/>
      <c r="T730" s="78"/>
      <c r="U730">
        <f>$K$704*$I$693*$G$717*$E$754*$C$600*$A$555*$M$719*$O$731*Q731</f>
        <v>2.4564865454034841E-4</v>
      </c>
      <c r="V730">
        <v>7.26205424094734E-4</v>
      </c>
      <c r="W730" s="42">
        <f>$K$705+$I$694+$G$718+$E$755+$C$601+$A$556+$M$720+$O$732+Q732</f>
        <v>272767.55809999997</v>
      </c>
      <c r="X730">
        <f>u_CongnitiveImpairement</f>
        <v>17.270393127285455</v>
      </c>
      <c r="Z730" s="42">
        <f>U730*W730</f>
        <v>67.004983649521307</v>
      </c>
      <c r="AA730" s="6">
        <f>U730*X730</f>
        <v>4.2424488351005523E-3</v>
      </c>
      <c r="AB730" s="42">
        <f t="shared" si="133"/>
        <v>2.7119611461254465</v>
      </c>
      <c r="AC730" s="42">
        <f>U730*(Q732-c_CSG)</f>
        <v>1.1609355413576865</v>
      </c>
    </row>
    <row r="731" spans="13:29" x14ac:dyDescent="0.3">
      <c r="M731" s="42"/>
      <c r="O731" s="45">
        <f>SGA_term_2normoglycaemia_2</f>
        <v>0.74</v>
      </c>
      <c r="Q731" s="45">
        <f>noHypo2CI_2-(RDS2CLD_2*noHypo2CI_2)</f>
        <v>2.1141683406990762E-2</v>
      </c>
      <c r="R731" s="45"/>
      <c r="T731" s="78"/>
      <c r="Z731" s="42"/>
      <c r="AA731" s="6"/>
      <c r="AB731" s="42">
        <f t="shared" si="133"/>
        <v>0</v>
      </c>
      <c r="AC731" s="42"/>
    </row>
    <row r="732" spans="13:29" x14ac:dyDescent="0.3">
      <c r="M732" s="42"/>
      <c r="O732" s="46"/>
      <c r="Q732" s="46">
        <f>c_cog+c_hosp_fu+c_CSG</f>
        <v>15766</v>
      </c>
      <c r="R732" s="46"/>
      <c r="T732" s="78"/>
      <c r="Z732" s="42"/>
      <c r="AA732" s="6"/>
      <c r="AB732" s="42">
        <f t="shared" si="133"/>
        <v>0</v>
      </c>
      <c r="AC732" s="42">
        <f>U732*(Q734-c_CSG)</f>
        <v>0</v>
      </c>
    </row>
    <row r="733" spans="13:29" x14ac:dyDescent="0.3">
      <c r="M733" s="42"/>
      <c r="Q733" s="19" t="s">
        <v>368</v>
      </c>
      <c r="R733" s="19"/>
      <c r="T733" s="78"/>
      <c r="U733">
        <f>$K$704*$I$693*$G$717*$E$754*$C$600*$A$555*$M$719*$O$731*Q734</f>
        <v>1.3877803488116707E-4</v>
      </c>
      <c r="V733">
        <v>4.1026628810359768E-4</v>
      </c>
      <c r="W733" s="42">
        <f>$K$705+$I$694+$G$718+$E$755+$C$601+$A$556+$M$720+$O$732+Q735</f>
        <v>315350.06900239998</v>
      </c>
      <c r="X733">
        <f>u_ChronicResp+u_CongnitiveImpairement</f>
        <v>17.805052694763283</v>
      </c>
      <c r="Z733" s="42">
        <f>U733*W733</f>
        <v>43.763662875793507</v>
      </c>
      <c r="AA733" s="6">
        <f>U733*X733</f>
        <v>2.4709502239348767E-3</v>
      </c>
      <c r="AB733" s="42">
        <f t="shared" si="133"/>
        <v>1.5321095050880844</v>
      </c>
      <c r="AC733" s="42">
        <f>U733*(Q735-c_CSG)</f>
        <v>6.5653821761893392</v>
      </c>
    </row>
    <row r="734" spans="13:29" x14ac:dyDescent="0.3">
      <c r="M734" s="42"/>
      <c r="Q734" s="45">
        <f>RDS2CLD_2*noHypo2CI_2</f>
        <v>1.1943893129770991E-2</v>
      </c>
      <c r="R734" s="45"/>
      <c r="T734" s="78"/>
      <c r="Z734" s="42"/>
      <c r="AA734" s="6"/>
      <c r="AB734" s="42">
        <f t="shared" si="133"/>
        <v>0</v>
      </c>
      <c r="AC734" s="42"/>
    </row>
    <row r="735" spans="13:29" x14ac:dyDescent="0.3">
      <c r="M735" s="42"/>
      <c r="Q735" s="46">
        <f>c_cog+c_lung+c_hosp_fu+c_CSG</f>
        <v>58348.510902399998</v>
      </c>
      <c r="R735" s="46"/>
      <c r="T735" s="78"/>
      <c r="Z735" s="42"/>
      <c r="AA735" s="6"/>
      <c r="AB735" s="42">
        <f t="shared" si="133"/>
        <v>0</v>
      </c>
      <c r="AC735" s="42">
        <f>U735*(Q737-c_CSG)</f>
        <v>0</v>
      </c>
    </row>
    <row r="736" spans="13:29" x14ac:dyDescent="0.3">
      <c r="M736" s="42"/>
      <c r="Q736" s="19" t="s">
        <v>369</v>
      </c>
      <c r="R736" s="19"/>
      <c r="T736" s="78"/>
      <c r="U736">
        <f>$K$704*$I$693*$G$717*$E$754*$C$600*$A$555*$M$719*$O$731*Q737</f>
        <v>7.1789961681788658E-3</v>
      </c>
      <c r="V736">
        <v>2.1223099986613134E-2</v>
      </c>
      <c r="W736" s="42">
        <f>$K$705+$I$694+$G$718+$E$755+$C$601+$A$556+$M$720+$O$732+Q738</f>
        <v>271404.55809999997</v>
      </c>
      <c r="X736">
        <f>u_Healthy</f>
        <v>0</v>
      </c>
      <c r="Z736" s="42">
        <f>U736*W736</f>
        <v>1948.412282626178</v>
      </c>
      <c r="AA736" s="6">
        <f>U736*X736</f>
        <v>0</v>
      </c>
      <c r="AB736" s="42">
        <f t="shared" si="133"/>
        <v>79.256117696694673</v>
      </c>
      <c r="AC736" s="42">
        <f>U736*(Q738-c_CSG)</f>
        <v>24.142964113585524</v>
      </c>
    </row>
    <row r="737" spans="3:29" x14ac:dyDescent="0.3">
      <c r="M737" s="42"/>
      <c r="Q737" s="45">
        <f>1-Q734-Q731-Q728</f>
        <v>0.61785831659300938</v>
      </c>
      <c r="R737" s="45"/>
      <c r="T737" s="78"/>
      <c r="Z737" s="42"/>
      <c r="AA737" s="6"/>
      <c r="AB737" s="42">
        <f t="shared" si="133"/>
        <v>0</v>
      </c>
      <c r="AC737" s="42">
        <f>U737*(Q739-c_CSG)</f>
        <v>0</v>
      </c>
    </row>
    <row r="738" spans="3:29" x14ac:dyDescent="0.3">
      <c r="C738" s="42"/>
      <c r="M738" s="42"/>
      <c r="Q738" s="46">
        <f>c_clinic_fu+c_CSG</f>
        <v>14403</v>
      </c>
      <c r="R738" s="46"/>
      <c r="T738" s="78"/>
      <c r="Z738" s="42"/>
      <c r="AA738" s="6"/>
      <c r="AB738" s="42">
        <f t="shared" si="133"/>
        <v>0</v>
      </c>
      <c r="AC738" s="42">
        <f>U738*(Q740-c_CSG)</f>
        <v>0</v>
      </c>
    </row>
    <row r="739" spans="3:29" x14ac:dyDescent="0.3">
      <c r="M739" s="42"/>
      <c r="Q739" s="42"/>
      <c r="R739" s="42"/>
      <c r="T739" s="78"/>
      <c r="Z739" s="42"/>
      <c r="AA739" s="6"/>
      <c r="AB739" s="42">
        <f t="shared" si="133"/>
        <v>0</v>
      </c>
      <c r="AC739" s="42">
        <f>U739*(Q741-c_CSG)</f>
        <v>0</v>
      </c>
    </row>
    <row r="740" spans="3:29" x14ac:dyDescent="0.3">
      <c r="K740" s="19" t="s">
        <v>165</v>
      </c>
      <c r="L740" s="19"/>
      <c r="M740" s="19"/>
      <c r="N740" s="19"/>
      <c r="O740" s="19"/>
      <c r="P740" s="19"/>
      <c r="Q740" s="19"/>
      <c r="R740" s="19"/>
      <c r="T740" s="78"/>
      <c r="U740">
        <f>$K$741*$I$749*$G$717*$E$754*$C$600*$A$555</f>
        <v>9.9829560214462038E-6</v>
      </c>
      <c r="V740">
        <v>0</v>
      </c>
      <c r="W740" s="42">
        <f>$K$742+$I$750+$G$718+$E$755+$C$601+$A$556</f>
        <v>258793.55809999997</v>
      </c>
      <c r="X740">
        <f>u_Death</f>
        <v>19.181538114427529</v>
      </c>
      <c r="Z740" s="42">
        <f>U740*W740</f>
        <v>2.5835247091458826</v>
      </c>
      <c r="AA740" s="6">
        <f>U740*X740</f>
        <v>1.9148845142002416E-4</v>
      </c>
      <c r="AB740" s="42"/>
      <c r="AC740" s="42"/>
    </row>
    <row r="741" spans="3:29" x14ac:dyDescent="0.3">
      <c r="K741" s="45">
        <f>AGA_term_2d_2</f>
        <v>5.6536333333333339E-3</v>
      </c>
      <c r="T741" s="78"/>
      <c r="Z741" s="42"/>
      <c r="AA741" s="6"/>
      <c r="AB741" s="42">
        <f t="shared" ref="AB741:AB772" si="134">U741*c_CSG</f>
        <v>0</v>
      </c>
      <c r="AC741" s="42">
        <f>U741*(Q743-c_CSG)</f>
        <v>0</v>
      </c>
    </row>
    <row r="742" spans="3:29" x14ac:dyDescent="0.3">
      <c r="K742" s="46">
        <f>c_SB</f>
        <v>1792</v>
      </c>
      <c r="T742" s="78"/>
      <c r="Z742" s="42"/>
      <c r="AA742" s="6"/>
      <c r="AB742" s="42">
        <f t="shared" si="134"/>
        <v>0</v>
      </c>
      <c r="AC742" s="42"/>
    </row>
    <row r="743" spans="3:29" x14ac:dyDescent="0.3">
      <c r="T743" s="78"/>
      <c r="Z743" s="42"/>
      <c r="AA743" s="6"/>
      <c r="AB743" s="42">
        <f t="shared" si="134"/>
        <v>0</v>
      </c>
      <c r="AC743" s="42">
        <f>U743*(Q745-c_CSG)</f>
        <v>0</v>
      </c>
    </row>
    <row r="744" spans="3:29" x14ac:dyDescent="0.3">
      <c r="Q744" s="19" t="s">
        <v>367</v>
      </c>
      <c r="R744" s="19"/>
      <c r="T744" s="78"/>
      <c r="U744">
        <f>$K$760*$I$749*$G$717*$E$754*$C$600*$A$555*$M$755*$O$750*Q745</f>
        <v>0</v>
      </c>
      <c r="V744">
        <v>0</v>
      </c>
      <c r="W744" s="42">
        <f>$K$761+$I$750+$G$718+$E$755+$C$601+$A$556+$M$756+$O$751+Q746</f>
        <v>345062.93955060566</v>
      </c>
      <c r="X744">
        <f>u_ChronicResp</f>
        <v>0.53465956747782661</v>
      </c>
      <c r="Z744" s="42">
        <f>U744*W744</f>
        <v>0</v>
      </c>
      <c r="AA744" s="6">
        <f t="shared" ref="AA744:AA775" si="135">U744*X744</f>
        <v>0</v>
      </c>
      <c r="AB744" s="42">
        <f t="shared" si="134"/>
        <v>0</v>
      </c>
      <c r="AC744" s="42">
        <f>U744*(Q746-c_CSG)</f>
        <v>0</v>
      </c>
    </row>
    <row r="745" spans="3:29" x14ac:dyDescent="0.3">
      <c r="Q745" s="45">
        <f>RDS2CLD_2-(Hypo2CI_2*RDS2CLD_2)</f>
        <v>0.34246866666666664</v>
      </c>
      <c r="R745" s="45"/>
      <c r="T745" s="78"/>
      <c r="Z745" s="42"/>
      <c r="AA745" s="6">
        <f t="shared" si="135"/>
        <v>0</v>
      </c>
      <c r="AB745" s="42">
        <f t="shared" si="134"/>
        <v>0</v>
      </c>
      <c r="AC745" s="42"/>
    </row>
    <row r="746" spans="3:29" x14ac:dyDescent="0.3">
      <c r="Q746" s="46">
        <f>c_lung+c_hosp_fu+c_CSG</f>
        <v>54529.510902399998</v>
      </c>
      <c r="R746" s="46"/>
      <c r="T746" s="78"/>
      <c r="Z746" s="42"/>
      <c r="AA746" s="6">
        <f t="shared" si="135"/>
        <v>0</v>
      </c>
      <c r="AB746" s="42">
        <f t="shared" si="134"/>
        <v>0</v>
      </c>
      <c r="AC746" s="42">
        <f>U746*(Q748-c_CSG)</f>
        <v>0</v>
      </c>
    </row>
    <row r="747" spans="3:29" x14ac:dyDescent="0.3">
      <c r="Q747" s="19" t="s">
        <v>226</v>
      </c>
      <c r="R747" s="19"/>
      <c r="T747" s="78"/>
      <c r="U747">
        <f>$K$760*$I$749*$G$717*$E$754*$C$600*$A$555*$M$755*$O$750*Q748</f>
        <v>0</v>
      </c>
      <c r="V747">
        <v>0</v>
      </c>
      <c r="W747" s="42">
        <f>$K$761+$I$750+$G$718+$E$755+$C$601+$A$556+$M$756+$O$751+Q749</f>
        <v>306299.42864820565</v>
      </c>
      <c r="X747">
        <f>u_CongnitiveImpairement</f>
        <v>17.270393127285455</v>
      </c>
      <c r="Z747" s="42">
        <f>U747*W747</f>
        <v>0</v>
      </c>
      <c r="AA747" s="6">
        <f t="shared" si="135"/>
        <v>0</v>
      </c>
      <c r="AB747" s="42">
        <f t="shared" si="134"/>
        <v>0</v>
      </c>
      <c r="AC747" s="42">
        <f>U747*(Q749-c_CSG)</f>
        <v>0</v>
      </c>
    </row>
    <row r="748" spans="3:29" x14ac:dyDescent="0.3">
      <c r="I748" s="19" t="s">
        <v>424</v>
      </c>
      <c r="Q748" s="45">
        <f>Hypo2CI_2-(Hypo2CI_2*RDS2CLD_2)</f>
        <v>3.2801999999999998E-2</v>
      </c>
      <c r="R748" s="45"/>
      <c r="T748" s="78"/>
      <c r="Z748" s="42"/>
      <c r="AA748" s="6">
        <f t="shared" si="135"/>
        <v>0</v>
      </c>
      <c r="AB748" s="42">
        <f t="shared" si="134"/>
        <v>0</v>
      </c>
      <c r="AC748" s="42"/>
    </row>
    <row r="749" spans="3:29" x14ac:dyDescent="0.3">
      <c r="I749" s="45">
        <f>LBW_term_2AGA_2</f>
        <v>9.9999999999999978E-2</v>
      </c>
      <c r="O749" s="19" t="s">
        <v>161</v>
      </c>
      <c r="Q749" s="46">
        <f>c_cog+c_hosp_fu+c_CSG</f>
        <v>15766</v>
      </c>
      <c r="R749" s="46"/>
      <c r="T749" s="78"/>
      <c r="Z749" s="42"/>
      <c r="AA749" s="6">
        <f t="shared" si="135"/>
        <v>0</v>
      </c>
      <c r="AB749" s="42">
        <f t="shared" si="134"/>
        <v>0</v>
      </c>
      <c r="AC749" s="42">
        <f>U749*(Q751-c_CSG)</f>
        <v>0</v>
      </c>
    </row>
    <row r="750" spans="3:29" x14ac:dyDescent="0.3">
      <c r="I750" s="46"/>
      <c r="O750" s="45">
        <f>AGA_term_2hypoglycaemia_2</f>
        <v>0</v>
      </c>
      <c r="Q750" s="19" t="s">
        <v>368</v>
      </c>
      <c r="R750" s="19"/>
      <c r="T750" s="78"/>
      <c r="U750">
        <f>$K$760*$I$749*$G$717*$E$754*$C$600*$A$555*$M$755*$O$750*Q751</f>
        <v>0</v>
      </c>
      <c r="V750">
        <v>0</v>
      </c>
      <c r="W750" s="42">
        <f>$K$761+$I$750+$G$718+$E$755+$C$601+$A$556+$M$756+$O$751+Q752</f>
        <v>348881.93955060566</v>
      </c>
      <c r="X750">
        <f>u_ChronicResp+u_CongnitiveImpairement</f>
        <v>17.805052694763283</v>
      </c>
      <c r="Z750" s="42">
        <f>U750*W750</f>
        <v>0</v>
      </c>
      <c r="AA750" s="6">
        <f t="shared" si="135"/>
        <v>0</v>
      </c>
      <c r="AB750" s="42">
        <f t="shared" si="134"/>
        <v>0</v>
      </c>
      <c r="AC750" s="42">
        <f>U750*(Q752-c_CSG)</f>
        <v>0</v>
      </c>
    </row>
    <row r="751" spans="3:29" x14ac:dyDescent="0.3">
      <c r="O751" s="46">
        <f>c_hypo</f>
        <v>2936.2604000000001</v>
      </c>
      <c r="Q751" s="45">
        <f>Hypo2CI_2*RDS2CLD_2</f>
        <v>1.8531333333333334E-2</v>
      </c>
      <c r="R751" s="45"/>
      <c r="T751" s="78"/>
      <c r="Z751" s="42"/>
      <c r="AA751" s="6">
        <f t="shared" si="135"/>
        <v>0</v>
      </c>
      <c r="AB751" s="42">
        <f t="shared" si="134"/>
        <v>0</v>
      </c>
      <c r="AC751" s="42"/>
    </row>
    <row r="752" spans="3:29" x14ac:dyDescent="0.3">
      <c r="M752" s="42"/>
      <c r="Q752" s="46">
        <f>c_lung+c_cog+c_hosp_fu+c_CSG</f>
        <v>58348.510902399998</v>
      </c>
      <c r="R752" s="46"/>
      <c r="T752" s="78"/>
      <c r="Z752" s="42"/>
      <c r="AA752" s="6">
        <f t="shared" si="135"/>
        <v>0</v>
      </c>
      <c r="AB752" s="42">
        <f t="shared" si="134"/>
        <v>0</v>
      </c>
      <c r="AC752" s="42">
        <f>U752*(Q754-c_CSG)</f>
        <v>0</v>
      </c>
    </row>
    <row r="753" spans="5:29" x14ac:dyDescent="0.3">
      <c r="E753" s="19" t="s">
        <v>11</v>
      </c>
      <c r="Q753" s="19" t="s">
        <v>369</v>
      </c>
      <c r="R753" s="19"/>
      <c r="T753" s="78"/>
      <c r="U753">
        <f>$K$760*$I$749*$G$717*$E$754*$C$600*$A$555*$M$755*$O$750*Q754</f>
        <v>0</v>
      </c>
      <c r="V753">
        <v>0</v>
      </c>
      <c r="W753" s="42">
        <f>$K$761+$I$750+$G$718+$E$755+$C$601+$A$556+$M$756+$O$751+Q755</f>
        <v>304936.42864820565</v>
      </c>
      <c r="X753">
        <f>u_Healthy</f>
        <v>0</v>
      </c>
      <c r="Z753" s="42">
        <f>U753*W753</f>
        <v>0</v>
      </c>
      <c r="AA753" s="6">
        <f t="shared" si="135"/>
        <v>0</v>
      </c>
      <c r="AB753" s="42">
        <f t="shared" si="134"/>
        <v>0</v>
      </c>
      <c r="AC753" s="42">
        <f>U753*(Q755-c_CSG)</f>
        <v>0</v>
      </c>
    </row>
    <row r="754" spans="5:29" x14ac:dyDescent="0.3">
      <c r="E754" s="45">
        <f>LB2term_2</f>
        <v>0.86823117338003497</v>
      </c>
      <c r="M754" s="19" t="s">
        <v>9</v>
      </c>
      <c r="Q754" s="45">
        <f>1-Q745-Q748-Q751</f>
        <v>0.60619800000000001</v>
      </c>
      <c r="R754" s="45"/>
      <c r="T754" s="78"/>
      <c r="Z754" s="42"/>
      <c r="AA754" s="6">
        <f t="shared" si="135"/>
        <v>0</v>
      </c>
      <c r="AB754" s="42">
        <f t="shared" si="134"/>
        <v>0</v>
      </c>
      <c r="AC754" s="42">
        <f>U754*(Q756-c_CSG)</f>
        <v>0</v>
      </c>
    </row>
    <row r="755" spans="5:29" x14ac:dyDescent="0.3">
      <c r="E755" s="46"/>
      <c r="K755" s="42"/>
      <c r="M755" s="45">
        <f>S_term_2RDS_2</f>
        <v>0</v>
      </c>
      <c r="Q755" s="46">
        <f>c_clinic_fu+c_CSG</f>
        <v>14403</v>
      </c>
      <c r="R755" s="46"/>
      <c r="T755" s="78"/>
      <c r="Z755" s="42"/>
      <c r="AA755" s="6">
        <f t="shared" si="135"/>
        <v>0</v>
      </c>
      <c r="AB755" s="42">
        <f t="shared" si="134"/>
        <v>0</v>
      </c>
      <c r="AC755" s="42"/>
    </row>
    <row r="756" spans="5:29" x14ac:dyDescent="0.3">
      <c r="K756" s="42"/>
      <c r="M756" s="46">
        <f>c_RDS</f>
        <v>30595.610148205637</v>
      </c>
      <c r="Q756" s="42"/>
      <c r="R756" s="42"/>
      <c r="T756" s="78"/>
      <c r="Z756" s="42"/>
      <c r="AA756" s="6">
        <f t="shared" si="135"/>
        <v>0</v>
      </c>
      <c r="AB756" s="42">
        <f t="shared" si="134"/>
        <v>0</v>
      </c>
      <c r="AC756" s="42">
        <f>U756*(Q758-c_CSG)</f>
        <v>0</v>
      </c>
    </row>
    <row r="757" spans="5:29" x14ac:dyDescent="0.3">
      <c r="Q757" s="19" t="s">
        <v>367</v>
      </c>
      <c r="R757" s="19"/>
      <c r="T757" s="78"/>
      <c r="U757">
        <f>$K$760*$I$749*$G$717*$E$754*$C$600*$A$555*$M$755*$O$760*Q758</f>
        <v>0</v>
      </c>
      <c r="V757">
        <v>0</v>
      </c>
      <c r="W757" s="42">
        <f>$K$761+$I$750+$G$718+$E$755+$C$601+$A$556+$M$756+$O$761+Q759</f>
        <v>342126.67915060563</v>
      </c>
      <c r="X757">
        <f>u_ChronicResp</f>
        <v>0.53465956747782661</v>
      </c>
      <c r="Z757" s="42">
        <f>U757*W757</f>
        <v>0</v>
      </c>
      <c r="AA757" s="6">
        <f t="shared" si="135"/>
        <v>0</v>
      </c>
      <c r="AB757" s="42">
        <f t="shared" si="134"/>
        <v>0</v>
      </c>
      <c r="AC757" s="42">
        <f>U757*(Q759-c_CSG)</f>
        <v>0</v>
      </c>
    </row>
    <row r="758" spans="5:29" x14ac:dyDescent="0.3">
      <c r="Q758" s="45">
        <f>RDS2CLD_2-(RDS2CLD_2*noHypo2CI_2)</f>
        <v>0.34905610687022898</v>
      </c>
      <c r="R758" s="45"/>
      <c r="T758" s="78"/>
      <c r="Z758" s="42"/>
      <c r="AA758" s="6">
        <f t="shared" si="135"/>
        <v>0</v>
      </c>
      <c r="AB758" s="42">
        <f t="shared" si="134"/>
        <v>0</v>
      </c>
      <c r="AC758" s="42"/>
    </row>
    <row r="759" spans="5:29" x14ac:dyDescent="0.3">
      <c r="K759" s="19" t="s">
        <v>37</v>
      </c>
      <c r="M759" s="42"/>
      <c r="O759" s="19" t="s">
        <v>370</v>
      </c>
      <c r="Q759" s="46">
        <f>c_lung+c_hosp_fu+c_CSG</f>
        <v>54529.510902399998</v>
      </c>
      <c r="R759" s="46"/>
      <c r="T759" s="78"/>
      <c r="Z759" s="42"/>
      <c r="AA759" s="6">
        <f t="shared" si="135"/>
        <v>0</v>
      </c>
      <c r="AB759" s="42">
        <f t="shared" si="134"/>
        <v>0</v>
      </c>
      <c r="AC759" s="42">
        <f>U759*(Q761-c_CSG)</f>
        <v>0</v>
      </c>
    </row>
    <row r="760" spans="5:29" x14ac:dyDescent="0.3">
      <c r="K760" s="45">
        <f>AGA_term_2s_2</f>
        <v>0.99434636666666665</v>
      </c>
      <c r="O760" s="45">
        <f>AGA_term_2normoglycaemia_2</f>
        <v>1</v>
      </c>
      <c r="Q760" s="19" t="s">
        <v>226</v>
      </c>
      <c r="R760" s="19"/>
      <c r="T760" s="78"/>
      <c r="U760">
        <f>$K$760*$I$749*$G$717*$E$754*$C$600*$A$555*$M$755*$O$760*Q761</f>
        <v>0</v>
      </c>
      <c r="V760">
        <v>0</v>
      </c>
      <c r="W760" s="42">
        <f>$K$761+$I$750+$G$718+$E$755+$C$601+$A$556+$M$756+$O$761+Q762</f>
        <v>303363.16824820562</v>
      </c>
      <c r="X760">
        <f>u_CongnitiveImpairement</f>
        <v>17.270393127285455</v>
      </c>
      <c r="Z760" s="42">
        <f>U760*W760</f>
        <v>0</v>
      </c>
      <c r="AA760" s="6">
        <f t="shared" si="135"/>
        <v>0</v>
      </c>
      <c r="AB760" s="42">
        <f t="shared" si="134"/>
        <v>0</v>
      </c>
      <c r="AC760" s="42">
        <f>U760*(Q762-c_CSG)</f>
        <v>0</v>
      </c>
    </row>
    <row r="761" spans="5:29" x14ac:dyDescent="0.3">
      <c r="K761" s="46"/>
      <c r="O761" s="46"/>
      <c r="Q761" s="45">
        <f>noHypo2CI_2-(RDS2CLD_2*noHypo2CI_2)</f>
        <v>2.1141683406990762E-2</v>
      </c>
      <c r="R761" s="45"/>
      <c r="T761" s="78"/>
      <c r="Z761" s="42"/>
      <c r="AA761" s="6">
        <f t="shared" si="135"/>
        <v>0</v>
      </c>
      <c r="AB761" s="42">
        <f t="shared" si="134"/>
        <v>0</v>
      </c>
      <c r="AC761" s="42"/>
    </row>
    <row r="762" spans="5:29" x14ac:dyDescent="0.3">
      <c r="Q762" s="46">
        <f>c_cog+c_hosp_fu+c_CSG</f>
        <v>15766</v>
      </c>
      <c r="R762" s="46"/>
      <c r="T762" s="78"/>
      <c r="Z762" s="42"/>
      <c r="AA762" s="6">
        <f t="shared" si="135"/>
        <v>0</v>
      </c>
      <c r="AB762" s="42">
        <f t="shared" si="134"/>
        <v>0</v>
      </c>
      <c r="AC762" s="42">
        <f>U762*(Q764-c_CSG)</f>
        <v>0</v>
      </c>
    </row>
    <row r="763" spans="5:29" x14ac:dyDescent="0.3">
      <c r="Q763" s="19" t="s">
        <v>368</v>
      </c>
      <c r="R763" s="19"/>
      <c r="T763" s="78"/>
      <c r="U763">
        <f>$K$760*$I$749*$G$717*$E$754*$C$600*$A$555*$M$755*$O$760*Q764</f>
        <v>0</v>
      </c>
      <c r="V763">
        <v>0</v>
      </c>
      <c r="W763" s="42">
        <f>$K$761+$I$750+$G$718+$E$755+$C$601+$A$556+$M$756+$O$761+Q765</f>
        <v>345945.67915060563</v>
      </c>
      <c r="X763">
        <f>u_ChronicResp+u_CongnitiveImpairement</f>
        <v>17.805052694763283</v>
      </c>
      <c r="Z763" s="42">
        <f>U763*W763</f>
        <v>0</v>
      </c>
      <c r="AA763" s="6">
        <f t="shared" si="135"/>
        <v>0</v>
      </c>
      <c r="AB763" s="42">
        <f t="shared" si="134"/>
        <v>0</v>
      </c>
      <c r="AC763" s="42">
        <f>U763*(Q765-c_CSG)</f>
        <v>0</v>
      </c>
    </row>
    <row r="764" spans="5:29" x14ac:dyDescent="0.3">
      <c r="Q764" s="45">
        <f>RDS2CLD_2*noHypo2CI_2</f>
        <v>1.1943893129770991E-2</v>
      </c>
      <c r="R764" s="45"/>
      <c r="T764" s="78"/>
      <c r="Z764" s="42"/>
      <c r="AA764" s="6">
        <f t="shared" si="135"/>
        <v>0</v>
      </c>
      <c r="AB764" s="42">
        <f t="shared" si="134"/>
        <v>0</v>
      </c>
      <c r="AC764" s="42"/>
    </row>
    <row r="765" spans="5:29" x14ac:dyDescent="0.3">
      <c r="Q765" s="46">
        <f>c_cog+c_lung+c_hosp_fu+c_CSG</f>
        <v>58348.510902399998</v>
      </c>
      <c r="R765" s="46"/>
      <c r="T765" s="78"/>
      <c r="Z765" s="42"/>
      <c r="AA765" s="6">
        <f t="shared" si="135"/>
        <v>0</v>
      </c>
      <c r="AB765" s="42">
        <f t="shared" si="134"/>
        <v>0</v>
      </c>
      <c r="AC765" s="42">
        <f>U765*(Q767-c_CSG)</f>
        <v>0</v>
      </c>
    </row>
    <row r="766" spans="5:29" x14ac:dyDescent="0.3">
      <c r="Q766" s="19" t="s">
        <v>369</v>
      </c>
      <c r="R766" s="19"/>
      <c r="T766" s="78"/>
      <c r="U766">
        <f>$K$760*$I$749*$G$717*$E$754*$C$600*$A$555*$M$755*$O$760*Q767</f>
        <v>0</v>
      </c>
      <c r="V766">
        <v>0</v>
      </c>
      <c r="W766" s="42">
        <f>$K$761+$I$750+$G$718+$E$755+$C$601+$A$556+$M$756+$O$761+Q768</f>
        <v>302000.16824820562</v>
      </c>
      <c r="X766">
        <f>u_Healthy</f>
        <v>0</v>
      </c>
      <c r="Z766" s="42">
        <f>U766*W766</f>
        <v>0</v>
      </c>
      <c r="AA766" s="6">
        <f t="shared" si="135"/>
        <v>0</v>
      </c>
      <c r="AB766" s="42">
        <f t="shared" si="134"/>
        <v>0</v>
      </c>
      <c r="AC766" s="42">
        <f>U766*(Q768-c_CSG)</f>
        <v>0</v>
      </c>
    </row>
    <row r="767" spans="5:29" x14ac:dyDescent="0.3">
      <c r="Q767" s="45">
        <f>1-Q764-Q761-Q758</f>
        <v>0.61785831659300938</v>
      </c>
      <c r="R767" s="45"/>
      <c r="T767" s="78"/>
      <c r="Z767" s="42"/>
      <c r="AA767" s="6">
        <f t="shared" si="135"/>
        <v>0</v>
      </c>
      <c r="AB767" s="42">
        <f t="shared" si="134"/>
        <v>0</v>
      </c>
      <c r="AC767" s="42">
        <f>U767*(Q769-c_CSG)</f>
        <v>0</v>
      </c>
    </row>
    <row r="768" spans="5:29" x14ac:dyDescent="0.3">
      <c r="Q768" s="46">
        <f>c_clinic_fu+c_CSG</f>
        <v>14403</v>
      </c>
      <c r="R768" s="46"/>
      <c r="T768" s="78"/>
      <c r="Z768" s="42"/>
      <c r="AA768" s="6">
        <f t="shared" si="135"/>
        <v>0</v>
      </c>
      <c r="AB768" s="42">
        <f t="shared" si="134"/>
        <v>0</v>
      </c>
      <c r="AC768" s="42"/>
    </row>
    <row r="769" spans="13:29" x14ac:dyDescent="0.3">
      <c r="Q769" s="42"/>
      <c r="R769" s="42"/>
      <c r="T769" s="78"/>
      <c r="Z769" s="42"/>
      <c r="AA769" s="6">
        <f t="shared" si="135"/>
        <v>0</v>
      </c>
      <c r="AB769" s="42">
        <f t="shared" si="134"/>
        <v>0</v>
      </c>
      <c r="AC769" s="42">
        <f>U769*(Q771-c_CSG)</f>
        <v>0</v>
      </c>
    </row>
    <row r="770" spans="13:29" x14ac:dyDescent="0.3">
      <c r="Q770" s="19" t="s">
        <v>367</v>
      </c>
      <c r="R770" s="19"/>
      <c r="T770" s="78"/>
      <c r="U770">
        <f>$K$760*$I$749*$G$717*$E$754*$C$600*$A$555*$M$775*$O$773*Q771</f>
        <v>0</v>
      </c>
      <c r="V770">
        <v>0</v>
      </c>
      <c r="W770" s="42">
        <f>$K$761+$I$750+$G$718+$E$755+$C$601+$A$556+$M$776+$O$774+Q772</f>
        <v>314467.32940239995</v>
      </c>
      <c r="X770">
        <f>u_ChronicResp</f>
        <v>0.53465956747782661</v>
      </c>
      <c r="Z770" s="42">
        <f>U770*W770</f>
        <v>0</v>
      </c>
      <c r="AA770" s="6">
        <f t="shared" si="135"/>
        <v>0</v>
      </c>
      <c r="AB770" s="42">
        <f t="shared" si="134"/>
        <v>0</v>
      </c>
      <c r="AC770" s="42">
        <f>U770*(Q772-c_CSG)</f>
        <v>0</v>
      </c>
    </row>
    <row r="771" spans="13:29" x14ac:dyDescent="0.3">
      <c r="Q771" s="45">
        <f>RDS2CLD_2-(Hypo2CI_2*RDS2CLD_2)</f>
        <v>0.34246866666666664</v>
      </c>
      <c r="R771" s="45"/>
      <c r="T771" s="78"/>
      <c r="Z771" s="42"/>
      <c r="AA771" s="6">
        <f t="shared" si="135"/>
        <v>0</v>
      </c>
      <c r="AB771" s="42">
        <f t="shared" si="134"/>
        <v>0</v>
      </c>
      <c r="AC771" s="42"/>
    </row>
    <row r="772" spans="13:29" x14ac:dyDescent="0.3">
      <c r="O772" s="19" t="s">
        <v>161</v>
      </c>
      <c r="Q772" s="46">
        <f>c_lung+c_hosp_fu+c_CSG</f>
        <v>54529.510902399998</v>
      </c>
      <c r="R772" s="46"/>
      <c r="T772" s="78"/>
      <c r="Z772" s="42"/>
      <c r="AA772" s="6">
        <f t="shared" si="135"/>
        <v>0</v>
      </c>
      <c r="AB772" s="42">
        <f t="shared" si="134"/>
        <v>0</v>
      </c>
      <c r="AC772" s="42">
        <f>U772*(Q774-c_CSG)</f>
        <v>0</v>
      </c>
    </row>
    <row r="773" spans="13:29" x14ac:dyDescent="0.3">
      <c r="O773" s="45">
        <f>AGA_term_2hypoglycaemia_2</f>
        <v>0</v>
      </c>
      <c r="Q773" s="19" t="s">
        <v>226</v>
      </c>
      <c r="R773" s="19"/>
      <c r="T773" s="78"/>
      <c r="U773">
        <f>$K$760*$I$749*$G$717*$E$754*$C$600*$A$555*$M$775*$O$773*Q774</f>
        <v>0</v>
      </c>
      <c r="V773">
        <v>0</v>
      </c>
      <c r="W773" s="42">
        <f>$K$761+$I$750+$G$718+$E$755+$C$601+$A$556+$M$776+$O$774+Q775</f>
        <v>275703.81849999994</v>
      </c>
      <c r="X773">
        <f>u_CongnitiveImpairement</f>
        <v>17.270393127285455</v>
      </c>
      <c r="Z773" s="42">
        <f>U773*W773</f>
        <v>0</v>
      </c>
      <c r="AA773" s="6">
        <f t="shared" si="135"/>
        <v>0</v>
      </c>
      <c r="AB773" s="42">
        <f t="shared" ref="AB773:AB795" si="136">U773*c_CSG</f>
        <v>0</v>
      </c>
      <c r="AC773" s="42">
        <f>U773*(Q775-c_CSG)</f>
        <v>0</v>
      </c>
    </row>
    <row r="774" spans="13:29" x14ac:dyDescent="0.3">
      <c r="M774" s="19" t="s">
        <v>203</v>
      </c>
      <c r="O774" s="46">
        <f>c_hypo</f>
        <v>2936.2604000000001</v>
      </c>
      <c r="Q774" s="45">
        <f>Hypo2CI_2-(Hypo2CI_2*RDS2CLD_2)</f>
        <v>3.2801999999999998E-2</v>
      </c>
      <c r="R774" s="45"/>
      <c r="T774" s="78"/>
      <c r="Z774" s="42"/>
      <c r="AA774" s="6">
        <f t="shared" si="135"/>
        <v>0</v>
      </c>
      <c r="AB774" s="42">
        <f t="shared" si="136"/>
        <v>0</v>
      </c>
      <c r="AC774" s="42"/>
    </row>
    <row r="775" spans="13:29" x14ac:dyDescent="0.3">
      <c r="M775" s="45">
        <f>S_term_2noRDS_2</f>
        <v>1</v>
      </c>
      <c r="Q775" s="46">
        <f>c_cog+c_hosp_fu+c_CSG</f>
        <v>15766</v>
      </c>
      <c r="R775" s="46"/>
      <c r="T775" s="78"/>
      <c r="Z775" s="42"/>
      <c r="AA775" s="6">
        <f t="shared" si="135"/>
        <v>0</v>
      </c>
      <c r="AB775" s="42">
        <f t="shared" si="136"/>
        <v>0</v>
      </c>
      <c r="AC775" s="42">
        <f>U775*(Q777-c_CSG)</f>
        <v>0</v>
      </c>
    </row>
    <row r="776" spans="13:29" x14ac:dyDescent="0.3">
      <c r="M776" s="46"/>
      <c r="O776" s="42"/>
      <c r="Q776" s="19" t="s">
        <v>368</v>
      </c>
      <c r="R776" s="19"/>
      <c r="T776" s="78"/>
      <c r="U776">
        <f>$K$760*$I$749*$G$717*$E$754*$C$600*$A$555*$M$775*$O$773*Q777</f>
        <v>0</v>
      </c>
      <c r="V776">
        <v>0</v>
      </c>
      <c r="W776" s="42">
        <f>$K$761+$I$750+$G$718+$E$755+$C$601+$A$556+$M$776+$O$774+Q778</f>
        <v>318286.32940239995</v>
      </c>
      <c r="X776">
        <f>u_ChronicResp+u_CongnitiveImpairement</f>
        <v>17.805052694763283</v>
      </c>
      <c r="Z776" s="42">
        <f>U776*W776</f>
        <v>0</v>
      </c>
      <c r="AA776" s="6">
        <f t="shared" ref="AA776:AA807" si="137">U776*X776</f>
        <v>0</v>
      </c>
      <c r="AB776" s="42">
        <f t="shared" si="136"/>
        <v>0</v>
      </c>
      <c r="AC776" s="42">
        <f>U776*(Q778-c_CSG)</f>
        <v>0</v>
      </c>
    </row>
    <row r="777" spans="13:29" x14ac:dyDescent="0.3">
      <c r="M777" s="42"/>
      <c r="Q777" s="45">
        <f>Hypo2CI_2*RDS2CLD_2</f>
        <v>1.8531333333333334E-2</v>
      </c>
      <c r="R777" s="45"/>
      <c r="T777" s="78"/>
      <c r="Z777" s="42"/>
      <c r="AA777" s="6">
        <f t="shared" si="137"/>
        <v>0</v>
      </c>
      <c r="AB777" s="42">
        <f t="shared" si="136"/>
        <v>0</v>
      </c>
      <c r="AC777" s="42"/>
    </row>
    <row r="778" spans="13:29" x14ac:dyDescent="0.3">
      <c r="M778" s="42"/>
      <c r="Q778" s="46">
        <f>c_lung+c_cog+c_hosp_fu+c_CSG</f>
        <v>58348.510902399998</v>
      </c>
      <c r="R778" s="46"/>
      <c r="T778" s="78"/>
      <c r="Z778" s="42"/>
      <c r="AA778" s="6">
        <f t="shared" si="137"/>
        <v>0</v>
      </c>
      <c r="AB778" s="42">
        <f t="shared" si="136"/>
        <v>0</v>
      </c>
      <c r="AC778" s="42">
        <f>U778*(Q780-c_CSG)</f>
        <v>0</v>
      </c>
    </row>
    <row r="779" spans="13:29" x14ac:dyDescent="0.3">
      <c r="M779" s="42"/>
      <c r="Q779" s="19" t="s">
        <v>369</v>
      </c>
      <c r="R779" s="19"/>
      <c r="T779" s="78"/>
      <c r="U779">
        <f>$K$760*$I$749*$G$717*$E$754*$C$600*$A$555*$M$775*$O$773*Q780</f>
        <v>0</v>
      </c>
      <c r="V779">
        <v>0</v>
      </c>
      <c r="W779" s="42">
        <f>$K$761+$I$750+$G$718+$E$755+$C$601+$A$556+$M$776+$O$774+Q781</f>
        <v>274340.81849999994</v>
      </c>
      <c r="X779">
        <f>u_Healthy</f>
        <v>0</v>
      </c>
      <c r="Z779" s="42">
        <f>U779*W779</f>
        <v>0</v>
      </c>
      <c r="AA779" s="6">
        <f t="shared" si="137"/>
        <v>0</v>
      </c>
      <c r="AB779" s="42">
        <f t="shared" si="136"/>
        <v>0</v>
      </c>
      <c r="AC779" s="42">
        <f>U779*(Q781-c_CSG)</f>
        <v>0</v>
      </c>
    </row>
    <row r="780" spans="13:29" x14ac:dyDescent="0.3">
      <c r="M780" s="42"/>
      <c r="O780" s="42"/>
      <c r="Q780" s="45">
        <f>1-Q771-Q774-Q777</f>
        <v>0.60619800000000001</v>
      </c>
      <c r="R780" s="45"/>
      <c r="T780" s="78"/>
      <c r="Z780" s="42"/>
      <c r="AA780" s="6">
        <f t="shared" si="137"/>
        <v>0</v>
      </c>
      <c r="AB780" s="42">
        <f t="shared" si="136"/>
        <v>0</v>
      </c>
      <c r="AC780" s="42">
        <f>U780*(Q782-c_CSG)</f>
        <v>0</v>
      </c>
    </row>
    <row r="781" spans="13:29" x14ac:dyDescent="0.3">
      <c r="M781" s="42"/>
      <c r="Q781" s="46">
        <f>c_clinic_fu+c_CSG</f>
        <v>14403</v>
      </c>
      <c r="R781" s="46"/>
      <c r="T781" s="78"/>
      <c r="Z781" s="42"/>
      <c r="AA781" s="6">
        <f t="shared" si="137"/>
        <v>0</v>
      </c>
      <c r="AB781" s="42">
        <f t="shared" si="136"/>
        <v>0</v>
      </c>
      <c r="AC781" s="42"/>
    </row>
    <row r="782" spans="13:29" x14ac:dyDescent="0.3">
      <c r="M782" s="42"/>
      <c r="Q782" s="42"/>
      <c r="R782" s="42"/>
      <c r="S782" s="94"/>
      <c r="T782" s="78"/>
      <c r="Z782" s="42"/>
      <c r="AA782" s="6">
        <f t="shared" si="137"/>
        <v>0</v>
      </c>
      <c r="AB782" s="42">
        <f t="shared" si="136"/>
        <v>0</v>
      </c>
      <c r="AC782" s="42">
        <f>U782*(Q784-c_CSG)</f>
        <v>0</v>
      </c>
    </row>
    <row r="783" spans="13:29" x14ac:dyDescent="0.3">
      <c r="M783" s="42"/>
      <c r="Q783" s="19" t="s">
        <v>367</v>
      </c>
      <c r="R783" s="19"/>
      <c r="T783" s="78"/>
      <c r="U783">
        <f>$K$760*$I$749*$G$717*$E$754*$C$600*$A$555*$M$775*$O$787*Q784</f>
        <v>6.128644788921452E-4</v>
      </c>
      <c r="V783">
        <v>0</v>
      </c>
      <c r="W783" s="42">
        <f>$K$761+$I$750+$G$718+$E$755+$C$601+$A$556+$M$776+$O$788+Q785</f>
        <v>311531.06900239998</v>
      </c>
      <c r="X783">
        <f>u_ChronicResp</f>
        <v>0.53465956747782661</v>
      </c>
      <c r="Z783" s="42">
        <f>U783*W783</f>
        <v>190.9263262628688</v>
      </c>
      <c r="AA783" s="6">
        <f t="shared" si="137"/>
        <v>3.2767385720699793E-4</v>
      </c>
      <c r="AB783" s="42">
        <f t="shared" si="136"/>
        <v>6.7660238469692828</v>
      </c>
      <c r="AC783" s="42">
        <f>U783*(Q785-c_CSG)</f>
        <v>26.653176436473643</v>
      </c>
    </row>
    <row r="784" spans="13:29" x14ac:dyDescent="0.3">
      <c r="M784" s="42"/>
      <c r="Q784" s="45">
        <f>RDS2CLD_2-(RDS2CLD_2*noHypo2CI_2)</f>
        <v>0.34905610687022898</v>
      </c>
      <c r="R784" s="45"/>
      <c r="T784" s="78"/>
      <c r="Z784" s="42"/>
      <c r="AA784" s="6">
        <f t="shared" si="137"/>
        <v>0</v>
      </c>
      <c r="AB784" s="42">
        <f t="shared" si="136"/>
        <v>0</v>
      </c>
      <c r="AC784" s="42"/>
    </row>
    <row r="785" spans="11:29" x14ac:dyDescent="0.3">
      <c r="M785" s="42"/>
      <c r="Q785" s="46">
        <f>c_lung+c_hosp_fu+c_CSG</f>
        <v>54529.510902399998</v>
      </c>
      <c r="R785" s="46"/>
      <c r="T785" s="78"/>
      <c r="Z785" s="42"/>
      <c r="AA785" s="6">
        <f t="shared" si="137"/>
        <v>0</v>
      </c>
      <c r="AB785" s="42">
        <f t="shared" si="136"/>
        <v>0</v>
      </c>
      <c r="AC785" s="42">
        <f>U785*(Q787-c_CSG)</f>
        <v>0</v>
      </c>
    </row>
    <row r="786" spans="11:29" x14ac:dyDescent="0.3">
      <c r="M786" s="42"/>
      <c r="O786" s="19" t="s">
        <v>370</v>
      </c>
      <c r="Q786" s="19" t="s">
        <v>226</v>
      </c>
      <c r="R786" s="19"/>
      <c r="T786" s="78"/>
      <c r="U786">
        <f>$K$760*$I$749*$G$717*$E$754*$C$600*$A$555*$M$775*$O$787*Q787</f>
        <v>3.7120069035048325E-5</v>
      </c>
      <c r="V786">
        <v>0</v>
      </c>
      <c r="W786" s="42">
        <f>$K$761+$I$750+$G$718+$E$755+$C$601+$A$556+$M$776+$O$788+Q788</f>
        <v>272767.55809999997</v>
      </c>
      <c r="X786">
        <f>u_CongnitiveImpairement</f>
        <v>17.270393127285455</v>
      </c>
      <c r="Z786" s="42">
        <f>U786*W786</f>
        <v>10.125150587193554</v>
      </c>
      <c r="AA786" s="6">
        <f t="shared" si="137"/>
        <v>6.4107818514726027E-4</v>
      </c>
      <c r="AB786" s="42">
        <f t="shared" si="136"/>
        <v>0.40980556214693353</v>
      </c>
      <c r="AC786" s="42">
        <f>U786*(Q788-c_CSG)</f>
        <v>0.17542944625963838</v>
      </c>
    </row>
    <row r="787" spans="11:29" x14ac:dyDescent="0.3">
      <c r="M787" s="42"/>
      <c r="O787" s="45">
        <f>AGA_term_2normoglycaemia_2</f>
        <v>1</v>
      </c>
      <c r="Q787" s="45">
        <f>noHypo2CI_2-(RDS2CLD_2*noHypo2CI_2)</f>
        <v>2.1141683406990762E-2</v>
      </c>
      <c r="R787" s="45"/>
      <c r="T787" s="78"/>
      <c r="Z787" s="42"/>
      <c r="AA787" s="6">
        <f t="shared" si="137"/>
        <v>0</v>
      </c>
      <c r="AB787" s="42">
        <f t="shared" si="136"/>
        <v>0</v>
      </c>
      <c r="AC787" s="42"/>
    </row>
    <row r="788" spans="11:29" x14ac:dyDescent="0.3">
      <c r="M788" s="42"/>
      <c r="O788" s="46"/>
      <c r="Q788" s="46">
        <f>c_cog+c_hosp_fu+c_CSG</f>
        <v>15766</v>
      </c>
      <c r="R788" s="46"/>
      <c r="T788" s="78"/>
      <c r="Z788" s="42"/>
      <c r="AA788" s="6">
        <f t="shared" si="137"/>
        <v>0</v>
      </c>
      <c r="AB788" s="42">
        <f t="shared" si="136"/>
        <v>0</v>
      </c>
      <c r="AC788" s="42">
        <f>U788*(Q790-c_CSG)</f>
        <v>0</v>
      </c>
    </row>
    <row r="789" spans="11:29" x14ac:dyDescent="0.3">
      <c r="M789" s="42"/>
      <c r="Q789" s="19" t="s">
        <v>368</v>
      </c>
      <c r="R789" s="19"/>
      <c r="T789" s="78"/>
      <c r="U789">
        <f>$K$760*$I$749*$G$717*$E$754*$C$600*$A$555*$M$775*$O$787*Q790</f>
        <v>2.0970805824182227E-5</v>
      </c>
      <c r="V789">
        <v>0</v>
      </c>
      <c r="W789" s="42">
        <f>$K$761+$I$750+$G$718+$E$755+$C$601+$A$556+$M$776+$O$788+Q791</f>
        <v>315350.06900239998</v>
      </c>
      <c r="X789">
        <f>u_ChronicResp+u_CongnitiveImpairement</f>
        <v>17.805052694763283</v>
      </c>
      <c r="Z789" s="42">
        <f>U789*W789</f>
        <v>6.613145063691797</v>
      </c>
      <c r="AA789" s="6">
        <f t="shared" si="137"/>
        <v>3.7338630275121333E-4</v>
      </c>
      <c r="AB789" s="42">
        <f t="shared" si="136"/>
        <v>0.23151769629897179</v>
      </c>
      <c r="AC789" s="42">
        <f>U789*(Q791-c_CSG)</f>
        <v>0.99209759596543823</v>
      </c>
    </row>
    <row r="790" spans="11:29" x14ac:dyDescent="0.3">
      <c r="Q790" s="45">
        <f>RDS2CLD_2*noHypo2CI_2</f>
        <v>1.1943893129770991E-2</v>
      </c>
      <c r="R790" s="45"/>
      <c r="T790" s="78"/>
      <c r="Z790" s="42"/>
      <c r="AA790" s="6">
        <f t="shared" si="137"/>
        <v>0</v>
      </c>
      <c r="AB790" s="42">
        <f t="shared" si="136"/>
        <v>0</v>
      </c>
      <c r="AC790" s="42"/>
    </row>
    <row r="791" spans="11:29" x14ac:dyDescent="0.3">
      <c r="Q791" s="46">
        <f>c_cog+c_lung+c_hosp_fu+c_CSG</f>
        <v>58348.510902399998</v>
      </c>
      <c r="R791" s="46"/>
      <c r="T791" s="78"/>
      <c r="Z791" s="42"/>
      <c r="AA791" s="6">
        <f t="shared" si="137"/>
        <v>0</v>
      </c>
      <c r="AB791" s="42">
        <f t="shared" si="136"/>
        <v>0</v>
      </c>
      <c r="AC791" s="42">
        <f>U791*(Q793-c_CSG)</f>
        <v>0</v>
      </c>
    </row>
    <row r="792" spans="11:29" x14ac:dyDescent="0.3">
      <c r="M792" s="42"/>
      <c r="Q792" s="19" t="s">
        <v>369</v>
      </c>
      <c r="R792" s="19"/>
      <c r="T792" s="78"/>
      <c r="U792">
        <f>$K$760*$I$749*$G$717*$E$754*$C$600*$A$555*$M$775*$O$787*Q793</f>
        <v>1.0848210582052101E-3</v>
      </c>
      <c r="V792">
        <v>0</v>
      </c>
      <c r="W792" s="42">
        <f>$K$761+$I$750+$G$718+$E$755+$C$601+$A$556+$M$776+$O$788+Q794</f>
        <v>271404.55809999997</v>
      </c>
      <c r="X792">
        <f>u_Healthy</f>
        <v>0</v>
      </c>
      <c r="Z792" s="42">
        <f>U792*W792</f>
        <v>294.42537991975939</v>
      </c>
      <c r="AA792" s="6">
        <f t="shared" si="137"/>
        <v>0</v>
      </c>
      <c r="AB792" s="42">
        <f t="shared" si="136"/>
        <v>11.97642448258552</v>
      </c>
      <c r="AC792" s="42">
        <f>U792*(Q794-c_CSG)</f>
        <v>3.6482532187441215</v>
      </c>
    </row>
    <row r="793" spans="11:29" x14ac:dyDescent="0.3">
      <c r="M793" s="42"/>
      <c r="Q793" s="45">
        <f>1-Q790-Q787-Q784</f>
        <v>0.61785831659300938</v>
      </c>
      <c r="R793" s="45"/>
      <c r="T793" s="78"/>
      <c r="Z793" s="42"/>
      <c r="AA793" s="6">
        <f t="shared" si="137"/>
        <v>0</v>
      </c>
      <c r="AB793" s="42">
        <f t="shared" si="136"/>
        <v>0</v>
      </c>
      <c r="AC793" s="42">
        <f>U793*(Q795-c_CSG)</f>
        <v>0</v>
      </c>
    </row>
    <row r="794" spans="11:29" x14ac:dyDescent="0.3">
      <c r="M794" s="42"/>
      <c r="Q794" s="46">
        <f>c_clinic_fu+c_CSG</f>
        <v>14403</v>
      </c>
      <c r="R794" s="46"/>
      <c r="T794" s="78"/>
      <c r="Z794" s="42"/>
      <c r="AA794" s="6">
        <f t="shared" si="137"/>
        <v>0</v>
      </c>
      <c r="AB794" s="42">
        <f t="shared" si="136"/>
        <v>0</v>
      </c>
      <c r="AC794" s="42">
        <f>U794*(Q796-c_CSG)</f>
        <v>0</v>
      </c>
    </row>
    <row r="795" spans="11:29" x14ac:dyDescent="0.3">
      <c r="M795" s="42"/>
      <c r="Q795" s="42"/>
      <c r="R795" s="42"/>
      <c r="T795" s="78"/>
      <c r="Z795" s="42"/>
      <c r="AA795" s="6">
        <f t="shared" si="137"/>
        <v>0</v>
      </c>
      <c r="AB795" s="42">
        <f t="shared" si="136"/>
        <v>0</v>
      </c>
      <c r="AC795" s="42">
        <f>U795*(Q797-c_CSG)</f>
        <v>0</v>
      </c>
    </row>
    <row r="796" spans="11:29" x14ac:dyDescent="0.3">
      <c r="K796" s="19" t="s">
        <v>165</v>
      </c>
      <c r="L796" s="19"/>
      <c r="M796" s="19"/>
      <c r="N796" s="19"/>
      <c r="O796" s="19"/>
      <c r="P796" s="19"/>
      <c r="Q796" s="19"/>
      <c r="R796" s="19"/>
      <c r="T796" s="78"/>
      <c r="U796">
        <f>$K$797*$I$805*$G$826*$E$754*$C$600*$A$555</f>
        <v>1.1026319415992274E-4</v>
      </c>
      <c r="V796">
        <v>2.2128110844283128E-4</v>
      </c>
      <c r="W796" s="42">
        <f>$K$798+$I$806+$G$827+$E$755+$C$601+$A$556</f>
        <v>5347.2</v>
      </c>
      <c r="X796">
        <f>u_Death</f>
        <v>19.181538114427529</v>
      </c>
      <c r="Z796" s="42">
        <f>U796*W796</f>
        <v>0.5895993518119389</v>
      </c>
      <c r="AA796" s="6">
        <f t="shared" si="137"/>
        <v>2.1150176613970811E-3</v>
      </c>
      <c r="AB796" s="42"/>
      <c r="AC796" s="42"/>
    </row>
    <row r="797" spans="11:29" x14ac:dyDescent="0.3">
      <c r="K797" s="45">
        <f>SGA_term_2d_2</f>
        <v>1.1972400000000001E-2</v>
      </c>
      <c r="T797" s="78"/>
      <c r="Z797" s="42"/>
      <c r="AA797" s="6">
        <f t="shared" si="137"/>
        <v>0</v>
      </c>
      <c r="AB797" s="42">
        <f t="shared" ref="AB797:AB828" si="138">U797*c_CSG</f>
        <v>0</v>
      </c>
      <c r="AC797" s="42">
        <f>U797*(Q799-c_CSG)</f>
        <v>0</v>
      </c>
    </row>
    <row r="798" spans="11:29" x14ac:dyDescent="0.3">
      <c r="K798" s="46">
        <f>c_SB</f>
        <v>1792</v>
      </c>
      <c r="T798" s="78"/>
      <c r="Z798" s="42"/>
      <c r="AA798" s="6">
        <f t="shared" si="137"/>
        <v>0</v>
      </c>
      <c r="AB798" s="42">
        <f t="shared" si="138"/>
        <v>0</v>
      </c>
      <c r="AC798" s="42"/>
    </row>
    <row r="799" spans="11:29" x14ac:dyDescent="0.3">
      <c r="T799" s="78"/>
      <c r="Z799" s="42"/>
      <c r="AA799" s="6">
        <f t="shared" si="137"/>
        <v>0</v>
      </c>
      <c r="AB799" s="42">
        <f t="shared" si="138"/>
        <v>0</v>
      </c>
      <c r="AC799" s="42">
        <f>U799*(Q801-c_CSG)</f>
        <v>0</v>
      </c>
    </row>
    <row r="800" spans="11:29" x14ac:dyDescent="0.3">
      <c r="Q800" s="19" t="s">
        <v>367</v>
      </c>
      <c r="R800" s="19"/>
      <c r="T800" s="78"/>
      <c r="U800">
        <f>$K$816*$I$805*$G$826*$E$754*$C$600*$A$555*$M$811*$O$806*Q801</f>
        <v>0</v>
      </c>
      <c r="V800">
        <v>0</v>
      </c>
      <c r="W800" s="42">
        <f>$K$817+$I$806+$G$827+$E$755+$C$601+$A$556+$M$812+$O$807+Q802</f>
        <v>91616.581450605634</v>
      </c>
      <c r="X800">
        <f>u_ChronicResp</f>
        <v>0.53465956747782661</v>
      </c>
      <c r="Z800" s="42">
        <f>U800*W800</f>
        <v>0</v>
      </c>
      <c r="AA800" s="6">
        <f t="shared" si="137"/>
        <v>0</v>
      </c>
      <c r="AB800" s="42">
        <f t="shared" si="138"/>
        <v>0</v>
      </c>
      <c r="AC800" s="42">
        <f>U800*(Q802-c_CSG)</f>
        <v>0</v>
      </c>
    </row>
    <row r="801" spans="5:29" x14ac:dyDescent="0.3">
      <c r="Q801" s="45">
        <f>RDS2CLD_2-(Hypo2CI_2*RDS2CLD_2)</f>
        <v>0.34246866666666664</v>
      </c>
      <c r="R801" s="45"/>
      <c r="T801" s="78"/>
      <c r="Z801" s="42"/>
      <c r="AA801" s="6">
        <f t="shared" si="137"/>
        <v>0</v>
      </c>
      <c r="AB801" s="42">
        <f t="shared" si="138"/>
        <v>0</v>
      </c>
      <c r="AC801" s="42"/>
    </row>
    <row r="802" spans="5:29" x14ac:dyDescent="0.3">
      <c r="Q802" s="46">
        <f>c_lung+c_hosp_fu+c_CSG</f>
        <v>54529.510902399998</v>
      </c>
      <c r="R802" s="46"/>
      <c r="T802" s="78"/>
      <c r="Z802" s="42"/>
      <c r="AA802" s="6">
        <f t="shared" si="137"/>
        <v>0</v>
      </c>
      <c r="AB802" s="42">
        <f t="shared" si="138"/>
        <v>0</v>
      </c>
      <c r="AC802" s="42">
        <f>U802*(Q804-c_CSG)</f>
        <v>0</v>
      </c>
    </row>
    <row r="803" spans="5:29" x14ac:dyDescent="0.3">
      <c r="Q803" s="19" t="s">
        <v>226</v>
      </c>
      <c r="R803" s="19"/>
      <c r="T803" s="78"/>
      <c r="U803">
        <f>$K$816*$I$805*$G$826*$E$754*$C$600*$A$555*$M$811*$O$806*Q804</f>
        <v>0</v>
      </c>
      <c r="V803">
        <v>0</v>
      </c>
      <c r="W803" s="42">
        <f>$K$817+$I$806+$G$827+$E$755+$C$601+$A$556+$M$812+$O$807+Q805</f>
        <v>52853.070548205636</v>
      </c>
      <c r="X803">
        <f>u_CongnitiveImpairement</f>
        <v>17.270393127285455</v>
      </c>
      <c r="Z803" s="42">
        <f>U803*W803</f>
        <v>0</v>
      </c>
      <c r="AA803" s="6">
        <f t="shared" si="137"/>
        <v>0</v>
      </c>
      <c r="AB803" s="42">
        <f t="shared" si="138"/>
        <v>0</v>
      </c>
      <c r="AC803" s="42">
        <f>U803*(Q805-c_CSG)</f>
        <v>0</v>
      </c>
    </row>
    <row r="804" spans="5:29" x14ac:dyDescent="0.3">
      <c r="I804" s="19" t="s">
        <v>164</v>
      </c>
      <c r="Q804" s="45">
        <f>Hypo2CI_2-(Hypo2CI_2*RDS2CLD_2)</f>
        <v>3.2801999999999998E-2</v>
      </c>
      <c r="R804" s="45"/>
      <c r="T804" s="78"/>
      <c r="Z804" s="42"/>
      <c r="AA804" s="6">
        <f t="shared" si="137"/>
        <v>0</v>
      </c>
      <c r="AB804" s="42">
        <f t="shared" si="138"/>
        <v>0</v>
      </c>
      <c r="AC804" s="42"/>
    </row>
    <row r="805" spans="5:29" x14ac:dyDescent="0.3">
      <c r="I805" s="45">
        <f>NBW_term_2SGA_2</f>
        <v>0.17096075860597004</v>
      </c>
      <c r="O805" s="19" t="s">
        <v>161</v>
      </c>
      <c r="Q805" s="46">
        <f>c_cog+c_hosp_fu+c_CSG</f>
        <v>15766</v>
      </c>
      <c r="R805" s="46"/>
      <c r="T805" s="78"/>
      <c r="Z805" s="42"/>
      <c r="AA805" s="6">
        <f t="shared" si="137"/>
        <v>0</v>
      </c>
      <c r="AB805" s="42">
        <f t="shared" si="138"/>
        <v>0</v>
      </c>
      <c r="AC805" s="42">
        <f>U805*(Q807-c_CSG)</f>
        <v>0</v>
      </c>
    </row>
    <row r="806" spans="5:29" x14ac:dyDescent="0.3">
      <c r="I806" s="46"/>
      <c r="O806" s="45">
        <f>SGA_term_2hypoglycaemia_2</f>
        <v>0.26</v>
      </c>
      <c r="Q806" s="19" t="s">
        <v>368</v>
      </c>
      <c r="R806" s="19"/>
      <c r="T806" s="78"/>
      <c r="U806">
        <f>$K$816*$I$805*$G$826*$E$754*$C$600*$A$555*$M$811*$O$806*Q807</f>
        <v>0</v>
      </c>
      <c r="V806">
        <v>0</v>
      </c>
      <c r="W806" s="42">
        <f>$K$817+$I$806+$G$827+$E$755+$C$601+$A$556+$M$812+$O$807+Q808</f>
        <v>95435.581450605634</v>
      </c>
      <c r="X806">
        <f>u_ChronicResp+u_CongnitiveImpairement</f>
        <v>17.805052694763283</v>
      </c>
      <c r="Z806" s="42">
        <f>U806*W806</f>
        <v>0</v>
      </c>
      <c r="AA806" s="6">
        <f t="shared" si="137"/>
        <v>0</v>
      </c>
      <c r="AB806" s="42">
        <f t="shared" si="138"/>
        <v>0</v>
      </c>
      <c r="AC806" s="42">
        <f>U806*(Q808-c_CSG)</f>
        <v>0</v>
      </c>
    </row>
    <row r="807" spans="5:29" x14ac:dyDescent="0.3">
      <c r="O807" s="46">
        <f>c_hypo</f>
        <v>2936.2604000000001</v>
      </c>
      <c r="Q807" s="45">
        <f>Hypo2CI_2*RDS2CLD_2</f>
        <v>1.8531333333333334E-2</v>
      </c>
      <c r="R807" s="45"/>
      <c r="T807" s="78"/>
      <c r="Z807" s="42"/>
      <c r="AA807" s="6">
        <f t="shared" si="137"/>
        <v>0</v>
      </c>
      <c r="AB807" s="42">
        <f t="shared" si="138"/>
        <v>0</v>
      </c>
      <c r="AC807" s="42"/>
    </row>
    <row r="808" spans="5:29" x14ac:dyDescent="0.3">
      <c r="M808" s="42"/>
      <c r="Q808" s="46">
        <f>c_lung+c_cog+c_hosp_fu+c_CSG</f>
        <v>58348.510902399998</v>
      </c>
      <c r="R808" s="46"/>
      <c r="T808" s="78"/>
      <c r="Z808" s="42"/>
      <c r="AA808" s="6">
        <f t="shared" ref="AA808:AA839" si="139">U808*X808</f>
        <v>0</v>
      </c>
      <c r="AB808" s="42">
        <f t="shared" si="138"/>
        <v>0</v>
      </c>
      <c r="AC808" s="42">
        <f>U808*(Q810-c_CSG)</f>
        <v>0</v>
      </c>
    </row>
    <row r="809" spans="5:29" x14ac:dyDescent="0.3">
      <c r="Q809" s="19" t="s">
        <v>369</v>
      </c>
      <c r="R809" s="19"/>
      <c r="T809" s="78"/>
      <c r="U809">
        <f>$K$816*$I$805*$G$826*$E$754*$C$600*$A$555*$M$811*$O$806*Q810</f>
        <v>0</v>
      </c>
      <c r="V809">
        <v>0</v>
      </c>
      <c r="W809" s="42">
        <f>$K$817+$I$806+$G$827+$E$755+$C$601+$A$556+$M$812+$O$807+Q811</f>
        <v>51490.070548205636</v>
      </c>
      <c r="X809">
        <f>u_Healthy</f>
        <v>0</v>
      </c>
      <c r="Z809" s="42">
        <f>U809*W809</f>
        <v>0</v>
      </c>
      <c r="AA809" s="6">
        <f t="shared" si="139"/>
        <v>0</v>
      </c>
      <c r="AB809" s="42">
        <f t="shared" si="138"/>
        <v>0</v>
      </c>
      <c r="AC809" s="42">
        <f>U809*(Q811-c_CSG)</f>
        <v>0</v>
      </c>
    </row>
    <row r="810" spans="5:29" x14ac:dyDescent="0.3">
      <c r="E810" s="42"/>
      <c r="M810" s="19" t="s">
        <v>9</v>
      </c>
      <c r="Q810" s="45">
        <f>1-Q801-Q804-Q807</f>
        <v>0.60619800000000001</v>
      </c>
      <c r="R810" s="45"/>
      <c r="T810" s="78"/>
      <c r="Z810" s="42"/>
      <c r="AA810" s="6">
        <f t="shared" si="139"/>
        <v>0</v>
      </c>
      <c r="AB810" s="42">
        <f t="shared" si="138"/>
        <v>0</v>
      </c>
      <c r="AC810" s="42">
        <f>U810*(Q812-c_CSG)</f>
        <v>0</v>
      </c>
    </row>
    <row r="811" spans="5:29" x14ac:dyDescent="0.3">
      <c r="K811" s="42"/>
      <c r="M811" s="45">
        <f>S_term_2RDS_2</f>
        <v>0</v>
      </c>
      <c r="Q811" s="46">
        <f>c_clinic_fu+c_CSG</f>
        <v>14403</v>
      </c>
      <c r="R811" s="46"/>
      <c r="T811" s="78"/>
      <c r="Z811" s="42"/>
      <c r="AA811" s="6">
        <f t="shared" si="139"/>
        <v>0</v>
      </c>
      <c r="AB811" s="42">
        <f t="shared" si="138"/>
        <v>0</v>
      </c>
      <c r="AC811" s="42"/>
    </row>
    <row r="812" spans="5:29" x14ac:dyDescent="0.3">
      <c r="K812" s="42"/>
      <c r="M812" s="46">
        <f>c_RDS</f>
        <v>30595.610148205637</v>
      </c>
      <c r="Q812" s="42"/>
      <c r="R812" s="42"/>
      <c r="T812" s="78"/>
      <c r="Z812" s="42"/>
      <c r="AA812" s="6">
        <f t="shared" si="139"/>
        <v>0</v>
      </c>
      <c r="AB812" s="42">
        <f t="shared" si="138"/>
        <v>0</v>
      </c>
      <c r="AC812" s="42">
        <f>U812*(Q814-c_CSG)</f>
        <v>0</v>
      </c>
    </row>
    <row r="813" spans="5:29" x14ac:dyDescent="0.3">
      <c r="Q813" s="19" t="s">
        <v>367</v>
      </c>
      <c r="R813" s="19"/>
      <c r="T813" s="78"/>
      <c r="U813">
        <f>$K$816*$I$805*$G$826*$E$754*$C$600*$A$555*$M$811*$O$816*Q814</f>
        <v>0</v>
      </c>
      <c r="V813">
        <v>0</v>
      </c>
      <c r="W813" s="42">
        <f>$K$817+$I$806+$G$827+$E$755+$C$601+$A$556+$M$812+$O$817+Q815</f>
        <v>88680.321050605635</v>
      </c>
      <c r="X813">
        <f>u_ChronicResp</f>
        <v>0.53465956747782661</v>
      </c>
      <c r="Z813" s="42">
        <f>U813*W813</f>
        <v>0</v>
      </c>
      <c r="AA813" s="6">
        <f t="shared" si="139"/>
        <v>0</v>
      </c>
      <c r="AB813" s="42">
        <f t="shared" si="138"/>
        <v>0</v>
      </c>
      <c r="AC813" s="42">
        <f>U813*(Q815-c_CSG)</f>
        <v>0</v>
      </c>
    </row>
    <row r="814" spans="5:29" x14ac:dyDescent="0.3">
      <c r="Q814" s="45">
        <f>RDS2CLD_2-(RDS2CLD_2*noHypo2CI_2)</f>
        <v>0.34905610687022898</v>
      </c>
      <c r="R814" s="45"/>
      <c r="T814" s="78"/>
      <c r="Z814" s="42"/>
      <c r="AA814" s="6">
        <f t="shared" si="139"/>
        <v>0</v>
      </c>
      <c r="AB814" s="42">
        <f t="shared" si="138"/>
        <v>0</v>
      </c>
      <c r="AC814" s="42"/>
    </row>
    <row r="815" spans="5:29" x14ac:dyDescent="0.3">
      <c r="K815" s="19" t="s">
        <v>37</v>
      </c>
      <c r="M815" s="42"/>
      <c r="O815" s="19" t="s">
        <v>370</v>
      </c>
      <c r="Q815" s="46">
        <f>c_lung+c_hosp_fu+c_CSG</f>
        <v>54529.510902399998</v>
      </c>
      <c r="R815" s="46"/>
      <c r="T815" s="78"/>
      <c r="Z815" s="42"/>
      <c r="AA815" s="6">
        <f t="shared" si="139"/>
        <v>0</v>
      </c>
      <c r="AB815" s="42">
        <f t="shared" si="138"/>
        <v>0</v>
      </c>
      <c r="AC815" s="42">
        <f>U815*(Q817-c_CSG)</f>
        <v>0</v>
      </c>
    </row>
    <row r="816" spans="5:29" x14ac:dyDescent="0.3">
      <c r="K816" s="45">
        <f>SGA_term_2s_2</f>
        <v>0.98802760000000001</v>
      </c>
      <c r="O816" s="45">
        <f>SGA_term_2normoglycaemia_2</f>
        <v>0.74</v>
      </c>
      <c r="Q816" s="19" t="s">
        <v>226</v>
      </c>
      <c r="R816" s="19"/>
      <c r="T816" s="78"/>
      <c r="U816">
        <f>$K$816*$I$805*$G$826*$E$754*$C$600*$A$555*$M$811*$O$816*Q817</f>
        <v>0</v>
      </c>
      <c r="V816">
        <v>0</v>
      </c>
      <c r="W816" s="42">
        <f>$K$817+$I$806+$G$827+$E$755+$C$601+$A$556+$M$812+$O$817+Q818</f>
        <v>49916.810148205637</v>
      </c>
      <c r="X816">
        <f>u_CongnitiveImpairement</f>
        <v>17.270393127285455</v>
      </c>
      <c r="Z816" s="42">
        <f>U816*W816</f>
        <v>0</v>
      </c>
      <c r="AA816" s="6">
        <f t="shared" si="139"/>
        <v>0</v>
      </c>
      <c r="AB816" s="42">
        <f t="shared" si="138"/>
        <v>0</v>
      </c>
      <c r="AC816" s="42">
        <f>U816*(Q818-c_CSG)</f>
        <v>0</v>
      </c>
    </row>
    <row r="817" spans="7:29" x14ac:dyDescent="0.3">
      <c r="K817" s="46"/>
      <c r="O817" s="46"/>
      <c r="Q817" s="45">
        <f>noHypo2CI_2-(RDS2CLD_2*noHypo2CI_2)</f>
        <v>2.1141683406990762E-2</v>
      </c>
      <c r="R817" s="45"/>
      <c r="T817" s="78"/>
      <c r="Z817" s="42"/>
      <c r="AA817" s="6">
        <f t="shared" si="139"/>
        <v>0</v>
      </c>
      <c r="AB817" s="42">
        <f t="shared" si="138"/>
        <v>0</v>
      </c>
      <c r="AC817" s="42"/>
    </row>
    <row r="818" spans="7:29" x14ac:dyDescent="0.3">
      <c r="Q818" s="46">
        <f>c_cog+c_hosp_fu+c_CSG</f>
        <v>15766</v>
      </c>
      <c r="R818" s="46"/>
      <c r="T818" s="78"/>
      <c r="Z818" s="42"/>
      <c r="AA818" s="6">
        <f t="shared" si="139"/>
        <v>0</v>
      </c>
      <c r="AB818" s="42">
        <f t="shared" si="138"/>
        <v>0</v>
      </c>
      <c r="AC818" s="42">
        <f>U818*(Q820-c_CSG)</f>
        <v>0</v>
      </c>
    </row>
    <row r="819" spans="7:29" x14ac:dyDescent="0.3">
      <c r="Q819" s="19" t="s">
        <v>368</v>
      </c>
      <c r="R819" s="19"/>
      <c r="T819" s="78"/>
      <c r="U819">
        <f>$K$816*$I$805*$G$826*$E$754*$C$600*$A$555*$M$811*$O$816*Q820</f>
        <v>0</v>
      </c>
      <c r="V819">
        <v>0</v>
      </c>
      <c r="W819" s="42">
        <f>$K$817+$I$806+$G$827+$E$755+$C$601+$A$556+$M$812+$O$817+Q821</f>
        <v>92499.321050605635</v>
      </c>
      <c r="X819">
        <f>u_ChronicResp+u_CongnitiveImpairement</f>
        <v>17.805052694763283</v>
      </c>
      <c r="Z819" s="42">
        <f>U819*W819</f>
        <v>0</v>
      </c>
      <c r="AA819" s="6">
        <f t="shared" si="139"/>
        <v>0</v>
      </c>
      <c r="AB819" s="42">
        <f t="shared" si="138"/>
        <v>0</v>
      </c>
      <c r="AC819" s="42">
        <f>U819*(Q821-c_CSG)</f>
        <v>0</v>
      </c>
    </row>
    <row r="820" spans="7:29" x14ac:dyDescent="0.3">
      <c r="Q820" s="45">
        <f>RDS2CLD_2*noHypo2CI_2</f>
        <v>1.1943893129770991E-2</v>
      </c>
      <c r="R820" s="45"/>
      <c r="T820" s="78"/>
      <c r="Z820" s="42"/>
      <c r="AA820" s="6">
        <f t="shared" si="139"/>
        <v>0</v>
      </c>
      <c r="AB820" s="42">
        <f t="shared" si="138"/>
        <v>0</v>
      </c>
      <c r="AC820" s="42"/>
    </row>
    <row r="821" spans="7:29" x14ac:dyDescent="0.3">
      <c r="Q821" s="46">
        <f>c_cog+c_lung+c_hosp_fu+c_CSG</f>
        <v>58348.510902399998</v>
      </c>
      <c r="R821" s="46"/>
      <c r="T821" s="78"/>
      <c r="Z821" s="42"/>
      <c r="AA821" s="6">
        <f t="shared" si="139"/>
        <v>0</v>
      </c>
      <c r="AB821" s="42">
        <f t="shared" si="138"/>
        <v>0</v>
      </c>
      <c r="AC821" s="42">
        <f>U821*(Q823-c_CSG)</f>
        <v>0</v>
      </c>
    </row>
    <row r="822" spans="7:29" x14ac:dyDescent="0.3">
      <c r="Q822" s="19" t="s">
        <v>369</v>
      </c>
      <c r="R822" s="19"/>
      <c r="T822" s="78"/>
      <c r="U822">
        <f>$K$816*$I$805*$G$826*$E$754*$C$600*$A$555*$M$811*$O$816*Q823</f>
        <v>0</v>
      </c>
      <c r="V822">
        <v>0</v>
      </c>
      <c r="W822" s="42">
        <f>$K$817+$I$806+$G$827+$E$755+$C$601+$A$556+$M$812+$O$817+Q824</f>
        <v>48553.810148205637</v>
      </c>
      <c r="X822">
        <f>u_Healthy</f>
        <v>0</v>
      </c>
      <c r="Z822" s="42">
        <f>U822*W822</f>
        <v>0</v>
      </c>
      <c r="AA822" s="6">
        <f t="shared" si="139"/>
        <v>0</v>
      </c>
      <c r="AB822" s="42">
        <f t="shared" si="138"/>
        <v>0</v>
      </c>
      <c r="AC822" s="42">
        <f>U822*(Q824-c_CSG)</f>
        <v>0</v>
      </c>
    </row>
    <row r="823" spans="7:29" x14ac:dyDescent="0.3">
      <c r="Q823" s="45">
        <f>1-Q820-Q817-Q814</f>
        <v>0.61785831659300938</v>
      </c>
      <c r="R823" s="45"/>
      <c r="T823" s="78"/>
      <c r="Z823" s="42"/>
      <c r="AA823" s="6">
        <f t="shared" si="139"/>
        <v>0</v>
      </c>
      <c r="AB823" s="42">
        <f t="shared" si="138"/>
        <v>0</v>
      </c>
      <c r="AC823" s="42">
        <f>U823*(Q825-c_CSG)</f>
        <v>0</v>
      </c>
    </row>
    <row r="824" spans="7:29" x14ac:dyDescent="0.3">
      <c r="Q824" s="46">
        <f>c_clinic_fu+c_CSG</f>
        <v>14403</v>
      </c>
      <c r="R824" s="46"/>
      <c r="T824" s="78"/>
      <c r="Z824" s="42"/>
      <c r="AA824" s="6">
        <f t="shared" si="139"/>
        <v>0</v>
      </c>
      <c r="AB824" s="42">
        <f t="shared" si="138"/>
        <v>0</v>
      </c>
      <c r="AC824" s="42"/>
    </row>
    <row r="825" spans="7:29" x14ac:dyDescent="0.3">
      <c r="G825" s="19" t="s">
        <v>371</v>
      </c>
      <c r="Q825" s="42"/>
      <c r="R825" s="42"/>
      <c r="T825" s="78"/>
      <c r="V825">
        <v>1.4729694475272028E-3</v>
      </c>
      <c r="Z825" s="42"/>
      <c r="AA825" s="6">
        <f t="shared" si="139"/>
        <v>0</v>
      </c>
      <c r="AB825" s="42">
        <f t="shared" si="138"/>
        <v>0</v>
      </c>
      <c r="AC825" s="42">
        <f>U825*(Q827-c_CSG)</f>
        <v>0</v>
      </c>
    </row>
    <row r="826" spans="7:29" x14ac:dyDescent="0.3">
      <c r="G826" s="45">
        <f>Term2NBW_2</f>
        <v>0.75313846153846153</v>
      </c>
      <c r="Q826" s="19" t="s">
        <v>367</v>
      </c>
      <c r="R826" s="19"/>
      <c r="T826" s="78"/>
      <c r="U826">
        <f>$K$816*$I$805*$G$826*$E$754*$C$600*$A$555*$M$831*$O$829*Q827</f>
        <v>8.1023801997796179E-4</v>
      </c>
      <c r="W826" s="42">
        <f>$K$817+$I$806+$G$827+$E$755+$C$601+$A$556+$M$832+$O$830+Q828</f>
        <v>61020.971302399994</v>
      </c>
      <c r="X826">
        <f>u_ChronicResp</f>
        <v>0.53465956747782661</v>
      </c>
      <c r="Z826" s="42">
        <f>U826*W826</f>
        <v>49.441510965188598</v>
      </c>
      <c r="AA826" s="6">
        <f t="shared" si="139"/>
        <v>4.3320150931550771E-4</v>
      </c>
      <c r="AB826" s="42">
        <f t="shared" si="138"/>
        <v>8.9450277405566982</v>
      </c>
      <c r="AC826" s="42">
        <f>U826*(Q828-c_CSG)</f>
        <v>35.23685520337056</v>
      </c>
    </row>
    <row r="827" spans="7:29" x14ac:dyDescent="0.3">
      <c r="G827" s="46">
        <f>c_NICU_NBW</f>
        <v>1255.2</v>
      </c>
      <c r="Q827" s="45">
        <f>RDS2CLD_2-(Hypo2CI_2*RDS2CLD_2)</f>
        <v>0.34246866666666664</v>
      </c>
      <c r="R827" s="45"/>
      <c r="T827" s="78"/>
      <c r="Z827" s="42"/>
      <c r="AA827" s="6">
        <f t="shared" si="139"/>
        <v>0</v>
      </c>
      <c r="AB827" s="42">
        <f t="shared" si="138"/>
        <v>0</v>
      </c>
      <c r="AC827" s="42"/>
    </row>
    <row r="828" spans="7:29" x14ac:dyDescent="0.3">
      <c r="O828" s="19" t="s">
        <v>161</v>
      </c>
      <c r="Q828" s="46">
        <f>c_lung+c_hosp_fu+c_CSG</f>
        <v>54529.510902399998</v>
      </c>
      <c r="R828" s="46"/>
      <c r="T828" s="78"/>
      <c r="V828">
        <v>1.4108252380593643E-4</v>
      </c>
      <c r="Z828" s="42"/>
      <c r="AA828" s="6">
        <f t="shared" si="139"/>
        <v>0</v>
      </c>
      <c r="AB828" s="42">
        <f t="shared" si="138"/>
        <v>0</v>
      </c>
      <c r="AC828" s="42">
        <f>U828*(Q830-c_CSG)</f>
        <v>0</v>
      </c>
    </row>
    <row r="829" spans="7:29" x14ac:dyDescent="0.3">
      <c r="O829" s="45">
        <f>SGA_term_2hypoglycaemia_2</f>
        <v>0.26</v>
      </c>
      <c r="Q829" s="19" t="s">
        <v>226</v>
      </c>
      <c r="R829" s="19"/>
      <c r="T829" s="78"/>
      <c r="U829">
        <f>$K$816*$I$805*$G$826*$E$754*$C$600*$A$555*$M$831*$O$829*Q830</f>
        <v>7.7605428227936482E-5</v>
      </c>
      <c r="W829" s="42">
        <f>$K$817+$I$806+$G$827+$E$755+$C$601+$A$556+$M$832+$O$830+Q831</f>
        <v>22257.4604</v>
      </c>
      <c r="X829">
        <f>u_CongnitiveImpairement</f>
        <v>17.270393127285455</v>
      </c>
      <c r="Z829" s="42">
        <f>U829*W829</f>
        <v>1.7272997456083383</v>
      </c>
      <c r="AA829" s="6">
        <f t="shared" si="139"/>
        <v>1.3402762543077988E-3</v>
      </c>
      <c r="AB829" s="42">
        <f t="shared" ref="AB829:AB851" si="140">U829*c_CSG</f>
        <v>0.85676392763641873</v>
      </c>
      <c r="AC829" s="42">
        <f>U829*(Q831-c_CSG)</f>
        <v>0.36676325380522784</v>
      </c>
    </row>
    <row r="830" spans="7:29" x14ac:dyDescent="0.3">
      <c r="M830" s="19" t="s">
        <v>203</v>
      </c>
      <c r="O830" s="46">
        <f>c_hypo</f>
        <v>2936.2604000000001</v>
      </c>
      <c r="Q830" s="45">
        <f>Hypo2CI_2-(Hypo2CI_2*RDS2CLD_2)</f>
        <v>3.2801999999999998E-2</v>
      </c>
      <c r="R830" s="45"/>
      <c r="T830" s="78"/>
      <c r="Z830" s="42"/>
      <c r="AA830" s="6">
        <f t="shared" si="139"/>
        <v>0</v>
      </c>
      <c r="AB830" s="42">
        <f t="shared" si="140"/>
        <v>0</v>
      </c>
      <c r="AC830" s="42"/>
    </row>
    <row r="831" spans="7:29" x14ac:dyDescent="0.3">
      <c r="M831" s="45">
        <f>S_term_2noRDS_2</f>
        <v>1</v>
      </c>
      <c r="Q831" s="46">
        <f>c_cog+c_hosp_fu+c_CSG</f>
        <v>15766</v>
      </c>
      <c r="R831" s="46"/>
      <c r="T831" s="78"/>
      <c r="V831">
        <v>7.9703898425575979E-5</v>
      </c>
      <c r="Z831" s="42"/>
      <c r="AA831" s="6">
        <f t="shared" si="139"/>
        <v>0</v>
      </c>
      <c r="AB831" s="42">
        <f t="shared" si="140"/>
        <v>0</v>
      </c>
      <c r="AC831" s="42">
        <f>U831*(Q833-c_CSG)</f>
        <v>0</v>
      </c>
    </row>
    <row r="832" spans="7:29" x14ac:dyDescent="0.3">
      <c r="G832" s="42"/>
      <c r="M832" s="46"/>
      <c r="O832" s="42"/>
      <c r="Q832" s="19" t="s">
        <v>368</v>
      </c>
      <c r="R832" s="19"/>
      <c r="T832" s="78"/>
      <c r="U832">
        <f>$K$816*$I$805*$G$826*$E$754*$C$600*$A$555*$M$831*$O$829*Q833</f>
        <v>4.3842816260227031E-5</v>
      </c>
      <c r="W832" s="42">
        <f>$K$817+$I$806+$G$827+$E$755+$C$601+$A$556+$M$832+$O$830+Q834</f>
        <v>64839.971302399994</v>
      </c>
      <c r="X832">
        <f>u_ChronicResp+u_CongnitiveImpairement</f>
        <v>17.805052694763283</v>
      </c>
      <c r="Z832" s="42">
        <f>U832*W832</f>
        <v>2.8427669481295164</v>
      </c>
      <c r="AA832" s="6">
        <f t="shared" si="139"/>
        <v>7.8062365380016682E-4</v>
      </c>
      <c r="AB832" s="42">
        <f t="shared" si="140"/>
        <v>0.48402469151290645</v>
      </c>
      <c r="AC832" s="42">
        <f>U832*(Q834-c_CSG)</f>
        <v>2.0741383510388705</v>
      </c>
    </row>
    <row r="833" spans="1:29" x14ac:dyDescent="0.3">
      <c r="M833" s="42"/>
      <c r="Q833" s="45">
        <f>Hypo2CI_2*RDS2CLD_2</f>
        <v>1.8531333333333334E-2</v>
      </c>
      <c r="R833" s="45"/>
      <c r="T833" s="78"/>
      <c r="Z833" s="42"/>
      <c r="AA833" s="6">
        <f t="shared" si="139"/>
        <v>0</v>
      </c>
      <c r="AB833" s="42">
        <f t="shared" si="140"/>
        <v>0</v>
      </c>
      <c r="AC833" s="42"/>
    </row>
    <row r="834" spans="1:29" x14ac:dyDescent="0.3">
      <c r="A834" s="42"/>
      <c r="M834" s="42"/>
      <c r="Q834" s="46">
        <f>c_lung+c_cog+c_hosp_fu+c_CSG</f>
        <v>58348.510902399998</v>
      </c>
      <c r="R834" s="46"/>
      <c r="T834" s="78"/>
      <c r="V834">
        <v>2.6072783295564617E-3</v>
      </c>
      <c r="Z834" s="42"/>
      <c r="AA834" s="6">
        <f t="shared" si="139"/>
        <v>0</v>
      </c>
      <c r="AB834" s="42">
        <f t="shared" si="140"/>
        <v>0</v>
      </c>
      <c r="AC834" s="42">
        <f>U834*(Q836-c_CSG)</f>
        <v>0</v>
      </c>
    </row>
    <row r="835" spans="1:29" x14ac:dyDescent="0.3">
      <c r="M835" s="42"/>
      <c r="Q835" s="19" t="s">
        <v>369</v>
      </c>
      <c r="R835" s="19"/>
      <c r="T835" s="78"/>
      <c r="U835">
        <f>$K$816*$I$805*$G$826*$E$754*$C$600*$A$555*$M$831*$O$829*Q836</f>
        <v>1.4341886281604367E-3</v>
      </c>
      <c r="W835" s="42">
        <f>$K$817+$I$806+$G$827+$E$755+$C$601+$A$556+$M$832+$O$830+Q837</f>
        <v>20894.4604</v>
      </c>
      <c r="X835">
        <f>u_Healthy</f>
        <v>0</v>
      </c>
      <c r="Z835" s="42">
        <f>U835*W835</f>
        <v>29.96659749722857</v>
      </c>
      <c r="AA835" s="6">
        <f t="shared" si="139"/>
        <v>0</v>
      </c>
      <c r="AB835" s="42">
        <f t="shared" si="140"/>
        <v>15.833442454891221</v>
      </c>
      <c r="AC835" s="42">
        <f>U835*(Q837-c_CSG)</f>
        <v>4.8231763565035486</v>
      </c>
    </row>
    <row r="836" spans="1:29" x14ac:dyDescent="0.3">
      <c r="M836" s="42"/>
      <c r="O836" s="42"/>
      <c r="Q836" s="45">
        <f>1-Q827-Q830-Q833</f>
        <v>0.60619800000000001</v>
      </c>
      <c r="R836" s="45"/>
      <c r="T836" s="78"/>
      <c r="Z836" s="42"/>
      <c r="AA836" s="6">
        <f t="shared" si="139"/>
        <v>0</v>
      </c>
      <c r="AB836" s="42">
        <f t="shared" si="140"/>
        <v>0</v>
      </c>
      <c r="AC836" s="42">
        <f>U836*(Q838-c_CSG)</f>
        <v>0</v>
      </c>
    </row>
    <row r="837" spans="1:29" x14ac:dyDescent="0.3">
      <c r="M837" s="42"/>
      <c r="Q837" s="46">
        <f>c_clinic_fu+c_CSG</f>
        <v>14403</v>
      </c>
      <c r="R837" s="46"/>
      <c r="T837" s="78"/>
      <c r="Z837" s="42"/>
      <c r="AA837" s="6">
        <f t="shared" si="139"/>
        <v>0</v>
      </c>
      <c r="AB837" s="42">
        <f t="shared" si="140"/>
        <v>0</v>
      </c>
      <c r="AC837" s="42"/>
    </row>
    <row r="838" spans="1:29" x14ac:dyDescent="0.3">
      <c r="M838" s="42"/>
      <c r="Q838" s="42"/>
      <c r="R838" s="42"/>
      <c r="S838" s="94"/>
      <c r="T838" s="78"/>
      <c r="V838">
        <v>4.2729371819815939E-3</v>
      </c>
      <c r="Z838" s="42"/>
      <c r="AA838" s="6">
        <f t="shared" si="139"/>
        <v>0</v>
      </c>
      <c r="AB838" s="42">
        <f t="shared" si="140"/>
        <v>0</v>
      </c>
      <c r="AC838" s="42">
        <f>U838*(Q840-c_CSG)</f>
        <v>0</v>
      </c>
    </row>
    <row r="839" spans="1:29" x14ac:dyDescent="0.3">
      <c r="M839" s="42"/>
      <c r="Q839" s="19" t="s">
        <v>367</v>
      </c>
      <c r="R839" s="19"/>
      <c r="T839" s="78"/>
      <c r="U839">
        <f>$K$816*$I$805*$G$826*$E$754*$C$600*$A$555*$M$831*$O$843*Q840</f>
        <v>2.3504195335694771E-3</v>
      </c>
      <c r="W839" s="42">
        <f>$K$817+$I$806+$G$827+$E$755+$C$601+$A$556+$M$832+$O$844+Q841</f>
        <v>58084.710902399995</v>
      </c>
      <c r="X839">
        <f>u_ChronicResp</f>
        <v>0.53465956747782661</v>
      </c>
      <c r="Z839" s="42">
        <f>U839*W839</f>
        <v>136.52343910673693</v>
      </c>
      <c r="AA839" s="6">
        <f t="shared" si="139"/>
        <v>1.2566742912096915E-3</v>
      </c>
      <c r="AB839" s="42">
        <f t="shared" si="140"/>
        <v>25.948631650607027</v>
      </c>
      <c r="AC839" s="42">
        <f>U839*(Q841-c_CSG)</f>
        <v>102.21859593038369</v>
      </c>
    </row>
    <row r="840" spans="1:29" x14ac:dyDescent="0.3">
      <c r="M840" s="42"/>
      <c r="Q840" s="45">
        <f>RDS2CLD_2-(RDS2CLD_2*noHypo2CI_2)</f>
        <v>0.34905610687022898</v>
      </c>
      <c r="R840" s="45"/>
      <c r="T840" s="78"/>
      <c r="Z840" s="42"/>
      <c r="AA840" s="6">
        <f t="shared" ref="AA840:AA871" si="141">U840*X840</f>
        <v>0</v>
      </c>
      <c r="AB840" s="42">
        <f t="shared" si="140"/>
        <v>0</v>
      </c>
      <c r="AC840" s="42"/>
    </row>
    <row r="841" spans="1:29" x14ac:dyDescent="0.3">
      <c r="M841" s="42"/>
      <c r="Q841" s="46">
        <f>c_lung+c_hosp_fu+c_CSG</f>
        <v>54529.510902399998</v>
      </c>
      <c r="R841" s="46"/>
      <c r="T841" s="78"/>
      <c r="V841">
        <v>2.5880390957605959E-4</v>
      </c>
      <c r="Z841" s="42"/>
      <c r="AA841" s="6">
        <f t="shared" si="141"/>
        <v>0</v>
      </c>
      <c r="AB841" s="42">
        <f t="shared" si="140"/>
        <v>0</v>
      </c>
      <c r="AC841" s="42">
        <f>U841*(Q843-c_CSG)</f>
        <v>0</v>
      </c>
    </row>
    <row r="842" spans="1:29" x14ac:dyDescent="0.3">
      <c r="M842" s="42"/>
      <c r="O842" s="19" t="s">
        <v>370</v>
      </c>
      <c r="Q842" s="19" t="s">
        <v>226</v>
      </c>
      <c r="R842" s="19"/>
      <c r="T842" s="78"/>
      <c r="U842">
        <f>$K$816*$I$805*$G$826*$E$754*$C$600*$A$555*$M$831*$O$843*Q843</f>
        <v>1.4236056804130647E-4</v>
      </c>
      <c r="W842" s="42">
        <f>$K$817+$I$806+$G$827+$E$755+$C$601+$A$556+$M$832+$O$844+Q844</f>
        <v>19321.2</v>
      </c>
      <c r="X842">
        <f>u_CongnitiveImpairement</f>
        <v>17.270393127285455</v>
      </c>
      <c r="Z842" s="42">
        <f>U842*W842</f>
        <v>2.7505770072396905</v>
      </c>
      <c r="AA842" s="6">
        <f t="shared" si="141"/>
        <v>2.4586229758970326E-3</v>
      </c>
      <c r="AB842" s="42">
        <f t="shared" si="140"/>
        <v>1.5716606711760235</v>
      </c>
      <c r="AC842" s="42">
        <f>U842*(Q844-c_CSG)</f>
        <v>0.6727960445632144</v>
      </c>
    </row>
    <row r="843" spans="1:29" x14ac:dyDescent="0.3">
      <c r="M843" s="42"/>
      <c r="O843" s="45">
        <f>SGA_term_2normoglycaemia_2</f>
        <v>0.74</v>
      </c>
      <c r="Q843" s="45">
        <f>noHypo2CI_2-(RDS2CLD_2*noHypo2CI_2)</f>
        <v>2.1141683406990762E-2</v>
      </c>
      <c r="R843" s="45"/>
      <c r="T843" s="78"/>
      <c r="Z843" s="42"/>
      <c r="AA843" s="6">
        <f t="shared" si="141"/>
        <v>0</v>
      </c>
      <c r="AB843" s="42">
        <f t="shared" si="140"/>
        <v>0</v>
      </c>
      <c r="AC843" s="42"/>
    </row>
    <row r="844" spans="1:29" x14ac:dyDescent="0.3">
      <c r="M844" s="42"/>
      <c r="O844" s="46"/>
      <c r="Q844" s="46">
        <f>c_cog+c_hosp_fu+c_CSG</f>
        <v>15766</v>
      </c>
      <c r="R844" s="46"/>
      <c r="T844" s="78"/>
      <c r="V844">
        <v>1.4621003342246867E-4</v>
      </c>
      <c r="Z844" s="42"/>
      <c r="AA844" s="6">
        <f t="shared" si="141"/>
        <v>0</v>
      </c>
      <c r="AB844" s="42">
        <f t="shared" si="140"/>
        <v>0</v>
      </c>
      <c r="AC844" s="42">
        <f>U844*(Q846-c_CSG)</f>
        <v>0</v>
      </c>
    </row>
    <row r="845" spans="1:29" x14ac:dyDescent="0.3">
      <c r="M845" s="42"/>
      <c r="Q845" s="19" t="s">
        <v>368</v>
      </c>
      <c r="R845" s="19"/>
      <c r="T845" s="78"/>
      <c r="U845">
        <f>$K$816*$I$805*$G$826*$E$754*$C$600*$A$555*$M$831*$O$843*Q846</f>
        <v>8.0425923416137138E-5</v>
      </c>
      <c r="W845" s="42">
        <f>$K$817+$I$806+$G$827+$E$755+$C$601+$A$556+$M$832+$O$844+Q847</f>
        <v>61903.710902399995</v>
      </c>
      <c r="X845">
        <f>u_ChronicResp+u_CongnitiveImpairement</f>
        <v>17.805052694763283</v>
      </c>
      <c r="Z845" s="42">
        <f>U845*W845</f>
        <v>4.9786631122111151</v>
      </c>
      <c r="AA845" s="6">
        <f t="shared" si="141"/>
        <v>1.4319878044493179E-3</v>
      </c>
      <c r="AB845" s="42">
        <f t="shared" si="140"/>
        <v>0.88790219451415398</v>
      </c>
      <c r="AC845" s="42">
        <f>U845*(Q847-c_CSG)</f>
        <v>3.8048306747679108</v>
      </c>
    </row>
    <row r="846" spans="1:29" x14ac:dyDescent="0.3">
      <c r="M846" s="42"/>
      <c r="Q846" s="45">
        <f>RDS2CLD_2*noHypo2CI_2</f>
        <v>1.1943893129770991E-2</v>
      </c>
      <c r="R846" s="45"/>
      <c r="T846" s="78"/>
      <c r="Z846" s="42"/>
      <c r="AA846" s="6">
        <f t="shared" si="141"/>
        <v>0</v>
      </c>
      <c r="AB846" s="42">
        <f t="shared" si="140"/>
        <v>0</v>
      </c>
      <c r="AC846" s="42"/>
    </row>
    <row r="847" spans="1:29" x14ac:dyDescent="0.3">
      <c r="M847" s="42"/>
      <c r="Q847" s="46">
        <f>c_cog+c_lung+c_hosp_fu+c_CSG</f>
        <v>58348.510902399998</v>
      </c>
      <c r="R847" s="46"/>
      <c r="T847" s="78"/>
      <c r="V847">
        <v>7.563453903839998E-3</v>
      </c>
      <c r="Z847" s="42"/>
      <c r="AA847" s="6">
        <f t="shared" si="141"/>
        <v>0</v>
      </c>
      <c r="AB847" s="42">
        <f t="shared" si="140"/>
        <v>0</v>
      </c>
      <c r="AC847" s="42">
        <f>U847*(Q849-c_CSG)</f>
        <v>0</v>
      </c>
    </row>
    <row r="848" spans="1:29" x14ac:dyDescent="0.3">
      <c r="M848" s="42"/>
      <c r="Q848" s="19" t="s">
        <v>369</v>
      </c>
      <c r="R848" s="19"/>
      <c r="T848" s="78"/>
      <c r="U848">
        <f>$K$816*$I$805*$G$826*$E$754*$C$600*$A$555*$M$831*$O$843*Q849</f>
        <v>4.1604379001409873E-3</v>
      </c>
      <c r="W848" s="42">
        <f>$K$817+$I$806+$G$827+$E$755+$C$601+$A$556+$M$832+$O$844+Q850</f>
        <v>17958.2</v>
      </c>
      <c r="X848">
        <f>u_Healthy</f>
        <v>0</v>
      </c>
      <c r="Z848" s="42">
        <f>U848*W848</f>
        <v>74.713975898311887</v>
      </c>
      <c r="AA848" s="6">
        <f t="shared" si="141"/>
        <v>0</v>
      </c>
      <c r="AB848" s="42">
        <f t="shared" si="140"/>
        <v>45.931234417556496</v>
      </c>
      <c r="AC848" s="42">
        <f>U848*(Q850-c_CSG)</f>
        <v>13.99155265817414</v>
      </c>
    </row>
    <row r="849" spans="9:29" x14ac:dyDescent="0.3">
      <c r="M849" s="42"/>
      <c r="Q849" s="45">
        <f>1-Q846-Q843-Q840</f>
        <v>0.61785831659300938</v>
      </c>
      <c r="R849" s="45"/>
      <c r="T849" s="78"/>
      <c r="Z849" s="42"/>
      <c r="AA849" s="6">
        <f t="shared" si="141"/>
        <v>0</v>
      </c>
      <c r="AB849" s="42">
        <f t="shared" si="140"/>
        <v>0</v>
      </c>
      <c r="AC849" s="42">
        <f>U849*(Q851-c_CSG)</f>
        <v>0</v>
      </c>
    </row>
    <row r="850" spans="9:29" x14ac:dyDescent="0.3">
      <c r="M850" s="42"/>
      <c r="Q850" s="46">
        <f>c_clinic_fu+c_CSG</f>
        <v>14403</v>
      </c>
      <c r="R850" s="46"/>
      <c r="T850" s="78"/>
      <c r="Z850" s="42"/>
      <c r="AA850" s="6">
        <f t="shared" si="141"/>
        <v>0</v>
      </c>
      <c r="AB850" s="42">
        <f t="shared" si="140"/>
        <v>0</v>
      </c>
      <c r="AC850" s="42">
        <f>U850*(Q852-c_CSG)</f>
        <v>0</v>
      </c>
    </row>
    <row r="851" spans="9:29" x14ac:dyDescent="0.3">
      <c r="M851" s="42"/>
      <c r="Q851" s="42"/>
      <c r="R851" s="42"/>
      <c r="T851" s="78"/>
      <c r="V851">
        <v>4.4560004697704594E-4</v>
      </c>
      <c r="Z851" s="42"/>
      <c r="AA851" s="6">
        <f t="shared" si="141"/>
        <v>0</v>
      </c>
      <c r="AB851" s="42">
        <f t="shared" si="140"/>
        <v>0</v>
      </c>
      <c r="AC851" s="42">
        <f>U851*(Q853-c_CSG)</f>
        <v>0</v>
      </c>
    </row>
    <row r="852" spans="9:29" x14ac:dyDescent="0.3">
      <c r="K852" s="19" t="s">
        <v>165</v>
      </c>
      <c r="L852" s="19"/>
      <c r="M852" s="19"/>
      <c r="N852" s="19"/>
      <c r="O852" s="19"/>
      <c r="P852" s="19"/>
      <c r="Q852" s="19"/>
      <c r="R852" s="19"/>
      <c r="T852" s="78"/>
      <c r="U852">
        <f>$K$853*$I$861*$G$826*$E$754*$C$600*$A$555</f>
        <v>2.5249666209173599E-4</v>
      </c>
      <c r="W852" s="42">
        <f>$K$854+$I$862+$G$827+$E$755+$C$601+$A$556</f>
        <v>5347.2</v>
      </c>
      <c r="X852">
        <f>u_Death</f>
        <v>19.181538114427529</v>
      </c>
      <c r="Z852" s="42">
        <f>U852*W852</f>
        <v>1.3501501515369305</v>
      </c>
      <c r="AA852" s="6">
        <f t="shared" si="141"/>
        <v>4.8432743476783625E-3</v>
      </c>
      <c r="AB852" s="42"/>
      <c r="AC852" s="42"/>
    </row>
    <row r="853" spans="9:29" x14ac:dyDescent="0.3">
      <c r="K853" s="45">
        <f>AGA_term_2d_2</f>
        <v>5.6536333333333339E-3</v>
      </c>
      <c r="T853" s="78"/>
      <c r="Z853" s="42"/>
      <c r="AA853" s="6">
        <f t="shared" si="141"/>
        <v>0</v>
      </c>
      <c r="AB853" s="42">
        <f t="shared" ref="AB853:AB884" si="142">U853*c_CSG</f>
        <v>0</v>
      </c>
      <c r="AC853" s="42">
        <f>U853*(Q855-c_CSG)</f>
        <v>0</v>
      </c>
    </row>
    <row r="854" spans="9:29" x14ac:dyDescent="0.3">
      <c r="K854" s="46">
        <f>c_SB</f>
        <v>1792</v>
      </c>
      <c r="T854" s="78"/>
      <c r="Z854" s="42"/>
      <c r="AA854" s="6">
        <f t="shared" si="141"/>
        <v>0</v>
      </c>
      <c r="AB854" s="42">
        <f t="shared" si="142"/>
        <v>0</v>
      </c>
      <c r="AC854" s="42"/>
    </row>
    <row r="855" spans="9:29" x14ac:dyDescent="0.3">
      <c r="T855" s="78"/>
      <c r="Z855" s="42"/>
      <c r="AA855" s="6">
        <f t="shared" si="141"/>
        <v>0</v>
      </c>
      <c r="AB855" s="42">
        <f t="shared" si="142"/>
        <v>0</v>
      </c>
      <c r="AC855" s="42">
        <f>U855*(Q857-c_CSG)</f>
        <v>0</v>
      </c>
    </row>
    <row r="856" spans="9:29" x14ac:dyDescent="0.3">
      <c r="Q856" s="19" t="s">
        <v>367</v>
      </c>
      <c r="R856" s="19"/>
      <c r="T856" s="78"/>
      <c r="U856">
        <f>$K$872*$I$861*$G$826*$E$754*$C$600*$A$555*$M$867*$O$862*Q857</f>
        <v>0</v>
      </c>
      <c r="V856">
        <v>0</v>
      </c>
      <c r="W856" s="42">
        <f>$K$873+$I$862+$G$827+$E$755+$C$601+$A$556+$M$868+$O$863+Q858</f>
        <v>91616.581450605634</v>
      </c>
      <c r="X856">
        <f>u_ChronicResp</f>
        <v>0.53465956747782661</v>
      </c>
      <c r="Z856" s="42">
        <f>U856*W856</f>
        <v>0</v>
      </c>
      <c r="AA856" s="6">
        <f t="shared" si="141"/>
        <v>0</v>
      </c>
      <c r="AB856" s="42">
        <f t="shared" si="142"/>
        <v>0</v>
      </c>
      <c r="AC856" s="42">
        <f>U856*(Q858-c_CSG)</f>
        <v>0</v>
      </c>
    </row>
    <row r="857" spans="9:29" x14ac:dyDescent="0.3">
      <c r="Q857" s="45">
        <f>RDS2CLD_2-(Hypo2CI_2*RDS2CLD_2)</f>
        <v>0.34246866666666664</v>
      </c>
      <c r="R857" s="45"/>
      <c r="T857" s="78"/>
      <c r="Z857" s="42"/>
      <c r="AA857" s="6">
        <f t="shared" si="141"/>
        <v>0</v>
      </c>
      <c r="AB857" s="42">
        <f t="shared" si="142"/>
        <v>0</v>
      </c>
      <c r="AC857" s="42"/>
    </row>
    <row r="858" spans="9:29" x14ac:dyDescent="0.3">
      <c r="Q858" s="46">
        <f>c_lung+c_hosp_fu+c_CSG</f>
        <v>54529.510902399998</v>
      </c>
      <c r="R858" s="46"/>
      <c r="T858" s="78"/>
      <c r="Z858" s="42"/>
      <c r="AA858" s="6">
        <f t="shared" si="141"/>
        <v>0</v>
      </c>
      <c r="AB858" s="42">
        <f t="shared" si="142"/>
        <v>0</v>
      </c>
      <c r="AC858" s="42">
        <f>U858*(Q860-c_CSG)</f>
        <v>0</v>
      </c>
    </row>
    <row r="859" spans="9:29" x14ac:dyDescent="0.3">
      <c r="Q859" s="19" t="s">
        <v>226</v>
      </c>
      <c r="R859" s="19"/>
      <c r="T859" s="78"/>
      <c r="U859">
        <f>$K$872*$I$861*$G$826*$E$754*$C$600*$A$555*$M$867*$O$862*Q860</f>
        <v>0</v>
      </c>
      <c r="V859">
        <v>0</v>
      </c>
      <c r="W859" s="42">
        <f>$K$873+$I$862+$G$827+$E$755+$C$601+$A$556+$M$868+$O$863+Q861</f>
        <v>52853.070548205636</v>
      </c>
      <c r="X859">
        <f>u_CongnitiveImpairement</f>
        <v>17.270393127285455</v>
      </c>
      <c r="Z859" s="42">
        <f>U859*W859</f>
        <v>0</v>
      </c>
      <c r="AA859" s="6">
        <f t="shared" si="141"/>
        <v>0</v>
      </c>
      <c r="AB859" s="42">
        <f t="shared" si="142"/>
        <v>0</v>
      </c>
      <c r="AC859" s="42">
        <f>U859*(Q861-c_CSG)</f>
        <v>0</v>
      </c>
    </row>
    <row r="860" spans="9:29" x14ac:dyDescent="0.3">
      <c r="I860" s="19" t="s">
        <v>424</v>
      </c>
      <c r="Q860" s="45">
        <f>Hypo2CI_2-(Hypo2CI_2*RDS2CLD_2)</f>
        <v>3.2801999999999998E-2</v>
      </c>
      <c r="R860" s="45"/>
      <c r="T860" s="78"/>
      <c r="Z860" s="42"/>
      <c r="AA860" s="6">
        <f t="shared" si="141"/>
        <v>0</v>
      </c>
      <c r="AB860" s="42">
        <f t="shared" si="142"/>
        <v>0</v>
      </c>
      <c r="AC860" s="42"/>
    </row>
    <row r="861" spans="9:29" x14ac:dyDescent="0.3">
      <c r="I861" s="45">
        <f>NBW_term_2AGA_2</f>
        <v>0.82903924139402996</v>
      </c>
      <c r="O861" s="19" t="s">
        <v>161</v>
      </c>
      <c r="Q861" s="46">
        <f>c_cog+c_hosp_fu+c_CSG</f>
        <v>15766</v>
      </c>
      <c r="R861" s="46"/>
      <c r="T861" s="78"/>
      <c r="Z861" s="42"/>
      <c r="AA861" s="6">
        <f t="shared" si="141"/>
        <v>0</v>
      </c>
      <c r="AB861" s="42">
        <f t="shared" si="142"/>
        <v>0</v>
      </c>
      <c r="AC861" s="42">
        <f>U861*(Q863-c_CSG)</f>
        <v>0</v>
      </c>
    </row>
    <row r="862" spans="9:29" x14ac:dyDescent="0.3">
      <c r="I862" s="46"/>
      <c r="O862" s="45">
        <f>AGA_term_2hypoglycaemia_2</f>
        <v>0</v>
      </c>
      <c r="Q862" s="19" t="s">
        <v>368</v>
      </c>
      <c r="R862" s="19"/>
      <c r="T862" s="78"/>
      <c r="U862">
        <f>$K$872*$I$861*$G$826*$E$754*$C$600*$A$555*$M$867*$O$862*Q863</f>
        <v>0</v>
      </c>
      <c r="V862">
        <v>0</v>
      </c>
      <c r="W862" s="42">
        <f>$K$873+$I$862+$G$827+$E$755+$C$601+$A$556+$M$868+$O$863+Q864</f>
        <v>95435.581450605634</v>
      </c>
      <c r="X862">
        <f>u_ChronicResp+u_CongnitiveImpairement</f>
        <v>17.805052694763283</v>
      </c>
      <c r="Z862" s="42">
        <f>U862*W862</f>
        <v>0</v>
      </c>
      <c r="AA862" s="6">
        <f t="shared" si="141"/>
        <v>0</v>
      </c>
      <c r="AB862" s="42">
        <f t="shared" si="142"/>
        <v>0</v>
      </c>
      <c r="AC862" s="42">
        <f>U862*(Q864-c_CSG)</f>
        <v>0</v>
      </c>
    </row>
    <row r="863" spans="9:29" x14ac:dyDescent="0.3">
      <c r="O863" s="46">
        <f>c_hypo</f>
        <v>2936.2604000000001</v>
      </c>
      <c r="Q863" s="45">
        <f>Hypo2CI_2*RDS2CLD_2</f>
        <v>1.8531333333333334E-2</v>
      </c>
      <c r="R863" s="45"/>
      <c r="T863" s="78"/>
      <c r="Z863" s="42"/>
      <c r="AA863" s="6">
        <f t="shared" si="141"/>
        <v>0</v>
      </c>
      <c r="AB863" s="42">
        <f t="shared" si="142"/>
        <v>0</v>
      </c>
      <c r="AC863" s="42"/>
    </row>
    <row r="864" spans="9:29" x14ac:dyDescent="0.3">
      <c r="M864" s="42"/>
      <c r="Q864" s="46">
        <f>c_lung+c_cog+c_hosp_fu+c_CSG</f>
        <v>58348.510902399998</v>
      </c>
      <c r="R864" s="46"/>
      <c r="T864" s="78"/>
      <c r="Z864" s="42"/>
      <c r="AA864" s="6">
        <f t="shared" si="141"/>
        <v>0</v>
      </c>
      <c r="AB864" s="42">
        <f t="shared" si="142"/>
        <v>0</v>
      </c>
      <c r="AC864" s="42">
        <f>U864*(Q866-c_CSG)</f>
        <v>0</v>
      </c>
    </row>
    <row r="865" spans="3:29" x14ac:dyDescent="0.3">
      <c r="Q865" s="19" t="s">
        <v>369</v>
      </c>
      <c r="R865" s="19"/>
      <c r="T865" s="78"/>
      <c r="U865">
        <f>$K$872*$I$861*$G$826*$E$754*$C$600*$A$555*$M$867*$O$862*Q866</f>
        <v>0</v>
      </c>
      <c r="V865">
        <v>0</v>
      </c>
      <c r="W865" s="42">
        <f>$K$873+$I$862+$G$827+$E$755+$C$601+$A$556+$M$868+$O$863+Q867</f>
        <v>51490.070548205636</v>
      </c>
      <c r="X865">
        <f>u_Healthy</f>
        <v>0</v>
      </c>
      <c r="Z865" s="42">
        <f>U865*W865</f>
        <v>0</v>
      </c>
      <c r="AA865" s="6">
        <f t="shared" si="141"/>
        <v>0</v>
      </c>
      <c r="AB865" s="42">
        <f t="shared" si="142"/>
        <v>0</v>
      </c>
      <c r="AC865" s="42">
        <f>U865*(Q867-c_CSG)</f>
        <v>0</v>
      </c>
    </row>
    <row r="866" spans="3:29" x14ac:dyDescent="0.3">
      <c r="M866" s="19" t="s">
        <v>9</v>
      </c>
      <c r="Q866" s="45">
        <f>1-Q857-Q860-Q863</f>
        <v>0.60619800000000001</v>
      </c>
      <c r="R866" s="45"/>
      <c r="T866" s="78"/>
      <c r="Z866" s="42"/>
      <c r="AA866" s="6">
        <f t="shared" si="141"/>
        <v>0</v>
      </c>
      <c r="AB866" s="42">
        <f t="shared" si="142"/>
        <v>0</v>
      </c>
      <c r="AC866" s="42">
        <f>U866*(Q868-c_CSG)</f>
        <v>0</v>
      </c>
    </row>
    <row r="867" spans="3:29" x14ac:dyDescent="0.3">
      <c r="K867" s="42"/>
      <c r="M867" s="45">
        <f>S_term_2RDS_2</f>
        <v>0</v>
      </c>
      <c r="Q867" s="46">
        <f>c_clinic_fu+c_CSG</f>
        <v>14403</v>
      </c>
      <c r="R867" s="46"/>
      <c r="T867" s="78"/>
      <c r="Z867" s="42"/>
      <c r="AA867" s="6">
        <f t="shared" si="141"/>
        <v>0</v>
      </c>
      <c r="AB867" s="42">
        <f t="shared" si="142"/>
        <v>0</v>
      </c>
      <c r="AC867" s="42"/>
    </row>
    <row r="868" spans="3:29" x14ac:dyDescent="0.3">
      <c r="K868" s="42"/>
      <c r="M868" s="46">
        <f>c_RDS</f>
        <v>30595.610148205637</v>
      </c>
      <c r="Q868" s="42"/>
      <c r="R868" s="42"/>
      <c r="T868" s="78"/>
      <c r="Z868" s="42"/>
      <c r="AA868" s="6">
        <f t="shared" si="141"/>
        <v>0</v>
      </c>
      <c r="AB868" s="42">
        <f t="shared" si="142"/>
        <v>0</v>
      </c>
      <c r="AC868" s="42">
        <f>U868*(Q870-c_CSG)</f>
        <v>0</v>
      </c>
    </row>
    <row r="869" spans="3:29" x14ac:dyDescent="0.3">
      <c r="Q869" s="19" t="s">
        <v>367</v>
      </c>
      <c r="R869" s="19"/>
      <c r="T869" s="78"/>
      <c r="U869">
        <f>$K$872*$I$861*$G$826*$E$754*$C$600*$A$555*$M$867*$O$872*Q870</f>
        <v>0</v>
      </c>
      <c r="V869">
        <v>0</v>
      </c>
      <c r="W869" s="42">
        <f>$K$873+$I$862+$G$827+$E$755+$C$601+$A$556+$M$868+$O$873+Q871</f>
        <v>88680.321050605635</v>
      </c>
      <c r="X869">
        <f>u_ChronicResp</f>
        <v>0.53465956747782661</v>
      </c>
      <c r="Z869" s="42">
        <f>U869*W869</f>
        <v>0</v>
      </c>
      <c r="AA869" s="6">
        <f t="shared" si="141"/>
        <v>0</v>
      </c>
      <c r="AB869" s="42">
        <f t="shared" si="142"/>
        <v>0</v>
      </c>
      <c r="AC869" s="42">
        <f>U869*(Q871-c_CSG)</f>
        <v>0</v>
      </c>
    </row>
    <row r="870" spans="3:29" x14ac:dyDescent="0.3">
      <c r="Q870" s="45">
        <f>RDS2CLD_2-(RDS2CLD_2*noHypo2CI_2)</f>
        <v>0.34905610687022898</v>
      </c>
      <c r="R870" s="45"/>
      <c r="T870" s="78"/>
      <c r="Z870" s="42"/>
      <c r="AA870" s="6">
        <f t="shared" si="141"/>
        <v>0</v>
      </c>
      <c r="AB870" s="42">
        <f t="shared" si="142"/>
        <v>0</v>
      </c>
      <c r="AC870" s="42"/>
    </row>
    <row r="871" spans="3:29" x14ac:dyDescent="0.3">
      <c r="K871" s="19" t="s">
        <v>37</v>
      </c>
      <c r="M871" s="42"/>
      <c r="O871" s="19" t="s">
        <v>370</v>
      </c>
      <c r="Q871" s="46">
        <f>c_lung+c_hosp_fu+c_CSG</f>
        <v>54529.510902399998</v>
      </c>
      <c r="R871" s="46"/>
      <c r="T871" s="78"/>
      <c r="Z871" s="42"/>
      <c r="AA871" s="6">
        <f t="shared" si="141"/>
        <v>0</v>
      </c>
      <c r="AB871" s="42">
        <f t="shared" si="142"/>
        <v>0</v>
      </c>
      <c r="AC871" s="42">
        <f>U871*(Q873-c_CSG)</f>
        <v>0</v>
      </c>
    </row>
    <row r="872" spans="3:29" x14ac:dyDescent="0.3">
      <c r="K872" s="45">
        <f>AGA_term_2s_2</f>
        <v>0.99434636666666665</v>
      </c>
      <c r="O872" s="45">
        <f>AGA_term_2normoglycaemia_2</f>
        <v>1</v>
      </c>
      <c r="Q872" s="19" t="s">
        <v>226</v>
      </c>
      <c r="R872" s="19"/>
      <c r="T872" s="78"/>
      <c r="U872">
        <f>$K$872*$I$861*$G$826*$E$754*$C$600*$A$555*$M$867*$O$872*Q873</f>
        <v>0</v>
      </c>
      <c r="V872">
        <v>0</v>
      </c>
      <c r="W872" s="42">
        <f>$K$873+$I$862+$G$827+$E$755+$C$601+$A$556+$M$868+$O$873+Q874</f>
        <v>49916.810148205637</v>
      </c>
      <c r="X872">
        <f>u_CongnitiveImpairement</f>
        <v>17.270393127285455</v>
      </c>
      <c r="Z872" s="42">
        <f>U872*W872</f>
        <v>0</v>
      </c>
      <c r="AA872" s="6">
        <f t="shared" ref="AA872:AA907" si="143">U872*X872</f>
        <v>0</v>
      </c>
      <c r="AB872" s="42">
        <f t="shared" si="142"/>
        <v>0</v>
      </c>
      <c r="AC872" s="42">
        <f>U872*(Q874-c_CSG)</f>
        <v>0</v>
      </c>
    </row>
    <row r="873" spans="3:29" x14ac:dyDescent="0.3">
      <c r="K873" s="46"/>
      <c r="O873" s="46"/>
      <c r="Q873" s="45">
        <f>noHypo2CI_2-(RDS2CLD_2*noHypo2CI_2)</f>
        <v>2.1141683406990762E-2</v>
      </c>
      <c r="R873" s="45"/>
      <c r="T873" s="78"/>
      <c r="Z873" s="42"/>
      <c r="AA873" s="6">
        <f t="shared" si="143"/>
        <v>0</v>
      </c>
      <c r="AB873" s="42">
        <f t="shared" si="142"/>
        <v>0</v>
      </c>
      <c r="AC873" s="42"/>
    </row>
    <row r="874" spans="3:29" x14ac:dyDescent="0.3">
      <c r="Q874" s="46">
        <f>c_cog+c_hosp_fu+c_CSG</f>
        <v>15766</v>
      </c>
      <c r="R874" s="46"/>
      <c r="T874" s="78"/>
      <c r="Z874" s="42"/>
      <c r="AA874" s="6">
        <f t="shared" si="143"/>
        <v>0</v>
      </c>
      <c r="AB874" s="42">
        <f t="shared" si="142"/>
        <v>0</v>
      </c>
      <c r="AC874" s="42">
        <f>U874*(Q876-c_CSG)</f>
        <v>0</v>
      </c>
    </row>
    <row r="875" spans="3:29" x14ac:dyDescent="0.3">
      <c r="Q875" s="19" t="s">
        <v>368</v>
      </c>
      <c r="R875" s="19"/>
      <c r="T875" s="78"/>
      <c r="U875">
        <f>$K$872*$I$861*$G$826*$E$754*$C$600*$A$555*$M$867*$O$872*Q876</f>
        <v>0</v>
      </c>
      <c r="V875">
        <v>0</v>
      </c>
      <c r="W875" s="42">
        <f>$K$873+$I$862+$G$827+$E$755+$C$601+$A$556+$M$868+$O$873+Q877</f>
        <v>92499.321050605635</v>
      </c>
      <c r="X875">
        <f>u_ChronicResp+u_CongnitiveImpairement</f>
        <v>17.805052694763283</v>
      </c>
      <c r="Z875" s="42">
        <f>U875*W875</f>
        <v>0</v>
      </c>
      <c r="AA875" s="6">
        <f t="shared" si="143"/>
        <v>0</v>
      </c>
      <c r="AB875" s="42">
        <f t="shared" si="142"/>
        <v>0</v>
      </c>
      <c r="AC875" s="42">
        <f>U875*(Q877-c_CSG)</f>
        <v>0</v>
      </c>
    </row>
    <row r="876" spans="3:29" x14ac:dyDescent="0.3">
      <c r="Q876" s="45">
        <f>RDS2CLD_2*noHypo2CI_2</f>
        <v>1.1943893129770991E-2</v>
      </c>
      <c r="R876" s="45"/>
      <c r="T876" s="78"/>
      <c r="Z876" s="42"/>
      <c r="AA876" s="6">
        <f t="shared" si="143"/>
        <v>0</v>
      </c>
      <c r="AB876" s="42">
        <f t="shared" si="142"/>
        <v>0</v>
      </c>
      <c r="AC876" s="42"/>
    </row>
    <row r="877" spans="3:29" x14ac:dyDescent="0.3">
      <c r="Q877" s="46">
        <f>c_cog+c_lung+c_hosp_fu+c_CSG</f>
        <v>58348.510902399998</v>
      </c>
      <c r="R877" s="46"/>
      <c r="T877" s="78"/>
      <c r="Z877" s="42"/>
      <c r="AA877" s="6">
        <f t="shared" si="143"/>
        <v>0</v>
      </c>
      <c r="AB877" s="42">
        <f t="shared" si="142"/>
        <v>0</v>
      </c>
      <c r="AC877" s="42">
        <f>U877*(Q879-c_CSG)</f>
        <v>0</v>
      </c>
    </row>
    <row r="878" spans="3:29" x14ac:dyDescent="0.3">
      <c r="Q878" s="19" t="s">
        <v>369</v>
      </c>
      <c r="R878" s="19"/>
      <c r="T878" s="78"/>
      <c r="U878">
        <f>$K$872*$I$861*$G$826*$E$754*$C$600*$A$555*$M$867*$O$872*Q879</f>
        <v>0</v>
      </c>
      <c r="V878">
        <v>0</v>
      </c>
      <c r="W878" s="42">
        <f>$K$873+$I$862+$G$827+$E$755+$C$601+$A$556+$M$868+$O$873+Q880</f>
        <v>48553.810148205637</v>
      </c>
      <c r="X878">
        <f>u_Healthy</f>
        <v>0</v>
      </c>
      <c r="Z878" s="42">
        <f>U878*W878</f>
        <v>0</v>
      </c>
      <c r="AA878" s="6">
        <f t="shared" si="143"/>
        <v>0</v>
      </c>
      <c r="AB878" s="42">
        <f t="shared" si="142"/>
        <v>0</v>
      </c>
      <c r="AC878" s="42">
        <f>U878*(Q880-c_CSG)</f>
        <v>0</v>
      </c>
    </row>
    <row r="879" spans="3:29" x14ac:dyDescent="0.3">
      <c r="C879" s="42"/>
      <c r="Q879" s="45">
        <f>1-Q876-Q873-Q870</f>
        <v>0.61785831659300938</v>
      </c>
      <c r="R879" s="45"/>
      <c r="T879" s="78"/>
      <c r="Z879" s="42"/>
      <c r="AA879" s="6">
        <f t="shared" si="143"/>
        <v>0</v>
      </c>
      <c r="AB879" s="42">
        <f t="shared" si="142"/>
        <v>0</v>
      </c>
      <c r="AC879" s="42">
        <f>U879*(Q881-c_CSG)</f>
        <v>0</v>
      </c>
    </row>
    <row r="880" spans="3:29" x14ac:dyDescent="0.3">
      <c r="Q880" s="46">
        <f>c_clinic_fu+c_CSG</f>
        <v>14403</v>
      </c>
      <c r="R880" s="46"/>
      <c r="T880" s="78"/>
      <c r="Z880" s="42"/>
      <c r="AA880" s="6">
        <f t="shared" si="143"/>
        <v>0</v>
      </c>
      <c r="AB880" s="42">
        <f t="shared" si="142"/>
        <v>0</v>
      </c>
      <c r="AC880" s="42"/>
    </row>
    <row r="881" spans="13:29" x14ac:dyDescent="0.3">
      <c r="Q881" s="42"/>
      <c r="R881" s="42"/>
      <c r="T881" s="78"/>
      <c r="Z881" s="42"/>
      <c r="AA881" s="6">
        <f t="shared" si="143"/>
        <v>0</v>
      </c>
      <c r="AB881" s="42">
        <f t="shared" si="142"/>
        <v>0</v>
      </c>
      <c r="AC881" s="42">
        <f>U881*(Q883-c_CSG)</f>
        <v>0</v>
      </c>
    </row>
    <row r="882" spans="13:29" x14ac:dyDescent="0.3">
      <c r="Q882" s="19" t="s">
        <v>367</v>
      </c>
      <c r="R882" s="19"/>
      <c r="T882" s="78"/>
      <c r="U882">
        <f>$K$872*$I$861*$G$826*$E$754*$C$600*$A$555*$M$887*$O$885*Q883</f>
        <v>0</v>
      </c>
      <c r="V882">
        <v>0</v>
      </c>
      <c r="W882" s="42">
        <f>$K$873+$I$862+$G$827+$E$755+$C$601+$A$556+$M$888+$O$886+Q884</f>
        <v>61020.971302399994</v>
      </c>
      <c r="X882">
        <f>u_ChronicResp</f>
        <v>0.53465956747782661</v>
      </c>
      <c r="Z882" s="42">
        <f>U882*W882</f>
        <v>0</v>
      </c>
      <c r="AA882" s="6">
        <f t="shared" si="143"/>
        <v>0</v>
      </c>
      <c r="AB882" s="42">
        <f t="shared" si="142"/>
        <v>0</v>
      </c>
      <c r="AC882" s="42">
        <f>U882*(Q884-c_CSG)</f>
        <v>0</v>
      </c>
    </row>
    <row r="883" spans="13:29" x14ac:dyDescent="0.3">
      <c r="Q883" s="45">
        <f>RDS2CLD_2-(Hypo2CI_2*RDS2CLD_2)</f>
        <v>0.34246866666666664</v>
      </c>
      <c r="R883" s="45"/>
      <c r="T883" s="78"/>
      <c r="Z883" s="42"/>
      <c r="AA883" s="6">
        <f t="shared" si="143"/>
        <v>0</v>
      </c>
      <c r="AB883" s="42">
        <f t="shared" si="142"/>
        <v>0</v>
      </c>
      <c r="AC883" s="42"/>
    </row>
    <row r="884" spans="13:29" x14ac:dyDescent="0.3">
      <c r="O884" s="19" t="s">
        <v>161</v>
      </c>
      <c r="Q884" s="46">
        <f>c_lung+c_hosp_fu+c_CSG</f>
        <v>54529.510902399998</v>
      </c>
      <c r="R884" s="46"/>
      <c r="T884" s="78"/>
      <c r="Z884" s="42"/>
      <c r="AA884" s="6">
        <f t="shared" si="143"/>
        <v>0</v>
      </c>
      <c r="AB884" s="42">
        <f t="shared" si="142"/>
        <v>0</v>
      </c>
      <c r="AC884" s="42">
        <f>U884*(Q886-c_CSG)</f>
        <v>0</v>
      </c>
    </row>
    <row r="885" spans="13:29" x14ac:dyDescent="0.3">
      <c r="O885" s="45">
        <f>AGA_term_2hypoglycaemia_2</f>
        <v>0</v>
      </c>
      <c r="Q885" s="19" t="s">
        <v>226</v>
      </c>
      <c r="R885" s="19"/>
      <c r="T885" s="78"/>
      <c r="U885">
        <f>$K$872*$I$861*$G$826*$E$754*$C$600*$A$555*$M$887*$O$885*Q886</f>
        <v>0</v>
      </c>
      <c r="V885">
        <v>0</v>
      </c>
      <c r="W885" s="42">
        <f>$K$873+$I$862+$G$827+$E$755+$C$601+$A$556+$M$888+$O$886+Q887</f>
        <v>22257.4604</v>
      </c>
      <c r="X885">
        <f>u_CongnitiveImpairement</f>
        <v>17.270393127285455</v>
      </c>
      <c r="Z885" s="42">
        <f>U885*W885</f>
        <v>0</v>
      </c>
      <c r="AA885" s="6">
        <f t="shared" si="143"/>
        <v>0</v>
      </c>
      <c r="AB885" s="42">
        <f t="shared" ref="AB885:AB904" si="144">U885*c_CSG</f>
        <v>0</v>
      </c>
      <c r="AC885" s="42">
        <f>U885*(Q887-c_CSG)</f>
        <v>0</v>
      </c>
    </row>
    <row r="886" spans="13:29" x14ac:dyDescent="0.3">
      <c r="M886" s="19" t="s">
        <v>203</v>
      </c>
      <c r="O886" s="46">
        <f>c_hypo</f>
        <v>2936.2604000000001</v>
      </c>
      <c r="Q886" s="45">
        <f>Hypo2CI_2-(Hypo2CI_2*RDS2CLD_2)</f>
        <v>3.2801999999999998E-2</v>
      </c>
      <c r="R886" s="45"/>
      <c r="T886" s="78"/>
      <c r="Z886" s="42"/>
      <c r="AA886" s="6">
        <f t="shared" si="143"/>
        <v>0</v>
      </c>
      <c r="AB886" s="42">
        <f t="shared" si="144"/>
        <v>0</v>
      </c>
      <c r="AC886" s="42"/>
    </row>
    <row r="887" spans="13:29" x14ac:dyDescent="0.3">
      <c r="M887" s="45">
        <f>S_term_2noRDS_2</f>
        <v>1</v>
      </c>
      <c r="Q887" s="46">
        <f>c_cog+c_hosp_fu+c_CSG</f>
        <v>15766</v>
      </c>
      <c r="R887" s="46"/>
      <c r="T887" s="78"/>
      <c r="Z887" s="42"/>
      <c r="AA887" s="6">
        <f t="shared" si="143"/>
        <v>0</v>
      </c>
      <c r="AB887" s="42">
        <f t="shared" si="144"/>
        <v>0</v>
      </c>
      <c r="AC887" s="42">
        <f>U887*(Q889-c_CSG)</f>
        <v>0</v>
      </c>
    </row>
    <row r="888" spans="13:29" x14ac:dyDescent="0.3">
      <c r="M888" s="46"/>
      <c r="O888" s="42"/>
      <c r="Q888" s="19" t="s">
        <v>368</v>
      </c>
      <c r="R888" s="19"/>
      <c r="T888" s="78"/>
      <c r="U888">
        <f>$K$872*$I$861*$G$826*$E$754*$C$600*$A$555*$M$887*$O$885*Q889</f>
        <v>0</v>
      </c>
      <c r="V888">
        <v>0</v>
      </c>
      <c r="W888" s="42">
        <f>$K$873+$I$862+$G$827+$E$755+$C$601+$A$556+$M$888+$O$886+Q890</f>
        <v>64839.971302399994</v>
      </c>
      <c r="X888">
        <f>u_ChronicResp+u_CongnitiveImpairement</f>
        <v>17.805052694763283</v>
      </c>
      <c r="Z888" s="42">
        <f>U888*W888</f>
        <v>0</v>
      </c>
      <c r="AA888" s="6">
        <f t="shared" si="143"/>
        <v>0</v>
      </c>
      <c r="AB888" s="42">
        <f t="shared" si="144"/>
        <v>0</v>
      </c>
      <c r="AC888" s="42">
        <f>U888*(Q890-c_CSG)</f>
        <v>0</v>
      </c>
    </row>
    <row r="889" spans="13:29" x14ac:dyDescent="0.3">
      <c r="M889" s="42"/>
      <c r="Q889" s="45">
        <f>Hypo2CI_2*RDS2CLD_2</f>
        <v>1.8531333333333334E-2</v>
      </c>
      <c r="R889" s="45"/>
      <c r="T889" s="78"/>
      <c r="Z889" s="42"/>
      <c r="AA889" s="6">
        <f t="shared" si="143"/>
        <v>0</v>
      </c>
      <c r="AB889" s="42">
        <f t="shared" si="144"/>
        <v>0</v>
      </c>
      <c r="AC889" s="42"/>
    </row>
    <row r="890" spans="13:29" x14ac:dyDescent="0.3">
      <c r="M890" s="42"/>
      <c r="Q890" s="46">
        <f>c_lung+c_cog+c_hosp_fu+c_CSG</f>
        <v>58348.510902399998</v>
      </c>
      <c r="R890" s="46"/>
      <c r="T890" s="78"/>
      <c r="Z890" s="42"/>
      <c r="AA890" s="6">
        <f t="shared" si="143"/>
        <v>0</v>
      </c>
      <c r="AB890" s="42">
        <f t="shared" si="144"/>
        <v>0</v>
      </c>
      <c r="AC890" s="42">
        <f>U890*(Q892-c_CSG)</f>
        <v>0</v>
      </c>
    </row>
    <row r="891" spans="13:29" x14ac:dyDescent="0.3">
      <c r="M891" s="42"/>
      <c r="Q891" s="19" t="s">
        <v>369</v>
      </c>
      <c r="R891" s="19"/>
      <c r="T891" s="78"/>
      <c r="U891">
        <f>$K$872*$I$861*$G$826*$E$754*$C$600*$A$555*$M$887*$O$885*Q892</f>
        <v>0</v>
      </c>
      <c r="V891">
        <v>0</v>
      </c>
      <c r="W891" s="42">
        <f>$K$873+$I$862+$G$827+$E$755+$C$601+$A$556+$M$888+$O$886+Q893</f>
        <v>20894.4604</v>
      </c>
      <c r="X891">
        <f>u_Healthy</f>
        <v>0</v>
      </c>
      <c r="Z891" s="42">
        <f>U891*W891</f>
        <v>0</v>
      </c>
      <c r="AA891" s="6">
        <f t="shared" si="143"/>
        <v>0</v>
      </c>
      <c r="AB891" s="42">
        <f t="shared" si="144"/>
        <v>0</v>
      </c>
      <c r="AC891" s="42">
        <f>U891*(Q893-c_CSG)</f>
        <v>0</v>
      </c>
    </row>
    <row r="892" spans="13:29" x14ac:dyDescent="0.3">
      <c r="M892" s="42"/>
      <c r="O892" s="42"/>
      <c r="Q892" s="45">
        <f>1-Q883-Q886-Q889</f>
        <v>0.60619800000000001</v>
      </c>
      <c r="R892" s="45"/>
      <c r="T892" s="78"/>
      <c r="Z892" s="42"/>
      <c r="AA892" s="6">
        <f t="shared" si="143"/>
        <v>0</v>
      </c>
      <c r="AB892" s="42">
        <f t="shared" si="144"/>
        <v>0</v>
      </c>
      <c r="AC892" s="42">
        <f>U892*(Q894-c_CSG)</f>
        <v>0</v>
      </c>
    </row>
    <row r="893" spans="13:29" x14ac:dyDescent="0.3">
      <c r="M893" s="42"/>
      <c r="Q893" s="46">
        <f>c_clinic_fu+c_CSG</f>
        <v>14403</v>
      </c>
      <c r="R893" s="46"/>
      <c r="T893" s="78"/>
      <c r="Z893" s="42"/>
      <c r="AA893" s="6">
        <f t="shared" si="143"/>
        <v>0</v>
      </c>
      <c r="AB893" s="42">
        <f t="shared" si="144"/>
        <v>0</v>
      </c>
      <c r="AC893" s="42"/>
    </row>
    <row r="894" spans="13:29" x14ac:dyDescent="0.3">
      <c r="M894" s="42"/>
      <c r="Q894" s="42"/>
      <c r="R894" s="42"/>
      <c r="S894" s="94"/>
      <c r="T894" s="78"/>
      <c r="Z894" s="42"/>
      <c r="AA894" s="6">
        <f t="shared" si="143"/>
        <v>0</v>
      </c>
      <c r="AB894" s="42">
        <f t="shared" si="144"/>
        <v>0</v>
      </c>
      <c r="AC894" s="42">
        <f>U894*(Q896-c_CSG)</f>
        <v>0</v>
      </c>
    </row>
    <row r="895" spans="13:29" x14ac:dyDescent="0.3">
      <c r="M895" s="42"/>
      <c r="Q895" s="19" t="s">
        <v>367</v>
      </c>
      <c r="R895" s="19"/>
      <c r="T895" s="78"/>
      <c r="U895">
        <f>$K$872*$I$861*$G$826*$E$754*$C$600*$A$555*$M$887*$O$899*Q896</f>
        <v>1.5501043468730038E-2</v>
      </c>
      <c r="V895">
        <v>2.4797308328744445E-2</v>
      </c>
      <c r="W895" s="42">
        <f>$K$873+$I$862+$G$827+$E$755+$C$601+$A$556+$M$888+$O$900+Q897</f>
        <v>58084.710902399995</v>
      </c>
      <c r="X895">
        <f>u_ChronicResp</f>
        <v>0.53465956747782661</v>
      </c>
      <c r="Z895" s="42">
        <f>U895*W895</f>
        <v>900.37362856671984</v>
      </c>
      <c r="AA895" s="6">
        <f t="shared" si="143"/>
        <v>8.2877811964461919E-3</v>
      </c>
      <c r="AB895" s="42">
        <f t="shared" si="144"/>
        <v>171.13151989477961</v>
      </c>
      <c r="AC895" s="42">
        <f>U895*(Q897-c_CSG)</f>
        <v>674.13279893191122</v>
      </c>
    </row>
    <row r="896" spans="13:29" x14ac:dyDescent="0.3">
      <c r="M896" s="42"/>
      <c r="Q896" s="45">
        <f>RDS2CLD_2-(RDS2CLD_2*noHypo2CI_2)</f>
        <v>0.34905610687022898</v>
      </c>
      <c r="R896" s="45"/>
      <c r="T896" s="78"/>
      <c r="Z896" s="42"/>
      <c r="AA896" s="6">
        <f t="shared" si="143"/>
        <v>0</v>
      </c>
      <c r="AB896" s="42">
        <f t="shared" si="144"/>
        <v>0</v>
      </c>
      <c r="AC896" s="42"/>
    </row>
    <row r="897" spans="1:29" x14ac:dyDescent="0.3">
      <c r="M897" s="42"/>
      <c r="Q897" s="46">
        <f>c_lung+c_hosp_fu+c_CSG</f>
        <v>54529.510902399998</v>
      </c>
      <c r="R897" s="46"/>
      <c r="T897" s="78"/>
      <c r="Z897" s="42"/>
      <c r="AA897" s="6">
        <f t="shared" si="143"/>
        <v>0</v>
      </c>
      <c r="AB897" s="42">
        <f t="shared" si="144"/>
        <v>0</v>
      </c>
      <c r="AC897" s="42">
        <f>U897*(Q899-c_CSG)</f>
        <v>0</v>
      </c>
    </row>
    <row r="898" spans="1:29" x14ac:dyDescent="0.3">
      <c r="M898" s="42"/>
      <c r="O898" s="19" t="s">
        <v>370</v>
      </c>
      <c r="Q898" s="19" t="s">
        <v>226</v>
      </c>
      <c r="R898" s="19"/>
      <c r="T898" s="78"/>
      <c r="U898">
        <f>$K$872*$I$861*$G$826*$E$754*$C$600*$A$555*$M$887*$O$899*Q899</f>
        <v>9.3886956006110052E-4</v>
      </c>
      <c r="V898">
        <v>1.5019271449869143E-3</v>
      </c>
      <c r="W898" s="42">
        <f>$K$873+$I$862+$G$827+$E$755+$C$601+$A$556+$M$888+$O$900+Q900</f>
        <v>19321.2</v>
      </c>
      <c r="X898">
        <f>u_CongnitiveImpairement</f>
        <v>17.270393127285455</v>
      </c>
      <c r="Z898" s="42">
        <f>U898*W898</f>
        <v>18.140086543852536</v>
      </c>
      <c r="AA898" s="6">
        <f t="shared" si="143"/>
        <v>1.621464639749675E-2</v>
      </c>
      <c r="AB898" s="42">
        <f t="shared" si="144"/>
        <v>10.36511994307455</v>
      </c>
      <c r="AC898" s="42">
        <f>U898*(Q900-c_CSG)</f>
        <v>4.437097540848761</v>
      </c>
    </row>
    <row r="899" spans="1:29" x14ac:dyDescent="0.3">
      <c r="M899" s="42"/>
      <c r="O899" s="45">
        <f>AGA_term_2normoglycaemia_2</f>
        <v>1</v>
      </c>
      <c r="Q899" s="45">
        <f>noHypo2CI_2-(RDS2CLD_2*noHypo2CI_2)</f>
        <v>2.1141683406990762E-2</v>
      </c>
      <c r="R899" s="45"/>
      <c r="T899" s="78"/>
      <c r="Z899" s="42"/>
      <c r="AA899" s="6">
        <f t="shared" si="143"/>
        <v>0</v>
      </c>
      <c r="AB899" s="42">
        <f t="shared" si="144"/>
        <v>0</v>
      </c>
      <c r="AC899" s="42"/>
    </row>
    <row r="900" spans="1:29" x14ac:dyDescent="0.3">
      <c r="M900" s="42"/>
      <c r="O900" s="46"/>
      <c r="Q900" s="46">
        <f>c_cog+c_hosp_fu+c_CSG</f>
        <v>15766</v>
      </c>
      <c r="R900" s="46"/>
      <c r="T900" s="78"/>
      <c r="Z900" s="42"/>
      <c r="AA900" s="6">
        <f t="shared" si="143"/>
        <v>0</v>
      </c>
      <c r="AB900" s="42">
        <f t="shared" si="144"/>
        <v>0</v>
      </c>
      <c r="AC900" s="42">
        <f>U900*(Q902-c_CSG)</f>
        <v>0</v>
      </c>
    </row>
    <row r="901" spans="1:29" x14ac:dyDescent="0.3">
      <c r="G901" s="42"/>
      <c r="M901" s="42"/>
      <c r="Q901" s="19" t="s">
        <v>368</v>
      </c>
      <c r="R901" s="19"/>
      <c r="T901" s="78"/>
      <c r="U901">
        <f>$K$872*$I$861*$G$826*$E$754*$C$600*$A$555*$M$887*$O$899*Q902</f>
        <v>5.3040987665423664E-4</v>
      </c>
      <c r="V901">
        <v>8.4850657173752111E-4</v>
      </c>
      <c r="W901" s="42">
        <f>$K$873+$I$862+$G$827+$E$755+$C$601+$A$556+$M$888+$O$900+Q903</f>
        <v>61903.710902399995</v>
      </c>
      <c r="X901">
        <f>u_ChronicResp+u_CongnitiveImpairement</f>
        <v>17.805052694763283</v>
      </c>
      <c r="Z901" s="42">
        <f>U901*W901</f>
        <v>32.834339664181506</v>
      </c>
      <c r="AA901" s="6">
        <f t="shared" si="143"/>
        <v>9.4439758036515761E-3</v>
      </c>
      <c r="AB901" s="42">
        <f t="shared" si="144"/>
        <v>5.8557250382627721</v>
      </c>
      <c r="AC901" s="42">
        <f>U901*(Q903-c_CSG)</f>
        <v>25.092901432437593</v>
      </c>
    </row>
    <row r="902" spans="1:29" x14ac:dyDescent="0.3">
      <c r="Q902" s="45">
        <f>RDS2CLD_2*noHypo2CI_2</f>
        <v>1.1943893129770991E-2</v>
      </c>
      <c r="R902" s="45"/>
      <c r="T902" s="78"/>
      <c r="Z902" s="42"/>
      <c r="AA902" s="6">
        <f t="shared" si="143"/>
        <v>0</v>
      </c>
      <c r="AB902" s="42">
        <f t="shared" si="144"/>
        <v>0</v>
      </c>
      <c r="AC902" s="42"/>
    </row>
    <row r="903" spans="1:29" x14ac:dyDescent="0.3">
      <c r="Q903" s="46">
        <f>c_cog+c_lung+c_hosp_fu+c_CSG</f>
        <v>58348.510902399998</v>
      </c>
      <c r="R903" s="46"/>
      <c r="T903" s="78"/>
      <c r="Z903" s="42"/>
      <c r="AA903" s="6">
        <f t="shared" si="143"/>
        <v>0</v>
      </c>
      <c r="AB903" s="42">
        <f t="shared" si="144"/>
        <v>0</v>
      </c>
      <c r="AC903" s="42">
        <f>U903*(Q905-c_CSG)</f>
        <v>0</v>
      </c>
    </row>
    <row r="904" spans="1:29" x14ac:dyDescent="0.3">
      <c r="M904" s="42"/>
      <c r="Q904" s="19" t="s">
        <v>369</v>
      </c>
      <c r="R904" s="19"/>
      <c r="T904" s="78"/>
      <c r="U904">
        <f>$K$872*$I$861*$G$826*$E$754*$C$600*$A$555*$M$887*$O$899*Q905</f>
        <v>2.7438135115009688E-2</v>
      </c>
      <c r="V904">
        <v>4.3893296460021346E-2</v>
      </c>
      <c r="W904" s="42">
        <f>$K$873+$I$862+$G$827+$E$755+$C$601+$A$556+$M$888+$O$900+Q906</f>
        <v>17958.2</v>
      </c>
      <c r="X904">
        <f>u_Healthy</f>
        <v>0</v>
      </c>
      <c r="Z904" s="42">
        <f>U904*W904</f>
        <v>492.73951802236701</v>
      </c>
      <c r="AA904" s="6">
        <f t="shared" si="143"/>
        <v>0</v>
      </c>
      <c r="AB904" s="42">
        <f t="shared" si="144"/>
        <v>302.91701166970694</v>
      </c>
      <c r="AC904" s="42">
        <f>U904*(Q906-c_CSG)</f>
        <v>92.274448391777582</v>
      </c>
    </row>
    <row r="905" spans="1:29" x14ac:dyDescent="0.3">
      <c r="M905" s="42"/>
      <c r="Q905" s="45">
        <f>1-Q902-Q899-Q896</f>
        <v>0.61785831659300938</v>
      </c>
      <c r="R905" s="45"/>
      <c r="T905" s="78"/>
      <c r="Z905" s="42"/>
      <c r="AA905" s="6">
        <f t="shared" si="143"/>
        <v>0</v>
      </c>
      <c r="AB905" s="42"/>
      <c r="AC905" s="42">
        <f>U905*(Q907-c_CSG)</f>
        <v>0</v>
      </c>
    </row>
    <row r="906" spans="1:29" x14ac:dyDescent="0.3">
      <c r="M906" s="42"/>
      <c r="Q906" s="46">
        <f>c_clinic_fu+c_CSG</f>
        <v>14403</v>
      </c>
      <c r="R906" s="46"/>
      <c r="T906" s="78"/>
      <c r="Z906" s="42"/>
      <c r="AA906" s="6">
        <f t="shared" si="143"/>
        <v>0</v>
      </c>
      <c r="AB906" s="42"/>
      <c r="AC906" s="42"/>
    </row>
    <row r="907" spans="1:29" x14ac:dyDescent="0.3">
      <c r="A907" s="81"/>
      <c r="B907" s="81"/>
      <c r="C907" s="81"/>
      <c r="D907" s="81"/>
      <c r="E907" s="81"/>
      <c r="F907" s="81"/>
      <c r="G907" s="81"/>
      <c r="H907" s="81"/>
      <c r="I907" s="81"/>
      <c r="J907" s="81"/>
      <c r="K907" s="81"/>
      <c r="L907" s="81"/>
      <c r="M907" s="83"/>
      <c r="N907" s="81"/>
      <c r="O907" s="81"/>
      <c r="P907" s="81"/>
      <c r="Q907" s="83"/>
      <c r="R907" s="83"/>
      <c r="S907" s="95"/>
      <c r="T907" s="78"/>
      <c r="Z907" s="42"/>
      <c r="AA907" s="6">
        <f t="shared" si="143"/>
        <v>0</v>
      </c>
      <c r="AB907" s="42"/>
      <c r="AC907" s="42"/>
    </row>
    <row r="908" spans="1:29" x14ac:dyDescent="0.3">
      <c r="A908" s="20" t="s">
        <v>5</v>
      </c>
      <c r="B908" s="20"/>
      <c r="C908" s="20"/>
      <c r="D908" s="20"/>
      <c r="E908" s="20"/>
      <c r="F908" s="20"/>
      <c r="G908" s="20"/>
      <c r="H908" s="20"/>
      <c r="I908" s="20"/>
      <c r="J908" s="20"/>
      <c r="K908" s="20"/>
      <c r="L908" s="20"/>
      <c r="M908" s="20"/>
      <c r="N908" s="20"/>
      <c r="O908" s="20"/>
      <c r="P908" s="20"/>
      <c r="Q908" s="20"/>
      <c r="R908" s="20"/>
      <c r="T908" s="100" t="s">
        <v>715</v>
      </c>
      <c r="U908" s="101">
        <f>SUM(U3:U904)</f>
        <v>1.0000000000000002</v>
      </c>
      <c r="V908" s="101">
        <f>SUM(U909:U1357)</f>
        <v>0.83099999999999985</v>
      </c>
      <c r="W908" s="101">
        <f>SUM(W3:W904)</f>
        <v>49038741.642780259</v>
      </c>
      <c r="X908" s="101">
        <f>SUM(X3:X904)</f>
        <v>2624.314430989391</v>
      </c>
      <c r="Y908" s="101"/>
      <c r="Z908" s="101">
        <f t="shared" ref="Z908" si="145">SUM(Z3:Z904)</f>
        <v>91072.454422360941</v>
      </c>
      <c r="AA908" s="102">
        <f>SUM(AA3:AA904)</f>
        <v>1.1802989639413624</v>
      </c>
      <c r="AB908" s="42"/>
      <c r="AC908" s="42"/>
    </row>
    <row r="909" spans="1:29" x14ac:dyDescent="0.3">
      <c r="C909" s="19" t="s">
        <v>3</v>
      </c>
      <c r="D909" s="19"/>
      <c r="E909" s="19"/>
      <c r="F909" s="19"/>
      <c r="G909" s="19"/>
      <c r="H909" s="19"/>
      <c r="I909" s="19"/>
      <c r="J909" s="19"/>
      <c r="K909" s="19"/>
      <c r="L909" s="19"/>
      <c r="M909" s="19"/>
      <c r="N909" s="19"/>
      <c r="O909" s="19"/>
      <c r="P909" s="19"/>
      <c r="Q909" s="19"/>
      <c r="R909" s="19"/>
      <c r="T909" s="78"/>
      <c r="U909">
        <f>C910*A1008</f>
        <v>1.364734796524922E-2</v>
      </c>
      <c r="V909">
        <v>1.3647347965249199E-2</v>
      </c>
      <c r="W909" s="42">
        <f>C911+A1009</f>
        <v>1969</v>
      </c>
      <c r="X909">
        <f>u_Death</f>
        <v>19.181538114427529</v>
      </c>
      <c r="Z909" s="42">
        <f>U909*W909</f>
        <v>26.871628143575712</v>
      </c>
      <c r="AA909" s="6">
        <f t="shared" ref="AA909:AA972" si="146">U909*X909</f>
        <v>0.26177712515628287</v>
      </c>
      <c r="AB909" s="42"/>
      <c r="AC909" s="42"/>
    </row>
    <row r="910" spans="1:29" x14ac:dyDescent="0.3">
      <c r="C910" s="45">
        <f>ANC2SB_3</f>
        <v>1.6422801402225295E-2</v>
      </c>
      <c r="T910" s="78"/>
      <c r="Z910" s="42"/>
      <c r="AA910" s="6">
        <f t="shared" si="146"/>
        <v>0</v>
      </c>
      <c r="AB910" s="42"/>
      <c r="AC910" s="42"/>
    </row>
    <row r="911" spans="1:29" x14ac:dyDescent="0.3">
      <c r="C911" s="46">
        <f>c_SB</f>
        <v>1792</v>
      </c>
      <c r="T911" s="78"/>
      <c r="Z911" s="42">
        <f t="shared" ref="Z911:Z974" si="147">U911*W911</f>
        <v>0</v>
      </c>
      <c r="AA911" s="6">
        <f t="shared" si="146"/>
        <v>0</v>
      </c>
      <c r="AB911" s="42"/>
      <c r="AC911" s="42"/>
    </row>
    <row r="912" spans="1:29" x14ac:dyDescent="0.3">
      <c r="C912" s="46"/>
      <c r="T912" s="78"/>
      <c r="Z912" s="42">
        <f t="shared" si="147"/>
        <v>0</v>
      </c>
      <c r="AA912" s="6">
        <f t="shared" si="146"/>
        <v>0</v>
      </c>
      <c r="AB912" s="42"/>
      <c r="AC912" s="42"/>
    </row>
    <row r="913" spans="9:29" x14ac:dyDescent="0.3">
      <c r="K913" s="19" t="s">
        <v>165</v>
      </c>
      <c r="L913" s="19"/>
      <c r="M913" s="19"/>
      <c r="N913" s="19"/>
      <c r="O913" s="19"/>
      <c r="P913" s="19"/>
      <c r="Q913" s="19"/>
      <c r="R913" s="19"/>
      <c r="T913" s="78"/>
      <c r="U913">
        <f>$K$914*$I$922*$G$946*$E$984*$C$1053*$A$1008</f>
        <v>3.6347052383081582E-3</v>
      </c>
      <c r="V913">
        <v>3.6347052383081582E-3</v>
      </c>
      <c r="W913" s="42">
        <f>$K$915+$I$923+$G$947+$E$985+$C$1054+$A$1009</f>
        <v>257248.45980810808</v>
      </c>
      <c r="X913">
        <f>u_Death</f>
        <v>19.181538114427529</v>
      </c>
      <c r="Z913" s="42">
        <f t="shared" si="147"/>
        <v>935.02232441123613</v>
      </c>
      <c r="AA913" s="6">
        <f t="shared" si="146"/>
        <v>6.9719237063317327E-2</v>
      </c>
      <c r="AB913" s="42"/>
      <c r="AC913" s="42"/>
    </row>
    <row r="914" spans="9:29" x14ac:dyDescent="0.3">
      <c r="K914" s="45">
        <f>SGA_prem_2d_3</f>
        <v>8.4066666666666665E-2</v>
      </c>
      <c r="T914" s="78"/>
      <c r="Z914" s="42">
        <f t="shared" si="147"/>
        <v>0</v>
      </c>
      <c r="AA914" s="6">
        <f t="shared" si="146"/>
        <v>0</v>
      </c>
      <c r="AB914" s="42"/>
      <c r="AC914" s="42"/>
    </row>
    <row r="915" spans="9:29" x14ac:dyDescent="0.3">
      <c r="K915" s="46">
        <f>c_SB</f>
        <v>1792</v>
      </c>
      <c r="T915" s="78"/>
      <c r="Z915" s="42">
        <f t="shared" si="147"/>
        <v>0</v>
      </c>
      <c r="AA915" s="6">
        <f t="shared" si="146"/>
        <v>0</v>
      </c>
      <c r="AB915" s="42"/>
      <c r="AC915" s="42"/>
    </row>
    <row r="916" spans="9:29" x14ac:dyDescent="0.3">
      <c r="T916" s="78"/>
      <c r="Z916" s="42">
        <f t="shared" si="147"/>
        <v>0</v>
      </c>
      <c r="AA916" s="6">
        <f t="shared" si="146"/>
        <v>0</v>
      </c>
      <c r="AB916" s="42"/>
      <c r="AC916" s="42">
        <f>U916*(Q918-c_CSG)</f>
        <v>0</v>
      </c>
    </row>
    <row r="917" spans="9:29" x14ac:dyDescent="0.3">
      <c r="Q917" s="19" t="s">
        <v>367</v>
      </c>
      <c r="R917" s="19"/>
      <c r="T917" s="78"/>
      <c r="U917">
        <f>$K$933*$I$922*$G$946*$E$984*$C$1053*$A$1008*$M$928*$O$923*Q918</f>
        <v>1.3151941396883434E-3</v>
      </c>
      <c r="V917">
        <v>1.3151941396883436E-3</v>
      </c>
      <c r="W917" s="42">
        <f>$K$934+$I$923+$G$947+$E$985+$C$1054+$A$1009+$M$929+$O$924+Q919</f>
        <v>343517.84125871374</v>
      </c>
      <c r="X917">
        <f>u_ChronicResp</f>
        <v>0.53465956747782661</v>
      </c>
      <c r="Z917" s="42">
        <f t="shared" si="147"/>
        <v>451.7926517018509</v>
      </c>
      <c r="AA917" s="6">
        <f t="shared" si="146"/>
        <v>7.0318112987514199E-4</v>
      </c>
      <c r="AB917" s="42">
        <f t="shared" ref="AB917:AB948" si="148">U917*c_CSG</f>
        <v>14.519743302159311</v>
      </c>
      <c r="AC917" s="42">
        <f>U917*(Q919-c_CSG)</f>
        <v>57.197149876748796</v>
      </c>
    </row>
    <row r="918" spans="9:29" x14ac:dyDescent="0.3">
      <c r="Q918" s="45">
        <f>RDS2CLD_3-(Hypo2CI_3*RDS2CLD_3)</f>
        <v>0.34246866666666664</v>
      </c>
      <c r="R918" s="45"/>
      <c r="T918" s="78"/>
      <c r="Z918" s="42">
        <f t="shared" si="147"/>
        <v>0</v>
      </c>
      <c r="AA918" s="6">
        <f t="shared" si="146"/>
        <v>0</v>
      </c>
      <c r="AB918" s="42">
        <f t="shared" si="148"/>
        <v>0</v>
      </c>
      <c r="AC918" s="42"/>
    </row>
    <row r="919" spans="9:29" x14ac:dyDescent="0.3">
      <c r="Q919" s="46">
        <f>c_lung+c_hosp_fu+c_CSG</f>
        <v>54529.510902399998</v>
      </c>
      <c r="R919" s="46"/>
      <c r="T919" s="78"/>
      <c r="Z919" s="42">
        <f t="shared" si="147"/>
        <v>0</v>
      </c>
      <c r="AA919" s="6">
        <f t="shared" si="146"/>
        <v>0</v>
      </c>
      <c r="AB919" s="42">
        <f t="shared" si="148"/>
        <v>0</v>
      </c>
      <c r="AC919" s="42">
        <f>U919*(Q921-c_CSG)</f>
        <v>0</v>
      </c>
    </row>
    <row r="920" spans="9:29" x14ac:dyDescent="0.3">
      <c r="Q920" s="19" t="s">
        <v>226</v>
      </c>
      <c r="R920" s="19"/>
      <c r="T920" s="78"/>
      <c r="U920">
        <f>$K$933*$I$922*$G$946*$E$984*$C$1053*$A$1008*$M$928*$O$923*Q921</f>
        <v>1.2597064306629619E-4</v>
      </c>
      <c r="V920">
        <v>1.2597064306629622E-4</v>
      </c>
      <c r="W920" s="42">
        <f>$K$934+$I$923+$G$947+$E$985+$C$1054+$A$1009+$M$929+$O$924+Q922</f>
        <v>304754.33035631373</v>
      </c>
      <c r="X920">
        <f>u_CongnitiveImpairement</f>
        <v>17.270393127285455</v>
      </c>
      <c r="Z920" s="42">
        <f t="shared" si="147"/>
        <v>38.390098972223313</v>
      </c>
      <c r="AA920" s="6">
        <f t="shared" si="146"/>
        <v>2.1755625282518908E-3</v>
      </c>
      <c r="AB920" s="42">
        <f t="shared" si="148"/>
        <v>1.39071589945191</v>
      </c>
      <c r="AC920" s="42">
        <f>U920*(Q922-c_CSG)</f>
        <v>0.59533725913131585</v>
      </c>
    </row>
    <row r="921" spans="9:29" x14ac:dyDescent="0.3">
      <c r="I921" s="19" t="s">
        <v>164</v>
      </c>
      <c r="Q921" s="45">
        <f>Hypo2CI_3-(Hypo2CI_3*RDS2CLD_3)</f>
        <v>3.2801999999999998E-2</v>
      </c>
      <c r="R921" s="45"/>
      <c r="T921" s="78"/>
      <c r="Z921" s="42">
        <f t="shared" si="147"/>
        <v>0</v>
      </c>
      <c r="AA921" s="6">
        <f t="shared" si="146"/>
        <v>0</v>
      </c>
      <c r="AB921" s="42">
        <f t="shared" si="148"/>
        <v>0</v>
      </c>
      <c r="AC921" s="42"/>
    </row>
    <row r="922" spans="9:29" x14ac:dyDescent="0.3">
      <c r="I922" s="45">
        <f>LBW_prem_2SGA_3</f>
        <v>0.44409547738693467</v>
      </c>
      <c r="O922" s="19" t="s">
        <v>161</v>
      </c>
      <c r="Q922" s="46">
        <f>c_cog+c_hosp_fu+c_CSG</f>
        <v>15766</v>
      </c>
      <c r="R922" s="46"/>
      <c r="T922" s="78"/>
      <c r="Z922" s="42">
        <f t="shared" si="147"/>
        <v>0</v>
      </c>
      <c r="AA922" s="6">
        <f t="shared" si="146"/>
        <v>0</v>
      </c>
      <c r="AB922" s="42">
        <f t="shared" si="148"/>
        <v>0</v>
      </c>
      <c r="AC922" s="42">
        <f>U922*(Q924-c_CSG)</f>
        <v>0</v>
      </c>
    </row>
    <row r="923" spans="9:29" x14ac:dyDescent="0.3">
      <c r="I923" s="46"/>
      <c r="O923" s="45">
        <f>SGA_prem_2hypoglycaemia_3</f>
        <v>0.2155</v>
      </c>
      <c r="Q923" s="19" t="s">
        <v>368</v>
      </c>
      <c r="R923" s="19"/>
      <c r="T923" s="78"/>
      <c r="U923">
        <f>$K$933*$I$922*$G$946*$E$984*$C$1053*$A$1008*$M$928*$O$923*Q924</f>
        <v>7.1166513531976426E-5</v>
      </c>
      <c r="V923">
        <v>7.1166513531976426E-5</v>
      </c>
      <c r="W923" s="42">
        <f>$K$934+$I$923+$G$947+$E$985+$C$1054+$A$1009+$M$929+$O$924+Q925</f>
        <v>347336.84125871374</v>
      </c>
      <c r="X923">
        <f>u_ChronicResp+u_CongnitiveImpairement</f>
        <v>17.805052694763283</v>
      </c>
      <c r="Z923" s="42">
        <f t="shared" si="147"/>
        <v>24.718752013592198</v>
      </c>
      <c r="AA923" s="6">
        <f t="shared" si="146"/>
        <v>1.2671235235394245E-3</v>
      </c>
      <c r="AB923" s="42">
        <f t="shared" si="148"/>
        <v>0.78567830939301975</v>
      </c>
      <c r="AC923" s="42">
        <f>U923*(Q925-c_CSG)</f>
        <v>3.3667817813133039</v>
      </c>
    </row>
    <row r="924" spans="9:29" x14ac:dyDescent="0.3">
      <c r="O924" s="46">
        <f>c_hypo</f>
        <v>2936.2604000000001</v>
      </c>
      <c r="Q924" s="45">
        <f>Hypo2CI_3*RDS2CLD_3</f>
        <v>1.8531333333333334E-2</v>
      </c>
      <c r="R924" s="45"/>
      <c r="T924" s="78"/>
      <c r="Z924" s="42">
        <f t="shared" si="147"/>
        <v>0</v>
      </c>
      <c r="AA924" s="6">
        <f t="shared" si="146"/>
        <v>0</v>
      </c>
      <c r="AB924" s="42">
        <f t="shared" si="148"/>
        <v>0</v>
      </c>
      <c r="AC924" s="42"/>
    </row>
    <row r="925" spans="9:29" x14ac:dyDescent="0.3">
      <c r="M925" s="42"/>
      <c r="Q925" s="46">
        <f>c_lung+c_cog+c_hosp_fu+c_CSG</f>
        <v>58348.510902399998</v>
      </c>
      <c r="R925" s="46"/>
      <c r="T925" s="78"/>
      <c r="Z925" s="42">
        <f t="shared" si="147"/>
        <v>0</v>
      </c>
      <c r="AA925" s="6">
        <f t="shared" si="146"/>
        <v>0</v>
      </c>
      <c r="AB925" s="42">
        <f t="shared" si="148"/>
        <v>0</v>
      </c>
      <c r="AC925" s="42">
        <f>U925*(Q927-c_CSG)</f>
        <v>0</v>
      </c>
    </row>
    <row r="926" spans="9:29" x14ac:dyDescent="0.3">
      <c r="Q926" s="19" t="s">
        <v>369</v>
      </c>
      <c r="R926" s="19"/>
      <c r="T926" s="78"/>
      <c r="U926">
        <f>$K$933*$I$922*$G$946*$E$984*$C$1053*$A$1008*$M$928*$O$923*Q927</f>
        <v>2.3280029231602536E-3</v>
      </c>
      <c r="V926">
        <v>2.3280029231602536E-3</v>
      </c>
      <c r="W926" s="42">
        <f>$K$934+$I$923+$G$947+$E$985+$C$1054+$A$1009+$M$929+$O$924+Q928</f>
        <v>303391.33035631373</v>
      </c>
      <c r="X926">
        <f>u_Healthy</f>
        <v>0</v>
      </c>
      <c r="Z926" s="42">
        <f t="shared" si="147"/>
        <v>706.29590393097658</v>
      </c>
      <c r="AA926" s="6">
        <f t="shared" si="146"/>
        <v>0</v>
      </c>
      <c r="AB926" s="42">
        <f t="shared" si="148"/>
        <v>25.7011522716892</v>
      </c>
      <c r="AC926" s="42">
        <f>U926*(Q928-c_CSG)</f>
        <v>7.8290738305879328</v>
      </c>
    </row>
    <row r="927" spans="9:29" x14ac:dyDescent="0.3">
      <c r="M927" s="19" t="s">
        <v>9</v>
      </c>
      <c r="Q927" s="45">
        <f>1-Q918-Q921-Q924</f>
        <v>0.60619800000000001</v>
      </c>
      <c r="R927" s="45"/>
      <c r="T927" s="78"/>
      <c r="Z927" s="42">
        <f t="shared" si="147"/>
        <v>0</v>
      </c>
      <c r="AA927" s="6">
        <f t="shared" si="146"/>
        <v>0</v>
      </c>
      <c r="AB927" s="42">
        <f t="shared" si="148"/>
        <v>0</v>
      </c>
      <c r="AC927" s="42">
        <f>U927*(Q929-c_CSG)</f>
        <v>0</v>
      </c>
    </row>
    <row r="928" spans="9:29" x14ac:dyDescent="0.3">
      <c r="K928" s="42"/>
      <c r="M928" s="45">
        <f>S_prem_2RDS_3</f>
        <v>0.45</v>
      </c>
      <c r="Q928" s="46">
        <f>c_clinic_fu+c_CSG</f>
        <v>14403</v>
      </c>
      <c r="R928" s="46"/>
      <c r="T928" s="78"/>
      <c r="Z928" s="42">
        <f t="shared" si="147"/>
        <v>0</v>
      </c>
      <c r="AA928" s="6">
        <f t="shared" si="146"/>
        <v>0</v>
      </c>
      <c r="AB928" s="42">
        <f t="shared" si="148"/>
        <v>0</v>
      </c>
      <c r="AC928" s="42"/>
    </row>
    <row r="929" spans="7:29" x14ac:dyDescent="0.3">
      <c r="K929" s="42"/>
      <c r="M929" s="46">
        <f>c_RDS</f>
        <v>30595.610148205637</v>
      </c>
      <c r="Q929" s="42"/>
      <c r="R929" s="42"/>
      <c r="T929" s="78"/>
      <c r="Z929" s="42">
        <f t="shared" si="147"/>
        <v>0</v>
      </c>
      <c r="AA929" s="6">
        <f t="shared" si="146"/>
        <v>0</v>
      </c>
      <c r="AB929" s="42">
        <f t="shared" si="148"/>
        <v>0</v>
      </c>
      <c r="AC929" s="42">
        <f>U929*(Q931-c_CSG)</f>
        <v>0</v>
      </c>
    </row>
    <row r="930" spans="7:29" x14ac:dyDescent="0.3">
      <c r="Q930" s="19" t="s">
        <v>367</v>
      </c>
      <c r="R930" s="19"/>
      <c r="T930" s="78"/>
      <c r="U930">
        <f>$K$933*$I$922*$G$946*$E$984*$C$1053*$A$1008*$M$928*$O$933*Q931</f>
        <v>4.8798889171454531E-3</v>
      </c>
      <c r="V930">
        <v>4.879888917145454E-3</v>
      </c>
      <c r="W930" s="42">
        <f>$K$934+$I$923+$G$947+$E$985+$C$1054+$A$1009+$M$929+$O$934+Q932</f>
        <v>340581.58085871371</v>
      </c>
      <c r="X930">
        <f>u_ChronicResp</f>
        <v>0.53465956747782661</v>
      </c>
      <c r="Z930" s="42">
        <f t="shared" si="147"/>
        <v>1662.000281816315</v>
      </c>
      <c r="AA930" s="6">
        <f t="shared" si="146"/>
        <v>2.6090792977808276E-3</v>
      </c>
      <c r="AB930" s="42">
        <f t="shared" si="148"/>
        <v>53.873973645285801</v>
      </c>
      <c r="AC930" s="42">
        <f>U930*(Q932-c_CSG)</f>
        <v>212.22398226469809</v>
      </c>
    </row>
    <row r="931" spans="7:29" x14ac:dyDescent="0.3">
      <c r="Q931" s="45">
        <f>RDS2CLD_3-(RDS2CLD_3*noHypo2CI_3)</f>
        <v>0.34905610687022898</v>
      </c>
      <c r="R931" s="45"/>
      <c r="T931" s="78"/>
      <c r="Z931" s="42">
        <f t="shared" si="147"/>
        <v>0</v>
      </c>
      <c r="AA931" s="6">
        <f t="shared" si="146"/>
        <v>0</v>
      </c>
      <c r="AB931" s="42">
        <f t="shared" si="148"/>
        <v>0</v>
      </c>
      <c r="AC931" s="42"/>
    </row>
    <row r="932" spans="7:29" x14ac:dyDescent="0.3">
      <c r="K932" s="19" t="s">
        <v>37</v>
      </c>
      <c r="M932" s="42"/>
      <c r="O932" s="19" t="s">
        <v>370</v>
      </c>
      <c r="Q932" s="46">
        <f>c_lung+c_hosp_fu+c_CSG</f>
        <v>54529.510902399998</v>
      </c>
      <c r="R932" s="46"/>
      <c r="T932" s="78"/>
      <c r="Z932" s="42">
        <f t="shared" si="147"/>
        <v>0</v>
      </c>
      <c r="AA932" s="6">
        <f t="shared" si="146"/>
        <v>0</v>
      </c>
      <c r="AB932" s="42">
        <f t="shared" si="148"/>
        <v>0</v>
      </c>
      <c r="AC932" s="42">
        <f>U932*(Q934-c_CSG)</f>
        <v>0</v>
      </c>
    </row>
    <row r="933" spans="7:29" x14ac:dyDescent="0.3">
      <c r="K933" s="45">
        <f>SGA_prem_2s_3</f>
        <v>0.91593333333333338</v>
      </c>
      <c r="O933" s="45">
        <f>SGA_prem_2normoglycaemia_3</f>
        <v>0.78449999999999998</v>
      </c>
      <c r="Q933" s="19" t="s">
        <v>226</v>
      </c>
      <c r="R933" s="19"/>
      <c r="T933" s="78"/>
      <c r="U933">
        <f>$K$933*$I$922*$G$946*$E$984*$C$1053*$A$1008*$M$928*$O$933*Q934</f>
        <v>2.9556585464905798E-4</v>
      </c>
      <c r="V933">
        <v>2.9556585464905798E-4</v>
      </c>
      <c r="W933" s="42">
        <f>$K$934+$I$923+$G$947+$E$985+$C$1054+$A$1009+$M$929+$O$934+Q935</f>
        <v>301818.0699563137</v>
      </c>
      <c r="X933">
        <f>u_CongnitiveImpairement</f>
        <v>17.270393127285455</v>
      </c>
      <c r="Z933" s="42">
        <f t="shared" si="147"/>
        <v>89.207115795167027</v>
      </c>
      <c r="AA933" s="6">
        <f t="shared" si="146"/>
        <v>5.1045385047913429E-3</v>
      </c>
      <c r="AB933" s="42">
        <f t="shared" si="148"/>
        <v>3.2630470353256</v>
      </c>
      <c r="AC933" s="42">
        <f>U933*(Q935-c_CSG)</f>
        <v>1.396844229071448</v>
      </c>
    </row>
    <row r="934" spans="7:29" x14ac:dyDescent="0.3">
      <c r="K934" s="46"/>
      <c r="O934" s="46"/>
      <c r="Q934" s="45">
        <f>noHypo2CI_3-(RDS2CLD_3*noHypo2CI_3)</f>
        <v>2.1141683406990762E-2</v>
      </c>
      <c r="R934" s="45"/>
      <c r="T934" s="78"/>
      <c r="Z934" s="42">
        <f t="shared" si="147"/>
        <v>0</v>
      </c>
      <c r="AA934" s="6">
        <f t="shared" si="146"/>
        <v>0</v>
      </c>
      <c r="AB934" s="42">
        <f t="shared" si="148"/>
        <v>0</v>
      </c>
      <c r="AC934" s="42"/>
    </row>
    <row r="935" spans="7:29" x14ac:dyDescent="0.3">
      <c r="Q935" s="46">
        <f>c_cog+c_hosp_fu+c_CSG</f>
        <v>15766</v>
      </c>
      <c r="R935" s="46"/>
      <c r="T935" s="78"/>
      <c r="Z935" s="42">
        <f t="shared" si="147"/>
        <v>0</v>
      </c>
      <c r="AA935" s="6">
        <f t="shared" si="146"/>
        <v>0</v>
      </c>
      <c r="AB935" s="42">
        <f t="shared" si="148"/>
        <v>0</v>
      </c>
      <c r="AC935" s="42">
        <f>U935*(Q937-c_CSG)</f>
        <v>0</v>
      </c>
    </row>
    <row r="936" spans="7:29" x14ac:dyDescent="0.3">
      <c r="Q936" s="19" t="s">
        <v>368</v>
      </c>
      <c r="R936" s="19"/>
      <c r="T936" s="78"/>
      <c r="U936">
        <f>$K$933*$I$922*$G$946*$E$984*$C$1053*$A$1008*$M$928*$O$933*Q937</f>
        <v>1.6697851882364618E-4</v>
      </c>
      <c r="V936">
        <v>1.6697851882364618E-4</v>
      </c>
      <c r="W936" s="42">
        <f>$K$934+$I$923+$G$947+$E$985+$C$1054+$A$1009+$M$929+$O$934+Q938</f>
        <v>344400.58085871371</v>
      </c>
      <c r="X936">
        <f>u_ChronicResp+u_CongnitiveImpairement</f>
        <v>17.805052694763283</v>
      </c>
      <c r="Z936" s="42">
        <f t="shared" si="147"/>
        <v>57.507498873791405</v>
      </c>
      <c r="AA936" s="6">
        <f t="shared" si="146"/>
        <v>2.9730613265485429E-3</v>
      </c>
      <c r="AB936" s="42">
        <f t="shared" si="148"/>
        <v>1.8434428478130538</v>
      </c>
      <c r="AC936" s="42">
        <f>U936*(Q938-c_CSG)</f>
        <v>7.8995050782350686</v>
      </c>
    </row>
    <row r="937" spans="7:29" x14ac:dyDescent="0.3">
      <c r="G937" s="42"/>
      <c r="Q937" s="45">
        <f>RDS2CLD_3*noHypo2CI_3</f>
        <v>1.1943893129770991E-2</v>
      </c>
      <c r="R937" s="45"/>
      <c r="T937" s="78"/>
      <c r="Z937" s="42">
        <f t="shared" si="147"/>
        <v>0</v>
      </c>
      <c r="AA937" s="6">
        <f t="shared" si="146"/>
        <v>0</v>
      </c>
      <c r="AB937" s="42">
        <f t="shared" si="148"/>
        <v>0</v>
      </c>
      <c r="AC937" s="42"/>
    </row>
    <row r="938" spans="7:29" x14ac:dyDescent="0.3">
      <c r="G938" s="42"/>
      <c r="Q938" s="46">
        <f>c_cog+c_lung+c_hosp_fu+c_CSG</f>
        <v>58348.510902399998</v>
      </c>
      <c r="R938" s="46"/>
      <c r="T938" s="78"/>
      <c r="Z938" s="42">
        <f t="shared" si="147"/>
        <v>0</v>
      </c>
      <c r="AA938" s="6">
        <f t="shared" si="146"/>
        <v>0</v>
      </c>
      <c r="AB938" s="42">
        <f t="shared" si="148"/>
        <v>0</v>
      </c>
      <c r="AC938" s="42">
        <f>U938*(Q940-c_CSG)</f>
        <v>0</v>
      </c>
    </row>
    <row r="939" spans="7:29" x14ac:dyDescent="0.3">
      <c r="Q939" s="19" t="s">
        <v>369</v>
      </c>
      <c r="R939" s="19"/>
      <c r="T939" s="78"/>
      <c r="U939">
        <f>$K$933*$I$922*$G$946*$E$984*$C$1053*$A$1008*$M$928*$O$933*Q940</f>
        <v>8.6378089142823983E-3</v>
      </c>
      <c r="V939">
        <v>8.6378089142823983E-3</v>
      </c>
      <c r="W939" s="42">
        <f>$K$934+$I$923+$G$947+$E$985+$C$1054+$A$1009+$M$929+$O$934+Q941</f>
        <v>300455.0699563137</v>
      </c>
      <c r="X939">
        <f>u_Healthy</f>
        <v>0</v>
      </c>
      <c r="Z939" s="42">
        <f t="shared" si="147"/>
        <v>2595.2734816099883</v>
      </c>
      <c r="AA939" s="6">
        <f t="shared" si="146"/>
        <v>0</v>
      </c>
      <c r="AB939" s="42">
        <f t="shared" si="148"/>
        <v>95.361410413677675</v>
      </c>
      <c r="AC939" s="42">
        <f>U939*(Q941-c_CSG)</f>
        <v>29.048951378731704</v>
      </c>
    </row>
    <row r="940" spans="7:29" x14ac:dyDescent="0.3">
      <c r="Q940" s="45">
        <f>1-Q937-Q934-Q931</f>
        <v>0.61785831659300938</v>
      </c>
      <c r="R940" s="45"/>
      <c r="T940" s="78"/>
      <c r="Z940" s="42">
        <f t="shared" si="147"/>
        <v>0</v>
      </c>
      <c r="AA940" s="6">
        <f t="shared" si="146"/>
        <v>0</v>
      </c>
      <c r="AB940" s="42">
        <f t="shared" si="148"/>
        <v>0</v>
      </c>
      <c r="AC940" s="42">
        <f>U940*(Q942-c_CSG)</f>
        <v>0</v>
      </c>
    </row>
    <row r="941" spans="7:29" x14ac:dyDescent="0.3">
      <c r="Q941" s="46">
        <f>c_clinic_fu+c_CSG</f>
        <v>14403</v>
      </c>
      <c r="R941" s="46"/>
      <c r="T941" s="78"/>
      <c r="Z941" s="42">
        <f t="shared" si="147"/>
        <v>0</v>
      </c>
      <c r="AA941" s="6">
        <f t="shared" si="146"/>
        <v>0</v>
      </c>
      <c r="AB941" s="42">
        <f t="shared" si="148"/>
        <v>0</v>
      </c>
      <c r="AC941" s="42"/>
    </row>
    <row r="942" spans="7:29" x14ac:dyDescent="0.3">
      <c r="Q942" s="42"/>
      <c r="R942" s="42"/>
      <c r="T942" s="78"/>
      <c r="Z942" s="42">
        <f t="shared" si="147"/>
        <v>0</v>
      </c>
      <c r="AA942" s="6">
        <f t="shared" si="146"/>
        <v>0</v>
      </c>
      <c r="AB942" s="42">
        <f t="shared" si="148"/>
        <v>0</v>
      </c>
      <c r="AC942" s="42">
        <f>U942*(Q944-c_CSG)</f>
        <v>0</v>
      </c>
    </row>
    <row r="943" spans="7:29" x14ac:dyDescent="0.3">
      <c r="Q943" s="19" t="s">
        <v>367</v>
      </c>
      <c r="R943" s="19"/>
      <c r="T943" s="78"/>
      <c r="U943">
        <f>$K$933*$I$922*$G$946*$E$984*$C$1053*$A$1008*$M$948*$O$946*Q944</f>
        <v>0</v>
      </c>
      <c r="V943">
        <v>0</v>
      </c>
      <c r="W943" s="42">
        <f>$K$934+$I$923+$G$947+$E$985+$C$1054+$A$1009+$M$949+$O$947+Q945</f>
        <v>312922.23111050809</v>
      </c>
      <c r="X943">
        <f>u_ChronicResp</f>
        <v>0.53465956747782661</v>
      </c>
      <c r="Z943" s="42">
        <f t="shared" si="147"/>
        <v>0</v>
      </c>
      <c r="AA943" s="6">
        <f t="shared" si="146"/>
        <v>0</v>
      </c>
      <c r="AB943" s="42">
        <f t="shared" si="148"/>
        <v>0</v>
      </c>
      <c r="AC943" s="42">
        <f>U943*(Q945-c_CSG)</f>
        <v>0</v>
      </c>
    </row>
    <row r="944" spans="7:29" x14ac:dyDescent="0.3">
      <c r="Q944" s="45">
        <f>noRDS2CLD_3-(Hypo2CI_3*noRDS2CLD_3)</f>
        <v>0</v>
      </c>
      <c r="R944" s="45"/>
      <c r="T944" s="78"/>
      <c r="Z944" s="42">
        <f t="shared" si="147"/>
        <v>0</v>
      </c>
      <c r="AA944" s="6">
        <f t="shared" si="146"/>
        <v>0</v>
      </c>
      <c r="AB944" s="42">
        <f t="shared" si="148"/>
        <v>0</v>
      </c>
      <c r="AC944" s="42"/>
    </row>
    <row r="945" spans="7:29" x14ac:dyDescent="0.3">
      <c r="G945" s="19" t="s">
        <v>8</v>
      </c>
      <c r="O945" s="19" t="s">
        <v>161</v>
      </c>
      <c r="Q945" s="46">
        <f>c_lung+c_hosp_fu+c_CSG</f>
        <v>54529.510902399998</v>
      </c>
      <c r="R945" s="46"/>
      <c r="T945" s="78"/>
      <c r="Z945" s="42">
        <f t="shared" si="147"/>
        <v>0</v>
      </c>
      <c r="AA945" s="6">
        <f t="shared" si="146"/>
        <v>0</v>
      </c>
      <c r="AB945" s="42">
        <f t="shared" si="148"/>
        <v>0</v>
      </c>
      <c r="AC945" s="42">
        <f>U945*(Q947-c_CSG)</f>
        <v>0</v>
      </c>
    </row>
    <row r="946" spans="7:29" x14ac:dyDescent="0.3">
      <c r="G946" s="45">
        <f>Prem2LBW_3</f>
        <v>0.68135593220338986</v>
      </c>
      <c r="O946" s="45">
        <f>SGA_prem_2hypoglycaemia_3</f>
        <v>0.2155</v>
      </c>
      <c r="Q946" s="19" t="s">
        <v>226</v>
      </c>
      <c r="R946" s="19"/>
      <c r="T946" s="78"/>
      <c r="U946">
        <f>$K$933*$I$922*$G$946*$E$984*$C$1053*$A$1008*$M$948*$O$946*Q947</f>
        <v>2.4094541362011099E-4</v>
      </c>
      <c r="V946">
        <v>2.4094541362011101E-4</v>
      </c>
      <c r="W946" s="42">
        <f>$K$934+$I$923+$G$947+$E$985+$C$1054+$A$1009+$M$949+$O$947+Q948</f>
        <v>274158.72020810808</v>
      </c>
      <c r="X946">
        <f>u_CongnitiveImpairement</f>
        <v>17.270393127285455</v>
      </c>
      <c r="Z946" s="42">
        <f t="shared" si="147"/>
        <v>66.057286238102876</v>
      </c>
      <c r="AA946" s="6">
        <f t="shared" si="146"/>
        <v>4.1612220154357161E-3</v>
      </c>
      <c r="AB946" s="42">
        <f t="shared" si="148"/>
        <v>2.6600373663660251</v>
      </c>
      <c r="AC946" s="42">
        <f>U946*(Q948-c_CSG)</f>
        <v>1.1387080247686445</v>
      </c>
    </row>
    <row r="947" spans="7:29" x14ac:dyDescent="0.3">
      <c r="G947" s="46">
        <f>c_LBW</f>
        <v>254701.55809999997</v>
      </c>
      <c r="M947" s="19" t="s">
        <v>203</v>
      </c>
      <c r="O947" s="46">
        <f>c_hypo</f>
        <v>2936.2604000000001</v>
      </c>
      <c r="Q947" s="45">
        <f>Hypo2CI_3-(Hypo2CI_3*noRDS2CLD_3)</f>
        <v>5.1333333333333335E-2</v>
      </c>
      <c r="R947" s="45"/>
      <c r="T947" s="78"/>
      <c r="Z947" s="42">
        <f t="shared" si="147"/>
        <v>0</v>
      </c>
      <c r="AA947" s="6">
        <f t="shared" si="146"/>
        <v>0</v>
      </c>
      <c r="AB947" s="42">
        <f t="shared" si="148"/>
        <v>0</v>
      </c>
      <c r="AC947" s="42"/>
    </row>
    <row r="948" spans="7:29" x14ac:dyDescent="0.3">
      <c r="M948" s="45">
        <f>S_prem_2noRDS_3</f>
        <v>0.55000000000000004</v>
      </c>
      <c r="Q948" s="46">
        <f>c_cog+c_hosp_fu+c_CSG</f>
        <v>15766</v>
      </c>
      <c r="R948" s="46"/>
      <c r="T948" s="78"/>
      <c r="Z948" s="42">
        <f t="shared" si="147"/>
        <v>0</v>
      </c>
      <c r="AA948" s="6">
        <f t="shared" si="146"/>
        <v>0</v>
      </c>
      <c r="AB948" s="42">
        <f t="shared" si="148"/>
        <v>0</v>
      </c>
      <c r="AC948" s="42">
        <f>U948*(Q950-c_CSG)</f>
        <v>0</v>
      </c>
    </row>
    <row r="949" spans="7:29" x14ac:dyDescent="0.3">
      <c r="M949" s="46"/>
      <c r="O949" s="42"/>
      <c r="Q949" s="19" t="s">
        <v>368</v>
      </c>
      <c r="R949" s="19"/>
      <c r="T949" s="78"/>
      <c r="U949">
        <f>$K$933*$I$922*$G$946*$E$984*$C$1053*$A$1008*$M$948*$O$946*Q950</f>
        <v>0</v>
      </c>
      <c r="V949">
        <v>0</v>
      </c>
      <c r="W949" s="42">
        <f>$K$934+$I$923+$G$947+$E$985+$C$1054+$A$1009+$M$949+$O$947+Q951</f>
        <v>316741.23111050809</v>
      </c>
      <c r="X949">
        <f>u_ChronicResp+u_CongnitiveImpairement</f>
        <v>17.805052694763283</v>
      </c>
      <c r="Z949" s="42">
        <f t="shared" si="147"/>
        <v>0</v>
      </c>
      <c r="AA949" s="6">
        <f t="shared" si="146"/>
        <v>0</v>
      </c>
      <c r="AB949" s="42">
        <f t="shared" ref="AB949:AB968" si="149">U949*c_CSG</f>
        <v>0</v>
      </c>
      <c r="AC949" s="42">
        <f>U949*(Q951-c_CSG)</f>
        <v>0</v>
      </c>
    </row>
    <row r="950" spans="7:29" x14ac:dyDescent="0.3">
      <c r="M950" s="42"/>
      <c r="Q950" s="45">
        <f>noRDS2CLD_3*Hypo2CI_3</f>
        <v>0</v>
      </c>
      <c r="R950" s="45"/>
      <c r="T950" s="78"/>
      <c r="Z950" s="42">
        <f t="shared" si="147"/>
        <v>0</v>
      </c>
      <c r="AA950" s="6">
        <f t="shared" si="146"/>
        <v>0</v>
      </c>
      <c r="AB950" s="42">
        <f t="shared" si="149"/>
        <v>0</v>
      </c>
      <c r="AC950" s="42"/>
    </row>
    <row r="951" spans="7:29" x14ac:dyDescent="0.3">
      <c r="M951" s="42"/>
      <c r="Q951" s="46">
        <f>c_lung+c_cog+c_hosp_fu+c_CSG</f>
        <v>58348.510902399998</v>
      </c>
      <c r="R951" s="46"/>
      <c r="T951" s="78"/>
      <c r="Z951" s="42">
        <f t="shared" si="147"/>
        <v>0</v>
      </c>
      <c r="AA951" s="6">
        <f t="shared" si="146"/>
        <v>0</v>
      </c>
      <c r="AB951" s="42">
        <f t="shared" si="149"/>
        <v>0</v>
      </c>
      <c r="AC951" s="42">
        <f>U951*(Q953-c_CSG)</f>
        <v>0</v>
      </c>
    </row>
    <row r="952" spans="7:29" x14ac:dyDescent="0.3">
      <c r="M952" s="42"/>
      <c r="Q952" s="19" t="s">
        <v>369</v>
      </c>
      <c r="R952" s="19"/>
      <c r="T952" s="78"/>
      <c r="U952">
        <f>$K$933*$I$922*$G$946*$E$984*$C$1053*$A$1008*$M$948*$O$946*Q953</f>
        <v>4.4527964101482853E-3</v>
      </c>
      <c r="V952">
        <v>4.4527964101482853E-3</v>
      </c>
      <c r="W952" s="42">
        <f>$K$934+$I$923+$G$947+$E$985+$C$1054+$A$1009+$M$949+$O$947+Q954</f>
        <v>272795.72020810808</v>
      </c>
      <c r="X952">
        <f>u_Healthy</f>
        <v>0</v>
      </c>
      <c r="Z952" s="42">
        <f t="shared" si="147"/>
        <v>1214.7038036464796</v>
      </c>
      <c r="AA952" s="6">
        <f t="shared" si="146"/>
        <v>0</v>
      </c>
      <c r="AB952" s="42">
        <f t="shared" si="149"/>
        <v>49.158872368037066</v>
      </c>
      <c r="AC952" s="42">
        <f>U952*(Q954-c_CSG)</f>
        <v>14.974754327328684</v>
      </c>
    </row>
    <row r="953" spans="7:29" x14ac:dyDescent="0.3">
      <c r="M953" s="42"/>
      <c r="O953" s="42"/>
      <c r="Q953" s="45">
        <f>1-Q950-Q947-Q944</f>
        <v>0.94866666666666666</v>
      </c>
      <c r="R953" s="45"/>
      <c r="T953" s="78"/>
      <c r="Z953" s="42">
        <f t="shared" si="147"/>
        <v>0</v>
      </c>
      <c r="AA953" s="6">
        <f t="shared" si="146"/>
        <v>0</v>
      </c>
      <c r="AB953" s="42">
        <f t="shared" si="149"/>
        <v>0</v>
      </c>
      <c r="AC953" s="42">
        <f>U953*(Q955-c_CSG)</f>
        <v>0</v>
      </c>
    </row>
    <row r="954" spans="7:29" x14ac:dyDescent="0.3">
      <c r="M954" s="42"/>
      <c r="Q954" s="46">
        <f>c_clinic_fu+c_CSG</f>
        <v>14403</v>
      </c>
      <c r="R954" s="46"/>
      <c r="T954" s="78"/>
      <c r="Z954" s="42">
        <f t="shared" si="147"/>
        <v>0</v>
      </c>
      <c r="AA954" s="6">
        <f t="shared" si="146"/>
        <v>0</v>
      </c>
      <c r="AB954" s="42">
        <f t="shared" si="149"/>
        <v>0</v>
      </c>
      <c r="AC954" s="42"/>
    </row>
    <row r="955" spans="7:29" x14ac:dyDescent="0.3">
      <c r="M955" s="42"/>
      <c r="Q955" s="42"/>
      <c r="R955" s="42"/>
      <c r="S955" s="94"/>
      <c r="T955" s="78"/>
      <c r="Z955" s="42">
        <f t="shared" si="147"/>
        <v>0</v>
      </c>
      <c r="AA955" s="6">
        <f t="shared" si="146"/>
        <v>0</v>
      </c>
      <c r="AB955" s="42">
        <f t="shared" si="149"/>
        <v>0</v>
      </c>
      <c r="AC955" s="42">
        <f>U955*(Q957-c_CSG)</f>
        <v>0</v>
      </c>
    </row>
    <row r="956" spans="7:29" x14ac:dyDescent="0.3">
      <c r="M956" s="42"/>
      <c r="Q956" s="19" t="s">
        <v>367</v>
      </c>
      <c r="R956" s="19"/>
      <c r="T956" s="78"/>
      <c r="U956">
        <f>$K$933*$I$922*$G$946*$E$984*$C$1053*$A$1008*$M$948*$O$960*Q957</f>
        <v>0</v>
      </c>
      <c r="V956">
        <v>0</v>
      </c>
      <c r="W956" s="42">
        <f>$K$934+$I$923+$G$947+$E$985+$C$1054+$A$1009+$M$949+$O$961+Q958</f>
        <v>312015.23111050809</v>
      </c>
      <c r="X956">
        <f>u_ChronicResp</f>
        <v>0.53465956747782661</v>
      </c>
      <c r="Z956" s="42">
        <f t="shared" si="147"/>
        <v>0</v>
      </c>
      <c r="AA956" s="6">
        <f t="shared" si="146"/>
        <v>0</v>
      </c>
      <c r="AB956" s="42">
        <f t="shared" si="149"/>
        <v>0</v>
      </c>
      <c r="AC956" s="42">
        <f>U956*(Q958-c_CSG)</f>
        <v>0</v>
      </c>
    </row>
    <row r="957" spans="7:29" x14ac:dyDescent="0.3">
      <c r="M957" s="42"/>
      <c r="Q957" s="45">
        <f>noRDS2CLD_3-(noRDS2CLD_3*noHypo2CI_3)</f>
        <v>0</v>
      </c>
      <c r="R957" s="45"/>
      <c r="T957" s="78"/>
      <c r="Z957" s="42">
        <f t="shared" si="147"/>
        <v>0</v>
      </c>
      <c r="AA957" s="6">
        <f t="shared" si="146"/>
        <v>0</v>
      </c>
      <c r="AB957" s="42">
        <f t="shared" si="149"/>
        <v>0</v>
      </c>
      <c r="AC957" s="42"/>
    </row>
    <row r="958" spans="7:29" x14ac:dyDescent="0.3">
      <c r="M958" s="42"/>
      <c r="Q958" s="46">
        <f>c_lung+c_hypo+c_CSG</f>
        <v>56558.771302399997</v>
      </c>
      <c r="R958" s="46"/>
      <c r="T958" s="78"/>
      <c r="Z958" s="42">
        <f t="shared" si="147"/>
        <v>0</v>
      </c>
      <c r="AA958" s="6">
        <f t="shared" si="146"/>
        <v>0</v>
      </c>
      <c r="AB958" s="42">
        <f t="shared" si="149"/>
        <v>0</v>
      </c>
      <c r="AC958" s="42">
        <f>U958*(Q960-c_CSG)</f>
        <v>0</v>
      </c>
    </row>
    <row r="959" spans="7:29" x14ac:dyDescent="0.3">
      <c r="M959" s="42"/>
      <c r="O959" s="19" t="s">
        <v>370</v>
      </c>
      <c r="Q959" s="19" t="s">
        <v>226</v>
      </c>
      <c r="R959" s="19"/>
      <c r="T959" s="78"/>
      <c r="U959">
        <f>$K$933*$I$922*$G$946*$E$984*$C$1053*$A$1008*$M$948*$O$960*Q960</f>
        <v>5.6533201202219388E-4</v>
      </c>
      <c r="V959">
        <v>5.653320120221941E-4</v>
      </c>
      <c r="W959" s="42">
        <f>$K$934+$I$923+$G$947+$E$985+$C$1054+$A$1009+$M$949+$O$961+Q961</f>
        <v>271222.45980810805</v>
      </c>
      <c r="X959">
        <f>u_CongnitiveImpairement</f>
        <v>17.270393127285455</v>
      </c>
      <c r="Z959" s="42">
        <f t="shared" si="147"/>
        <v>153.33073890892635</v>
      </c>
      <c r="AA959" s="6">
        <f t="shared" si="146"/>
        <v>9.763506095062555E-3</v>
      </c>
      <c r="AB959" s="42">
        <f t="shared" si="149"/>
        <v>6.2412654127250207</v>
      </c>
      <c r="AC959" s="42">
        <f>U959*(Q961-c_CSG)</f>
        <v>2.6717590888168883</v>
      </c>
    </row>
    <row r="960" spans="7:29" x14ac:dyDescent="0.3">
      <c r="M960" s="42"/>
      <c r="O960" s="45">
        <f>SGA_prem_2normoglycaemia_3</f>
        <v>0.78449999999999998</v>
      </c>
      <c r="Q960" s="45">
        <f>noHypo2CI_3</f>
        <v>3.3085576536761752E-2</v>
      </c>
      <c r="R960" s="45"/>
      <c r="T960" s="78"/>
      <c r="Z960" s="42">
        <f t="shared" si="147"/>
        <v>0</v>
      </c>
      <c r="AA960" s="6">
        <f t="shared" si="146"/>
        <v>0</v>
      </c>
      <c r="AB960" s="42">
        <f t="shared" si="149"/>
        <v>0</v>
      </c>
      <c r="AC960" s="42"/>
    </row>
    <row r="961" spans="11:29" x14ac:dyDescent="0.3">
      <c r="M961" s="42"/>
      <c r="O961" s="46"/>
      <c r="Q961" s="46">
        <f>c_cog+c_hosp_fu+c_CSG</f>
        <v>15766</v>
      </c>
      <c r="R961" s="46"/>
      <c r="T961" s="78"/>
      <c r="Z961" s="42">
        <f t="shared" si="147"/>
        <v>0</v>
      </c>
      <c r="AA961" s="6">
        <f t="shared" si="146"/>
        <v>0</v>
      </c>
      <c r="AB961" s="42">
        <f t="shared" si="149"/>
        <v>0</v>
      </c>
      <c r="AC961" s="42">
        <f>U961*(Q963-c_CSG)</f>
        <v>0</v>
      </c>
    </row>
    <row r="962" spans="11:29" x14ac:dyDescent="0.3">
      <c r="M962" s="42"/>
      <c r="Q962" s="19" t="s">
        <v>368</v>
      </c>
      <c r="R962" s="19"/>
      <c r="T962" s="78"/>
      <c r="U962">
        <f>$K$933*$I$922*$G$946*$E$984*$C$1053*$A$1008*$M$948*$O$960*Q963</f>
        <v>0</v>
      </c>
      <c r="V962">
        <v>0</v>
      </c>
      <c r="W962" s="42">
        <f>$K$934+$I$923+$G$947+$E$985+$C$1054+$A$1009+$M$949+$O$961+Q964</f>
        <v>313804.97071050806</v>
      </c>
      <c r="X962">
        <f>u_ChronicResp+u_CongnitiveImpairement</f>
        <v>17.805052694763283</v>
      </c>
      <c r="Z962" s="42">
        <f t="shared" si="147"/>
        <v>0</v>
      </c>
      <c r="AA962" s="6">
        <f t="shared" si="146"/>
        <v>0</v>
      </c>
      <c r="AB962" s="42">
        <f t="shared" si="149"/>
        <v>0</v>
      </c>
      <c r="AC962" s="42">
        <f>U962*(Q964-c_CSG)</f>
        <v>0</v>
      </c>
    </row>
    <row r="963" spans="11:29" x14ac:dyDescent="0.3">
      <c r="M963" s="42"/>
      <c r="Q963" s="45">
        <f>noRDS2CLD_3*noHypo2CI_3</f>
        <v>0</v>
      </c>
      <c r="R963" s="45"/>
      <c r="T963" s="78"/>
      <c r="Z963" s="42">
        <f t="shared" si="147"/>
        <v>0</v>
      </c>
      <c r="AA963" s="6">
        <f t="shared" si="146"/>
        <v>0</v>
      </c>
      <c r="AB963" s="42">
        <f t="shared" si="149"/>
        <v>0</v>
      </c>
      <c r="AC963" s="42"/>
    </row>
    <row r="964" spans="11:29" x14ac:dyDescent="0.3">
      <c r="M964" s="42"/>
      <c r="Q964" s="46">
        <f>c_cog+c_lung+c_hosp_fu+c_CSG</f>
        <v>58348.510902399998</v>
      </c>
      <c r="R964" s="46"/>
      <c r="T964" s="78"/>
      <c r="Z964" s="42">
        <f t="shared" si="147"/>
        <v>0</v>
      </c>
      <c r="AA964" s="6">
        <f t="shared" si="146"/>
        <v>0</v>
      </c>
      <c r="AB964" s="42">
        <f t="shared" si="149"/>
        <v>0</v>
      </c>
      <c r="AC964" s="42">
        <f>U964*(Q966-c_CSG)</f>
        <v>0</v>
      </c>
    </row>
    <row r="965" spans="11:29" x14ac:dyDescent="0.3">
      <c r="M965" s="42"/>
      <c r="Q965" s="19" t="s">
        <v>369</v>
      </c>
      <c r="R965" s="19"/>
      <c r="T965" s="78"/>
      <c r="U965">
        <f>$K$933*$I$922*$G$946*$E$984*$C$1053*$A$1008*$M$948*$O$960*Q966</f>
        <v>1.652163068285626E-2</v>
      </c>
      <c r="V965">
        <v>1.6521630682856264E-2</v>
      </c>
      <c r="W965" s="42">
        <f>$K$934+$I$923+$G$947+$E$985+$C$1054+$A$1009+$M$949+$O$961+Q967</f>
        <v>269859.45980810805</v>
      </c>
      <c r="X965">
        <f>u_Healthy</f>
        <v>0</v>
      </c>
      <c r="Z965" s="42">
        <f t="shared" si="147"/>
        <v>4458.5183312246536</v>
      </c>
      <c r="AA965" s="6">
        <f t="shared" si="146"/>
        <v>0</v>
      </c>
      <c r="AB965" s="42">
        <f t="shared" si="149"/>
        <v>182.39880273873311</v>
      </c>
      <c r="AC965" s="42">
        <f>U965*(Q967-c_CSG)</f>
        <v>55.562243986445601</v>
      </c>
    </row>
    <row r="966" spans="11:29" x14ac:dyDescent="0.3">
      <c r="M966" s="42"/>
      <c r="Q966" s="45">
        <f>1-Q963-Q960-Q957</f>
        <v>0.9669144234632383</v>
      </c>
      <c r="R966" s="45"/>
      <c r="T966" s="78"/>
      <c r="Z966" s="42">
        <f t="shared" si="147"/>
        <v>0</v>
      </c>
      <c r="AA966" s="6">
        <f t="shared" si="146"/>
        <v>0</v>
      </c>
      <c r="AB966" s="42">
        <f t="shared" si="149"/>
        <v>0</v>
      </c>
      <c r="AC966" s="42">
        <f>U966*(Q968-c_CSG)</f>
        <v>0</v>
      </c>
    </row>
    <row r="967" spans="11:29" x14ac:dyDescent="0.3">
      <c r="M967" s="42"/>
      <c r="Q967" s="46">
        <f>c_clinic_fu+c_CSG</f>
        <v>14403</v>
      </c>
      <c r="R967" s="46"/>
      <c r="T967" s="78"/>
      <c r="Z967" s="42">
        <f t="shared" si="147"/>
        <v>0</v>
      </c>
      <c r="AA967" s="6">
        <f t="shared" si="146"/>
        <v>0</v>
      </c>
      <c r="AB967" s="42">
        <f t="shared" si="149"/>
        <v>0</v>
      </c>
      <c r="AC967" s="42">
        <f>U967*(Q969-c_CSG)</f>
        <v>0</v>
      </c>
    </row>
    <row r="968" spans="11:29" x14ac:dyDescent="0.3">
      <c r="M968" s="42"/>
      <c r="Q968" s="42"/>
      <c r="R968" s="42"/>
      <c r="T968" s="78"/>
      <c r="Z968" s="42">
        <f t="shared" si="147"/>
        <v>0</v>
      </c>
      <c r="AA968" s="6">
        <f t="shared" si="146"/>
        <v>0</v>
      </c>
      <c r="AB968" s="42">
        <f t="shared" si="149"/>
        <v>0</v>
      </c>
      <c r="AC968" s="42">
        <f>U968*(Q970-c_CSG)</f>
        <v>0</v>
      </c>
    </row>
    <row r="969" spans="11:29" x14ac:dyDescent="0.3">
      <c r="K969" s="19" t="s">
        <v>165</v>
      </c>
      <c r="L969" s="19"/>
      <c r="M969" s="19"/>
      <c r="N969" s="19"/>
      <c r="O969" s="19"/>
      <c r="P969" s="19"/>
      <c r="Q969" s="19"/>
      <c r="R969" s="19"/>
      <c r="T969" s="78"/>
      <c r="U969">
        <f>$K$970*$I$978*$G$946*$E$984*$C$1053*$A$1008</f>
        <v>1.9037211390745008E-3</v>
      </c>
      <c r="V969">
        <v>1.9037211390745008E-3</v>
      </c>
      <c r="W969" s="42">
        <f>$K$971+$I$979+$G$947+$E$985+$C$1054+$A$1009</f>
        <v>257248.45980810808</v>
      </c>
      <c r="X969">
        <f>u_Death</f>
        <v>19.181538114427529</v>
      </c>
      <c r="Z969" s="42">
        <f t="shared" si="147"/>
        <v>489.72933093105246</v>
      </c>
      <c r="AA969" s="6">
        <f t="shared" si="146"/>
        <v>3.6516299588398929E-2</v>
      </c>
      <c r="AB969" s="42"/>
      <c r="AC969" s="42"/>
    </row>
    <row r="970" spans="11:29" x14ac:dyDescent="0.3">
      <c r="K970" s="45">
        <f>AGA_prem_2d_3</f>
        <v>3.5174999999999998E-2</v>
      </c>
      <c r="T970" s="78"/>
      <c r="Z970" s="42">
        <f t="shared" si="147"/>
        <v>0</v>
      </c>
      <c r="AA970" s="6">
        <f t="shared" si="146"/>
        <v>0</v>
      </c>
      <c r="AB970" s="42">
        <f t="shared" ref="AB970:AB1001" si="150">U970*c_CSG</f>
        <v>0</v>
      </c>
      <c r="AC970" s="42">
        <f>U970*(Q972-c_CSG)</f>
        <v>0</v>
      </c>
    </row>
    <row r="971" spans="11:29" x14ac:dyDescent="0.3">
      <c r="K971" s="46">
        <f>c_SB</f>
        <v>1792</v>
      </c>
      <c r="T971" s="78"/>
      <c r="Z971" s="42">
        <f t="shared" si="147"/>
        <v>0</v>
      </c>
      <c r="AA971" s="6">
        <f t="shared" si="146"/>
        <v>0</v>
      </c>
      <c r="AB971" s="42">
        <f t="shared" si="150"/>
        <v>0</v>
      </c>
      <c r="AC971" s="42"/>
    </row>
    <row r="972" spans="11:29" x14ac:dyDescent="0.3">
      <c r="T972" s="78"/>
      <c r="Z972" s="42">
        <f t="shared" si="147"/>
        <v>0</v>
      </c>
      <c r="AA972" s="6">
        <f t="shared" si="146"/>
        <v>0</v>
      </c>
      <c r="AB972" s="42">
        <f t="shared" si="150"/>
        <v>0</v>
      </c>
      <c r="AC972" s="42">
        <f>U972*(Q974-c_CSG)</f>
        <v>0</v>
      </c>
    </row>
    <row r="973" spans="11:29" x14ac:dyDescent="0.3">
      <c r="Q973" s="19" t="s">
        <v>367</v>
      </c>
      <c r="R973" s="19"/>
      <c r="T973" s="78"/>
      <c r="U973">
        <f>$K$989*$I$978*$G$946*$E$984*$C$1053*$A$1008*$M$984*$O$979*Q974</f>
        <v>1.2070976103514609E-3</v>
      </c>
      <c r="V973">
        <v>1.2070976103514609E-3</v>
      </c>
      <c r="W973" s="42">
        <f>$K$990+$I$979+$G$947+$E$985+$C$1054+$A$1009+$M$985+$O$980+Q975</f>
        <v>343517.84125871374</v>
      </c>
      <c r="X973">
        <f>u_ChronicResp</f>
        <v>0.53465956747782661</v>
      </c>
      <c r="Z973" s="42">
        <f t="shared" si="147"/>
        <v>414.65956529648582</v>
      </c>
      <c r="AA973" s="6">
        <f t="shared" ref="AA973:AA1036" si="151">U973*X973</f>
        <v>6.453862862540301E-4</v>
      </c>
      <c r="AB973" s="42">
        <f t="shared" si="150"/>
        <v>13.326357618280127</v>
      </c>
      <c r="AC973" s="42">
        <f>U973*(Q975-c_CSG)</f>
        <v>52.496084685640838</v>
      </c>
    </row>
    <row r="974" spans="11:29" x14ac:dyDescent="0.3">
      <c r="Q974" s="45">
        <f>RDS2CLD_3-(Hypo2CI_3*RDS2CLD_3)</f>
        <v>0.34246866666666664</v>
      </c>
      <c r="R974" s="45"/>
      <c r="T974" s="78"/>
      <c r="Z974" s="42">
        <f t="shared" si="147"/>
        <v>0</v>
      </c>
      <c r="AA974" s="6">
        <f t="shared" si="151"/>
        <v>0</v>
      </c>
      <c r="AB974" s="42">
        <f t="shared" si="150"/>
        <v>0</v>
      </c>
      <c r="AC974" s="42"/>
    </row>
    <row r="975" spans="11:29" x14ac:dyDescent="0.3">
      <c r="Q975" s="46">
        <f>c_lung+c_hosp_fu+c_CSG</f>
        <v>54529.510902399998</v>
      </c>
      <c r="R975" s="46"/>
      <c r="T975" s="78"/>
      <c r="Z975" s="42">
        <f t="shared" ref="Z975:Z1038" si="152">U975*W975</f>
        <v>0</v>
      </c>
      <c r="AA975" s="6">
        <f t="shared" si="151"/>
        <v>0</v>
      </c>
      <c r="AB975" s="42">
        <f t="shared" si="150"/>
        <v>0</v>
      </c>
      <c r="AC975" s="42">
        <f>U975*(Q977-c_CSG)</f>
        <v>0</v>
      </c>
    </row>
    <row r="976" spans="11:29" x14ac:dyDescent="0.3">
      <c r="Q976" s="19" t="s">
        <v>226</v>
      </c>
      <c r="R976" s="19"/>
      <c r="T976" s="78"/>
      <c r="U976">
        <f>$K$989*$I$978*$G$946*$E$984*$C$1053*$A$1008*$M$984*$O$979*Q977</f>
        <v>1.1561704666338901E-4</v>
      </c>
      <c r="V976">
        <v>1.1561704666338901E-4</v>
      </c>
      <c r="W976" s="42">
        <f>$K$990+$I$979+$G$947+$E$985+$C$1054+$A$1009+$M$985+$O$980+Q978</f>
        <v>304754.33035631373</v>
      </c>
      <c r="X976">
        <f>u_CongnitiveImpairement</f>
        <v>17.270393127285455</v>
      </c>
      <c r="Z976" s="42">
        <f t="shared" si="152"/>
        <v>35.234795633675795</v>
      </c>
      <c r="AA976" s="6">
        <f t="shared" si="151"/>
        <v>1.9967518480924354E-3</v>
      </c>
      <c r="AB976" s="42">
        <f t="shared" si="150"/>
        <v>1.2764121951638148</v>
      </c>
      <c r="AC976" s="42">
        <f>U976*(Q978-c_CSG)</f>
        <v>0.54640616253117646</v>
      </c>
    </row>
    <row r="977" spans="5:29" x14ac:dyDescent="0.3">
      <c r="I977" s="19" t="s">
        <v>424</v>
      </c>
      <c r="Q977" s="45">
        <f>Hypo2CI_3-(Hypo2CI_3*RDS2CLD_3)</f>
        <v>3.2801999999999998E-2</v>
      </c>
      <c r="R977" s="45"/>
      <c r="T977" s="78"/>
      <c r="Z977" s="42">
        <f t="shared" si="152"/>
        <v>0</v>
      </c>
      <c r="AA977" s="6">
        <f t="shared" si="151"/>
        <v>0</v>
      </c>
      <c r="AB977" s="42">
        <f t="shared" si="150"/>
        <v>0</v>
      </c>
      <c r="AC977" s="42"/>
    </row>
    <row r="978" spans="5:29" x14ac:dyDescent="0.3">
      <c r="I978" s="45">
        <f>LBW_prem_2AGA_3</f>
        <v>0.55590452261306533</v>
      </c>
      <c r="O978" s="19" t="s">
        <v>161</v>
      </c>
      <c r="Q978" s="46">
        <f>c_cog+c_hosp_fu+c_CSG</f>
        <v>15766</v>
      </c>
      <c r="R978" s="46"/>
      <c r="T978" s="78"/>
      <c r="Z978" s="42">
        <f t="shared" si="152"/>
        <v>0</v>
      </c>
      <c r="AA978" s="6">
        <f t="shared" si="151"/>
        <v>0</v>
      </c>
      <c r="AB978" s="42">
        <f t="shared" si="150"/>
        <v>0</v>
      </c>
      <c r="AC978" s="42">
        <f>U978*(Q980-c_CSG)</f>
        <v>0</v>
      </c>
    </row>
    <row r="979" spans="5:29" x14ac:dyDescent="0.3">
      <c r="I979" s="46"/>
      <c r="O979" s="45">
        <f>AGA_prem_2hypoglycaemia_3</f>
        <v>0.15</v>
      </c>
      <c r="Q979" s="19" t="s">
        <v>368</v>
      </c>
      <c r="R979" s="19"/>
      <c r="T979" s="78"/>
      <c r="U979">
        <f>$K$989*$I$978*$G$946*$E$984*$C$1053*$A$1008*$M$984*$O$979*Q980</f>
        <v>6.531729866272839E-5</v>
      </c>
      <c r="V979">
        <v>6.531729866272839E-5</v>
      </c>
      <c r="W979" s="42">
        <f>$K$990+$I$979+$G$947+$E$985+$C$1054+$A$1009+$M$985+$O$980+Q981</f>
        <v>347336.84125871374</v>
      </c>
      <c r="X979">
        <f>u_ChronicResp+u_CongnitiveImpairement</f>
        <v>17.805052694763283</v>
      </c>
      <c r="Z979" s="42">
        <f t="shared" si="152"/>
        <v>22.687104197064087</v>
      </c>
      <c r="AA979" s="6">
        <f t="shared" si="151"/>
        <v>1.1629779445694703E-3</v>
      </c>
      <c r="AB979" s="42">
        <f t="shared" si="150"/>
        <v>0.72110297723652139</v>
      </c>
      <c r="AC979" s="42">
        <f>U979*(Q981-c_CSG)</f>
        <v>3.0900641359010028</v>
      </c>
    </row>
    <row r="980" spans="5:29" x14ac:dyDescent="0.3">
      <c r="O980" s="46">
        <f>c_hypo</f>
        <v>2936.2604000000001</v>
      </c>
      <c r="Q980" s="45">
        <f>Hypo2CI_3*RDS2CLD_3</f>
        <v>1.8531333333333334E-2</v>
      </c>
      <c r="R980" s="45"/>
      <c r="T980" s="78"/>
      <c r="Z980" s="42">
        <f t="shared" si="152"/>
        <v>0</v>
      </c>
      <c r="AA980" s="6">
        <f t="shared" si="151"/>
        <v>0</v>
      </c>
      <c r="AB980" s="42">
        <f t="shared" si="150"/>
        <v>0</v>
      </c>
      <c r="AC980" s="42"/>
    </row>
    <row r="981" spans="5:29" x14ac:dyDescent="0.3">
      <c r="M981" s="42"/>
      <c r="Q981" s="46">
        <f>c_lung+c_cog+c_hosp_fu+c_CSG</f>
        <v>58348.510902399998</v>
      </c>
      <c r="R981" s="46"/>
      <c r="T981" s="78"/>
      <c r="Z981" s="42">
        <f t="shared" si="152"/>
        <v>0</v>
      </c>
      <c r="AA981" s="6">
        <f t="shared" si="151"/>
        <v>0</v>
      </c>
      <c r="AB981" s="42">
        <f t="shared" si="150"/>
        <v>0</v>
      </c>
      <c r="AC981" s="42">
        <f>U981*(Q983-c_CSG)</f>
        <v>0</v>
      </c>
    </row>
    <row r="982" spans="5:29" x14ac:dyDescent="0.3">
      <c r="Q982" s="19" t="s">
        <v>369</v>
      </c>
      <c r="R982" s="19"/>
      <c r="T982" s="78"/>
      <c r="U982">
        <f>$K$989*$I$978*$G$946*$E$984*$C$1053*$A$1008*$M$984*$O$979*Q983</f>
        <v>2.1366630831428906E-3</v>
      </c>
      <c r="V982">
        <v>2.1366630831428906E-3</v>
      </c>
      <c r="W982" s="42">
        <f>$K$990+$I$979+$G$947+$E$985+$C$1054+$A$1009+$M$985+$O$980+Q984</f>
        <v>303391.33035631373</v>
      </c>
      <c r="X982">
        <f>u_Healthy</f>
        <v>0</v>
      </c>
      <c r="Z982" s="42">
        <f t="shared" si="152"/>
        <v>648.24505531794455</v>
      </c>
      <c r="AA982" s="6">
        <f t="shared" si="151"/>
        <v>0</v>
      </c>
      <c r="AB982" s="42">
        <f t="shared" si="150"/>
        <v>23.588760437897513</v>
      </c>
      <c r="AC982" s="42">
        <f>U982*(Q984-c_CSG)</f>
        <v>7.1855979486095407</v>
      </c>
    </row>
    <row r="983" spans="5:29" x14ac:dyDescent="0.3">
      <c r="E983" s="19" t="s">
        <v>10</v>
      </c>
      <c r="M983" s="19" t="s">
        <v>9</v>
      </c>
      <c r="Q983" s="45">
        <f>1-Q974-Q977-Q980</f>
        <v>0.60619800000000001</v>
      </c>
      <c r="R983" s="45"/>
      <c r="T983" s="78"/>
      <c r="Z983" s="42">
        <f t="shared" si="152"/>
        <v>0</v>
      </c>
      <c r="AA983" s="6">
        <f t="shared" si="151"/>
        <v>0</v>
      </c>
      <c r="AB983" s="42">
        <f t="shared" si="150"/>
        <v>0</v>
      </c>
      <c r="AC983" s="42">
        <f>U983*(Q985-c_CSG)</f>
        <v>0</v>
      </c>
    </row>
    <row r="984" spans="5:29" x14ac:dyDescent="0.3">
      <c r="E984" s="45">
        <f>LB2prem_3</f>
        <v>0.17481773997569866</v>
      </c>
      <c r="K984" s="42"/>
      <c r="M984" s="45">
        <f>S_prem_2RDS_3</f>
        <v>0.45</v>
      </c>
      <c r="Q984" s="46">
        <f>c_clinic_fu+c_CSG</f>
        <v>14403</v>
      </c>
      <c r="R984" s="46"/>
      <c r="T984" s="78"/>
      <c r="Z984" s="42">
        <f t="shared" si="152"/>
        <v>0</v>
      </c>
      <c r="AA984" s="6">
        <f t="shared" si="151"/>
        <v>0</v>
      </c>
      <c r="AB984" s="42">
        <f t="shared" si="150"/>
        <v>0</v>
      </c>
      <c r="AC984" s="42"/>
    </row>
    <row r="985" spans="5:29" x14ac:dyDescent="0.3">
      <c r="E985" s="46">
        <f>c_prem</f>
        <v>577.9017081081081</v>
      </c>
      <c r="K985" s="42"/>
      <c r="M985" s="46">
        <f>c_RDS</f>
        <v>30595.610148205637</v>
      </c>
      <c r="Q985" s="42"/>
      <c r="R985" s="42"/>
      <c r="T985" s="78"/>
      <c r="Z985" s="42">
        <f t="shared" si="152"/>
        <v>0</v>
      </c>
      <c r="AA985" s="6">
        <f t="shared" si="151"/>
        <v>0</v>
      </c>
      <c r="AB985" s="42">
        <f t="shared" si="150"/>
        <v>0</v>
      </c>
      <c r="AC985" s="42">
        <f>U985*(Q987-c_CSG)</f>
        <v>0</v>
      </c>
    </row>
    <row r="986" spans="5:29" x14ac:dyDescent="0.3">
      <c r="Q986" s="19" t="s">
        <v>367</v>
      </c>
      <c r="R986" s="19"/>
      <c r="T986" s="78"/>
      <c r="U986">
        <f>$K$989*$I$978*$G$946*$E$984*$C$1053*$A$1008*$M$984*$O$989*Q987</f>
        <v>6.9717925262144063E-3</v>
      </c>
      <c r="V986">
        <v>6.9717925262144063E-3</v>
      </c>
      <c r="W986" s="42">
        <f>$K$990+$I$979+$G$947+$E$985+$C$1054+$A$1009+$M$985+$O$990+Q988</f>
        <v>340581.58085871371</v>
      </c>
      <c r="X986">
        <f>u_ChronicResp</f>
        <v>0.53465956747782661</v>
      </c>
      <c r="Z986" s="42">
        <f t="shared" si="152"/>
        <v>2374.4641199970679</v>
      </c>
      <c r="AA986" s="6">
        <f t="shared" si="151"/>
        <v>3.7275355766109388E-3</v>
      </c>
      <c r="AB986" s="42">
        <f t="shared" si="150"/>
        <v>76.968589489407051</v>
      </c>
      <c r="AC986" s="42">
        <f>U986*(Q988-c_CSG)</f>
        <v>303.19984707807225</v>
      </c>
    </row>
    <row r="987" spans="5:29" x14ac:dyDescent="0.3">
      <c r="Q987" s="45">
        <f>RDS2CLD_3-(RDS2CLD_3*noHypo2CI_3)</f>
        <v>0.34905610687022898</v>
      </c>
      <c r="R987" s="45"/>
      <c r="T987" s="78"/>
      <c r="Z987" s="42">
        <f t="shared" si="152"/>
        <v>0</v>
      </c>
      <c r="AA987" s="6">
        <f t="shared" si="151"/>
        <v>0</v>
      </c>
      <c r="AB987" s="42">
        <f t="shared" si="150"/>
        <v>0</v>
      </c>
      <c r="AC987" s="42"/>
    </row>
    <row r="988" spans="5:29" x14ac:dyDescent="0.3">
      <c r="K988" s="19" t="s">
        <v>37</v>
      </c>
      <c r="M988" s="42"/>
      <c r="O988" s="19" t="s">
        <v>370</v>
      </c>
      <c r="Q988" s="46">
        <f>c_lung+c_hosp_fu+c_CSG</f>
        <v>54529.510902399998</v>
      </c>
      <c r="R988" s="46"/>
      <c r="T988" s="78"/>
      <c r="Z988" s="42">
        <f t="shared" si="152"/>
        <v>0</v>
      </c>
      <c r="AA988" s="6">
        <f t="shared" si="151"/>
        <v>0</v>
      </c>
      <c r="AB988" s="42">
        <f t="shared" si="150"/>
        <v>0</v>
      </c>
      <c r="AC988" s="42">
        <f>U988*(Q990-c_CSG)</f>
        <v>0</v>
      </c>
    </row>
    <row r="989" spans="5:29" x14ac:dyDescent="0.3">
      <c r="K989" s="45">
        <f>AGA_prem_2s_3</f>
        <v>0.96482500000000004</v>
      </c>
      <c r="O989" s="45">
        <f>AGA_prem_2normoglycaemia_3</f>
        <v>0.85</v>
      </c>
      <c r="Q989" s="19" t="s">
        <v>226</v>
      </c>
      <c r="R989" s="19"/>
      <c r="T989" s="78"/>
      <c r="U989">
        <f>$K$989*$I$978*$G$946*$E$984*$C$1053*$A$1008*$M$984*$O$989*Q990</f>
        <v>4.2226859082928909E-4</v>
      </c>
      <c r="V989">
        <v>4.2226859082928909E-4</v>
      </c>
      <c r="W989" s="42">
        <f>$K$990+$I$979+$G$947+$E$985+$C$1054+$A$1009+$M$985+$O$990+Q991</f>
        <v>301818.0699563137</v>
      </c>
      <c r="X989">
        <f>u_CongnitiveImpairement</f>
        <v>17.270393127285455</v>
      </c>
      <c r="Z989" s="42">
        <f t="shared" si="152"/>
        <v>127.44829108726839</v>
      </c>
      <c r="AA989" s="6">
        <f t="shared" si="151"/>
        <v>7.2927445689266682E-3</v>
      </c>
      <c r="AB989" s="42">
        <f t="shared" si="150"/>
        <v>4.6618452427553514</v>
      </c>
      <c r="AC989" s="42">
        <f>U989*(Q991-c_CSG)</f>
        <v>1.9956413602592202</v>
      </c>
    </row>
    <row r="990" spans="5:29" x14ac:dyDescent="0.3">
      <c r="K990" s="46"/>
      <c r="O990" s="46"/>
      <c r="Q990" s="45">
        <f>noHypo2CI_3-(RDS2CLD_3*noHypo2CI_3)</f>
        <v>2.1141683406990762E-2</v>
      </c>
      <c r="R990" s="45"/>
      <c r="T990" s="78"/>
      <c r="Z990" s="42">
        <f t="shared" si="152"/>
        <v>0</v>
      </c>
      <c r="AA990" s="6">
        <f t="shared" si="151"/>
        <v>0</v>
      </c>
      <c r="AB990" s="42">
        <f t="shared" si="150"/>
        <v>0</v>
      </c>
      <c r="AC990" s="42"/>
    </row>
    <row r="991" spans="5:29" x14ac:dyDescent="0.3">
      <c r="Q991" s="46">
        <f>c_cog+c_hosp_fu+c_CSG</f>
        <v>15766</v>
      </c>
      <c r="R991" s="46"/>
      <c r="T991" s="78"/>
      <c r="Z991" s="42">
        <f t="shared" si="152"/>
        <v>0</v>
      </c>
      <c r="AA991" s="6">
        <f t="shared" si="151"/>
        <v>0</v>
      </c>
      <c r="AB991" s="42">
        <f t="shared" si="150"/>
        <v>0</v>
      </c>
      <c r="AC991" s="42">
        <f>U991*(Q993-c_CSG)</f>
        <v>0</v>
      </c>
    </row>
    <row r="992" spans="5:29" x14ac:dyDescent="0.3">
      <c r="Q992" s="19" t="s">
        <v>368</v>
      </c>
      <c r="R992" s="19"/>
      <c r="T992" s="78"/>
      <c r="U992">
        <f>$K$989*$I$978*$G$946*$E$984*$C$1053*$A$1008*$M$984*$O$989*Q993</f>
        <v>2.3855862486599894E-4</v>
      </c>
      <c r="V992">
        <v>2.3855862486599894E-4</v>
      </c>
      <c r="W992" s="42">
        <f>$K$990+$I$979+$G$947+$E$985+$C$1054+$A$1009+$M$985+$O$990+Q994</f>
        <v>344400.58085871371</v>
      </c>
      <c r="X992">
        <f>u_ChronicResp+u_CongnitiveImpairement</f>
        <v>17.805052694763283</v>
      </c>
      <c r="Z992" s="42">
        <f t="shared" si="152"/>
        <v>82.15972897270602</v>
      </c>
      <c r="AA992" s="6">
        <f t="shared" si="151"/>
        <v>4.247548886529378E-3</v>
      </c>
      <c r="AB992" s="42">
        <f t="shared" si="150"/>
        <v>2.6336872185206284</v>
      </c>
      <c r="AC992" s="42">
        <f>U992*(Q994-c_CSG)</f>
        <v>11.285853305334662</v>
      </c>
    </row>
    <row r="993" spans="1:29" x14ac:dyDescent="0.3">
      <c r="Q993" s="45">
        <f>RDS2CLD_3*noHypo2CI_3</f>
        <v>1.1943893129770991E-2</v>
      </c>
      <c r="R993" s="45"/>
      <c r="T993" s="78"/>
      <c r="Z993" s="42">
        <f t="shared" si="152"/>
        <v>0</v>
      </c>
      <c r="AA993" s="6">
        <f t="shared" si="151"/>
        <v>0</v>
      </c>
      <c r="AB993" s="42">
        <f t="shared" si="150"/>
        <v>0</v>
      </c>
      <c r="AC993" s="42"/>
    </row>
    <row r="994" spans="1:29" x14ac:dyDescent="0.3">
      <c r="Q994" s="46">
        <f>c_cog+c_lung+c_hosp_fu+c_CSG</f>
        <v>58348.510902399998</v>
      </c>
      <c r="R994" s="46"/>
      <c r="T994" s="78"/>
      <c r="Z994" s="42">
        <f t="shared" si="152"/>
        <v>0</v>
      </c>
      <c r="AA994" s="6">
        <f t="shared" si="151"/>
        <v>0</v>
      </c>
      <c r="AB994" s="42">
        <f t="shared" si="150"/>
        <v>0</v>
      </c>
      <c r="AC994" s="42">
        <f>U994*(Q996-c_CSG)</f>
        <v>0</v>
      </c>
    </row>
    <row r="995" spans="1:29" x14ac:dyDescent="0.3">
      <c r="Q995" s="19" t="s">
        <v>369</v>
      </c>
      <c r="R995" s="19"/>
      <c r="T995" s="78"/>
      <c r="U995">
        <f>$K$989*$I$978*$G$946*$E$984*$C$1053*$A$1008*$M$984*$O$989*Q996</f>
        <v>1.2340652144739632E-2</v>
      </c>
      <c r="V995">
        <v>1.2340652144739632E-2</v>
      </c>
      <c r="W995" s="42">
        <f>$K$990+$I$979+$G$947+$E$985+$C$1054+$A$1009+$M$985+$O$990+Q997</f>
        <v>300455.0699563137</v>
      </c>
      <c r="X995">
        <f>u_Healthy</f>
        <v>0</v>
      </c>
      <c r="Z995" s="42">
        <f t="shared" si="152"/>
        <v>3707.8115034542789</v>
      </c>
      <c r="AA995" s="6">
        <f t="shared" si="151"/>
        <v>0</v>
      </c>
      <c r="AB995" s="42">
        <f t="shared" si="150"/>
        <v>136.24079967792554</v>
      </c>
      <c r="AC995" s="42">
        <f>U995*(Q997-c_CSG)</f>
        <v>41.501613162759384</v>
      </c>
    </row>
    <row r="996" spans="1:29" x14ac:dyDescent="0.3">
      <c r="Q996" s="45">
        <f>1-Q993-Q990-Q987</f>
        <v>0.61785831659300938</v>
      </c>
      <c r="R996" s="45"/>
      <c r="T996" s="78"/>
      <c r="Z996" s="42">
        <f t="shared" si="152"/>
        <v>0</v>
      </c>
      <c r="AA996" s="6">
        <f t="shared" si="151"/>
        <v>0</v>
      </c>
      <c r="AB996" s="42">
        <f t="shared" si="150"/>
        <v>0</v>
      </c>
      <c r="AC996" s="42">
        <f>U996*(Q998-c_CSG)</f>
        <v>0</v>
      </c>
    </row>
    <row r="997" spans="1:29" x14ac:dyDescent="0.3">
      <c r="Q997" s="46">
        <f>c_clinic_fu+c_CSG</f>
        <v>14403</v>
      </c>
      <c r="R997" s="46"/>
      <c r="T997" s="78"/>
      <c r="Z997" s="42">
        <f t="shared" si="152"/>
        <v>0</v>
      </c>
      <c r="AA997" s="6">
        <f t="shared" si="151"/>
        <v>0</v>
      </c>
      <c r="AB997" s="42">
        <f t="shared" si="150"/>
        <v>0</v>
      </c>
      <c r="AC997" s="42"/>
    </row>
    <row r="998" spans="1:29" x14ac:dyDescent="0.3">
      <c r="Q998" s="42"/>
      <c r="R998" s="42"/>
      <c r="T998" s="78"/>
      <c r="Z998" s="42">
        <f t="shared" si="152"/>
        <v>0</v>
      </c>
      <c r="AA998" s="6">
        <f t="shared" si="151"/>
        <v>0</v>
      </c>
      <c r="AB998" s="42">
        <f t="shared" si="150"/>
        <v>0</v>
      </c>
      <c r="AC998" s="42">
        <f>U998*(Q1000-c_CSG)</f>
        <v>0</v>
      </c>
    </row>
    <row r="999" spans="1:29" x14ac:dyDescent="0.3">
      <c r="Q999" s="19" t="s">
        <v>367</v>
      </c>
      <c r="R999" s="19"/>
      <c r="T999" s="78"/>
      <c r="U999">
        <f>$K$989*$I$978*$G$946*$E$984*$C$1053*$A$1008*$M$1004*$O$1002*Q1000</f>
        <v>0</v>
      </c>
      <c r="W999" s="42">
        <f>$K$990+$I$979+$G$947+$E$985+$C$1054+$A$1009+$M$1005+$O$1003+Q1001</f>
        <v>312922.23111050809</v>
      </c>
      <c r="X999">
        <f>u_ChronicResp</f>
        <v>0.53465956747782661</v>
      </c>
      <c r="Z999" s="42">
        <f t="shared" si="152"/>
        <v>0</v>
      </c>
      <c r="AA999" s="6">
        <f t="shared" si="151"/>
        <v>0</v>
      </c>
      <c r="AB999" s="42">
        <f t="shared" si="150"/>
        <v>0</v>
      </c>
      <c r="AC999" s="42">
        <f>U999*(Q1001-c_CSG)</f>
        <v>0</v>
      </c>
    </row>
    <row r="1000" spans="1:29" x14ac:dyDescent="0.3">
      <c r="Q1000" s="45">
        <f>noRDS2CLD_3-(Hypo2CI_3*noRDS2CLD_3)</f>
        <v>0</v>
      </c>
      <c r="R1000" s="45"/>
      <c r="T1000" s="78"/>
      <c r="V1000">
        <v>0</v>
      </c>
      <c r="Z1000" s="42">
        <f t="shared" si="152"/>
        <v>0</v>
      </c>
      <c r="AA1000" s="6">
        <f t="shared" si="151"/>
        <v>0</v>
      </c>
      <c r="AB1000" s="42">
        <f t="shared" si="150"/>
        <v>0</v>
      </c>
      <c r="AC1000" s="42"/>
    </row>
    <row r="1001" spans="1:29" x14ac:dyDescent="0.3">
      <c r="O1001" s="19" t="s">
        <v>161</v>
      </c>
      <c r="Q1001" s="46">
        <f>c_lung+c_hosp_fu+c_CSG</f>
        <v>54529.510902399998</v>
      </c>
      <c r="R1001" s="46"/>
      <c r="T1001" s="78"/>
      <c r="Z1001" s="42">
        <f t="shared" si="152"/>
        <v>0</v>
      </c>
      <c r="AA1001" s="6">
        <f t="shared" si="151"/>
        <v>0</v>
      </c>
      <c r="AB1001" s="42">
        <f t="shared" si="150"/>
        <v>0</v>
      </c>
      <c r="AC1001" s="42">
        <f>U1001*(Q1003-c_CSG)</f>
        <v>0</v>
      </c>
    </row>
    <row r="1002" spans="1:29" x14ac:dyDescent="0.3">
      <c r="O1002" s="45">
        <f>AGA_prem_2hypoglycaemia_3</f>
        <v>0.15</v>
      </c>
      <c r="Q1002" s="19" t="s">
        <v>226</v>
      </c>
      <c r="R1002" s="19"/>
      <c r="T1002" s="78"/>
      <c r="U1002">
        <f>$K$989*$I$978*$G$946*$E$984*$C$1053*$A$1008*$M$1004*$O$1002*Q1003</f>
        <v>2.2114197762081018E-4</v>
      </c>
      <c r="V1002">
        <v>2.2114197762081018E-4</v>
      </c>
      <c r="W1002" s="42">
        <f>$K$990+$I$979+$G$947+$E$985+$C$1054+$A$1009+$M$1005+$O$1003+Q1004</f>
        <v>274158.72020810808</v>
      </c>
      <c r="X1002">
        <f>u_CongnitiveImpairement</f>
        <v>17.270393127285455</v>
      </c>
      <c r="Z1002" s="42">
        <f t="shared" si="152"/>
        <v>60.628001568811399</v>
      </c>
      <c r="AA1002" s="6">
        <f t="shared" si="151"/>
        <v>3.8192088904567541E-3</v>
      </c>
      <c r="AB1002" s="42">
        <f t="shared" ref="AB1002:AB1024" si="153">U1002*c_CSG</f>
        <v>2.4414074329337443</v>
      </c>
      <c r="AC1002" s="42">
        <f>U1002*(Q1004-c_CSG)</f>
        <v>1.0451169862359488</v>
      </c>
    </row>
    <row r="1003" spans="1:29" x14ac:dyDescent="0.3">
      <c r="M1003" s="19" t="s">
        <v>203</v>
      </c>
      <c r="O1003" s="46">
        <f>c_hypo</f>
        <v>2936.2604000000001</v>
      </c>
      <c r="Q1003" s="45">
        <f>Hypo2CI_3-(Hypo2CI_3*noRDS2CLD_3)</f>
        <v>5.1333333333333335E-2</v>
      </c>
      <c r="R1003" s="45"/>
      <c r="T1003" s="78"/>
      <c r="Z1003" s="42">
        <f t="shared" si="152"/>
        <v>0</v>
      </c>
      <c r="AA1003" s="6">
        <f t="shared" si="151"/>
        <v>0</v>
      </c>
      <c r="AB1003" s="42">
        <f t="shared" si="153"/>
        <v>0</v>
      </c>
      <c r="AC1003" s="42"/>
    </row>
    <row r="1004" spans="1:29" x14ac:dyDescent="0.3">
      <c r="M1004" s="45">
        <f>S_prem_2noRDS_3</f>
        <v>0.55000000000000004</v>
      </c>
      <c r="Q1004" s="46">
        <f>c_cog+c_hosp_fu+c_CSG</f>
        <v>15766</v>
      </c>
      <c r="R1004" s="46"/>
      <c r="T1004" s="78"/>
      <c r="Z1004" s="42">
        <f t="shared" si="152"/>
        <v>0</v>
      </c>
      <c r="AA1004" s="6">
        <f t="shared" si="151"/>
        <v>0</v>
      </c>
      <c r="AB1004" s="42">
        <f t="shared" si="153"/>
        <v>0</v>
      </c>
      <c r="AC1004" s="42">
        <f>U1004*(Q1006-c_CSG)</f>
        <v>0</v>
      </c>
    </row>
    <row r="1005" spans="1:29" x14ac:dyDescent="0.3">
      <c r="M1005" s="46"/>
      <c r="O1005" s="42"/>
      <c r="Q1005" s="19" t="s">
        <v>368</v>
      </c>
      <c r="R1005" s="19"/>
      <c r="T1005" s="78"/>
      <c r="U1005">
        <f>$K$989*$I$978*$G$946*$E$984*$C$1053*$A$1008*$M$1004*$O$1002*Q1006</f>
        <v>0</v>
      </c>
      <c r="V1005">
        <v>0</v>
      </c>
      <c r="W1005" s="42">
        <f>$K$990+$I$979+$G$947+$E$985+$C$1054+$A$1009+$M$1005+$O$1003+Q1007</f>
        <v>316741.23111050809</v>
      </c>
      <c r="X1005">
        <f>u_ChronicResp+u_CongnitiveImpairement</f>
        <v>17.805052694763283</v>
      </c>
      <c r="Z1005" s="42">
        <f t="shared" si="152"/>
        <v>0</v>
      </c>
      <c r="AA1005" s="6">
        <f t="shared" si="151"/>
        <v>0</v>
      </c>
      <c r="AB1005" s="42">
        <f t="shared" si="153"/>
        <v>0</v>
      </c>
      <c r="AC1005" s="42">
        <f>U1005*(Q1007-c_CSG)</f>
        <v>0</v>
      </c>
    </row>
    <row r="1006" spans="1:29" x14ac:dyDescent="0.3">
      <c r="A1006" t="s">
        <v>298</v>
      </c>
      <c r="M1006" s="42"/>
      <c r="Q1006" s="45">
        <f>noRDS2CLD_3*Hypo2CI_3</f>
        <v>0</v>
      </c>
      <c r="R1006" s="45"/>
      <c r="T1006" s="78"/>
      <c r="Z1006" s="42">
        <f t="shared" si="152"/>
        <v>0</v>
      </c>
      <c r="AA1006" s="6">
        <f t="shared" si="151"/>
        <v>0</v>
      </c>
      <c r="AB1006" s="42">
        <f t="shared" si="153"/>
        <v>0</v>
      </c>
      <c r="AC1006" s="42"/>
    </row>
    <row r="1007" spans="1:29" x14ac:dyDescent="0.3">
      <c r="A1007" s="19" t="s">
        <v>202</v>
      </c>
      <c r="M1007" s="42"/>
      <c r="Q1007" s="46">
        <f>c_lung+c_cog+c_hosp_fu+c_CSG</f>
        <v>58348.510902399998</v>
      </c>
      <c r="R1007" s="46"/>
      <c r="T1007" s="78"/>
      <c r="Z1007" s="42">
        <f t="shared" si="152"/>
        <v>0</v>
      </c>
      <c r="AA1007" s="6">
        <f t="shared" si="151"/>
        <v>0</v>
      </c>
      <c r="AB1007" s="42">
        <f t="shared" si="153"/>
        <v>0</v>
      </c>
      <c r="AC1007" s="42">
        <f>U1007*(Q1009-c_CSG)</f>
        <v>0</v>
      </c>
    </row>
    <row r="1008" spans="1:29" x14ac:dyDescent="0.3">
      <c r="A1008" s="45">
        <f>NoG2ANC</f>
        <v>0.83099999999999996</v>
      </c>
      <c r="M1008" s="42"/>
      <c r="Q1008" s="19" t="s">
        <v>369</v>
      </c>
      <c r="R1008" s="19"/>
      <c r="T1008" s="78"/>
      <c r="U1008">
        <f>$K$989*$I$978*$G$946*$E$984*$C$1053*$A$1008*$M$1004*$O$1002*Q1009</f>
        <v>4.0868186253819857E-3</v>
      </c>
      <c r="V1008">
        <v>4.0868186253819857E-3</v>
      </c>
      <c r="W1008" s="42">
        <f>$K$990+$I$979+$G$947+$E$985+$C$1054+$A$1009+$M$1005+$O$1003+Q1010</f>
        <v>272795.72020810808</v>
      </c>
      <c r="X1008">
        <f>u_Healthy</f>
        <v>0</v>
      </c>
      <c r="Z1008" s="42">
        <f t="shared" si="152"/>
        <v>1114.8666302709889</v>
      </c>
      <c r="AA1008" s="6">
        <f t="shared" si="151"/>
        <v>0</v>
      </c>
      <c r="AB1008" s="42">
        <f t="shared" si="153"/>
        <v>45.118477624217121</v>
      </c>
      <c r="AC1008" s="42">
        <f>U1008*(Q1010-c_CSG)</f>
        <v>13.743971037159618</v>
      </c>
    </row>
    <row r="1009" spans="1:29" x14ac:dyDescent="0.3">
      <c r="A1009" s="46">
        <f>c_ANC</f>
        <v>177</v>
      </c>
      <c r="M1009" s="42"/>
      <c r="O1009" s="42"/>
      <c r="Q1009" s="45">
        <f>1-Q1006-Q1003-Q1000</f>
        <v>0.94866666666666666</v>
      </c>
      <c r="R1009" s="45"/>
      <c r="T1009" s="78"/>
      <c r="Z1009" s="42">
        <f t="shared" si="152"/>
        <v>0</v>
      </c>
      <c r="AA1009" s="6">
        <f t="shared" si="151"/>
        <v>0</v>
      </c>
      <c r="AB1009" s="42">
        <f t="shared" si="153"/>
        <v>0</v>
      </c>
      <c r="AC1009" s="42">
        <f>U1009*(Q1011-c_CSG)</f>
        <v>0</v>
      </c>
    </row>
    <row r="1010" spans="1:29" x14ac:dyDescent="0.3">
      <c r="M1010" s="42"/>
      <c r="Q1010" s="46">
        <f>c_clinic_fu+c_CSG</f>
        <v>14403</v>
      </c>
      <c r="R1010" s="46"/>
      <c r="S1010" s="94"/>
      <c r="T1010" s="78"/>
      <c r="Z1010" s="42">
        <f t="shared" si="152"/>
        <v>0</v>
      </c>
      <c r="AA1010" s="6">
        <f t="shared" si="151"/>
        <v>0</v>
      </c>
      <c r="AB1010" s="42">
        <f t="shared" si="153"/>
        <v>0</v>
      </c>
      <c r="AC1010" s="42"/>
    </row>
    <row r="1011" spans="1:29" x14ac:dyDescent="0.3">
      <c r="M1011" s="42"/>
      <c r="Q1011" s="42"/>
      <c r="R1011" s="42"/>
      <c r="T1011" s="78"/>
      <c r="Z1011" s="42">
        <f t="shared" si="152"/>
        <v>0</v>
      </c>
      <c r="AA1011" s="6">
        <f t="shared" si="151"/>
        <v>0</v>
      </c>
      <c r="AB1011" s="42">
        <f t="shared" si="153"/>
        <v>0</v>
      </c>
      <c r="AC1011" s="42">
        <f>U1011*(Q1013-c_CSG)</f>
        <v>0</v>
      </c>
    </row>
    <row r="1012" spans="1:29" x14ac:dyDescent="0.3">
      <c r="M1012" s="42"/>
      <c r="Q1012" s="19" t="s">
        <v>367</v>
      </c>
      <c r="R1012" s="19"/>
      <c r="T1012" s="78"/>
      <c r="U1012">
        <f>$K$989*$I$978*$G$946*$E$984*$C$1053*$A$1008*$M$1004*$O$1016*Q1013</f>
        <v>0</v>
      </c>
      <c r="V1012">
        <v>0</v>
      </c>
      <c r="W1012" s="42">
        <f>$K$990+$I$979+$G$947+$E$985+$C$1054+$A$1009+$M$1005+$O$1017+Q1014</f>
        <v>312015.23111050809</v>
      </c>
      <c r="X1012">
        <f>u_ChronicResp</f>
        <v>0.53465956747782661</v>
      </c>
      <c r="Z1012" s="42">
        <f t="shared" si="152"/>
        <v>0</v>
      </c>
      <c r="AA1012" s="6">
        <f t="shared" si="151"/>
        <v>0</v>
      </c>
      <c r="AB1012" s="42">
        <f t="shared" si="153"/>
        <v>0</v>
      </c>
      <c r="AC1012" s="42">
        <f>U1012*(Q1014-c_CSG)</f>
        <v>0</v>
      </c>
    </row>
    <row r="1013" spans="1:29" x14ac:dyDescent="0.3">
      <c r="M1013" s="42"/>
      <c r="Q1013" s="45">
        <f>noRDS2CLD_3-(noRDS2CLD_3*noHypo2CI_3)</f>
        <v>0</v>
      </c>
      <c r="R1013" s="45"/>
      <c r="T1013" s="78"/>
      <c r="Z1013" s="42">
        <f t="shared" si="152"/>
        <v>0</v>
      </c>
      <c r="AA1013" s="6">
        <f t="shared" si="151"/>
        <v>0</v>
      </c>
      <c r="AB1013" s="42">
        <f t="shared" si="153"/>
        <v>0</v>
      </c>
      <c r="AC1013" s="42"/>
    </row>
    <row r="1014" spans="1:29" x14ac:dyDescent="0.3">
      <c r="M1014" s="42"/>
      <c r="Q1014" s="46">
        <f>c_lung+c_hypo+c_CSG</f>
        <v>56558.771302399997</v>
      </c>
      <c r="R1014" s="46"/>
      <c r="T1014" s="78"/>
      <c r="Z1014" s="42">
        <f t="shared" si="152"/>
        <v>0</v>
      </c>
      <c r="AA1014" s="6">
        <f t="shared" si="151"/>
        <v>0</v>
      </c>
      <c r="AB1014" s="42">
        <f t="shared" si="153"/>
        <v>0</v>
      </c>
      <c r="AC1014" s="42">
        <f>U1014*(Q1016-c_CSG)</f>
        <v>0</v>
      </c>
    </row>
    <row r="1015" spans="1:29" x14ac:dyDescent="0.3">
      <c r="M1015" s="42"/>
      <c r="O1015" s="19" t="s">
        <v>370</v>
      </c>
      <c r="Q1015" s="19" t="s">
        <v>226</v>
      </c>
      <c r="R1015" s="19"/>
      <c r="T1015" s="78"/>
      <c r="U1015">
        <f>$K$989*$I$978*$G$946*$E$984*$C$1053*$A$1008*$M$1004*$O$1016*Q1016</f>
        <v>8.0767770807201869E-4</v>
      </c>
      <c r="V1015">
        <v>8.0767770807201869E-4</v>
      </c>
      <c r="W1015" s="42">
        <f>$K$990+$I$979+$G$947+$E$985+$C$1054+$A$1009+$M$1005+$O$1017+Q1017</f>
        <v>271222.45980810805</v>
      </c>
      <c r="X1015">
        <f>u_CongnitiveImpairement</f>
        <v>17.270393127285455</v>
      </c>
      <c r="Z1015" s="42">
        <f t="shared" si="152"/>
        <v>219.06033471546792</v>
      </c>
      <c r="AA1015" s="6">
        <f t="shared" si="151"/>
        <v>1.394891153854866E-2</v>
      </c>
      <c r="AB1015" s="42">
        <f t="shared" si="153"/>
        <v>8.9167618971150855</v>
      </c>
      <c r="AC1015" s="42">
        <f>U1015*(Q1017-c_CSG)</f>
        <v>3.8170848483483604</v>
      </c>
    </row>
    <row r="1016" spans="1:29" x14ac:dyDescent="0.3">
      <c r="M1016" s="42"/>
      <c r="O1016" s="45">
        <f>AGA_prem_2normoglycaemia_3</f>
        <v>0.85</v>
      </c>
      <c r="Q1016" s="45">
        <f>noHypo2CI_3</f>
        <v>3.3085576536761752E-2</v>
      </c>
      <c r="R1016" s="45"/>
      <c r="T1016" s="78"/>
      <c r="Z1016" s="42">
        <f t="shared" si="152"/>
        <v>0</v>
      </c>
      <c r="AA1016" s="6">
        <f t="shared" si="151"/>
        <v>0</v>
      </c>
      <c r="AB1016" s="42">
        <f t="shared" si="153"/>
        <v>0</v>
      </c>
      <c r="AC1016" s="42"/>
    </row>
    <row r="1017" spans="1:29" x14ac:dyDescent="0.3">
      <c r="M1017" s="42"/>
      <c r="O1017" s="46"/>
      <c r="Q1017" s="46">
        <f>c_cog+c_hosp_fu+c_CSG</f>
        <v>15766</v>
      </c>
      <c r="R1017" s="46"/>
      <c r="T1017" s="78"/>
      <c r="Z1017" s="42">
        <f t="shared" si="152"/>
        <v>0</v>
      </c>
      <c r="AA1017" s="6">
        <f t="shared" si="151"/>
        <v>0</v>
      </c>
      <c r="AB1017" s="42">
        <f t="shared" si="153"/>
        <v>0</v>
      </c>
      <c r="AC1017" s="42">
        <f>U1017*(Q1019-c_CSG)</f>
        <v>0</v>
      </c>
    </row>
    <row r="1018" spans="1:29" x14ac:dyDescent="0.3">
      <c r="M1018" s="42"/>
      <c r="Q1018" s="19" t="s">
        <v>368</v>
      </c>
      <c r="R1018" s="19"/>
      <c r="T1018" s="78"/>
      <c r="U1018">
        <f>$K$989*$I$978*$G$946*$E$984*$C$1053*$A$1008*$M$1004*$O$1016*Q1019</f>
        <v>0</v>
      </c>
      <c r="V1018">
        <v>0</v>
      </c>
      <c r="W1018" s="42">
        <f>$K$990+$I$979+$G$947+$E$985+$C$1054+$A$1009+$M$1005+$O$1017+Q1020</f>
        <v>313804.97071050806</v>
      </c>
      <c r="X1018">
        <f>u_ChronicResp+u_CongnitiveImpairement</f>
        <v>17.805052694763283</v>
      </c>
      <c r="Z1018" s="42">
        <f t="shared" si="152"/>
        <v>0</v>
      </c>
      <c r="AA1018" s="6">
        <f t="shared" si="151"/>
        <v>0</v>
      </c>
      <c r="AB1018" s="42">
        <f t="shared" si="153"/>
        <v>0</v>
      </c>
      <c r="AC1018" s="42">
        <f>U1018*(Q1020-c_CSG)</f>
        <v>0</v>
      </c>
    </row>
    <row r="1019" spans="1:29" x14ac:dyDescent="0.3">
      <c r="Q1019" s="45">
        <f>noRDS2CLD_3*noHypo2CI_3</f>
        <v>0</v>
      </c>
      <c r="R1019" s="45"/>
      <c r="T1019" s="78"/>
      <c r="Z1019" s="42">
        <f t="shared" si="152"/>
        <v>0</v>
      </c>
      <c r="AA1019" s="6">
        <f t="shared" si="151"/>
        <v>0</v>
      </c>
      <c r="AB1019" s="42">
        <f t="shared" si="153"/>
        <v>0</v>
      </c>
      <c r="AC1019" s="42"/>
    </row>
    <row r="1020" spans="1:29" x14ac:dyDescent="0.3">
      <c r="Q1020" s="46">
        <f>c_cog+c_lung+c_hosp_fu+c_CSG</f>
        <v>58348.510902399998</v>
      </c>
      <c r="R1020" s="46"/>
      <c r="T1020" s="78"/>
      <c r="Z1020" s="42">
        <f t="shared" si="152"/>
        <v>0</v>
      </c>
      <c r="AA1020" s="6">
        <f t="shared" si="151"/>
        <v>0</v>
      </c>
      <c r="AB1020" s="42">
        <f t="shared" si="153"/>
        <v>0</v>
      </c>
      <c r="AC1020" s="42">
        <f>U1020*(Q1022-c_CSG)</f>
        <v>0</v>
      </c>
    </row>
    <row r="1021" spans="1:29" x14ac:dyDescent="0.3">
      <c r="M1021" s="42"/>
      <c r="Q1021" s="19" t="s">
        <v>369</v>
      </c>
      <c r="R1021" s="19"/>
      <c r="T1021" s="78"/>
      <c r="U1021">
        <f>$K$989*$I$978*$G$946*$E$984*$C$1053*$A$1008*$M$1004*$O$1016*Q1022</f>
        <v>2.3604099042277157E-2</v>
      </c>
      <c r="V1021">
        <v>2.3604099042277157E-2</v>
      </c>
      <c r="W1021" s="42">
        <f>$K$990+$I$979+$G$947+$E$985+$C$1054+$A$1009+$M$1005+$O$1017+Q1023</f>
        <v>269859.45980810805</v>
      </c>
      <c r="X1021">
        <f>u_Healthy</f>
        <v>0</v>
      </c>
      <c r="Z1021" s="42">
        <f t="shared" si="152"/>
        <v>6369.7894168059938</v>
      </c>
      <c r="AA1021" s="6">
        <f t="shared" si="151"/>
        <v>0</v>
      </c>
      <c r="AB1021" s="42">
        <f t="shared" si="153"/>
        <v>260.58925342673984</v>
      </c>
      <c r="AC1021" s="42">
        <f>U1021*(Q1023-c_CSG)</f>
        <v>79.380585079178076</v>
      </c>
    </row>
    <row r="1022" spans="1:29" x14ac:dyDescent="0.3">
      <c r="M1022" s="42"/>
      <c r="Q1022" s="45">
        <f>1-Q1019-Q1016-Q1013</f>
        <v>0.9669144234632383</v>
      </c>
      <c r="R1022" s="45"/>
      <c r="T1022" s="78"/>
      <c r="Z1022" s="42">
        <f t="shared" si="152"/>
        <v>0</v>
      </c>
      <c r="AA1022" s="6">
        <f t="shared" si="151"/>
        <v>0</v>
      </c>
      <c r="AB1022" s="42">
        <f t="shared" si="153"/>
        <v>0</v>
      </c>
      <c r="AC1022" s="42">
        <f>U1022*(Q1024-c_CSG)</f>
        <v>0</v>
      </c>
    </row>
    <row r="1023" spans="1:29" x14ac:dyDescent="0.3">
      <c r="M1023" s="42"/>
      <c r="Q1023" s="46">
        <f>c_clinic_fu+c_CSG</f>
        <v>14403</v>
      </c>
      <c r="R1023" s="46"/>
      <c r="T1023" s="78"/>
      <c r="Z1023" s="42">
        <f t="shared" si="152"/>
        <v>0</v>
      </c>
      <c r="AA1023" s="6">
        <f t="shared" si="151"/>
        <v>0</v>
      </c>
      <c r="AB1023" s="42">
        <f t="shared" si="153"/>
        <v>0</v>
      </c>
      <c r="AC1023" s="42">
        <f>U1023*(Q1025-c_CSG)</f>
        <v>0</v>
      </c>
    </row>
    <row r="1024" spans="1:29" x14ac:dyDescent="0.3">
      <c r="M1024" s="42"/>
      <c r="Q1024" s="42"/>
      <c r="R1024" s="42"/>
      <c r="T1024" s="78"/>
      <c r="Z1024" s="42">
        <f t="shared" si="152"/>
        <v>0</v>
      </c>
      <c r="AA1024" s="6">
        <f t="shared" si="151"/>
        <v>0</v>
      </c>
      <c r="AB1024" s="42">
        <f t="shared" si="153"/>
        <v>0</v>
      </c>
      <c r="AC1024" s="42">
        <f>U1024*(Q1026-c_CSG)</f>
        <v>0</v>
      </c>
    </row>
    <row r="1025" spans="9:29" x14ac:dyDescent="0.3">
      <c r="K1025" s="19" t="s">
        <v>165</v>
      </c>
      <c r="L1025" s="19"/>
      <c r="M1025" s="19"/>
      <c r="N1025" s="19"/>
      <c r="O1025" s="19"/>
      <c r="P1025" s="19"/>
      <c r="Q1025" s="19"/>
      <c r="R1025" s="19"/>
      <c r="T1025" s="78"/>
      <c r="U1025">
        <f>$K$1026*$I$1034*$G$1055*$E$984*$C$1053*$A$1008</f>
        <v>0</v>
      </c>
      <c r="V1025">
        <v>0</v>
      </c>
      <c r="W1025" s="42">
        <f>$K$1027+$I$1035+$G$1056+$E$985+$C$1054+$A$1009</f>
        <v>3802.1017081081081</v>
      </c>
      <c r="X1025">
        <f>u_Death</f>
        <v>19.181538114427529</v>
      </c>
      <c r="Z1025" s="42">
        <f t="shared" si="152"/>
        <v>0</v>
      </c>
      <c r="AA1025" s="6">
        <f t="shared" si="151"/>
        <v>0</v>
      </c>
      <c r="AB1025" s="42"/>
      <c r="AC1025" s="42"/>
    </row>
    <row r="1026" spans="9:29" x14ac:dyDescent="0.3">
      <c r="K1026" s="45">
        <f>SGA_prem_2d_3</f>
        <v>8.4066666666666665E-2</v>
      </c>
      <c r="T1026" s="78"/>
      <c r="Z1026" s="42">
        <f t="shared" si="152"/>
        <v>0</v>
      </c>
      <c r="AA1026" s="6">
        <f t="shared" si="151"/>
        <v>0</v>
      </c>
      <c r="AB1026" s="42">
        <f t="shared" ref="AB1026:AB1057" si="154">U1026*c_CSG</f>
        <v>0</v>
      </c>
      <c r="AC1026" s="42">
        <f>U1026*(Q1028-c_CSG)</f>
        <v>0</v>
      </c>
    </row>
    <row r="1027" spans="9:29" x14ac:dyDescent="0.3">
      <c r="K1027" s="46">
        <f>c_SB</f>
        <v>1792</v>
      </c>
      <c r="T1027" s="78"/>
      <c r="Z1027" s="42">
        <f t="shared" si="152"/>
        <v>0</v>
      </c>
      <c r="AA1027" s="6">
        <f t="shared" si="151"/>
        <v>0</v>
      </c>
      <c r="AB1027" s="42">
        <f t="shared" si="154"/>
        <v>0</v>
      </c>
      <c r="AC1027" s="42"/>
    </row>
    <row r="1028" spans="9:29" x14ac:dyDescent="0.3">
      <c r="T1028" s="78"/>
      <c r="Z1028" s="42">
        <f t="shared" si="152"/>
        <v>0</v>
      </c>
      <c r="AA1028" s="6">
        <f t="shared" si="151"/>
        <v>0</v>
      </c>
      <c r="AB1028" s="42">
        <f t="shared" si="154"/>
        <v>0</v>
      </c>
      <c r="AC1028" s="42">
        <f>U1028*(Q1030-c_CSG)</f>
        <v>0</v>
      </c>
    </row>
    <row r="1029" spans="9:29" x14ac:dyDescent="0.3">
      <c r="Q1029" s="19" t="s">
        <v>367</v>
      </c>
      <c r="R1029" s="19"/>
      <c r="T1029" s="78"/>
      <c r="U1029">
        <f>$K$1045*$I$1034*$G$1055*$E$984*$C$1053*$A$1008*$M$1040*$O$1035*Q1030</f>
        <v>0</v>
      </c>
      <c r="V1029">
        <v>0</v>
      </c>
      <c r="W1029" s="42">
        <f>$K$1046+$I$1035+$G$1056+$E$985+$C$1054+$A$1009+$M$1041+$O$1036+Q1031</f>
        <v>90071.483158713745</v>
      </c>
      <c r="X1029">
        <f>u_ChronicResp</f>
        <v>0.53465956747782661</v>
      </c>
      <c r="Z1029" s="42">
        <f t="shared" si="152"/>
        <v>0</v>
      </c>
      <c r="AA1029" s="6">
        <f t="shared" si="151"/>
        <v>0</v>
      </c>
      <c r="AB1029" s="42">
        <f t="shared" si="154"/>
        <v>0</v>
      </c>
      <c r="AC1029" s="42">
        <f>U1029*(Q1031-c_CSG)</f>
        <v>0</v>
      </c>
    </row>
    <row r="1030" spans="9:29" x14ac:dyDescent="0.3">
      <c r="Q1030" s="45">
        <f>RDS2CLD_3-(Hypo2CI_3*RDS2CLD_3)</f>
        <v>0.34246866666666664</v>
      </c>
      <c r="R1030" s="45"/>
      <c r="T1030" s="78"/>
      <c r="Z1030" s="42">
        <f t="shared" si="152"/>
        <v>0</v>
      </c>
      <c r="AA1030" s="6">
        <f t="shared" si="151"/>
        <v>0</v>
      </c>
      <c r="AB1030" s="42">
        <f t="shared" si="154"/>
        <v>0</v>
      </c>
      <c r="AC1030" s="42"/>
    </row>
    <row r="1031" spans="9:29" x14ac:dyDescent="0.3">
      <c r="Q1031" s="46">
        <f>c_lung+c_hosp_fu+c_CSG</f>
        <v>54529.510902399998</v>
      </c>
      <c r="R1031" s="46"/>
      <c r="T1031" s="78"/>
      <c r="Z1031" s="42">
        <f t="shared" si="152"/>
        <v>0</v>
      </c>
      <c r="AA1031" s="6">
        <f t="shared" si="151"/>
        <v>0</v>
      </c>
      <c r="AB1031" s="42">
        <f t="shared" si="154"/>
        <v>0</v>
      </c>
      <c r="AC1031" s="42">
        <f>U1031*(Q1033-c_CSG)</f>
        <v>0</v>
      </c>
    </row>
    <row r="1032" spans="9:29" x14ac:dyDescent="0.3">
      <c r="Q1032" s="19" t="s">
        <v>226</v>
      </c>
      <c r="R1032" s="19"/>
      <c r="T1032" s="78"/>
      <c r="U1032">
        <f>$K$1045*$I$1034*$G$1055*$E$984*$C$1053*$A$1008*$M$1040*$O$1035*Q1033</f>
        <v>0</v>
      </c>
      <c r="V1032">
        <v>0</v>
      </c>
      <c r="W1032" s="42">
        <f>$K$1046+$I$1035+$G$1056+$E$985+$C$1054+$A$1009+$M$1041+$O$1036+Q1034</f>
        <v>51307.972256313747</v>
      </c>
      <c r="X1032">
        <f>u_CongnitiveImpairement</f>
        <v>17.270393127285455</v>
      </c>
      <c r="Z1032" s="42">
        <f t="shared" si="152"/>
        <v>0</v>
      </c>
      <c r="AA1032" s="6">
        <f t="shared" si="151"/>
        <v>0</v>
      </c>
      <c r="AB1032" s="42">
        <f t="shared" si="154"/>
        <v>0</v>
      </c>
      <c r="AC1032" s="42">
        <f>U1032*(Q1034-c_CSG)</f>
        <v>0</v>
      </c>
    </row>
    <row r="1033" spans="9:29" x14ac:dyDescent="0.3">
      <c r="I1033" s="19" t="s">
        <v>164</v>
      </c>
      <c r="Q1033" s="45">
        <f>Hypo2CI_3-(Hypo2CI_3*RDS2CLD_3)</f>
        <v>3.2801999999999998E-2</v>
      </c>
      <c r="R1033" s="45"/>
      <c r="T1033" s="78"/>
      <c r="Z1033" s="42">
        <f t="shared" si="152"/>
        <v>0</v>
      </c>
      <c r="AA1033" s="6">
        <f t="shared" si="151"/>
        <v>0</v>
      </c>
      <c r="AB1033" s="42">
        <f t="shared" si="154"/>
        <v>0</v>
      </c>
      <c r="AC1033" s="42"/>
    </row>
    <row r="1034" spans="9:29" x14ac:dyDescent="0.3">
      <c r="I1034" s="45">
        <f>NBW_prem_2SGA_3</f>
        <v>0</v>
      </c>
      <c r="O1034" s="19" t="s">
        <v>161</v>
      </c>
      <c r="Q1034" s="46">
        <f>c_cog+c_hosp_fu+c_CSG</f>
        <v>15766</v>
      </c>
      <c r="R1034" s="46"/>
      <c r="T1034" s="78"/>
      <c r="Z1034" s="42">
        <f t="shared" si="152"/>
        <v>0</v>
      </c>
      <c r="AA1034" s="6">
        <f t="shared" si="151"/>
        <v>0</v>
      </c>
      <c r="AB1034" s="42">
        <f t="shared" si="154"/>
        <v>0</v>
      </c>
      <c r="AC1034" s="42">
        <f>U1034*(Q1036-c_CSG)</f>
        <v>0</v>
      </c>
    </row>
    <row r="1035" spans="9:29" x14ac:dyDescent="0.3">
      <c r="I1035" s="46"/>
      <c r="O1035" s="45">
        <f>SGA_prem_2hypoglycaemia_3</f>
        <v>0.2155</v>
      </c>
      <c r="Q1035" s="19" t="s">
        <v>368</v>
      </c>
      <c r="R1035" s="19"/>
      <c r="T1035" s="78"/>
      <c r="U1035">
        <f>$K$1045*$I$1034*$G$1055*$E$984*$C$1053*$A$1008*$M$1040*$O$1035*Q1036</f>
        <v>0</v>
      </c>
      <c r="V1035">
        <v>0</v>
      </c>
      <c r="W1035" s="42">
        <f>$K$1046+$I$1035+$G$1056+$E$985+$C$1054+$A$1009+$M$1041+$O$1036+Q1037</f>
        <v>93890.483158713745</v>
      </c>
      <c r="X1035">
        <f>u_ChronicResp+u_CongnitiveImpairement</f>
        <v>17.805052694763283</v>
      </c>
      <c r="Z1035" s="42">
        <f t="shared" si="152"/>
        <v>0</v>
      </c>
      <c r="AA1035" s="6">
        <f t="shared" si="151"/>
        <v>0</v>
      </c>
      <c r="AB1035" s="42">
        <f t="shared" si="154"/>
        <v>0</v>
      </c>
      <c r="AC1035" s="42">
        <f>U1035*(Q1037-c_CSG)</f>
        <v>0</v>
      </c>
    </row>
    <row r="1036" spans="9:29" x14ac:dyDescent="0.3">
      <c r="O1036" s="46">
        <f>c_hypo</f>
        <v>2936.2604000000001</v>
      </c>
      <c r="Q1036" s="45">
        <f>Hypo2CI_3*RDS2CLD_3</f>
        <v>1.8531333333333334E-2</v>
      </c>
      <c r="R1036" s="45"/>
      <c r="T1036" s="78"/>
      <c r="Z1036" s="42">
        <f t="shared" si="152"/>
        <v>0</v>
      </c>
      <c r="AA1036" s="6">
        <f t="shared" si="151"/>
        <v>0</v>
      </c>
      <c r="AB1036" s="42">
        <f t="shared" si="154"/>
        <v>0</v>
      </c>
      <c r="AC1036" s="42"/>
    </row>
    <row r="1037" spans="9:29" x14ac:dyDescent="0.3">
      <c r="M1037" s="42"/>
      <c r="Q1037" s="46">
        <f>c_lung+c_cog+c_hosp_fu+c_CSG</f>
        <v>58348.510902399998</v>
      </c>
      <c r="R1037" s="46"/>
      <c r="T1037" s="78"/>
      <c r="Z1037" s="42">
        <f t="shared" si="152"/>
        <v>0</v>
      </c>
      <c r="AA1037" s="6">
        <f t="shared" ref="AA1037:AA1100" si="155">U1037*X1037</f>
        <v>0</v>
      </c>
      <c r="AB1037" s="42">
        <f t="shared" si="154"/>
        <v>0</v>
      </c>
      <c r="AC1037" s="42">
        <f>U1037*(Q1039-c_CSG)</f>
        <v>0</v>
      </c>
    </row>
    <row r="1038" spans="9:29" x14ac:dyDescent="0.3">
      <c r="Q1038" s="19" t="s">
        <v>369</v>
      </c>
      <c r="R1038" s="19"/>
      <c r="T1038" s="78"/>
      <c r="U1038">
        <f>$K$1045*$I$1034*$G$1055*$E$984*$C$1053*$A$1008*$M$1040*$O$1035*Q1039</f>
        <v>0</v>
      </c>
      <c r="V1038">
        <v>0</v>
      </c>
      <c r="W1038" s="42">
        <f>$K$1046+$I$1035+$G$1056+$E$985+$C$1054+$A$1009+$M$1041+$O$1036+Q1040</f>
        <v>49944.972256313747</v>
      </c>
      <c r="X1038">
        <f>u_Healthy</f>
        <v>0</v>
      </c>
      <c r="Z1038" s="42">
        <f t="shared" si="152"/>
        <v>0</v>
      </c>
      <c r="AA1038" s="6">
        <f t="shared" si="155"/>
        <v>0</v>
      </c>
      <c r="AB1038" s="42">
        <f t="shared" si="154"/>
        <v>0</v>
      </c>
      <c r="AC1038" s="42">
        <f>U1038*(Q1040-c_CSG)</f>
        <v>0</v>
      </c>
    </row>
    <row r="1039" spans="9:29" x14ac:dyDescent="0.3">
      <c r="M1039" s="19" t="s">
        <v>9</v>
      </c>
      <c r="Q1039" s="45">
        <f>1-Q1030-Q1033-Q1036</f>
        <v>0.60619800000000001</v>
      </c>
      <c r="R1039" s="45"/>
      <c r="T1039" s="78"/>
      <c r="Z1039" s="42">
        <f t="shared" ref="Z1039:Z1102" si="156">U1039*W1039</f>
        <v>0</v>
      </c>
      <c r="AA1039" s="6">
        <f t="shared" si="155"/>
        <v>0</v>
      </c>
      <c r="AB1039" s="42">
        <f t="shared" si="154"/>
        <v>0</v>
      </c>
      <c r="AC1039" s="42">
        <f>U1039*(Q1041-c_CSG)</f>
        <v>0</v>
      </c>
    </row>
    <row r="1040" spans="9:29" x14ac:dyDescent="0.3">
      <c r="K1040" s="42"/>
      <c r="M1040" s="45">
        <f>S_prem_2RDS_3</f>
        <v>0.45</v>
      </c>
      <c r="Q1040" s="46">
        <f>c_clinic_fu+c_CSG</f>
        <v>14403</v>
      </c>
      <c r="R1040" s="46"/>
      <c r="T1040" s="78"/>
      <c r="Z1040" s="42">
        <f t="shared" si="156"/>
        <v>0</v>
      </c>
      <c r="AA1040" s="6">
        <f t="shared" si="155"/>
        <v>0</v>
      </c>
      <c r="AB1040" s="42">
        <f t="shared" si="154"/>
        <v>0</v>
      </c>
      <c r="AC1040" s="42"/>
    </row>
    <row r="1041" spans="3:29" x14ac:dyDescent="0.3">
      <c r="K1041" s="42"/>
      <c r="M1041" s="46">
        <f>c_RDS</f>
        <v>30595.610148205637</v>
      </c>
      <c r="Q1041" s="42"/>
      <c r="R1041" s="42"/>
      <c r="T1041" s="78"/>
      <c r="Z1041" s="42">
        <f t="shared" si="156"/>
        <v>0</v>
      </c>
      <c r="AA1041" s="6">
        <f t="shared" si="155"/>
        <v>0</v>
      </c>
      <c r="AB1041" s="42">
        <f t="shared" si="154"/>
        <v>0</v>
      </c>
      <c r="AC1041" s="42">
        <f>U1041*(Q1043-c_CSG)</f>
        <v>0</v>
      </c>
    </row>
    <row r="1042" spans="3:29" x14ac:dyDescent="0.3">
      <c r="Q1042" s="19" t="s">
        <v>367</v>
      </c>
      <c r="R1042" s="19"/>
      <c r="T1042" s="78"/>
      <c r="U1042">
        <f>$K$1045*$I$1034*$G$1055*$E$984*$C$1053*$A$1008*$M$1040*$O$1045*Q1043</f>
        <v>0</v>
      </c>
      <c r="V1042">
        <v>0</v>
      </c>
      <c r="W1042" s="42">
        <f>$K$1046+$I$1035+$G$1056+$E$985+$C$1054+$A$1009+$M$1041+$O$1046+Q1044</f>
        <v>87135.222758713746</v>
      </c>
      <c r="X1042">
        <f>u_ChronicResp</f>
        <v>0.53465956747782661</v>
      </c>
      <c r="Z1042" s="42">
        <f t="shared" si="156"/>
        <v>0</v>
      </c>
      <c r="AA1042" s="6">
        <f t="shared" si="155"/>
        <v>0</v>
      </c>
      <c r="AB1042" s="42">
        <f t="shared" si="154"/>
        <v>0</v>
      </c>
      <c r="AC1042" s="42">
        <f>U1042*(Q1044-c_CSG)</f>
        <v>0</v>
      </c>
    </row>
    <row r="1043" spans="3:29" x14ac:dyDescent="0.3">
      <c r="Q1043" s="45">
        <f>RDS2CLD_3-(RDS2CLD_3*noHypo2CI_3)</f>
        <v>0.34905610687022898</v>
      </c>
      <c r="R1043" s="45"/>
      <c r="T1043" s="78"/>
      <c r="Z1043" s="42">
        <f t="shared" si="156"/>
        <v>0</v>
      </c>
      <c r="AA1043" s="6">
        <f t="shared" si="155"/>
        <v>0</v>
      </c>
      <c r="AB1043" s="42">
        <f t="shared" si="154"/>
        <v>0</v>
      </c>
      <c r="AC1043" s="42"/>
    </row>
    <row r="1044" spans="3:29" x14ac:dyDescent="0.3">
      <c r="K1044" s="19" t="s">
        <v>37</v>
      </c>
      <c r="M1044" s="42"/>
      <c r="O1044" s="19" t="s">
        <v>370</v>
      </c>
      <c r="Q1044" s="46">
        <f>c_lung+c_hosp_fu+c_CSG</f>
        <v>54529.510902399998</v>
      </c>
      <c r="R1044" s="46"/>
      <c r="T1044" s="78"/>
      <c r="Z1044" s="42">
        <f t="shared" si="156"/>
        <v>0</v>
      </c>
      <c r="AA1044" s="6">
        <f t="shared" si="155"/>
        <v>0</v>
      </c>
      <c r="AB1044" s="42">
        <f t="shared" si="154"/>
        <v>0</v>
      </c>
      <c r="AC1044" s="42">
        <f>U1044*(Q1046-c_CSG)</f>
        <v>0</v>
      </c>
    </row>
    <row r="1045" spans="3:29" x14ac:dyDescent="0.3">
      <c r="K1045" s="45">
        <f>SGA_prem_2s_3</f>
        <v>0.91593333333333338</v>
      </c>
      <c r="O1045" s="45">
        <f>SGA_prem_2normoglycaemia_3</f>
        <v>0.78449999999999998</v>
      </c>
      <c r="Q1045" s="19" t="s">
        <v>226</v>
      </c>
      <c r="R1045" s="19"/>
      <c r="T1045" s="78"/>
      <c r="U1045">
        <f>$K$1045*$I$1034*$G$1055*$E$984*$C$1053*$A$1008*$M$1040*$O$1045*Q1046</f>
        <v>0</v>
      </c>
      <c r="V1045">
        <v>0</v>
      </c>
      <c r="W1045" s="42">
        <f>$K$1046+$I$1035+$G$1056+$E$985+$C$1054+$A$1009+$M$1041+$O$1046+Q1047</f>
        <v>48371.711856313748</v>
      </c>
      <c r="X1045">
        <f>u_CongnitiveImpairement</f>
        <v>17.270393127285455</v>
      </c>
      <c r="Z1045" s="42">
        <f t="shared" si="156"/>
        <v>0</v>
      </c>
      <c r="AA1045" s="6">
        <f t="shared" si="155"/>
        <v>0</v>
      </c>
      <c r="AB1045" s="42">
        <f t="shared" si="154"/>
        <v>0</v>
      </c>
      <c r="AC1045" s="42">
        <f>U1045*(Q1047-c_CSG)</f>
        <v>0</v>
      </c>
    </row>
    <row r="1046" spans="3:29" x14ac:dyDescent="0.3">
      <c r="K1046" s="46"/>
      <c r="O1046" s="46"/>
      <c r="Q1046" s="45">
        <f>noHypo2CI_3-(RDS2CLD_3*noHypo2CI_3)</f>
        <v>2.1141683406990762E-2</v>
      </c>
      <c r="R1046" s="45"/>
      <c r="T1046" s="78"/>
      <c r="Z1046" s="42">
        <f t="shared" si="156"/>
        <v>0</v>
      </c>
      <c r="AA1046" s="6">
        <f t="shared" si="155"/>
        <v>0</v>
      </c>
      <c r="AB1046" s="42">
        <f t="shared" si="154"/>
        <v>0</v>
      </c>
      <c r="AC1046" s="42"/>
    </row>
    <row r="1047" spans="3:29" x14ac:dyDescent="0.3">
      <c r="Q1047" s="46">
        <f>c_cog+c_hosp_fu+c_CSG</f>
        <v>15766</v>
      </c>
      <c r="R1047" s="46"/>
      <c r="T1047" s="78"/>
      <c r="Z1047" s="42">
        <f t="shared" si="156"/>
        <v>0</v>
      </c>
      <c r="AA1047" s="6">
        <f t="shared" si="155"/>
        <v>0</v>
      </c>
      <c r="AB1047" s="42">
        <f t="shared" si="154"/>
        <v>0</v>
      </c>
      <c r="AC1047" s="42">
        <f>U1047*(Q1049-c_CSG)</f>
        <v>0</v>
      </c>
    </row>
    <row r="1048" spans="3:29" x14ac:dyDescent="0.3">
      <c r="Q1048" s="19" t="s">
        <v>368</v>
      </c>
      <c r="R1048" s="19"/>
      <c r="T1048" s="78"/>
      <c r="U1048">
        <f>$K$1045*$I$1034*$G$1055*$E$984*$C$1053*$A$1008*$M$1040*$O$1045*Q1049</f>
        <v>0</v>
      </c>
      <c r="V1048">
        <v>0</v>
      </c>
      <c r="W1048" s="42">
        <f>$K$1046+$I$1035+$G$1056+$E$985+$C$1054+$A$1009+$M$1041+$O$1046+Q1050</f>
        <v>90954.222758713746</v>
      </c>
      <c r="X1048">
        <f>u_ChronicResp+u_CongnitiveImpairement</f>
        <v>17.805052694763283</v>
      </c>
      <c r="Z1048" s="42">
        <f t="shared" si="156"/>
        <v>0</v>
      </c>
      <c r="AA1048" s="6">
        <f t="shared" si="155"/>
        <v>0</v>
      </c>
      <c r="AB1048" s="42">
        <f t="shared" si="154"/>
        <v>0</v>
      </c>
      <c r="AC1048" s="42">
        <f>U1048*(Q1050-c_CSG)</f>
        <v>0</v>
      </c>
    </row>
    <row r="1049" spans="3:29" x14ac:dyDescent="0.3">
      <c r="Q1049" s="45">
        <f>RDS2CLD_3*noHypo2CI_3</f>
        <v>1.1943893129770991E-2</v>
      </c>
      <c r="R1049" s="45"/>
      <c r="T1049" s="78"/>
      <c r="Z1049" s="42">
        <f t="shared" si="156"/>
        <v>0</v>
      </c>
      <c r="AA1049" s="6">
        <f t="shared" si="155"/>
        <v>0</v>
      </c>
      <c r="AB1049" s="42">
        <f t="shared" si="154"/>
        <v>0</v>
      </c>
      <c r="AC1049" s="42"/>
    </row>
    <row r="1050" spans="3:29" x14ac:dyDescent="0.3">
      <c r="Q1050" s="46">
        <f>c_cog+c_lung+c_hosp_fu+c_CSG</f>
        <v>58348.510902399998</v>
      </c>
      <c r="R1050" s="46"/>
      <c r="T1050" s="78"/>
      <c r="Z1050" s="42">
        <f t="shared" si="156"/>
        <v>0</v>
      </c>
      <c r="AA1050" s="6">
        <f t="shared" si="155"/>
        <v>0</v>
      </c>
      <c r="AB1050" s="42">
        <f t="shared" si="154"/>
        <v>0</v>
      </c>
      <c r="AC1050" s="42">
        <f>U1050*(Q1052-c_CSG)</f>
        <v>0</v>
      </c>
    </row>
    <row r="1051" spans="3:29" x14ac:dyDescent="0.3">
      <c r="Q1051" s="19" t="s">
        <v>369</v>
      </c>
      <c r="R1051" s="19"/>
      <c r="T1051" s="78"/>
      <c r="U1051">
        <f>$K$1045*$I$1034*$G$1055*$E$984*$C$1053*$A$1008*$M$1040*$O$1045*Q1052</f>
        <v>0</v>
      </c>
      <c r="V1051">
        <v>0</v>
      </c>
      <c r="W1051" s="42">
        <f>$K$1046+$I$1035+$G$1056+$E$985+$C$1054+$A$1009+$M$1041+$O$1046+Q1053</f>
        <v>47008.711856313748</v>
      </c>
      <c r="X1051">
        <f>u_Healthy</f>
        <v>0</v>
      </c>
      <c r="Z1051" s="42">
        <f t="shared" si="156"/>
        <v>0</v>
      </c>
      <c r="AA1051" s="6">
        <f t="shared" si="155"/>
        <v>0</v>
      </c>
      <c r="AB1051" s="42">
        <f t="shared" si="154"/>
        <v>0</v>
      </c>
      <c r="AC1051" s="42">
        <f>U1051*(Q1053-c_CSG)</f>
        <v>0</v>
      </c>
    </row>
    <row r="1052" spans="3:29" x14ac:dyDescent="0.3">
      <c r="C1052" s="19" t="s">
        <v>372</v>
      </c>
      <c r="Q1052" s="45">
        <f>1-Q1049-Q1046-Q1043</f>
        <v>0.61785831659300938</v>
      </c>
      <c r="R1052" s="45"/>
      <c r="T1052" s="78"/>
      <c r="Z1052" s="42">
        <f t="shared" si="156"/>
        <v>0</v>
      </c>
      <c r="AA1052" s="6">
        <f t="shared" si="155"/>
        <v>0</v>
      </c>
      <c r="AB1052" s="42">
        <f t="shared" si="154"/>
        <v>0</v>
      </c>
      <c r="AC1052" s="42">
        <f>U1052*(Q1054-c_CSG)</f>
        <v>0</v>
      </c>
    </row>
    <row r="1053" spans="3:29" x14ac:dyDescent="0.3">
      <c r="C1053" s="45">
        <f>ANC2LB_3</f>
        <v>0.9835771985977747</v>
      </c>
      <c r="Q1053" s="46">
        <f>c_clinic_fu+c_CSG</f>
        <v>14403</v>
      </c>
      <c r="R1053" s="46"/>
      <c r="T1053" s="78"/>
      <c r="Z1053" s="42">
        <f t="shared" si="156"/>
        <v>0</v>
      </c>
      <c r="AA1053" s="6">
        <f t="shared" si="155"/>
        <v>0</v>
      </c>
      <c r="AB1053" s="42">
        <f t="shared" si="154"/>
        <v>0</v>
      </c>
      <c r="AC1053" s="42"/>
    </row>
    <row r="1054" spans="3:29" x14ac:dyDescent="0.3">
      <c r="C1054" s="46"/>
      <c r="G1054" s="19" t="s">
        <v>371</v>
      </c>
      <c r="Q1054" s="42"/>
      <c r="R1054" s="42"/>
      <c r="T1054" s="78"/>
      <c r="Z1054" s="42">
        <f t="shared" si="156"/>
        <v>0</v>
      </c>
      <c r="AA1054" s="6">
        <f t="shared" si="155"/>
        <v>0</v>
      </c>
      <c r="AB1054" s="42">
        <f t="shared" si="154"/>
        <v>0</v>
      </c>
      <c r="AC1054" s="42">
        <f>U1054*(Q1056-c_CSG)</f>
        <v>0</v>
      </c>
    </row>
    <row r="1055" spans="3:29" x14ac:dyDescent="0.3">
      <c r="G1055" s="45">
        <f>Prem2NBW_3</f>
        <v>0.31864406779661014</v>
      </c>
      <c r="Q1055" s="19" t="s">
        <v>367</v>
      </c>
      <c r="R1055" s="19"/>
      <c r="T1055" s="78"/>
      <c r="U1055">
        <f>$K$1045*$I$1034*$G$1055*$E$984*$C$1053*$A$1008*$M$1060*$O$1058*Q1056</f>
        <v>0</v>
      </c>
      <c r="V1055">
        <v>0</v>
      </c>
      <c r="W1055" s="42">
        <f>$K$1046+$I$1035+$G$1056+$E$985+$C$1054+$A$1009+$M$1061+$O$1059+Q1057</f>
        <v>59475.873010508105</v>
      </c>
      <c r="X1055">
        <f>u_ChronicResp</f>
        <v>0.53465956747782661</v>
      </c>
      <c r="Z1055" s="42">
        <f t="shared" si="156"/>
        <v>0</v>
      </c>
      <c r="AA1055" s="6">
        <f t="shared" si="155"/>
        <v>0</v>
      </c>
      <c r="AB1055" s="42">
        <f t="shared" si="154"/>
        <v>0</v>
      </c>
      <c r="AC1055" s="42">
        <f>U1055*(Q1057-c_CSG)</f>
        <v>0</v>
      </c>
    </row>
    <row r="1056" spans="3:29" x14ac:dyDescent="0.3">
      <c r="G1056" s="46">
        <f>c_NICU_NBW</f>
        <v>1255.2</v>
      </c>
      <c r="Q1056" s="45">
        <f>noRDS2CLD_3-(Hypo2CI_3*noRDS2CLD_3)</f>
        <v>0</v>
      </c>
      <c r="R1056" s="45"/>
      <c r="T1056" s="78"/>
      <c r="Z1056" s="42">
        <f t="shared" si="156"/>
        <v>0</v>
      </c>
      <c r="AA1056" s="6">
        <f t="shared" si="155"/>
        <v>0</v>
      </c>
      <c r="AB1056" s="42">
        <f t="shared" si="154"/>
        <v>0</v>
      </c>
      <c r="AC1056" s="42"/>
    </row>
    <row r="1057" spans="7:29" x14ac:dyDescent="0.3">
      <c r="O1057" s="19" t="s">
        <v>161</v>
      </c>
      <c r="Q1057" s="46">
        <f>c_lung+c_hosp_fu+c_CSG</f>
        <v>54529.510902399998</v>
      </c>
      <c r="R1057" s="46"/>
      <c r="T1057" s="78"/>
      <c r="Z1057" s="42">
        <f t="shared" si="156"/>
        <v>0</v>
      </c>
      <c r="AA1057" s="6">
        <f t="shared" si="155"/>
        <v>0</v>
      </c>
      <c r="AB1057" s="42">
        <f t="shared" si="154"/>
        <v>0</v>
      </c>
      <c r="AC1057" s="42">
        <f>U1057*(Q1059-c_CSG)</f>
        <v>0</v>
      </c>
    </row>
    <row r="1058" spans="7:29" x14ac:dyDescent="0.3">
      <c r="O1058" s="45">
        <f>SGA_prem_2hypoglycaemia_3</f>
        <v>0.2155</v>
      </c>
      <c r="Q1058" s="19" t="s">
        <v>226</v>
      </c>
      <c r="R1058" s="19"/>
      <c r="T1058" s="78"/>
      <c r="U1058">
        <f>$K$1045*$I$1034*$G$1055*$E$984*$C$1053*$A$1008*$M$1060*$O$1058*Q1059</f>
        <v>0</v>
      </c>
      <c r="V1058">
        <v>0</v>
      </c>
      <c r="W1058" s="42">
        <f>$K$1046+$I$1035+$G$1056+$E$985+$C$1054+$A$1009+$M$1061+$O$1059+Q1060</f>
        <v>20712.362108108107</v>
      </c>
      <c r="X1058">
        <f>u_CongnitiveImpairement</f>
        <v>17.270393127285455</v>
      </c>
      <c r="Z1058" s="42">
        <f t="shared" si="156"/>
        <v>0</v>
      </c>
      <c r="AA1058" s="6">
        <f t="shared" si="155"/>
        <v>0</v>
      </c>
      <c r="AB1058" s="42">
        <f t="shared" ref="AB1058:AB1080" si="157">U1058*c_CSG</f>
        <v>0</v>
      </c>
      <c r="AC1058" s="42">
        <f>U1058*(Q1060-c_CSG)</f>
        <v>0</v>
      </c>
    </row>
    <row r="1059" spans="7:29" x14ac:dyDescent="0.3">
      <c r="M1059" s="19" t="s">
        <v>203</v>
      </c>
      <c r="O1059" s="46">
        <f>c_hypo</f>
        <v>2936.2604000000001</v>
      </c>
      <c r="Q1059" s="45">
        <f>Hypo2CI_3-(Hypo2CI_3*noRDS2CLD_3)</f>
        <v>5.1333333333333335E-2</v>
      </c>
      <c r="R1059" s="45"/>
      <c r="T1059" s="78"/>
      <c r="Z1059" s="42">
        <f t="shared" si="156"/>
        <v>0</v>
      </c>
      <c r="AA1059" s="6">
        <f t="shared" si="155"/>
        <v>0</v>
      </c>
      <c r="AB1059" s="42">
        <f t="shared" si="157"/>
        <v>0</v>
      </c>
      <c r="AC1059" s="42"/>
    </row>
    <row r="1060" spans="7:29" x14ac:dyDescent="0.3">
      <c r="M1060" s="45">
        <f>S_prem_2noRDS_3</f>
        <v>0.55000000000000004</v>
      </c>
      <c r="Q1060" s="46">
        <f>c_cog+c_hosp_fu+c_CSG</f>
        <v>15766</v>
      </c>
      <c r="R1060" s="46"/>
      <c r="T1060" s="78"/>
      <c r="Z1060" s="42">
        <f t="shared" si="156"/>
        <v>0</v>
      </c>
      <c r="AA1060" s="6">
        <f t="shared" si="155"/>
        <v>0</v>
      </c>
      <c r="AB1060" s="42">
        <f t="shared" si="157"/>
        <v>0</v>
      </c>
      <c r="AC1060" s="42">
        <f>U1060*(Q1062-c_CSG)</f>
        <v>0</v>
      </c>
    </row>
    <row r="1061" spans="7:29" x14ac:dyDescent="0.3">
      <c r="G1061" s="42"/>
      <c r="M1061" s="46"/>
      <c r="O1061" s="42"/>
      <c r="Q1061" s="19" t="s">
        <v>368</v>
      </c>
      <c r="R1061" s="19"/>
      <c r="T1061" s="78"/>
      <c r="U1061">
        <f>$K$1045*$I$1034*$G$1055*$E$984*$C$1053*$A$1008*$M$1060*$O$1058*Q1062</f>
        <v>0</v>
      </c>
      <c r="V1061">
        <v>0</v>
      </c>
      <c r="W1061" s="42">
        <f>$K$1046+$I$1035+$G$1056+$E$985+$C$1054+$A$1009+$M$1061+$O$1059+Q1063</f>
        <v>63294.873010508105</v>
      </c>
      <c r="X1061">
        <f>u_ChronicResp+u_CongnitiveImpairement</f>
        <v>17.805052694763283</v>
      </c>
      <c r="Z1061" s="42">
        <f t="shared" si="156"/>
        <v>0</v>
      </c>
      <c r="AA1061" s="6">
        <f t="shared" si="155"/>
        <v>0</v>
      </c>
      <c r="AB1061" s="42">
        <f t="shared" si="157"/>
        <v>0</v>
      </c>
      <c r="AC1061" s="42">
        <f>U1061*(Q1063-c_CSG)</f>
        <v>0</v>
      </c>
    </row>
    <row r="1062" spans="7:29" x14ac:dyDescent="0.3">
      <c r="M1062" s="42"/>
      <c r="Q1062" s="45">
        <f>noRDS2CLD_3*Hypo2CI_3</f>
        <v>0</v>
      </c>
      <c r="R1062" s="45"/>
      <c r="T1062" s="78"/>
      <c r="Z1062" s="42">
        <f t="shared" si="156"/>
        <v>0</v>
      </c>
      <c r="AA1062" s="6">
        <f t="shared" si="155"/>
        <v>0</v>
      </c>
      <c r="AB1062" s="42">
        <f t="shared" si="157"/>
        <v>0</v>
      </c>
      <c r="AC1062" s="42"/>
    </row>
    <row r="1063" spans="7:29" x14ac:dyDescent="0.3">
      <c r="M1063" s="42"/>
      <c r="Q1063" s="46">
        <f>c_lung+c_cog+c_hosp_fu+c_CSG</f>
        <v>58348.510902399998</v>
      </c>
      <c r="R1063" s="46"/>
      <c r="T1063" s="78"/>
      <c r="Z1063" s="42">
        <f t="shared" si="156"/>
        <v>0</v>
      </c>
      <c r="AA1063" s="6">
        <f t="shared" si="155"/>
        <v>0</v>
      </c>
      <c r="AB1063" s="42">
        <f t="shared" si="157"/>
        <v>0</v>
      </c>
      <c r="AC1063" s="42">
        <f>U1063*(Q1065-c_CSG)</f>
        <v>0</v>
      </c>
    </row>
    <row r="1064" spans="7:29" x14ac:dyDescent="0.3">
      <c r="M1064" s="42"/>
      <c r="Q1064" s="19" t="s">
        <v>369</v>
      </c>
      <c r="R1064" s="19"/>
      <c r="T1064" s="78"/>
      <c r="U1064">
        <f>$K$1045*$I$1034*$G$1055*$E$984*$C$1053*$A$1008*$M$1060*$O$1058*Q1065</f>
        <v>0</v>
      </c>
      <c r="V1064">
        <v>0</v>
      </c>
      <c r="W1064" s="42">
        <f>$K$1046+$I$1035+$G$1056+$E$985+$C$1054+$A$1009+$M$1061+$O$1059+Q1066</f>
        <v>19349.362108108107</v>
      </c>
      <c r="X1064">
        <f>u_Healthy</f>
        <v>0</v>
      </c>
      <c r="Z1064" s="42">
        <f t="shared" si="156"/>
        <v>0</v>
      </c>
      <c r="AA1064" s="6">
        <f t="shared" si="155"/>
        <v>0</v>
      </c>
      <c r="AB1064" s="42">
        <f t="shared" si="157"/>
        <v>0</v>
      </c>
      <c r="AC1064" s="42">
        <f>U1064*(Q1066-c_CSG)</f>
        <v>0</v>
      </c>
    </row>
    <row r="1065" spans="7:29" x14ac:dyDescent="0.3">
      <c r="M1065" s="42"/>
      <c r="O1065" s="42"/>
      <c r="Q1065" s="45">
        <f>1-Q1062-Q1059-Q1056</f>
        <v>0.94866666666666666</v>
      </c>
      <c r="R1065" s="45"/>
      <c r="T1065" s="78"/>
      <c r="Z1065" s="42">
        <f t="shared" si="156"/>
        <v>0</v>
      </c>
      <c r="AA1065" s="6">
        <f t="shared" si="155"/>
        <v>0</v>
      </c>
      <c r="AB1065" s="42">
        <f t="shared" si="157"/>
        <v>0</v>
      </c>
      <c r="AC1065" s="42">
        <f>U1065*(Q1067-c_CSG)</f>
        <v>0</v>
      </c>
    </row>
    <row r="1066" spans="7:29" x14ac:dyDescent="0.3">
      <c r="M1066" s="42"/>
      <c r="Q1066" s="46">
        <f>c_clinic_fu+c_CSG</f>
        <v>14403</v>
      </c>
      <c r="R1066" s="46"/>
      <c r="S1066" s="94"/>
      <c r="T1066" s="78"/>
      <c r="Z1066" s="42">
        <f t="shared" si="156"/>
        <v>0</v>
      </c>
      <c r="AA1066" s="6">
        <f t="shared" si="155"/>
        <v>0</v>
      </c>
      <c r="AB1066" s="42">
        <f t="shared" si="157"/>
        <v>0</v>
      </c>
      <c r="AC1066" s="42"/>
    </row>
    <row r="1067" spans="7:29" x14ac:dyDescent="0.3">
      <c r="M1067" s="42"/>
      <c r="Q1067" s="42"/>
      <c r="R1067" s="42"/>
      <c r="T1067" s="78"/>
      <c r="Z1067" s="42">
        <f t="shared" si="156"/>
        <v>0</v>
      </c>
      <c r="AA1067" s="6">
        <f t="shared" si="155"/>
        <v>0</v>
      </c>
      <c r="AB1067" s="42">
        <f t="shared" si="157"/>
        <v>0</v>
      </c>
      <c r="AC1067" s="42">
        <f>U1067*(Q1069-c_CSG)</f>
        <v>0</v>
      </c>
    </row>
    <row r="1068" spans="7:29" x14ac:dyDescent="0.3">
      <c r="M1068" s="42"/>
      <c r="Q1068" s="19" t="s">
        <v>367</v>
      </c>
      <c r="R1068" s="19"/>
      <c r="T1068" s="78"/>
      <c r="U1068">
        <f>$K$1045*$I$1034*$G$1055*$E$984*$C$1053*$A$1008*$M$1060*$O$1072*Q1069</f>
        <v>0</v>
      </c>
      <c r="V1068">
        <v>0</v>
      </c>
      <c r="W1068" s="42">
        <f>$K$1046+$I$1035+$G$1056+$E$985+$C$1054+$A$1009+$M$1061+$O$1073+Q1070</f>
        <v>58568.873010508105</v>
      </c>
      <c r="X1068">
        <f>u_ChronicResp</f>
        <v>0.53465956747782661</v>
      </c>
      <c r="Z1068" s="42">
        <f t="shared" si="156"/>
        <v>0</v>
      </c>
      <c r="AA1068" s="6">
        <f t="shared" si="155"/>
        <v>0</v>
      </c>
      <c r="AB1068" s="42">
        <f t="shared" si="157"/>
        <v>0</v>
      </c>
      <c r="AC1068" s="42">
        <f>U1068*(Q1070-c_CSG)</f>
        <v>0</v>
      </c>
    </row>
    <row r="1069" spans="7:29" x14ac:dyDescent="0.3">
      <c r="M1069" s="42"/>
      <c r="Q1069" s="45">
        <f>noRDS2CLD_3-(noRDS2CLD_3*noHypo2CI_3)</f>
        <v>0</v>
      </c>
      <c r="R1069" s="45"/>
      <c r="T1069" s="78"/>
      <c r="Z1069" s="42">
        <f t="shared" si="156"/>
        <v>0</v>
      </c>
      <c r="AA1069" s="6">
        <f t="shared" si="155"/>
        <v>0</v>
      </c>
      <c r="AB1069" s="42">
        <f t="shared" si="157"/>
        <v>0</v>
      </c>
      <c r="AC1069" s="42"/>
    </row>
    <row r="1070" spans="7:29" x14ac:dyDescent="0.3">
      <c r="M1070" s="42"/>
      <c r="Q1070" s="46">
        <f>c_lung+c_hypo+c_CSG</f>
        <v>56558.771302399997</v>
      </c>
      <c r="R1070" s="46"/>
      <c r="T1070" s="78"/>
      <c r="Z1070" s="42">
        <f t="shared" si="156"/>
        <v>0</v>
      </c>
      <c r="AA1070" s="6">
        <f t="shared" si="155"/>
        <v>0</v>
      </c>
      <c r="AB1070" s="42">
        <f t="shared" si="157"/>
        <v>0</v>
      </c>
      <c r="AC1070" s="42">
        <f>U1070*(Q1072-c_CSG)</f>
        <v>0</v>
      </c>
    </row>
    <row r="1071" spans="7:29" x14ac:dyDescent="0.3">
      <c r="M1071" s="42"/>
      <c r="O1071" s="19" t="s">
        <v>370</v>
      </c>
      <c r="Q1071" s="19" t="s">
        <v>226</v>
      </c>
      <c r="R1071" s="19"/>
      <c r="T1071" s="78"/>
      <c r="U1071">
        <f>$K$1045*$I$1034*$G$1055*$E$984*$C$1053*$A$1008*$M$1060*$O$1072*Q1072</f>
        <v>0</v>
      </c>
      <c r="V1071">
        <v>0</v>
      </c>
      <c r="W1071" s="42">
        <f>$K$1046+$I$1035+$G$1056+$E$985+$C$1054+$A$1009+$M$1061+$O$1073+Q1073</f>
        <v>17776.101708108108</v>
      </c>
      <c r="X1071">
        <f>u_CongnitiveImpairement</f>
        <v>17.270393127285455</v>
      </c>
      <c r="Z1071" s="42">
        <f t="shared" si="156"/>
        <v>0</v>
      </c>
      <c r="AA1071" s="6">
        <f t="shared" si="155"/>
        <v>0</v>
      </c>
      <c r="AB1071" s="42">
        <f t="shared" si="157"/>
        <v>0</v>
      </c>
      <c r="AC1071" s="42">
        <f>U1071*(Q1073-c_CSG)</f>
        <v>0</v>
      </c>
    </row>
    <row r="1072" spans="7:29" x14ac:dyDescent="0.3">
      <c r="M1072" s="42"/>
      <c r="O1072" s="45">
        <f>SGA_prem_2normoglycaemia_3</f>
        <v>0.78449999999999998</v>
      </c>
      <c r="Q1072" s="45">
        <f>noHypo2CI_3</f>
        <v>3.3085576536761752E-2</v>
      </c>
      <c r="R1072" s="45"/>
      <c r="T1072" s="78"/>
      <c r="Z1072" s="42">
        <f t="shared" si="156"/>
        <v>0</v>
      </c>
      <c r="AA1072" s="6">
        <f t="shared" si="155"/>
        <v>0</v>
      </c>
      <c r="AB1072" s="42">
        <f t="shared" si="157"/>
        <v>0</v>
      </c>
      <c r="AC1072" s="42"/>
    </row>
    <row r="1073" spans="11:29" x14ac:dyDescent="0.3">
      <c r="M1073" s="42"/>
      <c r="O1073" s="46"/>
      <c r="Q1073" s="46">
        <f>c_cog+c_hosp_fu+c_CSG</f>
        <v>15766</v>
      </c>
      <c r="R1073" s="46"/>
      <c r="T1073" s="78"/>
      <c r="Z1073" s="42">
        <f t="shared" si="156"/>
        <v>0</v>
      </c>
      <c r="AA1073" s="6">
        <f t="shared" si="155"/>
        <v>0</v>
      </c>
      <c r="AB1073" s="42">
        <f t="shared" si="157"/>
        <v>0</v>
      </c>
      <c r="AC1073" s="42">
        <f>U1073*(Q1075-c_CSG)</f>
        <v>0</v>
      </c>
    </row>
    <row r="1074" spans="11:29" x14ac:dyDescent="0.3">
      <c r="M1074" s="42"/>
      <c r="Q1074" s="19" t="s">
        <v>368</v>
      </c>
      <c r="R1074" s="19"/>
      <c r="T1074" s="78"/>
      <c r="U1074">
        <f>$K$1045*$I$1034*$G$1055*$E$984*$C$1053*$A$1008*$M$1060*$O$1072*Q1075</f>
        <v>0</v>
      </c>
      <c r="V1074">
        <v>0</v>
      </c>
      <c r="W1074" s="42">
        <f>$K$1046+$I$1035+$G$1056+$E$985+$C$1054+$A$1009+$M$1061+$O$1073+Q1076</f>
        <v>60358.612610508106</v>
      </c>
      <c r="X1074">
        <f>u_ChronicResp+u_CongnitiveImpairement</f>
        <v>17.805052694763283</v>
      </c>
      <c r="Z1074" s="42">
        <f t="shared" si="156"/>
        <v>0</v>
      </c>
      <c r="AA1074" s="6">
        <f t="shared" si="155"/>
        <v>0</v>
      </c>
      <c r="AB1074" s="42">
        <f t="shared" si="157"/>
        <v>0</v>
      </c>
      <c r="AC1074" s="42">
        <f>U1074*(Q1076-c_CSG)</f>
        <v>0</v>
      </c>
    </row>
    <row r="1075" spans="11:29" x14ac:dyDescent="0.3">
      <c r="M1075" s="42"/>
      <c r="Q1075" s="45">
        <f>noRDS2CLD_3*noHypo2CI_3</f>
        <v>0</v>
      </c>
      <c r="R1075" s="45"/>
      <c r="T1075" s="78"/>
      <c r="Z1075" s="42">
        <f t="shared" si="156"/>
        <v>0</v>
      </c>
      <c r="AA1075" s="6">
        <f t="shared" si="155"/>
        <v>0</v>
      </c>
      <c r="AB1075" s="42">
        <f t="shared" si="157"/>
        <v>0</v>
      </c>
      <c r="AC1075" s="42"/>
    </row>
    <row r="1076" spans="11:29" x14ac:dyDescent="0.3">
      <c r="M1076" s="42"/>
      <c r="Q1076" s="46">
        <f>c_cog+c_lung+c_hosp_fu+c_CSG</f>
        <v>58348.510902399998</v>
      </c>
      <c r="R1076" s="46"/>
      <c r="T1076" s="78"/>
      <c r="Z1076" s="42">
        <f t="shared" si="156"/>
        <v>0</v>
      </c>
      <c r="AA1076" s="6">
        <f t="shared" si="155"/>
        <v>0</v>
      </c>
      <c r="AB1076" s="42">
        <f t="shared" si="157"/>
        <v>0</v>
      </c>
      <c r="AC1076" s="42">
        <f>U1076*(Q1078-c_CSG)</f>
        <v>0</v>
      </c>
    </row>
    <row r="1077" spans="11:29" x14ac:dyDescent="0.3">
      <c r="M1077" s="42"/>
      <c r="Q1077" s="19" t="s">
        <v>369</v>
      </c>
      <c r="R1077" s="19"/>
      <c r="T1077" s="78"/>
      <c r="U1077">
        <f>$K$1045*$I$1034*$G$1055*$E$984*$C$1053*$A$1008*$M$1060*$O$1072*Q1078</f>
        <v>0</v>
      </c>
      <c r="V1077">
        <v>0</v>
      </c>
      <c r="W1077" s="42">
        <f>$K$1046+$I$1035+$G$1056+$E$985+$C$1054+$A$1009+$M$1061+$O$1073+Q1079</f>
        <v>16413.101708108108</v>
      </c>
      <c r="X1077">
        <f>u_Healthy</f>
        <v>0</v>
      </c>
      <c r="Z1077" s="42">
        <f t="shared" si="156"/>
        <v>0</v>
      </c>
      <c r="AA1077" s="6">
        <f t="shared" si="155"/>
        <v>0</v>
      </c>
      <c r="AB1077" s="42">
        <f t="shared" si="157"/>
        <v>0</v>
      </c>
      <c r="AC1077" s="42">
        <f>U1077*(Q1079-c_CSG)</f>
        <v>0</v>
      </c>
    </row>
    <row r="1078" spans="11:29" x14ac:dyDescent="0.3">
      <c r="M1078" s="42"/>
      <c r="Q1078" s="45">
        <f>1-Q1075-Q1072-Q1069</f>
        <v>0.9669144234632383</v>
      </c>
      <c r="R1078" s="45"/>
      <c r="T1078" s="78"/>
      <c r="Z1078" s="42">
        <f t="shared" si="156"/>
        <v>0</v>
      </c>
      <c r="AA1078" s="6">
        <f t="shared" si="155"/>
        <v>0</v>
      </c>
      <c r="AB1078" s="42">
        <f t="shared" si="157"/>
        <v>0</v>
      </c>
      <c r="AC1078" s="42">
        <f>U1078*(Q1080-c_CSG)</f>
        <v>0</v>
      </c>
    </row>
    <row r="1079" spans="11:29" x14ac:dyDescent="0.3">
      <c r="M1079" s="42"/>
      <c r="Q1079" s="46">
        <f>c_clinic_fu+c_CSG</f>
        <v>14403</v>
      </c>
      <c r="R1079" s="46"/>
      <c r="T1079" s="78"/>
      <c r="Z1079" s="42">
        <f t="shared" si="156"/>
        <v>0</v>
      </c>
      <c r="AA1079" s="6">
        <f t="shared" si="155"/>
        <v>0</v>
      </c>
      <c r="AB1079" s="42">
        <f t="shared" si="157"/>
        <v>0</v>
      </c>
      <c r="AC1079" s="42">
        <f>U1079*(Q1081-c_CSG)</f>
        <v>0</v>
      </c>
    </row>
    <row r="1080" spans="11:29" x14ac:dyDescent="0.3">
      <c r="M1080" s="42"/>
      <c r="Q1080" s="42"/>
      <c r="R1080" s="42"/>
      <c r="T1080" s="78"/>
      <c r="Z1080" s="42">
        <f t="shared" si="156"/>
        <v>0</v>
      </c>
      <c r="AA1080" s="6">
        <f t="shared" si="155"/>
        <v>0</v>
      </c>
      <c r="AB1080" s="42">
        <f t="shared" si="157"/>
        <v>0</v>
      </c>
      <c r="AC1080" s="42">
        <f>U1080*(Q1082-c_CSG)</f>
        <v>0</v>
      </c>
    </row>
    <row r="1081" spans="11:29" x14ac:dyDescent="0.3">
      <c r="K1081" s="19" t="s">
        <v>165</v>
      </c>
      <c r="L1081" s="19"/>
      <c r="M1081" s="19"/>
      <c r="N1081" s="19"/>
      <c r="O1081" s="19"/>
      <c r="P1081" s="19"/>
      <c r="Q1081" s="19"/>
      <c r="R1081" s="19"/>
      <c r="T1081" s="78"/>
      <c r="U1081">
        <f>$K$1082*$I$1090*$G$1055*$E$984*$C$1053*$A$1008</f>
        <v>1.601529420806818E-3</v>
      </c>
      <c r="V1081">
        <v>1.601529420806818E-3</v>
      </c>
      <c r="W1081" s="42">
        <f>$K$1083+$I$1091+$G$1056+$E$985+$C$1054+$A$1009</f>
        <v>3802.1017081081081</v>
      </c>
      <c r="X1081">
        <f>u_Death</f>
        <v>19.181538114427529</v>
      </c>
      <c r="Z1081" s="42">
        <f t="shared" si="156"/>
        <v>6.0891777464349914</v>
      </c>
      <c r="AA1081" s="6">
        <f t="shared" si="155"/>
        <v>3.0719797626583022E-2</v>
      </c>
      <c r="AB1081" s="42"/>
      <c r="AC1081" s="42"/>
    </row>
    <row r="1082" spans="11:29" x14ac:dyDescent="0.3">
      <c r="K1082" s="45">
        <f>AGA_prem_2d_3</f>
        <v>3.5174999999999998E-2</v>
      </c>
      <c r="T1082" s="78"/>
      <c r="Z1082" s="42">
        <f t="shared" si="156"/>
        <v>0</v>
      </c>
      <c r="AA1082" s="6">
        <f t="shared" si="155"/>
        <v>0</v>
      </c>
      <c r="AB1082" s="42">
        <f t="shared" ref="AB1082:AB1113" si="158">U1082*c_CSG</f>
        <v>0</v>
      </c>
      <c r="AC1082" s="42">
        <f>U1082*(Q1084-c_CSG)</f>
        <v>0</v>
      </c>
    </row>
    <row r="1083" spans="11:29" x14ac:dyDescent="0.3">
      <c r="K1083" s="46">
        <f>c_SB</f>
        <v>1792</v>
      </c>
      <c r="T1083" s="78"/>
      <c r="Z1083" s="42">
        <f t="shared" si="156"/>
        <v>0</v>
      </c>
      <c r="AA1083" s="6">
        <f t="shared" si="155"/>
        <v>0</v>
      </c>
      <c r="AB1083" s="42">
        <f t="shared" si="158"/>
        <v>0</v>
      </c>
      <c r="AC1083" s="42"/>
    </row>
    <row r="1084" spans="11:29" x14ac:dyDescent="0.3">
      <c r="T1084" s="78"/>
      <c r="Z1084" s="42">
        <f t="shared" si="156"/>
        <v>0</v>
      </c>
      <c r="AA1084" s="6">
        <f t="shared" si="155"/>
        <v>0</v>
      </c>
      <c r="AB1084" s="42">
        <f t="shared" si="158"/>
        <v>0</v>
      </c>
      <c r="AC1084" s="42">
        <f>U1084*(Q1086-c_CSG)</f>
        <v>0</v>
      </c>
    </row>
    <row r="1085" spans="11:29" x14ac:dyDescent="0.3">
      <c r="Q1085" s="19" t="s">
        <v>367</v>
      </c>
      <c r="R1085" s="19"/>
      <c r="T1085" s="78"/>
      <c r="U1085">
        <f>$K$1101*$I$1090*$G$1055*$E$984*$C$1053*$A$1008*$M$1096*$O$1091*Q1086</f>
        <v>1.015486090417266E-3</v>
      </c>
      <c r="V1085">
        <v>1.015486090417266E-3</v>
      </c>
      <c r="W1085" s="42">
        <f>$K$1102+$I$1091+$G$1056+$E$985+$C$1054+$A$1009+$M$1097+$O$1092+Q1087</f>
        <v>90071.483158713745</v>
      </c>
      <c r="X1085">
        <f>u_ChronicResp</f>
        <v>0.53465956747782661</v>
      </c>
      <c r="Z1085" s="42">
        <f t="shared" si="156"/>
        <v>91.466338290926842</v>
      </c>
      <c r="AA1085" s="6">
        <f t="shared" si="155"/>
        <v>5.4293935388224457E-4</v>
      </c>
      <c r="AB1085" s="42">
        <f t="shared" si="158"/>
        <v>11.210966438206617</v>
      </c>
      <c r="AC1085" s="42">
        <f>U1085*(Q1087-c_CSG)</f>
        <v>44.162993400437237</v>
      </c>
    </row>
    <row r="1086" spans="11:29" x14ac:dyDescent="0.3">
      <c r="Q1086" s="45">
        <f>RDS2CLD_3-(Hypo2CI_3*RDS2CLD_3)</f>
        <v>0.34246866666666664</v>
      </c>
      <c r="R1086" s="45"/>
      <c r="T1086" s="78"/>
      <c r="Z1086" s="42">
        <f t="shared" si="156"/>
        <v>0</v>
      </c>
      <c r="AA1086" s="6">
        <f t="shared" si="155"/>
        <v>0</v>
      </c>
      <c r="AB1086" s="42">
        <f t="shared" si="158"/>
        <v>0</v>
      </c>
      <c r="AC1086" s="42"/>
    </row>
    <row r="1087" spans="11:29" x14ac:dyDescent="0.3">
      <c r="Q1087" s="46">
        <f>c_lung+c_hosp_fu+c_CSG</f>
        <v>54529.510902399998</v>
      </c>
      <c r="R1087" s="46"/>
      <c r="T1087" s="78"/>
      <c r="Z1087" s="42">
        <f t="shared" si="156"/>
        <v>0</v>
      </c>
      <c r="AA1087" s="6">
        <f t="shared" si="155"/>
        <v>0</v>
      </c>
      <c r="AB1087" s="42">
        <f t="shared" si="158"/>
        <v>0</v>
      </c>
      <c r="AC1087" s="42">
        <f>U1087*(Q1089-c_CSG)</f>
        <v>0</v>
      </c>
    </row>
    <row r="1088" spans="11:29" x14ac:dyDescent="0.3">
      <c r="Q1088" s="19" t="s">
        <v>226</v>
      </c>
      <c r="R1088" s="19"/>
      <c r="T1088" s="78"/>
      <c r="U1088">
        <f>$K$1101*$I$1090*$G$1055*$E$984*$C$1053*$A$1008*$M$1096*$O$1091*Q1089</f>
        <v>9.7264298839603314E-5</v>
      </c>
      <c r="V1088">
        <v>9.7264298839603314E-5</v>
      </c>
      <c r="W1088" s="42">
        <f>$K$1102+$I$1091+$G$1056+$E$985+$C$1054+$A$1009+$M$1097+$O$1092+Q1090</f>
        <v>51307.972256313747</v>
      </c>
      <c r="X1088">
        <f>u_CongnitiveImpairement</f>
        <v>17.270393127285455</v>
      </c>
      <c r="Z1088" s="42">
        <f t="shared" si="156"/>
        <v>4.9904339463921765</v>
      </c>
      <c r="AA1088" s="6">
        <f t="shared" si="155"/>
        <v>1.6797926782097237E-3</v>
      </c>
      <c r="AB1088" s="42">
        <f t="shared" si="158"/>
        <v>1.0737978591892205</v>
      </c>
      <c r="AC1088" s="42">
        <f>U1088*(Q1090-c_CSG)</f>
        <v>0.45967107631596527</v>
      </c>
    </row>
    <row r="1089" spans="9:29" x14ac:dyDescent="0.3">
      <c r="I1089" s="19" t="s">
        <v>424</v>
      </c>
      <c r="Q1089" s="45">
        <f>Hypo2CI_3-(Hypo2CI_3*RDS2CLD_3)</f>
        <v>3.2801999999999998E-2</v>
      </c>
      <c r="R1089" s="45"/>
      <c r="T1089" s="78"/>
      <c r="Z1089" s="42">
        <f t="shared" si="156"/>
        <v>0</v>
      </c>
      <c r="AA1089" s="6">
        <f t="shared" si="155"/>
        <v>0</v>
      </c>
      <c r="AB1089" s="42">
        <f t="shared" si="158"/>
        <v>0</v>
      </c>
      <c r="AC1089" s="42"/>
    </row>
    <row r="1090" spans="9:29" x14ac:dyDescent="0.3">
      <c r="I1090" s="45">
        <f>NBW_prem_2AGA_3</f>
        <v>1</v>
      </c>
      <c r="O1090" s="19" t="s">
        <v>161</v>
      </c>
      <c r="Q1090" s="46">
        <f>c_cog+c_hosp_fu+c_CSG</f>
        <v>15766</v>
      </c>
      <c r="R1090" s="46"/>
      <c r="T1090" s="78"/>
      <c r="Z1090" s="42">
        <f t="shared" si="156"/>
        <v>0</v>
      </c>
      <c r="AA1090" s="6">
        <f t="shared" si="155"/>
        <v>0</v>
      </c>
      <c r="AB1090" s="42">
        <f t="shared" si="158"/>
        <v>0</v>
      </c>
      <c r="AC1090" s="42">
        <f>U1090*(Q1092-c_CSG)</f>
        <v>0</v>
      </c>
    </row>
    <row r="1091" spans="9:29" x14ac:dyDescent="0.3">
      <c r="I1091" s="46"/>
      <c r="O1091" s="45">
        <f>AGA_prem_2hypoglycaemia_3</f>
        <v>0.15</v>
      </c>
      <c r="Q1091" s="19" t="s">
        <v>368</v>
      </c>
      <c r="R1091" s="19"/>
      <c r="T1091" s="78"/>
      <c r="U1091">
        <f>$K$1101*$I$1090*$G$1055*$E$984*$C$1053*$A$1008*$M$1096*$O$1091*Q1092</f>
        <v>5.494900137886823E-5</v>
      </c>
      <c r="V1091">
        <v>5.494900137886823E-5</v>
      </c>
      <c r="W1091" s="42">
        <f>$K$1102+$I$1091+$G$1056+$E$985+$C$1054+$A$1009+$M$1097+$O$1092+Q1093</f>
        <v>93890.483158713745</v>
      </c>
      <c r="X1091">
        <f>u_ChronicResp+u_CongnitiveImpairement</f>
        <v>17.805052694763283</v>
      </c>
      <c r="Z1091" s="42">
        <f t="shared" si="156"/>
        <v>5.1591882885507658</v>
      </c>
      <c r="AA1091" s="6">
        <f t="shared" si="155"/>
        <v>9.7836986507536918E-4</v>
      </c>
      <c r="AB1091" s="42">
        <f t="shared" si="158"/>
        <v>0.60663697522270521</v>
      </c>
      <c r="AC1091" s="42">
        <f>U1091*(Q1093-c_CSG)</f>
        <v>2.5995554308081803</v>
      </c>
    </row>
    <row r="1092" spans="9:29" x14ac:dyDescent="0.3">
      <c r="O1092" s="46">
        <f>c_hypo</f>
        <v>2936.2604000000001</v>
      </c>
      <c r="Q1092" s="45">
        <f>Hypo2CI_3*RDS2CLD_3</f>
        <v>1.8531333333333334E-2</v>
      </c>
      <c r="R1092" s="45"/>
      <c r="T1092" s="78"/>
      <c r="Z1092" s="42">
        <f t="shared" si="156"/>
        <v>0</v>
      </c>
      <c r="AA1092" s="6">
        <f t="shared" si="155"/>
        <v>0</v>
      </c>
      <c r="AB1092" s="42">
        <f t="shared" si="158"/>
        <v>0</v>
      </c>
      <c r="AC1092" s="42"/>
    </row>
    <row r="1093" spans="9:29" x14ac:dyDescent="0.3">
      <c r="M1093" s="42"/>
      <c r="Q1093" s="46">
        <f>c_lung+c_cog+c_hosp_fu+c_CSG</f>
        <v>58348.510902399998</v>
      </c>
      <c r="R1093" s="46"/>
      <c r="T1093" s="78"/>
      <c r="Z1093" s="42">
        <f t="shared" si="156"/>
        <v>0</v>
      </c>
      <c r="AA1093" s="6">
        <f t="shared" si="155"/>
        <v>0</v>
      </c>
      <c r="AB1093" s="42">
        <f t="shared" si="158"/>
        <v>0</v>
      </c>
      <c r="AC1093" s="42">
        <f>U1093*(Q1095-c_CSG)</f>
        <v>0</v>
      </c>
    </row>
    <row r="1094" spans="9:29" x14ac:dyDescent="0.3">
      <c r="Q1094" s="19" t="s">
        <v>369</v>
      </c>
      <c r="R1094" s="19"/>
      <c r="T1094" s="78"/>
      <c r="U1094">
        <f>$K$1101*$I$1090*$G$1055*$E$984*$C$1053*$A$1008*$M$1096*$O$1091*Q1095</f>
        <v>1.7974947694643574E-3</v>
      </c>
      <c r="V1094">
        <v>1.7974947694643574E-3</v>
      </c>
      <c r="W1094" s="42">
        <f>$K$1102+$I$1091+$G$1056+$E$985+$C$1054+$A$1009+$M$1097+$O$1092+Q1096</f>
        <v>49944.972256313747</v>
      </c>
      <c r="X1094">
        <f>u_Healthy</f>
        <v>0</v>
      </c>
      <c r="Z1094" s="42">
        <f t="shared" si="156"/>
        <v>89.775826391766401</v>
      </c>
      <c r="AA1094" s="6">
        <f t="shared" si="155"/>
        <v>0</v>
      </c>
      <c r="AB1094" s="42">
        <f t="shared" si="158"/>
        <v>19.844342254886506</v>
      </c>
      <c r="AC1094" s="42">
        <f>U1094*(Q1096-c_CSG)</f>
        <v>6.0449749097086336</v>
      </c>
    </row>
    <row r="1095" spans="9:29" x14ac:dyDescent="0.3">
      <c r="M1095" s="19" t="s">
        <v>9</v>
      </c>
      <c r="Q1095" s="45">
        <f>1-Q1086-Q1089-Q1092</f>
        <v>0.60619800000000001</v>
      </c>
      <c r="R1095" s="45"/>
      <c r="T1095" s="78"/>
      <c r="Z1095" s="42">
        <f t="shared" si="156"/>
        <v>0</v>
      </c>
      <c r="AA1095" s="6">
        <f t="shared" si="155"/>
        <v>0</v>
      </c>
      <c r="AB1095" s="42">
        <f t="shared" si="158"/>
        <v>0</v>
      </c>
      <c r="AC1095" s="42">
        <f>U1095*(Q1097-c_CSG)</f>
        <v>0</v>
      </c>
    </row>
    <row r="1096" spans="9:29" x14ac:dyDescent="0.3">
      <c r="K1096" s="42"/>
      <c r="M1096" s="45">
        <f>S_prem_2RDS_3</f>
        <v>0.45</v>
      </c>
      <c r="Q1096" s="46">
        <f>c_clinic_fu+c_CSG</f>
        <v>14403</v>
      </c>
      <c r="R1096" s="46"/>
      <c r="T1096" s="78"/>
      <c r="Z1096" s="42">
        <f t="shared" si="156"/>
        <v>0</v>
      </c>
      <c r="AA1096" s="6">
        <f t="shared" si="155"/>
        <v>0</v>
      </c>
      <c r="AB1096" s="42">
        <f t="shared" si="158"/>
        <v>0</v>
      </c>
      <c r="AC1096" s="42"/>
    </row>
    <row r="1097" spans="9:29" x14ac:dyDescent="0.3">
      <c r="K1097" s="42"/>
      <c r="M1097" s="46">
        <f>c_RDS</f>
        <v>30595.610148205637</v>
      </c>
      <c r="Q1097" s="42"/>
      <c r="R1097" s="42"/>
      <c r="T1097" s="78"/>
      <c r="Z1097" s="42">
        <f t="shared" si="156"/>
        <v>0</v>
      </c>
      <c r="AA1097" s="6">
        <f t="shared" si="155"/>
        <v>0</v>
      </c>
      <c r="AB1097" s="42">
        <f t="shared" si="158"/>
        <v>0</v>
      </c>
      <c r="AC1097" s="42">
        <f>U1097*(Q1099-c_CSG)</f>
        <v>0</v>
      </c>
    </row>
    <row r="1098" spans="9:29" x14ac:dyDescent="0.3">
      <c r="Q1098" s="19" t="s">
        <v>367</v>
      </c>
      <c r="R1098" s="19"/>
      <c r="T1098" s="78"/>
      <c r="U1098">
        <f>$K$1101*$I$1090*$G$1055*$E$984*$C$1053*$A$1008*$M$1096*$O$1101*Q1099</f>
        <v>5.8651084012869732E-3</v>
      </c>
      <c r="V1098">
        <v>5.8651084012869732E-3</v>
      </c>
      <c r="W1098" s="42">
        <f>$K$1102+$I$1091+$G$1056+$E$985+$C$1054+$A$1009+$M$1097+$O$1102+Q1100</f>
        <v>87135.222758713746</v>
      </c>
      <c r="X1098">
        <f>u_ChronicResp</f>
        <v>0.53465956747782661</v>
      </c>
      <c r="Z1098" s="42">
        <f t="shared" si="156"/>
        <v>511.05752705014385</v>
      </c>
      <c r="AA1098" s="6">
        <f t="shared" si="155"/>
        <v>3.1358363210426603E-3</v>
      </c>
      <c r="AB1098" s="42">
        <f t="shared" si="158"/>
        <v>64.750796750208181</v>
      </c>
      <c r="AC1098" s="42">
        <f>U1098*(Q1100-c_CSG)</f>
        <v>255.07069576152765</v>
      </c>
    </row>
    <row r="1099" spans="9:29" x14ac:dyDescent="0.3">
      <c r="Q1099" s="45">
        <f>RDS2CLD_3-(RDS2CLD_3*noHypo2CI_3)</f>
        <v>0.34905610687022898</v>
      </c>
      <c r="R1099" s="45"/>
      <c r="T1099" s="78"/>
      <c r="Z1099" s="42">
        <f t="shared" si="156"/>
        <v>0</v>
      </c>
      <c r="AA1099" s="6">
        <f t="shared" si="155"/>
        <v>0</v>
      </c>
      <c r="AB1099" s="42">
        <f t="shared" si="158"/>
        <v>0</v>
      </c>
      <c r="AC1099" s="42"/>
    </row>
    <row r="1100" spans="9:29" x14ac:dyDescent="0.3">
      <c r="K1100" s="19" t="s">
        <v>37</v>
      </c>
      <c r="M1100" s="42"/>
      <c r="O1100" s="19" t="s">
        <v>370</v>
      </c>
      <c r="Q1100" s="46">
        <f>c_lung+c_hosp_fu+c_CSG</f>
        <v>54529.510902399998</v>
      </c>
      <c r="R1100" s="46"/>
      <c r="T1100" s="78"/>
      <c r="Z1100" s="42">
        <f t="shared" si="156"/>
        <v>0</v>
      </c>
      <c r="AA1100" s="6">
        <f t="shared" si="155"/>
        <v>0</v>
      </c>
      <c r="AB1100" s="42">
        <f t="shared" si="158"/>
        <v>0</v>
      </c>
      <c r="AC1100" s="42">
        <f>U1100*(Q1102-c_CSG)</f>
        <v>0</v>
      </c>
    </row>
    <row r="1101" spans="9:29" x14ac:dyDescent="0.3">
      <c r="K1101" s="45">
        <f>AGA_prem_2s_3</f>
        <v>0.96482500000000004</v>
      </c>
      <c r="O1101" s="45">
        <f>AGA_prem_2normoglycaemia_3</f>
        <v>0.85</v>
      </c>
      <c r="Q1101" s="19" t="s">
        <v>226</v>
      </c>
      <c r="R1101" s="19"/>
      <c r="T1101" s="78"/>
      <c r="U1101">
        <f>$K$1101*$I$1090*$G$1055*$E$984*$C$1053*$A$1008*$M$1096*$O$1101*Q1102</f>
        <v>3.5523877831419984E-4</v>
      </c>
      <c r="V1101">
        <v>3.5523877831419984E-4</v>
      </c>
      <c r="W1101" s="42">
        <f>$K$1102+$I$1091+$G$1056+$E$985+$C$1054+$A$1009+$M$1097+$O$1102+Q1103</f>
        <v>48371.711856313748</v>
      </c>
      <c r="X1101">
        <f>u_CongnitiveImpairement</f>
        <v>17.270393127285455</v>
      </c>
      <c r="Z1101" s="42">
        <f t="shared" si="156"/>
        <v>17.183507824803392</v>
      </c>
      <c r="AA1101" s="6">
        <f t="shared" ref="AA1101:AA1164" si="159">U1101*X1101</f>
        <v>6.1351133555428384E-3</v>
      </c>
      <c r="AB1101" s="42">
        <f t="shared" si="158"/>
        <v>3.9218361125887662</v>
      </c>
      <c r="AC1101" s="42">
        <f>U1101*(Q1103-c_CSG)</f>
        <v>1.6788584663129085</v>
      </c>
    </row>
    <row r="1102" spans="9:29" x14ac:dyDescent="0.3">
      <c r="K1102" s="46"/>
      <c r="O1102" s="46"/>
      <c r="Q1102" s="45">
        <f>noHypo2CI_3-(RDS2CLD_3*noHypo2CI_3)</f>
        <v>2.1141683406990762E-2</v>
      </c>
      <c r="R1102" s="45"/>
      <c r="T1102" s="78"/>
      <c r="Z1102" s="42">
        <f t="shared" si="156"/>
        <v>0</v>
      </c>
      <c r="AA1102" s="6">
        <f t="shared" si="159"/>
        <v>0</v>
      </c>
      <c r="AB1102" s="42">
        <f t="shared" si="158"/>
        <v>0</v>
      </c>
      <c r="AC1102" s="42"/>
    </row>
    <row r="1103" spans="9:29" x14ac:dyDescent="0.3">
      <c r="Q1103" s="46">
        <f>c_cog+c_hosp_fu+c_CSG</f>
        <v>15766</v>
      </c>
      <c r="R1103" s="46"/>
      <c r="T1103" s="78"/>
      <c r="Z1103" s="42">
        <f t="shared" ref="Z1103:Z1166" si="160">U1103*W1103</f>
        <v>0</v>
      </c>
      <c r="AA1103" s="6">
        <f t="shared" si="159"/>
        <v>0</v>
      </c>
      <c r="AB1103" s="42">
        <f t="shared" si="158"/>
        <v>0</v>
      </c>
      <c r="AC1103" s="42">
        <f>U1103*(Q1105-c_CSG)</f>
        <v>0</v>
      </c>
    </row>
    <row r="1104" spans="9:29" x14ac:dyDescent="0.3">
      <c r="Q1104" s="19" t="s">
        <v>368</v>
      </c>
      <c r="R1104" s="19"/>
      <c r="T1104" s="78"/>
      <c r="U1104">
        <f>$K$1101*$I$1090*$G$1055*$E$984*$C$1053*$A$1008*$M$1096*$O$1101*Q1105</f>
        <v>2.0069045222445401E-4</v>
      </c>
      <c r="V1104">
        <v>2.0069045222445401E-4</v>
      </c>
      <c r="W1104" s="42">
        <f>$K$1102+$I$1091+$G$1056+$E$985+$C$1054+$A$1009+$M$1097+$O$1102+Q1106</f>
        <v>90954.222758713746</v>
      </c>
      <c r="X1104">
        <f>u_ChronicResp+u_CongnitiveImpairement</f>
        <v>17.805052694763283</v>
      </c>
      <c r="Z1104" s="42">
        <f t="shared" si="160"/>
        <v>18.253644097169989</v>
      </c>
      <c r="AA1104" s="6">
        <f t="shared" si="159"/>
        <v>3.5733040771922771E-3</v>
      </c>
      <c r="AB1104" s="42">
        <f t="shared" si="158"/>
        <v>2.2156225925579722</v>
      </c>
      <c r="AC1104" s="42">
        <f>U1104*(Q1106-c_CSG)</f>
        <v>9.4943664470681686</v>
      </c>
    </row>
    <row r="1105" spans="13:29" x14ac:dyDescent="0.3">
      <c r="Q1105" s="45">
        <f>RDS2CLD_3*noHypo2CI_3</f>
        <v>1.1943893129770991E-2</v>
      </c>
      <c r="R1105" s="45"/>
      <c r="T1105" s="78"/>
      <c r="Z1105" s="42">
        <f t="shared" si="160"/>
        <v>0</v>
      </c>
      <c r="AA1105" s="6">
        <f t="shared" si="159"/>
        <v>0</v>
      </c>
      <c r="AB1105" s="42">
        <f t="shared" si="158"/>
        <v>0</v>
      </c>
      <c r="AC1105" s="42"/>
    </row>
    <row r="1106" spans="13:29" x14ac:dyDescent="0.3">
      <c r="Q1106" s="46">
        <f>c_cog+c_lung+c_hosp_fu+c_CSG</f>
        <v>58348.510902399998</v>
      </c>
      <c r="R1106" s="46"/>
      <c r="T1106" s="78"/>
      <c r="Z1106" s="42">
        <f t="shared" si="160"/>
        <v>0</v>
      </c>
      <c r="AA1106" s="6">
        <f t="shared" si="159"/>
        <v>0</v>
      </c>
      <c r="AB1106" s="42">
        <f t="shared" si="158"/>
        <v>0</v>
      </c>
      <c r="AC1106" s="42">
        <f>U1106*(Q1108-c_CSG)</f>
        <v>0</v>
      </c>
    </row>
    <row r="1107" spans="13:29" x14ac:dyDescent="0.3">
      <c r="Q1107" s="19" t="s">
        <v>369</v>
      </c>
      <c r="R1107" s="19"/>
      <c r="T1107" s="78"/>
      <c r="U1107">
        <f>$K$1101*$I$1090*$G$1055*$E$984*$C$1053*$A$1008*$M$1096*$O$1101*Q1108</f>
        <v>1.0381729275408246E-2</v>
      </c>
      <c r="V1107">
        <v>1.0381729275408246E-2</v>
      </c>
      <c r="W1107" s="42">
        <f>$K$1102+$I$1091+$G$1056+$E$985+$C$1054+$A$1009+$M$1097+$O$1102+Q1109</f>
        <v>47008.711856313748</v>
      </c>
      <c r="X1107">
        <f>u_Healthy</f>
        <v>0</v>
      </c>
      <c r="Z1107" s="42">
        <f t="shared" si="160"/>
        <v>488.03172007792313</v>
      </c>
      <c r="AA1107" s="6">
        <f t="shared" si="159"/>
        <v>0</v>
      </c>
      <c r="AB1107" s="42">
        <f t="shared" si="158"/>
        <v>114.61429120050704</v>
      </c>
      <c r="AC1107" s="42">
        <f>U1107*(Q1109-c_CSG)</f>
        <v>34.91375555319793</v>
      </c>
    </row>
    <row r="1108" spans="13:29" x14ac:dyDescent="0.3">
      <c r="Q1108" s="45">
        <f>1-Q1105-Q1102-Q1099</f>
        <v>0.61785831659300938</v>
      </c>
      <c r="R1108" s="45"/>
      <c r="T1108" s="78"/>
      <c r="Z1108" s="42">
        <f t="shared" si="160"/>
        <v>0</v>
      </c>
      <c r="AA1108" s="6">
        <f t="shared" si="159"/>
        <v>0</v>
      </c>
      <c r="AB1108" s="42">
        <f t="shared" si="158"/>
        <v>0</v>
      </c>
      <c r="AC1108" s="42">
        <f>U1108*(Q1110-c_CSG)</f>
        <v>0</v>
      </c>
    </row>
    <row r="1109" spans="13:29" x14ac:dyDescent="0.3">
      <c r="Q1109" s="46">
        <f>c_clinic_fu+c_CSG</f>
        <v>14403</v>
      </c>
      <c r="R1109" s="46"/>
      <c r="T1109" s="78"/>
      <c r="Z1109" s="42">
        <f t="shared" si="160"/>
        <v>0</v>
      </c>
      <c r="AA1109" s="6">
        <f t="shared" si="159"/>
        <v>0</v>
      </c>
      <c r="AB1109" s="42">
        <f t="shared" si="158"/>
        <v>0</v>
      </c>
      <c r="AC1109" s="42"/>
    </row>
    <row r="1110" spans="13:29" x14ac:dyDescent="0.3">
      <c r="Q1110" s="42"/>
      <c r="R1110" s="42"/>
      <c r="T1110" s="78"/>
      <c r="Z1110" s="42">
        <f t="shared" si="160"/>
        <v>0</v>
      </c>
      <c r="AA1110" s="6">
        <f t="shared" si="159"/>
        <v>0</v>
      </c>
      <c r="AB1110" s="42">
        <f t="shared" si="158"/>
        <v>0</v>
      </c>
      <c r="AC1110" s="42">
        <f>U1110*(Q1112-c_CSG)</f>
        <v>0</v>
      </c>
    </row>
    <row r="1111" spans="13:29" x14ac:dyDescent="0.3">
      <c r="Q1111" s="19" t="s">
        <v>367</v>
      </c>
      <c r="R1111" s="19"/>
      <c r="T1111" s="78"/>
      <c r="U1111">
        <f>$K$1101*$I$1090*$G$1055*$E$984*$C$1053*$A$1008*$M$1116*$O$1114*Q1112</f>
        <v>0</v>
      </c>
      <c r="V1111">
        <v>0</v>
      </c>
      <c r="W1111" s="42">
        <f>$K$1102+$I$1091+$G$1056+$E$985+$C$1054+$A$1009+$M$1117+$O$1115+Q1113</f>
        <v>59475.873010508105</v>
      </c>
      <c r="X1111">
        <f>u_ChronicResp</f>
        <v>0.53465956747782661</v>
      </c>
      <c r="Z1111" s="42">
        <f t="shared" si="160"/>
        <v>0</v>
      </c>
      <c r="AA1111" s="6">
        <f t="shared" si="159"/>
        <v>0</v>
      </c>
      <c r="AB1111" s="42">
        <f t="shared" si="158"/>
        <v>0</v>
      </c>
      <c r="AC1111" s="42">
        <f>U1111*(Q1113-c_CSG)</f>
        <v>0</v>
      </c>
    </row>
    <row r="1112" spans="13:29" x14ac:dyDescent="0.3">
      <c r="Q1112" s="45">
        <f>noRDS2CLD_3-(Hypo2CI_3*noRDS2CLD_3)</f>
        <v>0</v>
      </c>
      <c r="R1112" s="45"/>
      <c r="T1112" s="78"/>
      <c r="Z1112" s="42">
        <f t="shared" si="160"/>
        <v>0</v>
      </c>
      <c r="AA1112" s="6">
        <f t="shared" si="159"/>
        <v>0</v>
      </c>
      <c r="AB1112" s="42">
        <f t="shared" si="158"/>
        <v>0</v>
      </c>
      <c r="AC1112" s="42"/>
    </row>
    <row r="1113" spans="13:29" x14ac:dyDescent="0.3">
      <c r="O1113" s="19" t="s">
        <v>161</v>
      </c>
      <c r="Q1113" s="46">
        <f>c_lung+c_hosp_fu+c_CSG</f>
        <v>54529.510902399998</v>
      </c>
      <c r="R1113" s="46"/>
      <c r="T1113" s="78"/>
      <c r="Z1113" s="42">
        <f t="shared" si="160"/>
        <v>0</v>
      </c>
      <c r="AA1113" s="6">
        <f t="shared" si="159"/>
        <v>0</v>
      </c>
      <c r="AB1113" s="42">
        <f t="shared" si="158"/>
        <v>0</v>
      </c>
      <c r="AC1113" s="42">
        <f>U1113*(Q1115-c_CSG)</f>
        <v>0</v>
      </c>
    </row>
    <row r="1114" spans="13:29" x14ac:dyDescent="0.3">
      <c r="O1114" s="45">
        <f>AGA_prem_2hypoglycaemia_3</f>
        <v>0.15</v>
      </c>
      <c r="Q1114" s="19" t="s">
        <v>226</v>
      </c>
      <c r="R1114" s="19"/>
      <c r="T1114" s="78"/>
      <c r="U1114">
        <f>$K$1101*$I$1090*$G$1055*$E$984*$C$1053*$A$1008*$M$1116*$O$1114*Q1115</f>
        <v>1.8603847804479857E-4</v>
      </c>
      <c r="V1114">
        <v>1.8603847804479857E-4</v>
      </c>
      <c r="W1114" s="42">
        <f>$K$1102+$I$1091+$G$1056+$E$985+$C$1054+$A$1009+$M$1117+$O$1115+Q1116</f>
        <v>20712.362108108107</v>
      </c>
      <c r="X1114">
        <f>u_CongnitiveImpairement</f>
        <v>17.270393127285455</v>
      </c>
      <c r="Z1114" s="42">
        <f t="shared" si="160"/>
        <v>3.8532963233051878</v>
      </c>
      <c r="AA1114" s="6">
        <f t="shared" si="159"/>
        <v>3.2129576526355353E-3</v>
      </c>
      <c r="AB1114" s="42">
        <f t="shared" ref="AB1114:AB1136" si="161">U1114*c_CSG</f>
        <v>2.0538647976145761</v>
      </c>
      <c r="AC1114" s="42">
        <f>U1114*(Q1116-c_CSG)</f>
        <v>0.87921784723971808</v>
      </c>
    </row>
    <row r="1115" spans="13:29" x14ac:dyDescent="0.3">
      <c r="M1115" s="19" t="s">
        <v>203</v>
      </c>
      <c r="O1115" s="46">
        <f>c_hypo</f>
        <v>2936.2604000000001</v>
      </c>
      <c r="Q1115" s="45">
        <f>Hypo2CI_3-(Hypo2CI_3*noRDS2CLD_3)</f>
        <v>5.1333333333333335E-2</v>
      </c>
      <c r="R1115" s="45"/>
      <c r="T1115" s="78"/>
      <c r="Z1115" s="42">
        <f t="shared" si="160"/>
        <v>0</v>
      </c>
      <c r="AA1115" s="6">
        <f t="shared" si="159"/>
        <v>0</v>
      </c>
      <c r="AB1115" s="42">
        <f t="shared" si="161"/>
        <v>0</v>
      </c>
      <c r="AC1115" s="42"/>
    </row>
    <row r="1116" spans="13:29" x14ac:dyDescent="0.3">
      <c r="M1116" s="45">
        <f>S_prem_2noRDS_3</f>
        <v>0.55000000000000004</v>
      </c>
      <c r="Q1116" s="46">
        <f>c_cog+c_hosp_fu+c_CSG</f>
        <v>15766</v>
      </c>
      <c r="R1116" s="46"/>
      <c r="T1116" s="78"/>
      <c r="Z1116" s="42">
        <f t="shared" si="160"/>
        <v>0</v>
      </c>
      <c r="AA1116" s="6">
        <f t="shared" si="159"/>
        <v>0</v>
      </c>
      <c r="AB1116" s="42">
        <f t="shared" si="161"/>
        <v>0</v>
      </c>
      <c r="AC1116" s="42">
        <f>U1116*(Q1118-c_CSG)</f>
        <v>0</v>
      </c>
    </row>
    <row r="1117" spans="13:29" x14ac:dyDescent="0.3">
      <c r="M1117" s="46"/>
      <c r="O1117" s="42"/>
      <c r="Q1117" s="19" t="s">
        <v>368</v>
      </c>
      <c r="R1117" s="19"/>
      <c r="T1117" s="78"/>
      <c r="U1117">
        <f>$K$1101*$I$1090*$G$1055*$E$984*$C$1053*$A$1008*$M$1116*$O$1114*Q1118</f>
        <v>0</v>
      </c>
      <c r="V1117" s="42">
        <v>0</v>
      </c>
      <c r="W1117" s="42">
        <f>$K$1102+$I$1091+$G$1056+$E$985+$C$1054+$A$1009+$M$1117+$O$1115+Q1119</f>
        <v>63294.873010508105</v>
      </c>
      <c r="X1117">
        <f>u_ChronicResp+u_CongnitiveImpairement</f>
        <v>17.805052694763283</v>
      </c>
      <c r="Z1117" s="42">
        <f t="shared" si="160"/>
        <v>0</v>
      </c>
      <c r="AA1117" s="6">
        <f t="shared" si="159"/>
        <v>0</v>
      </c>
      <c r="AB1117" s="42">
        <f t="shared" si="161"/>
        <v>0</v>
      </c>
      <c r="AC1117" s="42">
        <f>U1117*(Q1119-c_CSG)</f>
        <v>0</v>
      </c>
    </row>
    <row r="1118" spans="13:29" x14ac:dyDescent="0.3">
      <c r="M1118" s="42"/>
      <c r="Q1118" s="45">
        <f>noRDS2CLD_3*Hypo2CI_3</f>
        <v>0</v>
      </c>
      <c r="R1118" s="45"/>
      <c r="T1118" s="78"/>
      <c r="Z1118" s="42">
        <f t="shared" si="160"/>
        <v>0</v>
      </c>
      <c r="AA1118" s="6">
        <f t="shared" si="159"/>
        <v>0</v>
      </c>
      <c r="AB1118" s="42">
        <f t="shared" si="161"/>
        <v>0</v>
      </c>
      <c r="AC1118" s="42"/>
    </row>
    <row r="1119" spans="13:29" x14ac:dyDescent="0.3">
      <c r="M1119" s="42"/>
      <c r="Q1119" s="46">
        <f>c_lung+c_cog+c_hosp_fu+c_CSG</f>
        <v>58348.510902399998</v>
      </c>
      <c r="R1119" s="46"/>
      <c r="T1119" s="78"/>
      <c r="Z1119" s="42">
        <f t="shared" si="160"/>
        <v>0</v>
      </c>
      <c r="AA1119" s="6">
        <f t="shared" si="159"/>
        <v>0</v>
      </c>
      <c r="AB1119" s="42">
        <f t="shared" si="161"/>
        <v>0</v>
      </c>
      <c r="AC1119" s="42">
        <f>U1119*(Q1121-c_CSG)</f>
        <v>0</v>
      </c>
    </row>
    <row r="1120" spans="13:29" x14ac:dyDescent="0.3">
      <c r="M1120" s="42"/>
      <c r="Q1120" s="19" t="s">
        <v>369</v>
      </c>
      <c r="R1120" s="19"/>
      <c r="T1120" s="78"/>
      <c r="U1120">
        <f>$K$1101*$I$1090*$G$1055*$E$984*$C$1053*$A$1008*$M$1116*$O$1114*Q1121</f>
        <v>3.4380877176330956E-3</v>
      </c>
      <c r="V1120" s="40">
        <v>3.4380877176330956E-3</v>
      </c>
      <c r="W1120" s="42">
        <f>$K$1102+$I$1091+$G$1056+$E$985+$C$1054+$A$1009+$M$1117+$O$1115+Q1122</f>
        <v>19349.362108108107</v>
      </c>
      <c r="X1120">
        <f>u_Healthy</f>
        <v>0</v>
      </c>
      <c r="Z1120" s="42">
        <f t="shared" si="160"/>
        <v>66.524804207921704</v>
      </c>
      <c r="AA1120" s="6">
        <f t="shared" si="159"/>
        <v>0</v>
      </c>
      <c r="AB1120" s="42">
        <f t="shared" si="161"/>
        <v>37.956488402669372</v>
      </c>
      <c r="AC1120" s="42">
        <f>U1120*(Q1122-c_CSG)</f>
        <v>11.562288994400101</v>
      </c>
    </row>
    <row r="1121" spans="7:29" x14ac:dyDescent="0.3">
      <c r="M1121" s="42"/>
      <c r="O1121" s="42"/>
      <c r="Q1121" s="45">
        <f>1-Q1118-Q1115-Q1112</f>
        <v>0.94866666666666666</v>
      </c>
      <c r="R1121" s="45"/>
      <c r="T1121" s="78"/>
      <c r="Z1121" s="42">
        <f t="shared" si="160"/>
        <v>0</v>
      </c>
      <c r="AA1121" s="6">
        <f t="shared" si="159"/>
        <v>0</v>
      </c>
      <c r="AB1121" s="42">
        <f t="shared" si="161"/>
        <v>0</v>
      </c>
      <c r="AC1121" s="42">
        <f>U1121*(Q1123-c_CSG)</f>
        <v>0</v>
      </c>
    </row>
    <row r="1122" spans="7:29" x14ac:dyDescent="0.3">
      <c r="M1122" s="42"/>
      <c r="Q1122" s="46">
        <f>c_clinic_fu+c_CSG</f>
        <v>14403</v>
      </c>
      <c r="R1122" s="46"/>
      <c r="S1122" s="94"/>
      <c r="T1122" s="78"/>
      <c r="V1122" s="40"/>
      <c r="Z1122" s="42">
        <f t="shared" si="160"/>
        <v>0</v>
      </c>
      <c r="AA1122" s="6">
        <f t="shared" si="159"/>
        <v>0</v>
      </c>
      <c r="AB1122" s="42">
        <f t="shared" si="161"/>
        <v>0</v>
      </c>
      <c r="AC1122" s="42"/>
    </row>
    <row r="1123" spans="7:29" x14ac:dyDescent="0.3">
      <c r="M1123" s="42"/>
      <c r="Q1123" s="42"/>
      <c r="R1123" s="42"/>
      <c r="T1123" s="78"/>
      <c r="V1123" s="40"/>
      <c r="Z1123" s="42">
        <f t="shared" si="160"/>
        <v>0</v>
      </c>
      <c r="AA1123" s="6">
        <f t="shared" si="159"/>
        <v>0</v>
      </c>
      <c r="AB1123" s="42">
        <f t="shared" si="161"/>
        <v>0</v>
      </c>
      <c r="AC1123" s="42">
        <f>U1123*(Q1125-c_CSG)</f>
        <v>0</v>
      </c>
    </row>
    <row r="1124" spans="7:29" x14ac:dyDescent="0.3">
      <c r="M1124" s="42"/>
      <c r="Q1124" s="19" t="s">
        <v>367</v>
      </c>
      <c r="R1124" s="19"/>
      <c r="T1124" s="78"/>
      <c r="U1124">
        <f>$K$1101*$I$1090*$G$1055*$E$984*$C$1053*$A$1008*$M$1116*$O$1128*Q1125</f>
        <v>0</v>
      </c>
      <c r="V1124" s="40">
        <v>0</v>
      </c>
      <c r="W1124" s="42">
        <f>$K$1102+$I$1091+$G$1056+$E$985+$C$1054+$A$1009+$M$1117+$O$1129+Q1126</f>
        <v>58568.873010508105</v>
      </c>
      <c r="X1124">
        <f>u_ChronicResp</f>
        <v>0.53465956747782661</v>
      </c>
      <c r="Z1124" s="42">
        <f t="shared" si="160"/>
        <v>0</v>
      </c>
      <c r="AA1124" s="6">
        <f t="shared" si="159"/>
        <v>0</v>
      </c>
      <c r="AB1124" s="42">
        <f t="shared" si="161"/>
        <v>0</v>
      </c>
      <c r="AC1124" s="42">
        <f>U1124*(Q1126-c_CSG)</f>
        <v>0</v>
      </c>
    </row>
    <row r="1125" spans="7:29" x14ac:dyDescent="0.3">
      <c r="M1125" s="42"/>
      <c r="Q1125" s="45">
        <f>noRDS2CLD_3-(noRDS2CLD_3*noHypo2CI_3)</f>
        <v>0</v>
      </c>
      <c r="R1125" s="45"/>
      <c r="T1125" s="78"/>
      <c r="V1125" s="40"/>
      <c r="Z1125" s="42">
        <f t="shared" si="160"/>
        <v>0</v>
      </c>
      <c r="AA1125" s="6">
        <f t="shared" si="159"/>
        <v>0</v>
      </c>
      <c r="AB1125" s="42">
        <f t="shared" si="161"/>
        <v>0</v>
      </c>
      <c r="AC1125" s="42"/>
    </row>
    <row r="1126" spans="7:29" x14ac:dyDescent="0.3">
      <c r="M1126" s="42"/>
      <c r="Q1126" s="46">
        <f>c_lung+c_hypo+c_CSG</f>
        <v>56558.771302399997</v>
      </c>
      <c r="R1126" s="46"/>
      <c r="T1126" s="78"/>
      <c r="V1126" s="40"/>
      <c r="Z1126" s="42">
        <f t="shared" si="160"/>
        <v>0</v>
      </c>
      <c r="AA1126" s="6">
        <f t="shared" si="159"/>
        <v>0</v>
      </c>
      <c r="AB1126" s="42">
        <f t="shared" si="161"/>
        <v>0</v>
      </c>
      <c r="AC1126" s="42">
        <f>U1126*(Q1128-c_CSG)</f>
        <v>0</v>
      </c>
    </row>
    <row r="1127" spans="7:29" x14ac:dyDescent="0.3">
      <c r="M1127" s="42"/>
      <c r="O1127" s="19" t="s">
        <v>370</v>
      </c>
      <c r="Q1127" s="19" t="s">
        <v>226</v>
      </c>
      <c r="R1127" s="19"/>
      <c r="T1127" s="78"/>
      <c r="U1127">
        <f>$K$1101*$I$1090*$G$1055*$E$984*$C$1053*$A$1008*$M$1116*$O$1128*Q1128</f>
        <v>6.7946905954724347E-4</v>
      </c>
      <c r="V1127" s="40">
        <v>6.7946905954724347E-4</v>
      </c>
      <c r="W1127" s="42">
        <f>$K$1102+$I$1091+$G$1056+$E$985+$C$1054+$A$1009+$M$1117+$O$1129+Q1129</f>
        <v>17776.101708108108</v>
      </c>
      <c r="X1127">
        <f>u_CongnitiveImpairement</f>
        <v>17.270393127285455</v>
      </c>
      <c r="Z1127" s="42">
        <f t="shared" si="160"/>
        <v>12.078311110024364</v>
      </c>
      <c r="AA1127" s="6">
        <f t="shared" si="159"/>
        <v>1.1734697776207826E-2</v>
      </c>
      <c r="AB1127" s="42">
        <f t="shared" si="161"/>
        <v>7.501338417401568</v>
      </c>
      <c r="AC1127" s="42">
        <f>U1127*(Q1129-c_CSG)</f>
        <v>3.2111707754202725</v>
      </c>
    </row>
    <row r="1128" spans="7:29" x14ac:dyDescent="0.3">
      <c r="M1128" s="42"/>
      <c r="O1128" s="45">
        <f>AGA_prem_2normoglycaemia_3</f>
        <v>0.85</v>
      </c>
      <c r="Q1128" s="45">
        <f>noHypo2CI_3</f>
        <v>3.3085576536761752E-2</v>
      </c>
      <c r="R1128" s="45"/>
      <c r="T1128" s="78"/>
      <c r="V1128" s="40"/>
      <c r="Z1128" s="42">
        <f t="shared" si="160"/>
        <v>0</v>
      </c>
      <c r="AA1128" s="6">
        <f t="shared" si="159"/>
        <v>0</v>
      </c>
      <c r="AB1128" s="42">
        <f t="shared" si="161"/>
        <v>0</v>
      </c>
      <c r="AC1128" s="42"/>
    </row>
    <row r="1129" spans="7:29" x14ac:dyDescent="0.3">
      <c r="M1129" s="42"/>
      <c r="O1129" s="46"/>
      <c r="Q1129" s="46">
        <f>c_cog+c_hosp_fu+c_CSG</f>
        <v>15766</v>
      </c>
      <c r="R1129" s="46"/>
      <c r="T1129" s="78"/>
      <c r="V1129" s="40"/>
      <c r="Z1129" s="42">
        <f t="shared" si="160"/>
        <v>0</v>
      </c>
      <c r="AA1129" s="6">
        <f t="shared" si="159"/>
        <v>0</v>
      </c>
      <c r="AB1129" s="42">
        <f t="shared" si="161"/>
        <v>0</v>
      </c>
      <c r="AC1129" s="42">
        <f>U1129*(Q1131-c_CSG)</f>
        <v>0</v>
      </c>
    </row>
    <row r="1130" spans="7:29" x14ac:dyDescent="0.3">
      <c r="G1130" s="42"/>
      <c r="M1130" s="42"/>
      <c r="Q1130" s="19" t="s">
        <v>368</v>
      </c>
      <c r="R1130" s="19"/>
      <c r="T1130" s="78"/>
      <c r="U1130">
        <f>$K$1101*$I$1090*$G$1055*$E$984*$C$1053*$A$1008*$M$1116*$O$1128*Q1131</f>
        <v>0</v>
      </c>
      <c r="V1130" s="40">
        <v>0</v>
      </c>
      <c r="W1130" s="42">
        <f>$K$1102+$I$1091+$G$1056+$E$985+$C$1054+$A$1009+$M$1117+$O$1129+Q1132</f>
        <v>60358.612610508106</v>
      </c>
      <c r="X1130">
        <f>u_ChronicResp+u_CongnitiveImpairement</f>
        <v>17.805052694763283</v>
      </c>
      <c r="Z1130" s="42">
        <f t="shared" si="160"/>
        <v>0</v>
      </c>
      <c r="AA1130" s="6">
        <f t="shared" si="159"/>
        <v>0</v>
      </c>
      <c r="AB1130" s="42">
        <f t="shared" si="161"/>
        <v>0</v>
      </c>
      <c r="AC1130" s="42">
        <f>U1130*(Q1132-c_CSG)</f>
        <v>0</v>
      </c>
    </row>
    <row r="1131" spans="7:29" x14ac:dyDescent="0.3">
      <c r="Q1131" s="45">
        <f>noRDS2CLD_3*noHypo2CI_3</f>
        <v>0</v>
      </c>
      <c r="R1131" s="45"/>
      <c r="T1131" s="78"/>
      <c r="V1131" s="40"/>
      <c r="Z1131" s="42">
        <f t="shared" si="160"/>
        <v>0</v>
      </c>
      <c r="AA1131" s="6">
        <f t="shared" si="159"/>
        <v>0</v>
      </c>
      <c r="AB1131" s="42">
        <f t="shared" si="161"/>
        <v>0</v>
      </c>
      <c r="AC1131" s="42"/>
    </row>
    <row r="1132" spans="7:29" x14ac:dyDescent="0.3">
      <c r="Q1132" s="46">
        <f>c_cog+c_lung+c_hosp_fu+c_CSG</f>
        <v>58348.510902399998</v>
      </c>
      <c r="R1132" s="46"/>
      <c r="T1132" s="78"/>
      <c r="V1132" s="40"/>
      <c r="Z1132" s="42">
        <f t="shared" si="160"/>
        <v>0</v>
      </c>
      <c r="AA1132" s="6">
        <f t="shared" si="159"/>
        <v>0</v>
      </c>
      <c r="AB1132" s="42">
        <f t="shared" si="161"/>
        <v>0</v>
      </c>
      <c r="AC1132" s="42">
        <f>U1132*(Q1134-c_CSG)</f>
        <v>0</v>
      </c>
    </row>
    <row r="1133" spans="7:29" x14ac:dyDescent="0.3">
      <c r="M1133" s="42"/>
      <c r="Q1133" s="19" t="s">
        <v>369</v>
      </c>
      <c r="R1133" s="19"/>
      <c r="T1133" s="78"/>
      <c r="U1133">
        <f>$K$1101*$I$1090*$G$1055*$E$984*$C$1053*$A$1008*$M$1116*$O$1128*Q1134</f>
        <v>1.9857246049294158E-2</v>
      </c>
      <c r="V1133" s="40">
        <v>1.9857246049294158E-2</v>
      </c>
      <c r="W1133" s="42">
        <f>$K$1102+$I$1091+$G$1056+$E$985+$C$1054+$A$1009+$M$1117+$O$1129+Q1135</f>
        <v>16413.101708108108</v>
      </c>
      <c r="X1133">
        <f>u_Healthy</f>
        <v>0</v>
      </c>
      <c r="Z1133" s="42">
        <f t="shared" si="160"/>
        <v>325.91899904999292</v>
      </c>
      <c r="AA1133" s="6">
        <f t="shared" si="159"/>
        <v>0</v>
      </c>
      <c r="AB1133" s="42">
        <f t="shared" si="161"/>
        <v>219.22399638420751</v>
      </c>
      <c r="AC1133" s="42">
        <f>U1133*(Q1135-c_CSG)</f>
        <v>66.779918463776255</v>
      </c>
    </row>
    <row r="1134" spans="7:29" x14ac:dyDescent="0.3">
      <c r="M1134" s="42"/>
      <c r="Q1134" s="45">
        <f>1-Q1131-Q1128-Q1125</f>
        <v>0.9669144234632383</v>
      </c>
      <c r="R1134" s="45"/>
      <c r="T1134" s="78"/>
      <c r="V1134" s="40"/>
      <c r="Z1134" s="42">
        <f t="shared" si="160"/>
        <v>0</v>
      </c>
      <c r="AA1134" s="6">
        <f t="shared" si="159"/>
        <v>0</v>
      </c>
      <c r="AB1134" s="42">
        <f t="shared" si="161"/>
        <v>0</v>
      </c>
      <c r="AC1134" s="42">
        <f>U1134*(Q1136-c_CSG)</f>
        <v>0</v>
      </c>
    </row>
    <row r="1135" spans="7:29" x14ac:dyDescent="0.3">
      <c r="M1135" s="42"/>
      <c r="Q1135" s="46">
        <f>c_clinic_fu+c_CSG</f>
        <v>14403</v>
      </c>
      <c r="R1135" s="46"/>
      <c r="T1135" s="78"/>
      <c r="V1135" s="40"/>
      <c r="Z1135" s="42">
        <f t="shared" si="160"/>
        <v>0</v>
      </c>
      <c r="AA1135" s="6">
        <f t="shared" si="159"/>
        <v>0</v>
      </c>
      <c r="AB1135" s="42">
        <f t="shared" si="161"/>
        <v>0</v>
      </c>
      <c r="AC1135" s="42">
        <f>U1135*(Q1137-c_CSG)</f>
        <v>0</v>
      </c>
    </row>
    <row r="1136" spans="7:29" x14ac:dyDescent="0.3">
      <c r="M1136" s="42"/>
      <c r="Q1136" s="42"/>
      <c r="R1136" s="42"/>
      <c r="T1136" s="78"/>
      <c r="V1136" s="40"/>
      <c r="Z1136" s="42">
        <f t="shared" si="160"/>
        <v>0</v>
      </c>
      <c r="AA1136" s="6">
        <f t="shared" si="159"/>
        <v>0</v>
      </c>
      <c r="AB1136" s="42">
        <f t="shared" si="161"/>
        <v>0</v>
      </c>
      <c r="AC1136" s="42">
        <f>U1136*(Q1138-c_CSG)</f>
        <v>0</v>
      </c>
    </row>
    <row r="1137" spans="9:29" x14ac:dyDescent="0.3">
      <c r="K1137" s="19" t="s">
        <v>165</v>
      </c>
      <c r="L1137" s="19"/>
      <c r="M1137" s="19"/>
      <c r="N1137" s="19"/>
      <c r="O1137" s="19"/>
      <c r="P1137" s="19"/>
      <c r="Q1137" s="19"/>
      <c r="R1137" s="19"/>
      <c r="T1137" s="78"/>
      <c r="U1137">
        <f>$K$1138*$I$1146*$G$1170*$E$1207*$C$1053*$A$1008</f>
        <v>3.0954826391745775E-3</v>
      </c>
      <c r="V1137" s="40">
        <v>3.0954826391745775E-3</v>
      </c>
      <c r="W1137" s="42">
        <f>$K$1139+$I$1147+$G$1171+$E$1208+$C$1054+$A$1009</f>
        <v>256670.55809999997</v>
      </c>
      <c r="X1137">
        <f>u_Death</f>
        <v>19.181538114427529</v>
      </c>
      <c r="Z1137" s="42">
        <f t="shared" si="160"/>
        <v>794.51925658579967</v>
      </c>
      <c r="AA1137" s="6">
        <f t="shared" si="159"/>
        <v>5.9376118225875872E-2</v>
      </c>
      <c r="AB1137" s="42"/>
      <c r="AC1137" s="42"/>
    </row>
    <row r="1138" spans="9:29" x14ac:dyDescent="0.3">
      <c r="K1138" s="45">
        <f>SGA_term_2d_3</f>
        <v>1.3200000000000002E-2</v>
      </c>
      <c r="T1138" s="78"/>
      <c r="Z1138" s="42">
        <f t="shared" si="160"/>
        <v>0</v>
      </c>
      <c r="AA1138" s="6">
        <f t="shared" si="159"/>
        <v>0</v>
      </c>
      <c r="AB1138" s="42">
        <f t="shared" ref="AB1138:AB1169" si="162">U1138*c_CSG</f>
        <v>0</v>
      </c>
      <c r="AC1138" s="42">
        <f>U1138*(Q1140-c_CSG)</f>
        <v>0</v>
      </c>
    </row>
    <row r="1139" spans="9:29" x14ac:dyDescent="0.3">
      <c r="K1139" s="46">
        <f>c_SB</f>
        <v>1792</v>
      </c>
      <c r="T1139" s="78"/>
      <c r="Z1139" s="42">
        <f t="shared" si="160"/>
        <v>0</v>
      </c>
      <c r="AA1139" s="6">
        <f t="shared" si="159"/>
        <v>0</v>
      </c>
      <c r="AB1139" s="42">
        <f t="shared" si="162"/>
        <v>0</v>
      </c>
      <c r="AC1139" s="42"/>
    </row>
    <row r="1140" spans="9:29" x14ac:dyDescent="0.3">
      <c r="T1140" s="78"/>
      <c r="Z1140" s="42">
        <f t="shared" si="160"/>
        <v>0</v>
      </c>
      <c r="AA1140" s="6">
        <f t="shared" si="159"/>
        <v>0</v>
      </c>
      <c r="AB1140" s="42">
        <f t="shared" si="162"/>
        <v>0</v>
      </c>
      <c r="AC1140" s="42">
        <f>U1140*(Q1142-c_CSG)</f>
        <v>0</v>
      </c>
    </row>
    <row r="1141" spans="9:29" x14ac:dyDescent="0.3">
      <c r="Q1141" s="19" t="s">
        <v>367</v>
      </c>
      <c r="R1141" s="19"/>
      <c r="T1141" s="78"/>
      <c r="U1141">
        <f>$K$1157*$I$1146*$G$1170*$E$1207*$C$1053*$A$1008*$M$1152*$O$1147*Q1142</f>
        <v>0</v>
      </c>
      <c r="W1141" s="42">
        <f>$K$1158+$I$1147+$G$1171+$E$1208+$C$1054+$A$1009+$M$1153+$O$1148+Q1143</f>
        <v>342939.93955060566</v>
      </c>
      <c r="X1141">
        <f>u_ChronicResp</f>
        <v>0.53465956747782661</v>
      </c>
      <c r="Z1141" s="42">
        <f t="shared" si="160"/>
        <v>0</v>
      </c>
      <c r="AA1141" s="6">
        <f t="shared" si="159"/>
        <v>0</v>
      </c>
      <c r="AB1141" s="42">
        <f t="shared" si="162"/>
        <v>0</v>
      </c>
      <c r="AC1141" s="42">
        <f>U1141*(Q1143-c_CSG)</f>
        <v>0</v>
      </c>
    </row>
    <row r="1142" spans="9:29" x14ac:dyDescent="0.3">
      <c r="Q1142" s="45">
        <f>RDS2CLD_3-(Hypo2CI_3*RDS2CLD_3)</f>
        <v>0.34246866666666664</v>
      </c>
      <c r="R1142" s="45"/>
      <c r="T1142" s="78"/>
      <c r="V1142" s="40">
        <v>0</v>
      </c>
      <c r="Z1142" s="42">
        <f t="shared" si="160"/>
        <v>0</v>
      </c>
      <c r="AA1142" s="6">
        <f t="shared" si="159"/>
        <v>0</v>
      </c>
      <c r="AB1142" s="42">
        <f t="shared" si="162"/>
        <v>0</v>
      </c>
      <c r="AC1142" s="42"/>
    </row>
    <row r="1143" spans="9:29" x14ac:dyDescent="0.3">
      <c r="Q1143" s="46">
        <f>c_lung+c_hosp_fu+c_CSG</f>
        <v>54529.510902399998</v>
      </c>
      <c r="R1143" s="46"/>
      <c r="T1143" s="78"/>
      <c r="Z1143" s="42">
        <f t="shared" si="160"/>
        <v>0</v>
      </c>
      <c r="AA1143" s="6">
        <f t="shared" si="159"/>
        <v>0</v>
      </c>
      <c r="AB1143" s="42">
        <f t="shared" si="162"/>
        <v>0</v>
      </c>
      <c r="AC1143" s="42">
        <f>U1143*(Q1145-c_CSG)</f>
        <v>0</v>
      </c>
    </row>
    <row r="1144" spans="9:29" x14ac:dyDescent="0.3">
      <c r="Q1144" s="19" t="s">
        <v>226</v>
      </c>
      <c r="R1144" s="19"/>
      <c r="T1144" s="78"/>
      <c r="U1144">
        <f>$K$1157*$I$1146*$G$1170*$E$1207*$C$1053*$A$1008*$M$1152*$O$1147*Q1145</f>
        <v>0</v>
      </c>
      <c r="W1144" s="42">
        <f>$K$1158+$I$1147+$G$1171+$E$1208+$C$1054+$A$1009+$M$1153+$O$1148+Q1146</f>
        <v>304176.42864820565</v>
      </c>
      <c r="X1144">
        <f>u_CongnitiveImpairement</f>
        <v>17.270393127285455</v>
      </c>
      <c r="Z1144" s="42">
        <f t="shared" si="160"/>
        <v>0</v>
      </c>
      <c r="AA1144" s="6">
        <f t="shared" si="159"/>
        <v>0</v>
      </c>
      <c r="AB1144" s="42">
        <f t="shared" si="162"/>
        <v>0</v>
      </c>
      <c r="AC1144" s="42">
        <f>U1144*(Q1146-c_CSG)</f>
        <v>0</v>
      </c>
    </row>
    <row r="1145" spans="9:29" x14ac:dyDescent="0.3">
      <c r="I1145" s="19" t="s">
        <v>164</v>
      </c>
      <c r="Q1145" s="45">
        <f>Hypo2CI_3-(Hypo2CI_3*RDS2CLD_3)</f>
        <v>3.2801999999999998E-2</v>
      </c>
      <c r="R1145" s="45"/>
      <c r="T1145" s="78"/>
      <c r="V1145" s="40">
        <v>0</v>
      </c>
      <c r="Z1145" s="42">
        <f t="shared" si="160"/>
        <v>0</v>
      </c>
      <c r="AA1145" s="6">
        <f t="shared" si="159"/>
        <v>0</v>
      </c>
      <c r="AB1145" s="42">
        <f t="shared" si="162"/>
        <v>0</v>
      </c>
      <c r="AC1145" s="42"/>
    </row>
    <row r="1146" spans="9:29" x14ac:dyDescent="0.3">
      <c r="I1146" s="45">
        <f>LBW_term_2SGA_3</f>
        <v>1</v>
      </c>
      <c r="O1146" s="19" t="s">
        <v>161</v>
      </c>
      <c r="Q1146" s="46">
        <f>c_cog+c_hosp_fu+c_CSG</f>
        <v>15766</v>
      </c>
      <c r="R1146" s="46"/>
      <c r="T1146" s="78"/>
      <c r="Z1146" s="42">
        <f t="shared" si="160"/>
        <v>0</v>
      </c>
      <c r="AA1146" s="6">
        <f t="shared" si="159"/>
        <v>0</v>
      </c>
      <c r="AB1146" s="42">
        <f t="shared" si="162"/>
        <v>0</v>
      </c>
      <c r="AC1146" s="42">
        <f>U1146*(Q1148-c_CSG)</f>
        <v>0</v>
      </c>
    </row>
    <row r="1147" spans="9:29" x14ac:dyDescent="0.3">
      <c r="I1147" s="46"/>
      <c r="O1147" s="45">
        <f>SGA_term_2hypoglycaemia_3</f>
        <v>0.26</v>
      </c>
      <c r="Q1147" s="19" t="s">
        <v>368</v>
      </c>
      <c r="R1147" s="19"/>
      <c r="T1147" s="78"/>
      <c r="U1147">
        <f>$K$1157*$I$1146*$G$1170*$E$1207*$C$1053*$A$1008*$M$1152*$O$1147*Q1148</f>
        <v>0</v>
      </c>
      <c r="W1147" s="42">
        <f>$K$1158+$I$1147+$G$1171+$E$1208+$C$1054+$A$1009+$M$1153+$O$1148+Q1149</f>
        <v>346758.93955060566</v>
      </c>
      <c r="X1147">
        <f>u_ChronicResp+u_CongnitiveImpairement</f>
        <v>17.805052694763283</v>
      </c>
      <c r="Z1147" s="42">
        <f t="shared" si="160"/>
        <v>0</v>
      </c>
      <c r="AA1147" s="6">
        <f t="shared" si="159"/>
        <v>0</v>
      </c>
      <c r="AB1147" s="42">
        <f t="shared" si="162"/>
        <v>0</v>
      </c>
      <c r="AC1147" s="42">
        <f>U1147*(Q1149-c_CSG)</f>
        <v>0</v>
      </c>
    </row>
    <row r="1148" spans="9:29" x14ac:dyDescent="0.3">
      <c r="O1148" s="46">
        <f>c_hypo</f>
        <v>2936.2604000000001</v>
      </c>
      <c r="Q1148" s="45">
        <f>Hypo2CI_3*RDS2CLD_3</f>
        <v>1.8531333333333334E-2</v>
      </c>
      <c r="R1148" s="45"/>
      <c r="T1148" s="78"/>
      <c r="V1148" s="40">
        <v>0</v>
      </c>
      <c r="Z1148" s="42">
        <f t="shared" si="160"/>
        <v>0</v>
      </c>
      <c r="AA1148" s="6">
        <f t="shared" si="159"/>
        <v>0</v>
      </c>
      <c r="AB1148" s="42">
        <f t="shared" si="162"/>
        <v>0</v>
      </c>
      <c r="AC1148" s="42"/>
    </row>
    <row r="1149" spans="9:29" x14ac:dyDescent="0.3">
      <c r="M1149" s="42"/>
      <c r="Q1149" s="46">
        <f>c_lung+c_cog+c_hosp_fu+c_CSG</f>
        <v>58348.510902399998</v>
      </c>
      <c r="R1149" s="46"/>
      <c r="T1149" s="78"/>
      <c r="Z1149" s="42">
        <f t="shared" si="160"/>
        <v>0</v>
      </c>
      <c r="AA1149" s="6">
        <f t="shared" si="159"/>
        <v>0</v>
      </c>
      <c r="AB1149" s="42">
        <f t="shared" si="162"/>
        <v>0</v>
      </c>
      <c r="AC1149" s="42">
        <f>U1149*(Q1151-c_CSG)</f>
        <v>0</v>
      </c>
    </row>
    <row r="1150" spans="9:29" x14ac:dyDescent="0.3">
      <c r="Q1150" s="19" t="s">
        <v>369</v>
      </c>
      <c r="R1150" s="19"/>
      <c r="T1150" s="78"/>
      <c r="U1150">
        <f>$K$1157*$I$1146*$G$1170*$E$1207*$C$1053*$A$1008*$M$1152*$O$1147*Q1151</f>
        <v>0</v>
      </c>
      <c r="W1150" s="42">
        <f>$K$1158+$I$1147+$G$1171+$E$1208+$C$1054+$A$1009+$M$1153+$O$1148+Q1152</f>
        <v>302813.42864820565</v>
      </c>
      <c r="X1150">
        <f>u_Healthy</f>
        <v>0</v>
      </c>
      <c r="Z1150" s="42">
        <f t="shared" si="160"/>
        <v>0</v>
      </c>
      <c r="AA1150" s="6">
        <f t="shared" si="159"/>
        <v>0</v>
      </c>
      <c r="AB1150" s="42">
        <f t="shared" si="162"/>
        <v>0</v>
      </c>
      <c r="AC1150" s="42">
        <f>U1150*(Q1152-c_CSG)</f>
        <v>0</v>
      </c>
    </row>
    <row r="1151" spans="9:29" x14ac:dyDescent="0.3">
      <c r="M1151" s="19" t="s">
        <v>9</v>
      </c>
      <c r="Q1151" s="45">
        <f>1-Q1142-Q1145-Q1148</f>
        <v>0.60619800000000001</v>
      </c>
      <c r="R1151" s="45"/>
      <c r="T1151" s="78"/>
      <c r="V1151" s="40">
        <v>0</v>
      </c>
      <c r="Z1151" s="42">
        <f t="shared" si="160"/>
        <v>0</v>
      </c>
      <c r="AA1151" s="6">
        <f t="shared" si="159"/>
        <v>0</v>
      </c>
      <c r="AB1151" s="42">
        <f t="shared" si="162"/>
        <v>0</v>
      </c>
      <c r="AC1151" s="42">
        <f>U1151*(Q1153-c_CSG)</f>
        <v>0</v>
      </c>
    </row>
    <row r="1152" spans="9:29" x14ac:dyDescent="0.3">
      <c r="K1152" s="42"/>
      <c r="M1152" s="45">
        <f>S_term_2RDS_3</f>
        <v>0</v>
      </c>
      <c r="Q1152" s="46">
        <f>c_clinic_fu+c_CSG</f>
        <v>14403</v>
      </c>
      <c r="R1152" s="46"/>
      <c r="T1152" s="78"/>
      <c r="Z1152" s="42">
        <f t="shared" si="160"/>
        <v>0</v>
      </c>
      <c r="AA1152" s="6">
        <f t="shared" si="159"/>
        <v>0</v>
      </c>
      <c r="AB1152" s="42">
        <f t="shared" si="162"/>
        <v>0</v>
      </c>
      <c r="AC1152" s="42"/>
    </row>
    <row r="1153" spans="7:29" x14ac:dyDescent="0.3">
      <c r="K1153" s="42"/>
      <c r="M1153" s="46">
        <f>c_RDS</f>
        <v>30595.610148205637</v>
      </c>
      <c r="Q1153" s="42"/>
      <c r="R1153" s="42"/>
      <c r="S1153" s="94"/>
      <c r="T1153" s="78"/>
      <c r="Z1153" s="42">
        <f t="shared" si="160"/>
        <v>0</v>
      </c>
      <c r="AA1153" s="6">
        <f t="shared" si="159"/>
        <v>0</v>
      </c>
      <c r="AB1153" s="42">
        <f t="shared" si="162"/>
        <v>0</v>
      </c>
      <c r="AC1153" s="42">
        <f>U1153*(Q1155-c_CSG)</f>
        <v>0</v>
      </c>
    </row>
    <row r="1154" spans="7:29" x14ac:dyDescent="0.3">
      <c r="Q1154" s="19" t="s">
        <v>367</v>
      </c>
      <c r="R1154" s="19"/>
      <c r="T1154" s="78"/>
      <c r="U1154">
        <f>$K$1157*$I$1146*$G$1170*$E$1207*$C$1053*$A$1008*$M$1152*$O$1157*Q1155</f>
        <v>0</v>
      </c>
      <c r="W1154" s="42">
        <f>$K$1158+$I$1147+$G$1171+$E$1208+$C$1054+$A$1009+$M$1153+$O$1158+Q1156</f>
        <v>340003.67915060563</v>
      </c>
      <c r="X1154">
        <f>u_ChronicResp</f>
        <v>0.53465956747782661</v>
      </c>
      <c r="Z1154" s="42">
        <f t="shared" si="160"/>
        <v>0</v>
      </c>
      <c r="AA1154" s="6">
        <f t="shared" si="159"/>
        <v>0</v>
      </c>
      <c r="AB1154" s="42">
        <f t="shared" si="162"/>
        <v>0</v>
      </c>
      <c r="AC1154" s="42">
        <f>U1154*(Q1156-c_CSG)</f>
        <v>0</v>
      </c>
    </row>
    <row r="1155" spans="7:29" x14ac:dyDescent="0.3">
      <c r="Q1155" s="45">
        <f>RDS2CLD_3-(RDS2CLD_3*noHypo2CI_3)</f>
        <v>0.34905610687022898</v>
      </c>
      <c r="R1155" s="45"/>
      <c r="T1155" s="78"/>
      <c r="V1155" s="40">
        <v>0</v>
      </c>
      <c r="Z1155" s="42">
        <f t="shared" si="160"/>
        <v>0</v>
      </c>
      <c r="AA1155" s="6">
        <f t="shared" si="159"/>
        <v>0</v>
      </c>
      <c r="AB1155" s="42">
        <f t="shared" si="162"/>
        <v>0</v>
      </c>
      <c r="AC1155" s="42"/>
    </row>
    <row r="1156" spans="7:29" x14ac:dyDescent="0.3">
      <c r="K1156" s="19" t="s">
        <v>37</v>
      </c>
      <c r="M1156" s="42"/>
      <c r="O1156" s="19" t="s">
        <v>370</v>
      </c>
      <c r="Q1156" s="46">
        <f>c_lung+c_hosp_fu+c_CSG</f>
        <v>54529.510902399998</v>
      </c>
      <c r="R1156" s="46"/>
      <c r="T1156" s="78"/>
      <c r="Z1156" s="42">
        <f t="shared" si="160"/>
        <v>0</v>
      </c>
      <c r="AA1156" s="6">
        <f t="shared" si="159"/>
        <v>0</v>
      </c>
      <c r="AB1156" s="42">
        <f t="shared" si="162"/>
        <v>0</v>
      </c>
      <c r="AC1156" s="42">
        <f>U1156*(Q1158-c_CSG)</f>
        <v>0</v>
      </c>
    </row>
    <row r="1157" spans="7:29" x14ac:dyDescent="0.3">
      <c r="K1157" s="45">
        <f>SGA_term_2s_3</f>
        <v>0.98680000000000001</v>
      </c>
      <c r="O1157" s="45">
        <f>SGA_term_2normoglycaemia_3</f>
        <v>0.74</v>
      </c>
      <c r="Q1157" s="19" t="s">
        <v>226</v>
      </c>
      <c r="R1157" s="19"/>
      <c r="T1157" s="78"/>
      <c r="U1157">
        <f>$K$1157*$I$1146*$G$1170*$E$1207*$C$1053*$A$1008*$M$1152*$O$1157*Q1158</f>
        <v>0</v>
      </c>
      <c r="W1157" s="42">
        <f>$K$1158+$I$1147+$G$1171+$E$1208+$C$1054+$A$1009+$M$1153+$O$1158+Q1159</f>
        <v>301240.16824820562</v>
      </c>
      <c r="X1157">
        <f>u_CongnitiveImpairement</f>
        <v>17.270393127285455</v>
      </c>
      <c r="Z1157" s="42">
        <f t="shared" si="160"/>
        <v>0</v>
      </c>
      <c r="AA1157" s="6">
        <f t="shared" si="159"/>
        <v>0</v>
      </c>
      <c r="AB1157" s="42">
        <f t="shared" si="162"/>
        <v>0</v>
      </c>
      <c r="AC1157" s="42">
        <f>U1157*(Q1159-c_CSG)</f>
        <v>0</v>
      </c>
    </row>
    <row r="1158" spans="7:29" x14ac:dyDescent="0.3">
      <c r="K1158" s="46"/>
      <c r="O1158" s="46"/>
      <c r="Q1158" s="45">
        <f>noHypo2CI_3-(RDS2CLD_3*noHypo2CI_3)</f>
        <v>2.1141683406990762E-2</v>
      </c>
      <c r="R1158" s="45"/>
      <c r="T1158" s="78"/>
      <c r="V1158" s="40">
        <v>0</v>
      </c>
      <c r="Z1158" s="42">
        <f t="shared" si="160"/>
        <v>0</v>
      </c>
      <c r="AA1158" s="6">
        <f t="shared" si="159"/>
        <v>0</v>
      </c>
      <c r="AB1158" s="42">
        <f t="shared" si="162"/>
        <v>0</v>
      </c>
      <c r="AC1158" s="42"/>
    </row>
    <row r="1159" spans="7:29" x14ac:dyDescent="0.3">
      <c r="Q1159" s="46">
        <f>c_cog+c_hosp_fu+c_CSG</f>
        <v>15766</v>
      </c>
      <c r="R1159" s="46"/>
      <c r="T1159" s="78"/>
      <c r="Z1159" s="42">
        <f t="shared" si="160"/>
        <v>0</v>
      </c>
      <c r="AA1159" s="6">
        <f t="shared" si="159"/>
        <v>0</v>
      </c>
      <c r="AB1159" s="42">
        <f t="shared" si="162"/>
        <v>0</v>
      </c>
      <c r="AC1159" s="42">
        <f>U1159*(Q1161-c_CSG)</f>
        <v>0</v>
      </c>
    </row>
    <row r="1160" spans="7:29" x14ac:dyDescent="0.3">
      <c r="Q1160" s="19" t="s">
        <v>368</v>
      </c>
      <c r="R1160" s="19"/>
      <c r="T1160" s="78"/>
      <c r="U1160">
        <f>$K$1157*$I$1146*$G$1170*$E$1207*$C$1053*$A$1008*$M$1152*$O$1157*Q1161</f>
        <v>0</v>
      </c>
      <c r="W1160" s="42">
        <f>$K$1158+$I$1147+$G$1171+$E$1208+$C$1054+$A$1009+$M$1153+$O$1158+Q1162</f>
        <v>343822.67915060563</v>
      </c>
      <c r="X1160">
        <f>u_ChronicResp+u_CongnitiveImpairement</f>
        <v>17.805052694763283</v>
      </c>
      <c r="Z1160" s="42">
        <f t="shared" si="160"/>
        <v>0</v>
      </c>
      <c r="AA1160" s="6">
        <f t="shared" si="159"/>
        <v>0</v>
      </c>
      <c r="AB1160" s="42">
        <f t="shared" si="162"/>
        <v>0</v>
      </c>
      <c r="AC1160" s="42">
        <f>U1160*(Q1162-c_CSG)</f>
        <v>0</v>
      </c>
    </row>
    <row r="1161" spans="7:29" x14ac:dyDescent="0.3">
      <c r="G1161" s="42"/>
      <c r="Q1161" s="45">
        <f>RDS2CLD_3*noHypo2CI_3</f>
        <v>1.1943893129770991E-2</v>
      </c>
      <c r="R1161" s="45"/>
      <c r="T1161" s="78"/>
      <c r="V1161" s="40">
        <v>0</v>
      </c>
      <c r="Z1161" s="42">
        <f t="shared" si="160"/>
        <v>0</v>
      </c>
      <c r="AA1161" s="6">
        <f t="shared" si="159"/>
        <v>0</v>
      </c>
      <c r="AB1161" s="42">
        <f t="shared" si="162"/>
        <v>0</v>
      </c>
      <c r="AC1161" s="42"/>
    </row>
    <row r="1162" spans="7:29" x14ac:dyDescent="0.3">
      <c r="G1162" s="42"/>
      <c r="Q1162" s="46">
        <f>c_cog+c_lung+c_hosp_fu+c_CSG</f>
        <v>58348.510902399998</v>
      </c>
      <c r="R1162" s="46"/>
      <c r="T1162" s="78"/>
      <c r="V1162" s="40"/>
      <c r="Z1162" s="42">
        <f t="shared" si="160"/>
        <v>0</v>
      </c>
      <c r="AA1162" s="6">
        <f t="shared" si="159"/>
        <v>0</v>
      </c>
      <c r="AB1162" s="42">
        <f t="shared" si="162"/>
        <v>0</v>
      </c>
      <c r="AC1162" s="42">
        <f>U1162*(Q1164-c_CSG)</f>
        <v>0</v>
      </c>
    </row>
    <row r="1163" spans="7:29" x14ac:dyDescent="0.3">
      <c r="Q1163" s="19" t="s">
        <v>369</v>
      </c>
      <c r="R1163" s="19"/>
      <c r="T1163" s="78"/>
      <c r="U1163">
        <f>$K$1157*$I$1146*$G$1170*$E$1207*$C$1053*$A$1008*$M$1152*$O$1157*Q1164</f>
        <v>0</v>
      </c>
      <c r="W1163" s="42">
        <f>$K$1158+$I$1147+$G$1171+$E$1208+$C$1054+$A$1009+$M$1153+$O$1158+Q1165</f>
        <v>299877.16824820562</v>
      </c>
      <c r="X1163">
        <f>u_Healthy</f>
        <v>0</v>
      </c>
      <c r="Z1163" s="42">
        <f t="shared" si="160"/>
        <v>0</v>
      </c>
      <c r="AA1163" s="6">
        <f t="shared" si="159"/>
        <v>0</v>
      </c>
      <c r="AB1163" s="42">
        <f t="shared" si="162"/>
        <v>0</v>
      </c>
      <c r="AC1163" s="42">
        <f>U1163*(Q1165-c_CSG)</f>
        <v>0</v>
      </c>
    </row>
    <row r="1164" spans="7:29" x14ac:dyDescent="0.3">
      <c r="Q1164" s="45">
        <f>1-Q1161-Q1158-Q1155</f>
        <v>0.61785831659300938</v>
      </c>
      <c r="R1164" s="45"/>
      <c r="T1164" s="78"/>
      <c r="V1164" s="40">
        <v>0</v>
      </c>
      <c r="Z1164" s="42">
        <f t="shared" si="160"/>
        <v>0</v>
      </c>
      <c r="AA1164" s="6">
        <f t="shared" si="159"/>
        <v>0</v>
      </c>
      <c r="AB1164" s="42">
        <f t="shared" si="162"/>
        <v>0</v>
      </c>
      <c r="AC1164" s="42">
        <f>U1164*(Q1166-c_CSG)</f>
        <v>0</v>
      </c>
    </row>
    <row r="1165" spans="7:29" x14ac:dyDescent="0.3">
      <c r="Q1165" s="46">
        <f>c_clinic_fu+c_CSG</f>
        <v>14403</v>
      </c>
      <c r="R1165" s="46"/>
      <c r="T1165" s="78"/>
      <c r="Z1165" s="42">
        <f t="shared" si="160"/>
        <v>0</v>
      </c>
      <c r="AA1165" s="6">
        <f t="shared" ref="AA1165:AA1228" si="163">U1165*X1165</f>
        <v>0</v>
      </c>
      <c r="AB1165" s="42">
        <f t="shared" si="162"/>
        <v>0</v>
      </c>
      <c r="AC1165" s="42"/>
    </row>
    <row r="1166" spans="7:29" x14ac:dyDescent="0.3">
      <c r="Q1166" s="42"/>
      <c r="R1166" s="42"/>
      <c r="T1166" s="78"/>
      <c r="Z1166" s="42">
        <f t="shared" si="160"/>
        <v>0</v>
      </c>
      <c r="AA1166" s="6">
        <f t="shared" si="163"/>
        <v>0</v>
      </c>
      <c r="AB1166" s="42">
        <f t="shared" si="162"/>
        <v>0</v>
      </c>
      <c r="AC1166" s="42">
        <f>U1166*(Q1168-c_CSG)</f>
        <v>0</v>
      </c>
    </row>
    <row r="1167" spans="7:29" x14ac:dyDescent="0.3">
      <c r="Q1167" s="19" t="s">
        <v>367</v>
      </c>
      <c r="R1167" s="19"/>
      <c r="T1167" s="78"/>
      <c r="U1167">
        <f>$K$1157*$I$1146*$G$1170*$E$1207*$C$1053*$A$1008*$M$1172*$O$1170*Q1168</f>
        <v>0</v>
      </c>
      <c r="W1167" s="42">
        <f>$K$1158+$I$1147+$G$1171+$E$1208+$C$1054+$A$1009+$M$1173+$O$1171+Q1169</f>
        <v>312344.32940239995</v>
      </c>
      <c r="X1167">
        <f>u_ChronicResp</f>
        <v>0.53465956747782661</v>
      </c>
      <c r="Z1167" s="42">
        <f t="shared" ref="Z1167:Z1230" si="164">U1167*W1167</f>
        <v>0</v>
      </c>
      <c r="AA1167" s="6">
        <f t="shared" si="163"/>
        <v>0</v>
      </c>
      <c r="AB1167" s="42">
        <f t="shared" si="162"/>
        <v>0</v>
      </c>
      <c r="AC1167" s="42">
        <f>U1167*(Q1169-c_CSG)</f>
        <v>0</v>
      </c>
    </row>
    <row r="1168" spans="7:29" x14ac:dyDescent="0.3">
      <c r="Q1168" s="45">
        <f>noRDS2CLD_3-(Hypo2CI_3*noRDS2CLD_3)</f>
        <v>0</v>
      </c>
      <c r="R1168" s="45"/>
      <c r="T1168" s="78"/>
      <c r="V1168" s="40">
        <v>0</v>
      </c>
      <c r="Z1168" s="42">
        <f t="shared" si="164"/>
        <v>0</v>
      </c>
      <c r="AA1168" s="6">
        <f t="shared" si="163"/>
        <v>0</v>
      </c>
      <c r="AB1168" s="42">
        <f t="shared" si="162"/>
        <v>0</v>
      </c>
      <c r="AC1168" s="42"/>
    </row>
    <row r="1169" spans="7:29" x14ac:dyDescent="0.3">
      <c r="G1169" s="19" t="s">
        <v>8</v>
      </c>
      <c r="O1169" s="19" t="s">
        <v>161</v>
      </c>
      <c r="Q1169" s="46">
        <f>c_lung+c_hosp_fu+c_CSG</f>
        <v>54529.510902399998</v>
      </c>
      <c r="R1169" s="46"/>
      <c r="T1169" s="78"/>
      <c r="Z1169" s="42">
        <f t="shared" si="164"/>
        <v>0</v>
      </c>
      <c r="AA1169" s="6">
        <f t="shared" si="163"/>
        <v>0</v>
      </c>
      <c r="AB1169" s="42">
        <f t="shared" si="162"/>
        <v>0</v>
      </c>
      <c r="AC1169" s="42">
        <f>U1169*(Q1171-c_CSG)</f>
        <v>0</v>
      </c>
    </row>
    <row r="1170" spans="7:29" x14ac:dyDescent="0.3">
      <c r="G1170" s="45">
        <f>Term2LBW_3</f>
        <v>0.34769230769230769</v>
      </c>
      <c r="O1170" s="45">
        <f>SGA_term_2hypoglycaemia_3</f>
        <v>0.26</v>
      </c>
      <c r="Q1170" s="19" t="s">
        <v>226</v>
      </c>
      <c r="R1170" s="19"/>
      <c r="T1170" s="78"/>
      <c r="U1170">
        <f>$K$1157*$I$1146*$G$1170*$E$1207*$C$1053*$A$1008*$M$1172*$O$1170*Q1171</f>
        <v>3.0885625157634445E-3</v>
      </c>
      <c r="V1170" s="40">
        <v>3.0885625157634445E-3</v>
      </c>
      <c r="W1170" s="42">
        <f>$K$1158+$I$1147+$G$1171+$E$1208+$C$1054+$A$1009+$M$1173+$O$1171+Q1172</f>
        <v>273580.81849999994</v>
      </c>
      <c r="X1170">
        <f>u_CongnitiveImpairement</f>
        <v>17.270393127285455</v>
      </c>
      <c r="Z1170" s="42">
        <f t="shared" si="164"/>
        <v>844.97146105098216</v>
      </c>
      <c r="AA1170" s="6">
        <f t="shared" si="163"/>
        <v>5.3340688845432471E-2</v>
      </c>
      <c r="AB1170" s="42">
        <f t="shared" ref="AB1170:AB1192" si="165">U1170*c_CSG</f>
        <v>34.097730174028428</v>
      </c>
      <c r="AC1170" s="42">
        <f>U1170*(Q1172-c_CSG)</f>
        <v>14.596546449498039</v>
      </c>
    </row>
    <row r="1171" spans="7:29" x14ac:dyDescent="0.3">
      <c r="G1171" s="46">
        <f>c_LBW</f>
        <v>254701.55809999997</v>
      </c>
      <c r="M1171" s="19" t="s">
        <v>203</v>
      </c>
      <c r="O1171" s="46">
        <f>c_hypo</f>
        <v>2936.2604000000001</v>
      </c>
      <c r="Q1171" s="45">
        <f>Hypo2CI_3-(Hypo2CI_3*noRDS2CLD_3)</f>
        <v>5.1333333333333335E-2</v>
      </c>
      <c r="R1171" s="45"/>
      <c r="T1171" s="78"/>
      <c r="Z1171" s="42">
        <f t="shared" si="164"/>
        <v>0</v>
      </c>
      <c r="AA1171" s="6">
        <f t="shared" si="163"/>
        <v>0</v>
      </c>
      <c r="AB1171" s="42">
        <f t="shared" si="165"/>
        <v>0</v>
      </c>
      <c r="AC1171" s="42"/>
    </row>
    <row r="1172" spans="7:29" x14ac:dyDescent="0.3">
      <c r="M1172" s="45">
        <f>S_term_2noRDS_3</f>
        <v>1</v>
      </c>
      <c r="Q1172" s="46">
        <f>c_cog+c_hosp_fu+c_CSG</f>
        <v>15766</v>
      </c>
      <c r="R1172" s="46"/>
      <c r="T1172" s="78"/>
      <c r="Z1172" s="42">
        <f t="shared" si="164"/>
        <v>0</v>
      </c>
      <c r="AA1172" s="6">
        <f t="shared" si="163"/>
        <v>0</v>
      </c>
      <c r="AB1172" s="42">
        <f t="shared" si="165"/>
        <v>0</v>
      </c>
      <c r="AC1172" s="42">
        <f>U1172*(Q1174-c_CSG)</f>
        <v>0</v>
      </c>
    </row>
    <row r="1173" spans="7:29" x14ac:dyDescent="0.3">
      <c r="M1173" s="46"/>
      <c r="O1173" s="42"/>
      <c r="Q1173" s="19" t="s">
        <v>368</v>
      </c>
      <c r="R1173" s="19"/>
      <c r="T1173" s="78"/>
      <c r="U1173">
        <f>$K$1157*$I$1146*$G$1170*$E$1207*$C$1053*$A$1008*$M$1172*$O$1170*Q1174</f>
        <v>0</v>
      </c>
      <c r="V1173" s="40">
        <v>0</v>
      </c>
      <c r="W1173" s="42">
        <f>$K$1158+$I$1147+$G$1171+$E$1208+$C$1054+$A$1009+$M$1173+$O$1171+Q1175</f>
        <v>316163.32940239995</v>
      </c>
      <c r="X1173">
        <f>u_ChronicResp+u_CongnitiveImpairement</f>
        <v>17.805052694763283</v>
      </c>
      <c r="Z1173" s="42">
        <f t="shared" si="164"/>
        <v>0</v>
      </c>
      <c r="AA1173" s="6">
        <f t="shared" si="163"/>
        <v>0</v>
      </c>
      <c r="AB1173" s="42">
        <f t="shared" si="165"/>
        <v>0</v>
      </c>
      <c r="AC1173" s="42">
        <f>U1173*(Q1175-c_CSG)</f>
        <v>0</v>
      </c>
    </row>
    <row r="1174" spans="7:29" x14ac:dyDescent="0.3">
      <c r="M1174" s="42"/>
      <c r="Q1174" s="45">
        <f>noRDS2CLD_3*Hypo2CI_3</f>
        <v>0</v>
      </c>
      <c r="R1174" s="45"/>
      <c r="T1174" s="78"/>
      <c r="Z1174" s="42">
        <f t="shared" si="164"/>
        <v>0</v>
      </c>
      <c r="AA1174" s="6">
        <f t="shared" si="163"/>
        <v>0</v>
      </c>
      <c r="AB1174" s="42">
        <f t="shared" si="165"/>
        <v>0</v>
      </c>
      <c r="AC1174" s="42"/>
    </row>
    <row r="1175" spans="7:29" x14ac:dyDescent="0.3">
      <c r="M1175" s="42"/>
      <c r="Q1175" s="46">
        <f>c_lung+c_cog+c_hosp_fu+c_CSG</f>
        <v>58348.510902399998</v>
      </c>
      <c r="R1175" s="46"/>
      <c r="T1175" s="78"/>
      <c r="Z1175" s="42">
        <f t="shared" si="164"/>
        <v>0</v>
      </c>
      <c r="AA1175" s="6">
        <f t="shared" si="163"/>
        <v>0</v>
      </c>
      <c r="AB1175" s="42">
        <f t="shared" si="165"/>
        <v>0</v>
      </c>
      <c r="AC1175" s="42">
        <f>U1175*(Q1177-c_CSG)</f>
        <v>0</v>
      </c>
    </row>
    <row r="1176" spans="7:29" x14ac:dyDescent="0.3">
      <c r="M1176" s="42"/>
      <c r="Q1176" s="19" t="s">
        <v>369</v>
      </c>
      <c r="R1176" s="19"/>
      <c r="T1176" s="78"/>
      <c r="U1176">
        <f>$K$1157*$I$1146*$G$1170*$E$1207*$C$1053*$A$1008*$M$1172*$O$1170*Q1177</f>
        <v>5.707823973936859E-2</v>
      </c>
      <c r="V1176" s="40">
        <v>5.707823973936859E-2</v>
      </c>
      <c r="W1176" s="42">
        <f>$K$1158+$I$1147+$G$1171+$E$1208+$C$1054+$A$1009+$M$1173+$O$1171+Q1178</f>
        <v>272217.81849999994</v>
      </c>
      <c r="X1176">
        <f>u_Healthy</f>
        <v>0</v>
      </c>
      <c r="Z1176" s="42">
        <f t="shared" si="164"/>
        <v>15537.713905670922</v>
      </c>
      <c r="AA1176" s="6">
        <f t="shared" si="163"/>
        <v>0</v>
      </c>
      <c r="AB1176" s="42">
        <f t="shared" si="165"/>
        <v>630.14376672262927</v>
      </c>
      <c r="AC1176" s="42">
        <f>U1176*(Q1178-c_CSG)</f>
        <v>191.95412024349656</v>
      </c>
    </row>
    <row r="1177" spans="7:29" x14ac:dyDescent="0.3">
      <c r="M1177" s="42"/>
      <c r="O1177" s="42"/>
      <c r="Q1177" s="45">
        <f>1-Q1174-Q1171-Q1168</f>
        <v>0.94866666666666666</v>
      </c>
      <c r="R1177" s="45"/>
      <c r="T1177" s="78"/>
      <c r="Z1177" s="42">
        <f t="shared" si="164"/>
        <v>0</v>
      </c>
      <c r="AA1177" s="6">
        <f t="shared" si="163"/>
        <v>0</v>
      </c>
      <c r="AB1177" s="42">
        <f t="shared" si="165"/>
        <v>0</v>
      </c>
      <c r="AC1177" s="42">
        <f>U1177*(Q1179-c_CSG)</f>
        <v>0</v>
      </c>
    </row>
    <row r="1178" spans="7:29" x14ac:dyDescent="0.3">
      <c r="M1178" s="42"/>
      <c r="Q1178" s="46">
        <f>c_clinic_fu+c_CSG</f>
        <v>14403</v>
      </c>
      <c r="R1178" s="46"/>
      <c r="S1178" s="94"/>
      <c r="T1178" s="78"/>
      <c r="Z1178" s="42">
        <f t="shared" si="164"/>
        <v>0</v>
      </c>
      <c r="AA1178" s="6">
        <f t="shared" si="163"/>
        <v>0</v>
      </c>
      <c r="AB1178" s="42">
        <f t="shared" si="165"/>
        <v>0</v>
      </c>
      <c r="AC1178" s="42"/>
    </row>
    <row r="1179" spans="7:29" x14ac:dyDescent="0.3">
      <c r="M1179" s="42"/>
      <c r="Q1179" s="42"/>
      <c r="R1179" s="42"/>
      <c r="T1179" s="78"/>
      <c r="Z1179" s="42">
        <f t="shared" si="164"/>
        <v>0</v>
      </c>
      <c r="AA1179" s="6">
        <f t="shared" si="163"/>
        <v>0</v>
      </c>
      <c r="AB1179" s="42">
        <f t="shared" si="165"/>
        <v>0</v>
      </c>
      <c r="AC1179" s="42">
        <f>U1179*(Q1181-c_CSG)</f>
        <v>0</v>
      </c>
    </row>
    <row r="1180" spans="7:29" x14ac:dyDescent="0.3">
      <c r="M1180" s="42"/>
      <c r="Q1180" s="19" t="s">
        <v>367</v>
      </c>
      <c r="R1180" s="19"/>
      <c r="T1180" s="78"/>
      <c r="U1180">
        <f>$K$1157*$I$1146*$G$1170*$E$1207*$C$1053*$A$1008*$M$1172*$O$1184*Q1181</f>
        <v>0</v>
      </c>
      <c r="V1180" s="40">
        <v>0</v>
      </c>
      <c r="W1180" s="42">
        <f>$K$1158+$I$1147+$G$1171+$E$1208+$C$1054+$A$1009+$M$1173+$O$1185+Q1182</f>
        <v>311437.32940239995</v>
      </c>
      <c r="X1180">
        <f>u_ChronicResp</f>
        <v>0.53465956747782661</v>
      </c>
      <c r="Z1180" s="42">
        <f t="shared" si="164"/>
        <v>0</v>
      </c>
      <c r="AA1180" s="6">
        <f t="shared" si="163"/>
        <v>0</v>
      </c>
      <c r="AB1180" s="42">
        <f t="shared" si="165"/>
        <v>0</v>
      </c>
      <c r="AC1180" s="42">
        <f>U1180*(Q1182-c_CSG)</f>
        <v>0</v>
      </c>
    </row>
    <row r="1181" spans="7:29" x14ac:dyDescent="0.3">
      <c r="M1181" s="42"/>
      <c r="Q1181" s="45">
        <f>noRDS2CLD_3-(noRDS2CLD_3*noHypo2CI_3)</f>
        <v>0</v>
      </c>
      <c r="R1181" s="45"/>
      <c r="T1181" s="78"/>
      <c r="Z1181" s="42">
        <f t="shared" si="164"/>
        <v>0</v>
      </c>
      <c r="AA1181" s="6">
        <f t="shared" si="163"/>
        <v>0</v>
      </c>
      <c r="AB1181" s="42">
        <f t="shared" si="165"/>
        <v>0</v>
      </c>
      <c r="AC1181" s="42"/>
    </row>
    <row r="1182" spans="7:29" x14ac:dyDescent="0.3">
      <c r="M1182" s="42"/>
      <c r="Q1182" s="46">
        <f>c_lung+c_hypo+c_CSG</f>
        <v>56558.771302399997</v>
      </c>
      <c r="R1182" s="46"/>
      <c r="T1182" s="78"/>
      <c r="Z1182" s="42">
        <f t="shared" si="164"/>
        <v>0</v>
      </c>
      <c r="AA1182" s="6">
        <f t="shared" si="163"/>
        <v>0</v>
      </c>
      <c r="AB1182" s="42">
        <f t="shared" si="165"/>
        <v>0</v>
      </c>
      <c r="AC1182" s="42">
        <f>U1182*(Q1184-c_CSG)</f>
        <v>0</v>
      </c>
    </row>
    <row r="1183" spans="7:29" x14ac:dyDescent="0.3">
      <c r="M1183" s="42"/>
      <c r="O1183" s="19" t="s">
        <v>370</v>
      </c>
      <c r="Q1183" s="19" t="s">
        <v>226</v>
      </c>
      <c r="R1183" s="19"/>
      <c r="T1183" s="78"/>
      <c r="U1183">
        <f>$K$1157*$I$1146*$G$1170*$E$1207*$C$1053*$A$1008*$M$1172*$O$1184*Q1184</f>
        <v>5.6657056628016973E-3</v>
      </c>
      <c r="V1183" s="40">
        <v>5.6657056628016973E-3</v>
      </c>
      <c r="W1183" s="42">
        <f>$K$1158+$I$1147+$G$1171+$E$1208+$C$1054+$A$1009+$M$1173+$O$1185+Q1185</f>
        <v>270644.55809999997</v>
      </c>
      <c r="X1183">
        <f>u_CongnitiveImpairement</f>
        <v>17.270393127285455</v>
      </c>
      <c r="Z1183" s="42">
        <f t="shared" si="164"/>
        <v>1533.3924054336328</v>
      </c>
      <c r="AA1183" s="6">
        <f t="shared" si="163"/>
        <v>9.7848964140072714E-2</v>
      </c>
      <c r="AB1183" s="42">
        <f t="shared" si="165"/>
        <v>62.549390517330735</v>
      </c>
      <c r="AC1183" s="42">
        <f>U1183*(Q1185-c_CSG)</f>
        <v>26.776124962400822</v>
      </c>
    </row>
    <row r="1184" spans="7:29" x14ac:dyDescent="0.3">
      <c r="M1184" s="42"/>
      <c r="O1184" s="45">
        <f>SGA_term_2normoglycaemia_3</f>
        <v>0.74</v>
      </c>
      <c r="Q1184" s="45">
        <f>noHypo2CI_3</f>
        <v>3.3085576536761752E-2</v>
      </c>
      <c r="R1184" s="45"/>
      <c r="T1184" s="78"/>
      <c r="Z1184" s="42">
        <f t="shared" si="164"/>
        <v>0</v>
      </c>
      <c r="AA1184" s="6">
        <f t="shared" si="163"/>
        <v>0</v>
      </c>
      <c r="AB1184" s="42">
        <f t="shared" si="165"/>
        <v>0</v>
      </c>
      <c r="AC1184" s="42"/>
    </row>
    <row r="1185" spans="3:29" x14ac:dyDescent="0.3">
      <c r="M1185" s="42"/>
      <c r="O1185" s="46"/>
      <c r="Q1185" s="46">
        <f>c_cog+c_hosp_fu+c_CSG</f>
        <v>15766</v>
      </c>
      <c r="R1185" s="46"/>
      <c r="T1185" s="78"/>
      <c r="Z1185" s="42">
        <f t="shared" si="164"/>
        <v>0</v>
      </c>
      <c r="AA1185" s="6">
        <f t="shared" si="163"/>
        <v>0</v>
      </c>
      <c r="AB1185" s="42">
        <f t="shared" si="165"/>
        <v>0</v>
      </c>
      <c r="AC1185" s="42">
        <f>U1185*(Q1187-c_CSG)</f>
        <v>0</v>
      </c>
    </row>
    <row r="1186" spans="3:29" x14ac:dyDescent="0.3">
      <c r="M1186" s="42"/>
      <c r="Q1186" s="19" t="s">
        <v>368</v>
      </c>
      <c r="R1186" s="19"/>
      <c r="T1186" s="78"/>
      <c r="U1186">
        <f>$K$1157*$I$1146*$G$1170*$E$1207*$C$1053*$A$1008*$M$1172*$O$1184*Q1187</f>
        <v>0</v>
      </c>
      <c r="W1186" s="42">
        <f>$K$1158+$I$1147+$G$1171+$E$1208+$C$1054+$A$1009+$M$1173+$O$1185+Q1188</f>
        <v>313227.06900239998</v>
      </c>
      <c r="X1186">
        <f>u_ChronicResp+u_CongnitiveImpairement</f>
        <v>17.805052694763283</v>
      </c>
      <c r="Z1186" s="42">
        <f t="shared" si="164"/>
        <v>0</v>
      </c>
      <c r="AA1186" s="6">
        <f t="shared" si="163"/>
        <v>0</v>
      </c>
      <c r="AB1186" s="42">
        <f t="shared" si="165"/>
        <v>0</v>
      </c>
      <c r="AC1186" s="42">
        <f>U1186*(Q1188-c_CSG)</f>
        <v>0</v>
      </c>
    </row>
    <row r="1187" spans="3:29" x14ac:dyDescent="0.3">
      <c r="M1187" s="42"/>
      <c r="Q1187" s="45">
        <f>noRDS2CLD_3*noHypo2CI_3</f>
        <v>0</v>
      </c>
      <c r="R1187" s="45"/>
      <c r="T1187" s="78"/>
      <c r="V1187" s="40">
        <v>0</v>
      </c>
      <c r="Z1187" s="42">
        <f t="shared" si="164"/>
        <v>0</v>
      </c>
      <c r="AA1187" s="6">
        <f t="shared" si="163"/>
        <v>0</v>
      </c>
      <c r="AB1187" s="42">
        <f t="shared" si="165"/>
        <v>0</v>
      </c>
      <c r="AC1187" s="42"/>
    </row>
    <row r="1188" spans="3:29" x14ac:dyDescent="0.3">
      <c r="M1188" s="42"/>
      <c r="Q1188" s="46">
        <f>c_cog+c_lung+c_hosp_fu+c_CSG</f>
        <v>58348.510902399998</v>
      </c>
      <c r="R1188" s="46"/>
      <c r="T1188" s="78"/>
      <c r="V1188" s="40"/>
      <c r="Z1188" s="42">
        <f t="shared" si="164"/>
        <v>0</v>
      </c>
      <c r="AA1188" s="6">
        <f t="shared" si="163"/>
        <v>0</v>
      </c>
      <c r="AB1188" s="42">
        <f t="shared" si="165"/>
        <v>0</v>
      </c>
      <c r="AC1188" s="42">
        <f>U1188*(Q1190-c_CSG)</f>
        <v>0</v>
      </c>
    </row>
    <row r="1189" spans="3:29" x14ac:dyDescent="0.3">
      <c r="M1189" s="42"/>
      <c r="Q1189" s="19" t="s">
        <v>369</v>
      </c>
      <c r="R1189" s="19"/>
      <c r="T1189" s="78"/>
      <c r="U1189">
        <f>$K$1157*$I$1146*$G$1170*$E$1207*$C$1053*$A$1008*$M$1172*$O$1184*Q1190</f>
        <v>0.16557826998642022</v>
      </c>
      <c r="V1189" s="40">
        <v>0.16557826998642022</v>
      </c>
      <c r="W1189" s="42">
        <f>$K$1158+$I$1147+$G$1171+$E$1208+$C$1054+$A$1009+$M$1173+$O$1185+Q1191</f>
        <v>269281.55809999997</v>
      </c>
      <c r="X1189">
        <f>u_Healthy</f>
        <v>0</v>
      </c>
      <c r="Z1189" s="42">
        <f t="shared" si="164"/>
        <v>44587.1745294457</v>
      </c>
      <c r="AA1189" s="6">
        <f t="shared" si="163"/>
        <v>0</v>
      </c>
      <c r="AB1189" s="42">
        <f t="shared" si="165"/>
        <v>1827.9841006500792</v>
      </c>
      <c r="AC1189" s="42">
        <f>U1189*(Q1191-c_CSG)</f>
        <v>556.83972196433126</v>
      </c>
    </row>
    <row r="1190" spans="3:29" x14ac:dyDescent="0.3">
      <c r="M1190" s="42"/>
      <c r="Q1190" s="45">
        <f>1-Q1187-Q1184-Q1181</f>
        <v>0.9669144234632383</v>
      </c>
      <c r="R1190" s="45"/>
      <c r="T1190" s="78"/>
      <c r="V1190" s="40"/>
      <c r="Z1190" s="42">
        <f t="shared" si="164"/>
        <v>0</v>
      </c>
      <c r="AA1190" s="6">
        <f t="shared" si="163"/>
        <v>0</v>
      </c>
      <c r="AB1190" s="42">
        <f t="shared" si="165"/>
        <v>0</v>
      </c>
      <c r="AC1190" s="42">
        <f>U1190*(Q1192-c_CSG)</f>
        <v>0</v>
      </c>
    </row>
    <row r="1191" spans="3:29" x14ac:dyDescent="0.3">
      <c r="C1191" s="42"/>
      <c r="M1191" s="42"/>
      <c r="Q1191" s="46">
        <f>c_clinic_fu+c_CSG</f>
        <v>14403</v>
      </c>
      <c r="R1191" s="46"/>
      <c r="T1191" s="78"/>
      <c r="Z1191" s="42">
        <f t="shared" si="164"/>
        <v>0</v>
      </c>
      <c r="AA1191" s="6">
        <f t="shared" si="163"/>
        <v>0</v>
      </c>
      <c r="AB1191" s="42">
        <f t="shared" si="165"/>
        <v>0</v>
      </c>
      <c r="AC1191" s="42">
        <f>U1191*(Q1193-c_CSG)</f>
        <v>0</v>
      </c>
    </row>
    <row r="1192" spans="3:29" x14ac:dyDescent="0.3">
      <c r="M1192" s="42"/>
      <c r="Q1192" s="42"/>
      <c r="R1192" s="42"/>
      <c r="T1192" s="78"/>
      <c r="Z1192" s="42">
        <f t="shared" si="164"/>
        <v>0</v>
      </c>
      <c r="AA1192" s="6">
        <f t="shared" si="163"/>
        <v>0</v>
      </c>
      <c r="AB1192" s="42">
        <f t="shared" si="165"/>
        <v>0</v>
      </c>
      <c r="AC1192" s="42">
        <f>U1192*(Q1194-c_CSG)</f>
        <v>0</v>
      </c>
    </row>
    <row r="1193" spans="3:29" x14ac:dyDescent="0.3">
      <c r="K1193" s="19" t="s">
        <v>165</v>
      </c>
      <c r="L1193" s="19"/>
      <c r="M1193" s="19"/>
      <c r="N1193" s="19"/>
      <c r="O1193" s="19"/>
      <c r="P1193" s="19"/>
      <c r="Q1193" s="19"/>
      <c r="R1193" s="19"/>
      <c r="T1193" s="78"/>
      <c r="U1193">
        <f>$K$1194*$I$1202*$G$1170*$E$1207*$C$1053*$A$1008</f>
        <v>0</v>
      </c>
      <c r="W1193" s="42">
        <f>$K$1195+$I$1203+$G$1171+$E$1208+$C$1054+$A$1009</f>
        <v>256670.55809999997</v>
      </c>
      <c r="X1193">
        <f>u_Death</f>
        <v>19.181538114427529</v>
      </c>
      <c r="Z1193" s="42">
        <f t="shared" si="164"/>
        <v>0</v>
      </c>
      <c r="AA1193" s="6">
        <f t="shared" si="163"/>
        <v>0</v>
      </c>
      <c r="AB1193" s="42"/>
      <c r="AC1193" s="42"/>
    </row>
    <row r="1194" spans="3:29" x14ac:dyDescent="0.3">
      <c r="K1194" s="45">
        <f>AGA_term_2d_3</f>
        <v>6.2333333333333338E-3</v>
      </c>
      <c r="T1194" s="78"/>
      <c r="V1194" s="40">
        <v>0</v>
      </c>
      <c r="Z1194" s="42">
        <f t="shared" si="164"/>
        <v>0</v>
      </c>
      <c r="AA1194" s="6">
        <f t="shared" si="163"/>
        <v>0</v>
      </c>
      <c r="AB1194" s="42">
        <f t="shared" ref="AB1194:AB1225" si="166">U1194*c_CSG</f>
        <v>0</v>
      </c>
      <c r="AC1194" s="42">
        <f>U1194*(Q1196-c_CSG)</f>
        <v>0</v>
      </c>
    </row>
    <row r="1195" spans="3:29" x14ac:dyDescent="0.3">
      <c r="K1195" s="46">
        <f>c_SB</f>
        <v>1792</v>
      </c>
      <c r="T1195" s="78"/>
      <c r="Z1195" s="42">
        <f t="shared" si="164"/>
        <v>0</v>
      </c>
      <c r="AA1195" s="6">
        <f t="shared" si="163"/>
        <v>0</v>
      </c>
      <c r="AB1195" s="42">
        <f t="shared" si="166"/>
        <v>0</v>
      </c>
      <c r="AC1195" s="42"/>
    </row>
    <row r="1196" spans="3:29" x14ac:dyDescent="0.3">
      <c r="T1196" s="78"/>
      <c r="Z1196" s="42">
        <f t="shared" si="164"/>
        <v>0</v>
      </c>
      <c r="AA1196" s="6">
        <f t="shared" si="163"/>
        <v>0</v>
      </c>
      <c r="AB1196" s="42">
        <f t="shared" si="166"/>
        <v>0</v>
      </c>
      <c r="AC1196" s="42">
        <f>U1196*(Q1198-c_CSG)</f>
        <v>0</v>
      </c>
    </row>
    <row r="1197" spans="3:29" x14ac:dyDescent="0.3">
      <c r="Q1197" s="19" t="s">
        <v>367</v>
      </c>
      <c r="R1197" s="19"/>
      <c r="T1197" s="78"/>
      <c r="U1197">
        <f>$K$1213*$I$1202*$G$1170*$E$1207*$C$1053*$A$1008*$M$1208*$O$1203*$Q$1198</f>
        <v>0</v>
      </c>
      <c r="W1197" s="42">
        <f>$K$1214+$I$1203+$G$1171+$E$1208+$C$1054+$A$1009+$M$1209+$O$1204+Q1199</f>
        <v>342939.93955060566</v>
      </c>
      <c r="X1197">
        <f>u_ChronicResp</f>
        <v>0.53465956747782661</v>
      </c>
      <c r="Z1197" s="42">
        <f t="shared" si="164"/>
        <v>0</v>
      </c>
      <c r="AA1197" s="6">
        <f t="shared" si="163"/>
        <v>0</v>
      </c>
      <c r="AB1197" s="42">
        <f t="shared" si="166"/>
        <v>0</v>
      </c>
      <c r="AC1197" s="42">
        <f>U1197*(Q1199-c_CSG)</f>
        <v>0</v>
      </c>
    </row>
    <row r="1198" spans="3:29" x14ac:dyDescent="0.3">
      <c r="Q1198" s="45">
        <f>RDS2CLD_3-(Hypo2CI_3*RDS2CLD_3)</f>
        <v>0.34246866666666664</v>
      </c>
      <c r="R1198" s="45"/>
      <c r="T1198" s="78"/>
      <c r="V1198" s="40">
        <v>0</v>
      </c>
      <c r="Z1198" s="42">
        <f t="shared" si="164"/>
        <v>0</v>
      </c>
      <c r="AA1198" s="6">
        <f t="shared" si="163"/>
        <v>0</v>
      </c>
      <c r="AB1198" s="42">
        <f t="shared" si="166"/>
        <v>0</v>
      </c>
      <c r="AC1198" s="42"/>
    </row>
    <row r="1199" spans="3:29" x14ac:dyDescent="0.3">
      <c r="Q1199" s="46">
        <f>c_lung+c_hosp_fu+c_CSG</f>
        <v>54529.510902399998</v>
      </c>
      <c r="R1199" s="46"/>
      <c r="T1199" s="78"/>
      <c r="Z1199" s="42">
        <f t="shared" si="164"/>
        <v>0</v>
      </c>
      <c r="AA1199" s="6">
        <f t="shared" si="163"/>
        <v>0</v>
      </c>
      <c r="AB1199" s="42">
        <f t="shared" si="166"/>
        <v>0</v>
      </c>
      <c r="AC1199" s="42">
        <f>U1199*(Q1201-c_CSG)</f>
        <v>0</v>
      </c>
    </row>
    <row r="1200" spans="3:29" x14ac:dyDescent="0.3">
      <c r="Q1200" s="19" t="s">
        <v>226</v>
      </c>
      <c r="R1200" s="19"/>
      <c r="T1200" s="78"/>
      <c r="U1200">
        <f>$K$1213*$I$1202*$G$1170*$E$1207*$C$1053*$A$1008*$M$1208*$O$1203*$Q$1198</f>
        <v>0</v>
      </c>
      <c r="W1200" s="42">
        <f>$K$1214+$I$1203+$G$1171+$E$1208+$C$1054+$A$1009+$M$1209+$O$1204+Q1202</f>
        <v>304176.42864820565</v>
      </c>
      <c r="X1200">
        <f>u_CongnitiveImpairement</f>
        <v>17.270393127285455</v>
      </c>
      <c r="Z1200" s="42">
        <f t="shared" si="164"/>
        <v>0</v>
      </c>
      <c r="AA1200" s="6">
        <f t="shared" si="163"/>
        <v>0</v>
      </c>
      <c r="AB1200" s="42">
        <f t="shared" si="166"/>
        <v>0</v>
      </c>
      <c r="AC1200" s="42">
        <f>U1200*(Q1202-c_CSG)</f>
        <v>0</v>
      </c>
    </row>
    <row r="1201" spans="5:29" x14ac:dyDescent="0.3">
      <c r="I1201" s="19" t="s">
        <v>424</v>
      </c>
      <c r="Q1201" s="45">
        <f>Hypo2CI_3-(Hypo2CI_3*RDS2CLD_3)</f>
        <v>3.2801999999999998E-2</v>
      </c>
      <c r="R1201" s="45"/>
      <c r="T1201" s="78"/>
      <c r="V1201" s="40">
        <v>0</v>
      </c>
      <c r="Z1201" s="42">
        <f t="shared" si="164"/>
        <v>0</v>
      </c>
      <c r="AA1201" s="6">
        <f t="shared" si="163"/>
        <v>0</v>
      </c>
      <c r="AB1201" s="42">
        <f t="shared" si="166"/>
        <v>0</v>
      </c>
      <c r="AC1201" s="42"/>
    </row>
    <row r="1202" spans="5:29" x14ac:dyDescent="0.3">
      <c r="I1202" s="45">
        <f>LBW_term_2AGA_3</f>
        <v>0</v>
      </c>
      <c r="O1202" s="19" t="s">
        <v>161</v>
      </c>
      <c r="Q1202" s="46">
        <f>c_cog+c_hosp_fu+c_CSG</f>
        <v>15766</v>
      </c>
      <c r="R1202" s="46"/>
      <c r="T1202" s="78"/>
      <c r="Z1202" s="42">
        <f t="shared" si="164"/>
        <v>0</v>
      </c>
      <c r="AA1202" s="6">
        <f t="shared" si="163"/>
        <v>0</v>
      </c>
      <c r="AB1202" s="42">
        <f t="shared" si="166"/>
        <v>0</v>
      </c>
      <c r="AC1202" s="42">
        <f>U1202*(Q1204-c_CSG)</f>
        <v>0</v>
      </c>
    </row>
    <row r="1203" spans="5:29" x14ac:dyDescent="0.3">
      <c r="I1203" s="46"/>
      <c r="O1203" s="45">
        <f>AGA_term_2hypoglycaemia_3</f>
        <v>0</v>
      </c>
      <c r="Q1203" s="19" t="s">
        <v>368</v>
      </c>
      <c r="R1203" s="19"/>
      <c r="T1203" s="78"/>
      <c r="U1203">
        <f>$K$1213*$I$1202*$G$1170*$E$1207*$C$1053*$A$1008*$M$1208*$O$1203*$Q$1198</f>
        <v>0</v>
      </c>
      <c r="W1203" s="42">
        <f>$K$1214+$I$1203+$G$1171+$E$1208+$C$1054+$A$1009+$M$1209+$O$1204+Q1205</f>
        <v>346758.93955060566</v>
      </c>
      <c r="X1203">
        <f>u_ChronicResp+u_CongnitiveImpairement</f>
        <v>17.805052694763283</v>
      </c>
      <c r="Z1203" s="42">
        <f t="shared" si="164"/>
        <v>0</v>
      </c>
      <c r="AA1203" s="6">
        <f t="shared" si="163"/>
        <v>0</v>
      </c>
      <c r="AB1203" s="42">
        <f t="shared" si="166"/>
        <v>0</v>
      </c>
      <c r="AC1203" s="42">
        <f>U1203*(Q1205-c_CSG)</f>
        <v>0</v>
      </c>
    </row>
    <row r="1204" spans="5:29" x14ac:dyDescent="0.3">
      <c r="O1204" s="46">
        <f>c_hypo</f>
        <v>2936.2604000000001</v>
      </c>
      <c r="Q1204" s="45">
        <f>Hypo2CI_3*RDS2CLD_3</f>
        <v>1.8531333333333334E-2</v>
      </c>
      <c r="R1204" s="45"/>
      <c r="T1204" s="78"/>
      <c r="V1204" s="40">
        <v>0</v>
      </c>
      <c r="Z1204" s="42">
        <f t="shared" si="164"/>
        <v>0</v>
      </c>
      <c r="AA1204" s="6">
        <f t="shared" si="163"/>
        <v>0</v>
      </c>
      <c r="AB1204" s="42">
        <f t="shared" si="166"/>
        <v>0</v>
      </c>
      <c r="AC1204" s="42"/>
    </row>
    <row r="1205" spans="5:29" x14ac:dyDescent="0.3">
      <c r="M1205" s="42"/>
      <c r="Q1205" s="46">
        <f>c_lung+c_cog+c_hosp_fu+c_CSG</f>
        <v>58348.510902399998</v>
      </c>
      <c r="R1205" s="46"/>
      <c r="T1205" s="78"/>
      <c r="Z1205" s="42">
        <f t="shared" si="164"/>
        <v>0</v>
      </c>
      <c r="AA1205" s="6">
        <f t="shared" si="163"/>
        <v>0</v>
      </c>
      <c r="AB1205" s="42">
        <f t="shared" si="166"/>
        <v>0</v>
      </c>
      <c r="AC1205" s="42">
        <f>U1205*(Q1207-c_CSG)</f>
        <v>0</v>
      </c>
    </row>
    <row r="1206" spans="5:29" x14ac:dyDescent="0.3">
      <c r="E1206" s="19" t="s">
        <v>11</v>
      </c>
      <c r="Q1206" s="19" t="s">
        <v>369</v>
      </c>
      <c r="R1206" s="19"/>
      <c r="T1206" s="78"/>
      <c r="U1206">
        <f>$K$1213*$I$1202*$G$1170*$E$1207*$C$1053*$A$1008*$M$1208*$O$1203*$Q$1198</f>
        <v>0</v>
      </c>
      <c r="W1206" s="42">
        <f>$K$1214+$I$1203+$G$1171+$E$1208+$C$1054+$A$1009+$M$1209+$O$1204+Q1208</f>
        <v>302813.42864820565</v>
      </c>
      <c r="X1206">
        <f>u_Healthy</f>
        <v>0</v>
      </c>
      <c r="Z1206" s="42">
        <f t="shared" si="164"/>
        <v>0</v>
      </c>
      <c r="AA1206" s="6">
        <f t="shared" si="163"/>
        <v>0</v>
      </c>
      <c r="AB1206" s="42">
        <f t="shared" si="166"/>
        <v>0</v>
      </c>
      <c r="AC1206" s="42">
        <f>U1206*(Q1208-c_CSG)</f>
        <v>0</v>
      </c>
    </row>
    <row r="1207" spans="5:29" x14ac:dyDescent="0.3">
      <c r="E1207" s="45">
        <f>LB2term_3</f>
        <v>0.82518226002430128</v>
      </c>
      <c r="M1207" s="19" t="s">
        <v>9</v>
      </c>
      <c r="Q1207" s="45">
        <f>1-Q1198-Q1201-Q1204</f>
        <v>0.60619800000000001</v>
      </c>
      <c r="R1207" s="45"/>
      <c r="T1207" s="78"/>
      <c r="V1207" s="40">
        <v>0</v>
      </c>
      <c r="Z1207" s="42">
        <f t="shared" si="164"/>
        <v>0</v>
      </c>
      <c r="AA1207" s="6">
        <f t="shared" si="163"/>
        <v>0</v>
      </c>
      <c r="AB1207" s="42">
        <f t="shared" si="166"/>
        <v>0</v>
      </c>
      <c r="AC1207" s="42">
        <f>U1207*(Q1209-c_CSG)</f>
        <v>0</v>
      </c>
    </row>
    <row r="1208" spans="5:29" x14ac:dyDescent="0.3">
      <c r="E1208" s="46"/>
      <c r="K1208" s="42"/>
      <c r="M1208" s="45">
        <f>S_term_2RDS_3</f>
        <v>0</v>
      </c>
      <c r="Q1208" s="46">
        <f>c_clinic_fu+c_CSG</f>
        <v>14403</v>
      </c>
      <c r="R1208" s="46"/>
      <c r="T1208" s="78"/>
      <c r="Z1208" s="42">
        <f t="shared" si="164"/>
        <v>0</v>
      </c>
      <c r="AA1208" s="6">
        <f t="shared" si="163"/>
        <v>0</v>
      </c>
      <c r="AB1208" s="42">
        <f t="shared" si="166"/>
        <v>0</v>
      </c>
      <c r="AC1208" s="42"/>
    </row>
    <row r="1209" spans="5:29" x14ac:dyDescent="0.3">
      <c r="K1209" s="42"/>
      <c r="M1209" s="46">
        <f>c_RDS</f>
        <v>30595.610148205637</v>
      </c>
      <c r="Q1209" s="42"/>
      <c r="R1209" s="42"/>
      <c r="T1209" s="78"/>
      <c r="Z1209" s="42">
        <f t="shared" si="164"/>
        <v>0</v>
      </c>
      <c r="AA1209" s="6">
        <f t="shared" si="163"/>
        <v>0</v>
      </c>
      <c r="AB1209" s="42">
        <f t="shared" si="166"/>
        <v>0</v>
      </c>
      <c r="AC1209" s="42">
        <f>U1209*(Q1211-c_CSG)</f>
        <v>0</v>
      </c>
    </row>
    <row r="1210" spans="5:29" x14ac:dyDescent="0.3">
      <c r="Q1210" s="19" t="s">
        <v>367</v>
      </c>
      <c r="R1210" s="19"/>
      <c r="T1210" s="78"/>
      <c r="U1210">
        <f>$K$1213*$I$1202*$G$1170*$E$1207*$C$1053*$A$1008*$M$1208*$O$1213*$Q$1211</f>
        <v>0</v>
      </c>
      <c r="W1210" s="42">
        <f>$K$1214+$I$1203+$G$1171+$E$1208+$C$1054+$A$1009+$M$1209+$O$1214+Q1212</f>
        <v>340003.67915060563</v>
      </c>
      <c r="X1210">
        <f>u_ChronicResp</f>
        <v>0.53465956747782661</v>
      </c>
      <c r="Z1210" s="42">
        <f t="shared" si="164"/>
        <v>0</v>
      </c>
      <c r="AA1210" s="6">
        <f t="shared" si="163"/>
        <v>0</v>
      </c>
      <c r="AB1210" s="42">
        <f t="shared" si="166"/>
        <v>0</v>
      </c>
      <c r="AC1210" s="42">
        <f>U1210*(Q1212-c_CSG)</f>
        <v>0</v>
      </c>
    </row>
    <row r="1211" spans="5:29" x14ac:dyDescent="0.3">
      <c r="Q1211" s="45">
        <f>RDS2CLD_3-(RDS2CLD_3*noHypo2CI_3)</f>
        <v>0.34905610687022898</v>
      </c>
      <c r="R1211" s="45"/>
      <c r="T1211" s="78"/>
      <c r="V1211" s="40">
        <v>0</v>
      </c>
      <c r="Z1211" s="42">
        <f t="shared" si="164"/>
        <v>0</v>
      </c>
      <c r="AA1211" s="6">
        <f t="shared" si="163"/>
        <v>0</v>
      </c>
      <c r="AB1211" s="42">
        <f t="shared" si="166"/>
        <v>0</v>
      </c>
      <c r="AC1211" s="42"/>
    </row>
    <row r="1212" spans="5:29" x14ac:dyDescent="0.3">
      <c r="K1212" s="19" t="s">
        <v>37</v>
      </c>
      <c r="M1212" s="42"/>
      <c r="O1212" s="19" t="s">
        <v>370</v>
      </c>
      <c r="Q1212" s="46">
        <f>c_lung+c_hosp_fu+c_CSG</f>
        <v>54529.510902399998</v>
      </c>
      <c r="R1212" s="46"/>
      <c r="T1212" s="78"/>
      <c r="Z1212" s="42">
        <f t="shared" si="164"/>
        <v>0</v>
      </c>
      <c r="AA1212" s="6">
        <f t="shared" si="163"/>
        <v>0</v>
      </c>
      <c r="AB1212" s="42">
        <f t="shared" si="166"/>
        <v>0</v>
      </c>
      <c r="AC1212" s="42">
        <f>U1212*(Q1214-c_CSG)</f>
        <v>0</v>
      </c>
    </row>
    <row r="1213" spans="5:29" x14ac:dyDescent="0.3">
      <c r="K1213" s="45">
        <f>AGA_term_2s_3</f>
        <v>0.99376666666666669</v>
      </c>
      <c r="O1213" s="45">
        <f>AGA_term_2normoglycaemia_3</f>
        <v>1</v>
      </c>
      <c r="Q1213" s="19" t="s">
        <v>226</v>
      </c>
      <c r="R1213" s="19"/>
      <c r="T1213" s="78"/>
      <c r="U1213">
        <f>$K$1213*$I$1202*$G$1170*$E$1207*$C$1053*$A$1008*$M$1208*$O$1213*$Q$1211</f>
        <v>0</v>
      </c>
      <c r="W1213" s="42">
        <f>$K$1214+$I$1203+$G$1171+$E$1208+$C$1054+$A$1009+$M$1209+$O$1214+Q1215</f>
        <v>301240.16824820562</v>
      </c>
      <c r="X1213">
        <f>u_CongnitiveImpairement</f>
        <v>17.270393127285455</v>
      </c>
      <c r="Z1213" s="42">
        <f t="shared" si="164"/>
        <v>0</v>
      </c>
      <c r="AA1213" s="6">
        <f t="shared" si="163"/>
        <v>0</v>
      </c>
      <c r="AB1213" s="42">
        <f t="shared" si="166"/>
        <v>0</v>
      </c>
      <c r="AC1213" s="42">
        <f>U1213*(Q1215-c_CSG)</f>
        <v>0</v>
      </c>
    </row>
    <row r="1214" spans="5:29" x14ac:dyDescent="0.3">
      <c r="K1214" s="46"/>
      <c r="O1214" s="46"/>
      <c r="Q1214" s="45">
        <f>noHypo2CI_3-(RDS2CLD_3*noHypo2CI_3)</f>
        <v>2.1141683406990762E-2</v>
      </c>
      <c r="R1214" s="45"/>
      <c r="T1214" s="78"/>
      <c r="V1214" s="40">
        <v>0</v>
      </c>
      <c r="Z1214" s="42">
        <f t="shared" si="164"/>
        <v>0</v>
      </c>
      <c r="AA1214" s="6">
        <f t="shared" si="163"/>
        <v>0</v>
      </c>
      <c r="AB1214" s="42">
        <f t="shared" si="166"/>
        <v>0</v>
      </c>
      <c r="AC1214" s="42"/>
    </row>
    <row r="1215" spans="5:29" x14ac:dyDescent="0.3">
      <c r="Q1215" s="46">
        <f>c_cog+c_hosp_fu+c_CSG</f>
        <v>15766</v>
      </c>
      <c r="R1215" s="46"/>
      <c r="T1215" s="78"/>
      <c r="Z1215" s="42">
        <f t="shared" si="164"/>
        <v>0</v>
      </c>
      <c r="AA1215" s="6">
        <f t="shared" si="163"/>
        <v>0</v>
      </c>
      <c r="AB1215" s="42">
        <f t="shared" si="166"/>
        <v>0</v>
      </c>
      <c r="AC1215" s="42">
        <f>U1215*(Q1217-c_CSG)</f>
        <v>0</v>
      </c>
    </row>
    <row r="1216" spans="5:29" x14ac:dyDescent="0.3">
      <c r="Q1216" s="19" t="s">
        <v>368</v>
      </c>
      <c r="R1216" s="19"/>
      <c r="T1216" s="78"/>
      <c r="U1216">
        <f>$K$1213*$I$1202*$G$1170*$E$1207*$C$1053*$A$1008*$M$1208*$O$1213*$Q$1211</f>
        <v>0</v>
      </c>
      <c r="W1216" s="42">
        <f>$K$1214+$I$1203+$G$1171+$E$1208+$C$1054+$A$1009+$M$1209+$O$1214+Q1218</f>
        <v>343822.67915060563</v>
      </c>
      <c r="X1216">
        <f>u_ChronicResp+u_CongnitiveImpairement</f>
        <v>17.805052694763283</v>
      </c>
      <c r="Z1216" s="42">
        <f t="shared" si="164"/>
        <v>0</v>
      </c>
      <c r="AA1216" s="6">
        <f t="shared" si="163"/>
        <v>0</v>
      </c>
      <c r="AB1216" s="42">
        <f t="shared" si="166"/>
        <v>0</v>
      </c>
      <c r="AC1216" s="42">
        <f>U1216*(Q1218-c_CSG)</f>
        <v>0</v>
      </c>
    </row>
    <row r="1217" spans="13:29" x14ac:dyDescent="0.3">
      <c r="Q1217" s="45">
        <f>RDS2CLD_3*noHypo2CI_3</f>
        <v>1.1943893129770991E-2</v>
      </c>
      <c r="R1217" s="45"/>
      <c r="T1217" s="78"/>
      <c r="V1217" s="40">
        <v>0</v>
      </c>
      <c r="Z1217" s="42">
        <f t="shared" si="164"/>
        <v>0</v>
      </c>
      <c r="AA1217" s="6">
        <f t="shared" si="163"/>
        <v>0</v>
      </c>
      <c r="AB1217" s="42">
        <f t="shared" si="166"/>
        <v>0</v>
      </c>
      <c r="AC1217" s="42"/>
    </row>
    <row r="1218" spans="13:29" x14ac:dyDescent="0.3">
      <c r="Q1218" s="46">
        <f>c_cog+c_lung+c_hosp_fu+c_CSG</f>
        <v>58348.510902399998</v>
      </c>
      <c r="R1218" s="46"/>
      <c r="T1218" s="78"/>
      <c r="Z1218" s="42">
        <f t="shared" si="164"/>
        <v>0</v>
      </c>
      <c r="AA1218" s="6">
        <f t="shared" si="163"/>
        <v>0</v>
      </c>
      <c r="AB1218" s="42">
        <f t="shared" si="166"/>
        <v>0</v>
      </c>
      <c r="AC1218" s="42">
        <f>U1218*(Q1220-c_CSG)</f>
        <v>0</v>
      </c>
    </row>
    <row r="1219" spans="13:29" x14ac:dyDescent="0.3">
      <c r="Q1219" s="19" t="s">
        <v>369</v>
      </c>
      <c r="R1219" s="19"/>
      <c r="T1219" s="78"/>
      <c r="U1219">
        <f>$K$1213*$I$1202*$G$1170*$E$1207*$C$1053*$A$1008*$M$1208*$O$1213*$Q$1211</f>
        <v>0</v>
      </c>
      <c r="W1219" s="42">
        <f>$K$1214+$I$1203+$G$1171+$E$1208+$C$1054+$A$1009+$M$1209+$O$1214+Q1221</f>
        <v>299877.16824820562</v>
      </c>
      <c r="X1219">
        <f>u_Healthy</f>
        <v>0</v>
      </c>
      <c r="Z1219" s="42">
        <f t="shared" si="164"/>
        <v>0</v>
      </c>
      <c r="AA1219" s="6">
        <f t="shared" si="163"/>
        <v>0</v>
      </c>
      <c r="AB1219" s="42">
        <f t="shared" si="166"/>
        <v>0</v>
      </c>
      <c r="AC1219" s="42">
        <f>U1219*(Q1221-c_CSG)</f>
        <v>0</v>
      </c>
    </row>
    <row r="1220" spans="13:29" x14ac:dyDescent="0.3">
      <c r="Q1220" s="45">
        <f>1-Q1217-Q1214-Q1211</f>
        <v>0.61785831659300938</v>
      </c>
      <c r="R1220" s="45"/>
      <c r="T1220" s="78"/>
      <c r="V1220" s="40">
        <v>0</v>
      </c>
      <c r="Z1220" s="42">
        <f t="shared" si="164"/>
        <v>0</v>
      </c>
      <c r="AA1220" s="6">
        <f t="shared" si="163"/>
        <v>0</v>
      </c>
      <c r="AB1220" s="42">
        <f t="shared" si="166"/>
        <v>0</v>
      </c>
      <c r="AC1220" s="42">
        <f>U1220*(Q1222-c_CSG)</f>
        <v>0</v>
      </c>
    </row>
    <row r="1221" spans="13:29" x14ac:dyDescent="0.3">
      <c r="Q1221" s="46">
        <f>c_clinic_fu+c_CSG</f>
        <v>14403</v>
      </c>
      <c r="R1221" s="46"/>
      <c r="T1221" s="78"/>
      <c r="Z1221" s="42">
        <f t="shared" si="164"/>
        <v>0</v>
      </c>
      <c r="AA1221" s="6">
        <f t="shared" si="163"/>
        <v>0</v>
      </c>
      <c r="AB1221" s="42">
        <f t="shared" si="166"/>
        <v>0</v>
      </c>
      <c r="AC1221" s="42"/>
    </row>
    <row r="1222" spans="13:29" x14ac:dyDescent="0.3">
      <c r="Q1222" s="42"/>
      <c r="R1222" s="42"/>
      <c r="T1222" s="78"/>
      <c r="Z1222" s="42">
        <f t="shared" si="164"/>
        <v>0</v>
      </c>
      <c r="AA1222" s="6">
        <f t="shared" si="163"/>
        <v>0</v>
      </c>
      <c r="AB1222" s="42">
        <f t="shared" si="166"/>
        <v>0</v>
      </c>
      <c r="AC1222" s="42">
        <f>U1222*(Q1224-c_CSG)</f>
        <v>0</v>
      </c>
    </row>
    <row r="1223" spans="13:29" x14ac:dyDescent="0.3">
      <c r="Q1223" s="19" t="s">
        <v>367</v>
      </c>
      <c r="R1223" s="19"/>
      <c r="T1223" s="78"/>
      <c r="U1223">
        <f>$K$1213*$I$1202*$G$1170*$E$1207*$C$1053*$A$1008*$M$1228*$O$1226*$Q$1224</f>
        <v>0</v>
      </c>
      <c r="W1223" s="42">
        <f>$K$1214+$I$1203+$G$1171+$E$1208+$C$1054+$A$1009+$M$1229+$O$1227+Q1225</f>
        <v>312344.32940239995</v>
      </c>
      <c r="X1223">
        <f>u_ChronicResp</f>
        <v>0.53465956747782661</v>
      </c>
      <c r="Z1223" s="42">
        <f t="shared" si="164"/>
        <v>0</v>
      </c>
      <c r="AA1223" s="6">
        <f t="shared" si="163"/>
        <v>0</v>
      </c>
      <c r="AB1223" s="42">
        <f t="shared" si="166"/>
        <v>0</v>
      </c>
      <c r="AC1223" s="42">
        <f>U1223*(Q1225-c_CSG)</f>
        <v>0</v>
      </c>
    </row>
    <row r="1224" spans="13:29" x14ac:dyDescent="0.3">
      <c r="Q1224" s="45">
        <f>noRDS2CLD_3-(Hypo2CI_3*noRDS2CLD_3)</f>
        <v>0</v>
      </c>
      <c r="R1224" s="45"/>
      <c r="T1224" s="78"/>
      <c r="V1224" s="40">
        <v>0</v>
      </c>
      <c r="Z1224" s="42">
        <f t="shared" si="164"/>
        <v>0</v>
      </c>
      <c r="AA1224" s="6">
        <f t="shared" si="163"/>
        <v>0</v>
      </c>
      <c r="AB1224" s="42">
        <f t="shared" si="166"/>
        <v>0</v>
      </c>
      <c r="AC1224" s="42"/>
    </row>
    <row r="1225" spans="13:29" x14ac:dyDescent="0.3">
      <c r="O1225" s="19" t="s">
        <v>161</v>
      </c>
      <c r="Q1225" s="46">
        <f>c_lung+c_hosp_fu+c_CSG</f>
        <v>54529.510902399998</v>
      </c>
      <c r="R1225" s="46"/>
      <c r="T1225" s="78"/>
      <c r="Z1225" s="42">
        <f t="shared" si="164"/>
        <v>0</v>
      </c>
      <c r="AA1225" s="6">
        <f t="shared" si="163"/>
        <v>0</v>
      </c>
      <c r="AB1225" s="42">
        <f t="shared" si="166"/>
        <v>0</v>
      </c>
      <c r="AC1225" s="42">
        <f>U1225*(Q1227-c_CSG)</f>
        <v>0</v>
      </c>
    </row>
    <row r="1226" spans="13:29" x14ac:dyDescent="0.3">
      <c r="O1226" s="45">
        <f>AGA_term_2hypoglycaemia_3</f>
        <v>0</v>
      </c>
      <c r="Q1226" s="19" t="s">
        <v>226</v>
      </c>
      <c r="R1226" s="19"/>
      <c r="T1226" s="78"/>
      <c r="U1226">
        <f>$K$1213*$I$1202*$G$1170*$E$1207*$C$1053*$A$1008*$M$1228*$O$1226*$Q$1224</f>
        <v>0</v>
      </c>
      <c r="W1226" s="42">
        <f>$K$1214+$I$1203+$G$1171+$E$1208+$C$1054+$A$1009+$M$1229+$O$1227+Q1228</f>
        <v>273580.81849999994</v>
      </c>
      <c r="X1226">
        <f>u_CongnitiveImpairement</f>
        <v>17.270393127285455</v>
      </c>
      <c r="Z1226" s="42">
        <f t="shared" si="164"/>
        <v>0</v>
      </c>
      <c r="AA1226" s="6">
        <f t="shared" si="163"/>
        <v>0</v>
      </c>
      <c r="AB1226" s="42">
        <f t="shared" ref="AB1226:AB1248" si="167">U1226*c_CSG</f>
        <v>0</v>
      </c>
      <c r="AC1226" s="42">
        <f>U1226*(Q1228-c_CSG)</f>
        <v>0</v>
      </c>
    </row>
    <row r="1227" spans="13:29" x14ac:dyDescent="0.3">
      <c r="M1227" s="19" t="s">
        <v>203</v>
      </c>
      <c r="O1227" s="46">
        <f>c_hypo</f>
        <v>2936.2604000000001</v>
      </c>
      <c r="Q1227" s="45">
        <f>Hypo2CI_3-(Hypo2CI_3*noRDS2CLD_3)</f>
        <v>5.1333333333333335E-2</v>
      </c>
      <c r="R1227" s="45"/>
      <c r="T1227" s="78"/>
      <c r="V1227" s="40">
        <v>0</v>
      </c>
      <c r="Z1227" s="42">
        <f t="shared" si="164"/>
        <v>0</v>
      </c>
      <c r="AA1227" s="6">
        <f t="shared" si="163"/>
        <v>0</v>
      </c>
      <c r="AB1227" s="42">
        <f t="shared" si="167"/>
        <v>0</v>
      </c>
      <c r="AC1227" s="42"/>
    </row>
    <row r="1228" spans="13:29" x14ac:dyDescent="0.3">
      <c r="M1228" s="45">
        <f>S_term_2noRDS_3</f>
        <v>1</v>
      </c>
      <c r="Q1228" s="46">
        <f>c_cog+c_hosp_fu+c_CSG</f>
        <v>15766</v>
      </c>
      <c r="R1228" s="46"/>
      <c r="T1228" s="78"/>
      <c r="Z1228" s="42">
        <f t="shared" si="164"/>
        <v>0</v>
      </c>
      <c r="AA1228" s="6">
        <f t="shared" si="163"/>
        <v>0</v>
      </c>
      <c r="AB1228" s="42">
        <f t="shared" si="167"/>
        <v>0</v>
      </c>
      <c r="AC1228" s="42">
        <f>U1228*(Q1230-c_CSG)</f>
        <v>0</v>
      </c>
    </row>
    <row r="1229" spans="13:29" x14ac:dyDescent="0.3">
      <c r="M1229" s="46"/>
      <c r="O1229" s="42"/>
      <c r="Q1229" s="19" t="s">
        <v>368</v>
      </c>
      <c r="R1229" s="19"/>
      <c r="T1229" s="78"/>
      <c r="U1229">
        <f>$K$1213*$I$1202*$G$1170*$E$1207*$C$1053*$A$1008*$M$1228*$O$1226*$Q$1224</f>
        <v>0</v>
      </c>
      <c r="W1229" s="42">
        <f>$K$1214+$I$1203+$G$1171+$E$1208+$C$1054+$A$1009+$M$1229+$O$1227+Q1231</f>
        <v>316163.32940239995</v>
      </c>
      <c r="X1229">
        <f>u_ChronicResp+u_CongnitiveImpairement</f>
        <v>17.805052694763283</v>
      </c>
      <c r="Z1229" s="42">
        <f t="shared" si="164"/>
        <v>0</v>
      </c>
      <c r="AA1229" s="6">
        <f t="shared" ref="AA1229:AA1292" si="168">U1229*X1229</f>
        <v>0</v>
      </c>
      <c r="AB1229" s="42">
        <f t="shared" si="167"/>
        <v>0</v>
      </c>
      <c r="AC1229" s="42">
        <f>U1229*(Q1231-c_CSG)</f>
        <v>0</v>
      </c>
    </row>
    <row r="1230" spans="13:29" x14ac:dyDescent="0.3">
      <c r="M1230" s="42"/>
      <c r="Q1230" s="45">
        <f>noRDS2CLD_3*Hypo2CI_3</f>
        <v>0</v>
      </c>
      <c r="R1230" s="45"/>
      <c r="T1230" s="78"/>
      <c r="V1230" s="40">
        <v>0</v>
      </c>
      <c r="Z1230" s="42">
        <f t="shared" si="164"/>
        <v>0</v>
      </c>
      <c r="AA1230" s="6">
        <f t="shared" si="168"/>
        <v>0</v>
      </c>
      <c r="AB1230" s="42">
        <f t="shared" si="167"/>
        <v>0</v>
      </c>
      <c r="AC1230" s="42"/>
    </row>
    <row r="1231" spans="13:29" x14ac:dyDescent="0.3">
      <c r="M1231" s="42"/>
      <c r="Q1231" s="46">
        <f>c_lung+c_cog+c_hosp_fu+c_CSG</f>
        <v>58348.510902399998</v>
      </c>
      <c r="R1231" s="46"/>
      <c r="T1231" s="78"/>
      <c r="Z1231" s="42">
        <f t="shared" ref="Z1231:Z1294" si="169">U1231*W1231</f>
        <v>0</v>
      </c>
      <c r="AA1231" s="6">
        <f t="shared" si="168"/>
        <v>0</v>
      </c>
      <c r="AB1231" s="42">
        <f t="shared" si="167"/>
        <v>0</v>
      </c>
      <c r="AC1231" s="42">
        <f>U1231*(Q1233-c_CSG)</f>
        <v>0</v>
      </c>
    </row>
    <row r="1232" spans="13:29" x14ac:dyDescent="0.3">
      <c r="M1232" s="42"/>
      <c r="Q1232" s="19" t="s">
        <v>369</v>
      </c>
      <c r="R1232" s="19"/>
      <c r="T1232" s="78"/>
      <c r="U1232">
        <f>$K$1213*$I$1202*$G$1170*$E$1207*$C$1053*$A$1008*$M$1228*$O$1226*$Q$1224</f>
        <v>0</v>
      </c>
      <c r="W1232" s="42">
        <f>$K$1214+$I$1203+$G$1171+$E$1208+$C$1054+$A$1009+$M$1229+$O$1227+Q1234</f>
        <v>272217.81849999994</v>
      </c>
      <c r="X1232">
        <f>u_Healthy</f>
        <v>0</v>
      </c>
      <c r="Z1232" s="42">
        <f t="shared" si="169"/>
        <v>0</v>
      </c>
      <c r="AA1232" s="6">
        <f t="shared" si="168"/>
        <v>0</v>
      </c>
      <c r="AB1232" s="42">
        <f t="shared" si="167"/>
        <v>0</v>
      </c>
      <c r="AC1232" s="42">
        <f>U1232*(Q1234-c_CSG)</f>
        <v>0</v>
      </c>
    </row>
    <row r="1233" spans="13:29" x14ac:dyDescent="0.3">
      <c r="M1233" s="42"/>
      <c r="O1233" s="42"/>
      <c r="Q1233" s="45">
        <f>1-Q1230-Q1227-Q1224</f>
        <v>0.94866666666666666</v>
      </c>
      <c r="R1233" s="45"/>
      <c r="T1233" s="78"/>
      <c r="V1233" s="40">
        <v>0</v>
      </c>
      <c r="Z1233" s="42">
        <f t="shared" si="169"/>
        <v>0</v>
      </c>
      <c r="AA1233" s="6">
        <f t="shared" si="168"/>
        <v>0</v>
      </c>
      <c r="AB1233" s="42">
        <f t="shared" si="167"/>
        <v>0</v>
      </c>
      <c r="AC1233" s="42">
        <f>U1233*(Q1235-c_CSG)</f>
        <v>0</v>
      </c>
    </row>
    <row r="1234" spans="13:29" x14ac:dyDescent="0.3">
      <c r="M1234" s="42"/>
      <c r="Q1234" s="46">
        <f>c_clinic_fu+c_CSG</f>
        <v>14403</v>
      </c>
      <c r="R1234" s="46"/>
      <c r="S1234" s="94"/>
      <c r="T1234" s="78"/>
      <c r="Z1234" s="42">
        <f t="shared" si="169"/>
        <v>0</v>
      </c>
      <c r="AA1234" s="6">
        <f t="shared" si="168"/>
        <v>0</v>
      </c>
      <c r="AB1234" s="42">
        <f t="shared" si="167"/>
        <v>0</v>
      </c>
      <c r="AC1234" s="42"/>
    </row>
    <row r="1235" spans="13:29" x14ac:dyDescent="0.3">
      <c r="M1235" s="42"/>
      <c r="Q1235" s="42"/>
      <c r="R1235" s="42"/>
      <c r="T1235" s="78"/>
      <c r="Z1235" s="42">
        <f t="shared" si="169"/>
        <v>0</v>
      </c>
      <c r="AA1235" s="6">
        <f t="shared" si="168"/>
        <v>0</v>
      </c>
      <c r="AB1235" s="42">
        <f t="shared" si="167"/>
        <v>0</v>
      </c>
      <c r="AC1235" s="42">
        <f>U1235*(Q1237-c_CSG)</f>
        <v>0</v>
      </c>
    </row>
    <row r="1236" spans="13:29" x14ac:dyDescent="0.3">
      <c r="M1236" s="42"/>
      <c r="Q1236" s="19" t="s">
        <v>367</v>
      </c>
      <c r="R1236" s="19"/>
      <c r="T1236" s="78"/>
      <c r="U1236">
        <f>$K$1213*$I$1202*$G$1170*$E$1207*$C$1053*$A$1008*$M$1228*$O$1240*$Q$1237</f>
        <v>0</v>
      </c>
      <c r="W1236" s="42">
        <f>$K$1214+$I$1203+$G$1171+$E$1208+$C$1054+$A$1009+$M$1229+$O$1241+Q1238</f>
        <v>311437.32940239995</v>
      </c>
      <c r="X1236">
        <f>u_ChronicResp</f>
        <v>0.53465956747782661</v>
      </c>
      <c r="Z1236" s="42">
        <f t="shared" si="169"/>
        <v>0</v>
      </c>
      <c r="AA1236" s="6">
        <f t="shared" si="168"/>
        <v>0</v>
      </c>
      <c r="AB1236" s="42">
        <f t="shared" si="167"/>
        <v>0</v>
      </c>
      <c r="AC1236" s="42">
        <f>U1236*(Q1238-c_CSG)</f>
        <v>0</v>
      </c>
    </row>
    <row r="1237" spans="13:29" x14ac:dyDescent="0.3">
      <c r="M1237" s="42"/>
      <c r="Q1237" s="45">
        <f>noRDS2CLD_3-(noRDS2CLD_3*noHypo2CI_3)</f>
        <v>0</v>
      </c>
      <c r="R1237" s="45"/>
      <c r="T1237" s="78"/>
      <c r="V1237" s="40">
        <v>0</v>
      </c>
      <c r="Z1237" s="42">
        <f t="shared" si="169"/>
        <v>0</v>
      </c>
      <c r="AA1237" s="6">
        <f t="shared" si="168"/>
        <v>0</v>
      </c>
      <c r="AB1237" s="42">
        <f t="shared" si="167"/>
        <v>0</v>
      </c>
      <c r="AC1237" s="42"/>
    </row>
    <row r="1238" spans="13:29" x14ac:dyDescent="0.3">
      <c r="M1238" s="42"/>
      <c r="Q1238" s="46">
        <f>c_lung+c_hypo+c_CSG</f>
        <v>56558.771302399997</v>
      </c>
      <c r="R1238" s="46"/>
      <c r="T1238" s="78"/>
      <c r="Z1238" s="42">
        <f t="shared" si="169"/>
        <v>0</v>
      </c>
      <c r="AA1238" s="6">
        <f t="shared" si="168"/>
        <v>0</v>
      </c>
      <c r="AB1238" s="42">
        <f t="shared" si="167"/>
        <v>0</v>
      </c>
      <c r="AC1238" s="42">
        <f>U1238*(Q1240-c_CSG)</f>
        <v>0</v>
      </c>
    </row>
    <row r="1239" spans="13:29" x14ac:dyDescent="0.3">
      <c r="M1239" s="42"/>
      <c r="O1239" s="19" t="s">
        <v>370</v>
      </c>
      <c r="Q1239" s="19" t="s">
        <v>226</v>
      </c>
      <c r="R1239" s="19"/>
      <c r="T1239" s="78"/>
      <c r="U1239">
        <f>$K$1213*$I$1202*$G$1170*$E$1207*$C$1053*$A$1008*$M$1228*$O$1240*$Q$1237</f>
        <v>0</v>
      </c>
      <c r="W1239" s="42">
        <f>$K$1214+$I$1203+$G$1171+$E$1208+$C$1054+$A$1009+$M$1229+$O$1241+Q1241</f>
        <v>270644.55809999997</v>
      </c>
      <c r="X1239">
        <f>u_CongnitiveImpairement</f>
        <v>17.270393127285455</v>
      </c>
      <c r="Z1239" s="42">
        <f t="shared" si="169"/>
        <v>0</v>
      </c>
      <c r="AA1239" s="6">
        <f t="shared" si="168"/>
        <v>0</v>
      </c>
      <c r="AB1239" s="42">
        <f t="shared" si="167"/>
        <v>0</v>
      </c>
      <c r="AC1239" s="42">
        <f>U1239*(Q1241-c_CSG)</f>
        <v>0</v>
      </c>
    </row>
    <row r="1240" spans="13:29" x14ac:dyDescent="0.3">
      <c r="M1240" s="42"/>
      <c r="O1240" s="45">
        <f>AGA_term_2normoglycaemia_3</f>
        <v>1</v>
      </c>
      <c r="Q1240" s="45">
        <f>noHypo2CI_3</f>
        <v>3.3085576536761752E-2</v>
      </c>
      <c r="R1240" s="45"/>
      <c r="T1240" s="78"/>
      <c r="V1240" s="40">
        <v>0</v>
      </c>
      <c r="Z1240" s="42">
        <f t="shared" si="169"/>
        <v>0</v>
      </c>
      <c r="AA1240" s="6">
        <f t="shared" si="168"/>
        <v>0</v>
      </c>
      <c r="AB1240" s="42">
        <f t="shared" si="167"/>
        <v>0</v>
      </c>
      <c r="AC1240" s="42"/>
    </row>
    <row r="1241" spans="13:29" x14ac:dyDescent="0.3">
      <c r="M1241" s="42"/>
      <c r="O1241" s="46"/>
      <c r="Q1241" s="46">
        <f>c_cog+c_hosp_fu+c_CSG</f>
        <v>15766</v>
      </c>
      <c r="R1241" s="46"/>
      <c r="T1241" s="78"/>
      <c r="Z1241" s="42">
        <f t="shared" si="169"/>
        <v>0</v>
      </c>
      <c r="AA1241" s="6">
        <f t="shared" si="168"/>
        <v>0</v>
      </c>
      <c r="AB1241" s="42">
        <f t="shared" si="167"/>
        <v>0</v>
      </c>
      <c r="AC1241" s="42">
        <f>U1241*(Q1243-c_CSG)</f>
        <v>0</v>
      </c>
    </row>
    <row r="1242" spans="13:29" x14ac:dyDescent="0.3">
      <c r="M1242" s="42"/>
      <c r="Q1242" s="19" t="s">
        <v>368</v>
      </c>
      <c r="R1242" s="19"/>
      <c r="T1242" s="78"/>
      <c r="U1242">
        <f>$K$1213*$I$1202*$G$1170*$E$1207*$C$1053*$A$1008*$M$1228*$O$1240*$Q$1237</f>
        <v>0</v>
      </c>
      <c r="W1242" s="42">
        <f>$K$1214+$I$1203+$G$1171+$E$1208+$C$1054+$A$1009+$M$1229+$O$1241+Q1244</f>
        <v>313227.06900239998</v>
      </c>
      <c r="X1242">
        <f>u_ChronicResp+u_CongnitiveImpairement</f>
        <v>17.805052694763283</v>
      </c>
      <c r="Z1242" s="42">
        <f t="shared" si="169"/>
        <v>0</v>
      </c>
      <c r="AA1242" s="6">
        <f t="shared" si="168"/>
        <v>0</v>
      </c>
      <c r="AB1242" s="42">
        <f t="shared" si="167"/>
        <v>0</v>
      </c>
      <c r="AC1242" s="42">
        <f>U1242*(Q1244-c_CSG)</f>
        <v>0</v>
      </c>
    </row>
    <row r="1243" spans="13:29" x14ac:dyDescent="0.3">
      <c r="Q1243" s="45">
        <f>noRDS2CLD_3*noHypo2CI_3</f>
        <v>0</v>
      </c>
      <c r="R1243" s="45"/>
      <c r="T1243" s="78"/>
      <c r="V1243" s="40">
        <v>0</v>
      </c>
      <c r="Z1243" s="42">
        <f t="shared" si="169"/>
        <v>0</v>
      </c>
      <c r="AA1243" s="6">
        <f t="shared" si="168"/>
        <v>0</v>
      </c>
      <c r="AB1243" s="42">
        <f t="shared" si="167"/>
        <v>0</v>
      </c>
      <c r="AC1243" s="42"/>
    </row>
    <row r="1244" spans="13:29" x14ac:dyDescent="0.3">
      <c r="Q1244" s="46">
        <f>c_cog+c_lung+c_hosp_fu+c_CSG</f>
        <v>58348.510902399998</v>
      </c>
      <c r="R1244" s="46"/>
      <c r="T1244" s="78"/>
      <c r="Z1244" s="42">
        <f t="shared" si="169"/>
        <v>0</v>
      </c>
      <c r="AA1244" s="6">
        <f t="shared" si="168"/>
        <v>0</v>
      </c>
      <c r="AB1244" s="42">
        <f t="shared" si="167"/>
        <v>0</v>
      </c>
      <c r="AC1244" s="42">
        <f>U1244*(Q1246-c_CSG)</f>
        <v>0</v>
      </c>
    </row>
    <row r="1245" spans="13:29" x14ac:dyDescent="0.3">
      <c r="M1245" s="42"/>
      <c r="Q1245" s="19" t="s">
        <v>369</v>
      </c>
      <c r="R1245" s="19"/>
      <c r="T1245" s="78"/>
      <c r="U1245">
        <f>$K$1213*$I$1202*$G$1170*$E$1207*$C$1053*$A$1008*$M$1228*$O$1240*$Q$1237</f>
        <v>0</v>
      </c>
      <c r="W1245" s="42">
        <f>$K$1214+$I$1203+$G$1171+$E$1208+$C$1054+$A$1009+$M$1229+$O$1241+Q1247</f>
        <v>269281.55809999997</v>
      </c>
      <c r="X1245">
        <f>u_Healthy</f>
        <v>0</v>
      </c>
      <c r="Z1245" s="42">
        <f t="shared" si="169"/>
        <v>0</v>
      </c>
      <c r="AA1245" s="6">
        <f t="shared" si="168"/>
        <v>0</v>
      </c>
      <c r="AB1245" s="42">
        <f t="shared" si="167"/>
        <v>0</v>
      </c>
      <c r="AC1245" s="42">
        <f>U1245*(Q1247-c_CSG)</f>
        <v>0</v>
      </c>
    </row>
    <row r="1246" spans="13:29" x14ac:dyDescent="0.3">
      <c r="M1246" s="42"/>
      <c r="Q1246" s="45">
        <f>1-Q1243-Q1240-Q1237</f>
        <v>0.9669144234632383</v>
      </c>
      <c r="R1246" s="45"/>
      <c r="T1246" s="78"/>
      <c r="V1246" s="40">
        <v>0</v>
      </c>
      <c r="Z1246" s="42">
        <f t="shared" si="169"/>
        <v>0</v>
      </c>
      <c r="AA1246" s="6">
        <f t="shared" si="168"/>
        <v>0</v>
      </c>
      <c r="AB1246" s="42">
        <f t="shared" si="167"/>
        <v>0</v>
      </c>
      <c r="AC1246" s="42">
        <f>U1246*(Q1248-c_CSG)</f>
        <v>0</v>
      </c>
    </row>
    <row r="1247" spans="13:29" x14ac:dyDescent="0.3">
      <c r="M1247" s="42"/>
      <c r="Q1247" s="46">
        <f>c_clinic_fu+c_CSG</f>
        <v>14403</v>
      </c>
      <c r="R1247" s="46"/>
      <c r="T1247" s="78"/>
      <c r="Z1247" s="42">
        <f t="shared" si="169"/>
        <v>0</v>
      </c>
      <c r="AA1247" s="6">
        <f t="shared" si="168"/>
        <v>0</v>
      </c>
      <c r="AB1247" s="42">
        <f t="shared" si="167"/>
        <v>0</v>
      </c>
      <c r="AC1247" s="42">
        <f>U1247*(Q1249-c_CSG)</f>
        <v>0</v>
      </c>
    </row>
    <row r="1248" spans="13:29" x14ac:dyDescent="0.3">
      <c r="M1248" s="42"/>
      <c r="Q1248" s="42"/>
      <c r="R1248" s="42"/>
      <c r="T1248" s="78"/>
      <c r="Z1248" s="42">
        <f t="shared" si="169"/>
        <v>0</v>
      </c>
      <c r="AA1248" s="6">
        <f t="shared" si="168"/>
        <v>0</v>
      </c>
      <c r="AB1248" s="42">
        <f t="shared" si="167"/>
        <v>0</v>
      </c>
      <c r="AC1248" s="42">
        <f>U1248*(Q1250-c_CSG)</f>
        <v>0</v>
      </c>
    </row>
    <row r="1249" spans="5:29" x14ac:dyDescent="0.3">
      <c r="K1249" s="19" t="s">
        <v>165</v>
      </c>
      <c r="L1249" s="19"/>
      <c r="M1249" s="19"/>
      <c r="N1249" s="19"/>
      <c r="O1249" s="19"/>
      <c r="P1249" s="19"/>
      <c r="Q1249" s="19"/>
      <c r="R1249" s="19"/>
      <c r="T1249" s="78"/>
      <c r="U1249">
        <f>$K$1250*$I$1258*$G$1279*$E$1207*$C$1053*$A$1008</f>
        <v>1.1031630754367546E-3</v>
      </c>
      <c r="V1249">
        <v>1.1031630754367548E-3</v>
      </c>
      <c r="W1249" s="42">
        <f>$K$1251+$I$1259+$G$1280+$E$1208+$C$1054+$A$1009</f>
        <v>3224.2</v>
      </c>
      <c r="X1249">
        <f>u_Death</f>
        <v>19.181538114427529</v>
      </c>
      <c r="Z1249" s="42">
        <f t="shared" si="169"/>
        <v>3.556818387823184</v>
      </c>
      <c r="AA1249" s="6">
        <f t="shared" si="168"/>
        <v>2.11603645779192E-2</v>
      </c>
      <c r="AB1249" s="42"/>
      <c r="AC1249" s="42"/>
    </row>
    <row r="1250" spans="5:29" x14ac:dyDescent="0.3">
      <c r="K1250" s="45">
        <f>SGA_term_2d_3</f>
        <v>1.3200000000000002E-2</v>
      </c>
      <c r="T1250" s="78"/>
      <c r="Z1250" s="42">
        <f t="shared" si="169"/>
        <v>0</v>
      </c>
      <c r="AA1250" s="6">
        <f t="shared" si="168"/>
        <v>0</v>
      </c>
      <c r="AB1250" s="42">
        <f t="shared" ref="AB1250:AB1281" si="170">U1250*c_CSG</f>
        <v>0</v>
      </c>
      <c r="AC1250" s="42">
        <f>U1250*(Q1252-c_CSG)</f>
        <v>0</v>
      </c>
    </row>
    <row r="1251" spans="5:29" x14ac:dyDescent="0.3">
      <c r="K1251" s="46">
        <f>c_SB</f>
        <v>1792</v>
      </c>
      <c r="T1251" s="78"/>
      <c r="Z1251" s="42">
        <f t="shared" si="169"/>
        <v>0</v>
      </c>
      <c r="AA1251" s="6">
        <f t="shared" si="168"/>
        <v>0</v>
      </c>
      <c r="AB1251" s="42">
        <f t="shared" si="170"/>
        <v>0</v>
      </c>
      <c r="AC1251" s="42"/>
    </row>
    <row r="1252" spans="5:29" x14ac:dyDescent="0.3">
      <c r="T1252" s="78"/>
      <c r="Z1252" s="42">
        <f t="shared" si="169"/>
        <v>0</v>
      </c>
      <c r="AA1252" s="6">
        <f t="shared" si="168"/>
        <v>0</v>
      </c>
      <c r="AB1252" s="42">
        <f t="shared" si="170"/>
        <v>0</v>
      </c>
      <c r="AC1252" s="42">
        <f>U1252*(Q1254-c_CSG)</f>
        <v>0</v>
      </c>
    </row>
    <row r="1253" spans="5:29" x14ac:dyDescent="0.3">
      <c r="Q1253" s="19" t="s">
        <v>367</v>
      </c>
      <c r="R1253" s="19"/>
      <c r="T1253" s="78"/>
      <c r="U1253">
        <f>$K$1269*$I$1258*$G$1279*$E$1207*$C$1053*$A$1008*$M$1264*$O$1259*Q1254</f>
        <v>0</v>
      </c>
      <c r="W1253" s="42">
        <f>$K$1270+$I$1259+$G$1280+$E$1208+$C$1054+$A$1009+$M$1265+$O$1260+Q1255</f>
        <v>89493.581450605634</v>
      </c>
      <c r="X1253">
        <f>u_ChronicResp</f>
        <v>0.53465956747782661</v>
      </c>
      <c r="Z1253" s="42">
        <f t="shared" si="169"/>
        <v>0</v>
      </c>
      <c r="AA1253" s="6">
        <f t="shared" si="168"/>
        <v>0</v>
      </c>
      <c r="AB1253" s="42">
        <f t="shared" si="170"/>
        <v>0</v>
      </c>
      <c r="AC1253" s="42">
        <f>U1253*(Q1255-c_CSG)</f>
        <v>0</v>
      </c>
    </row>
    <row r="1254" spans="5:29" x14ac:dyDescent="0.3">
      <c r="Q1254" s="45">
        <f>RDS2CLD_3-(Hypo2CI_3*RDS2CLD_3)</f>
        <v>0.34246866666666664</v>
      </c>
      <c r="R1254" s="45"/>
      <c r="T1254" s="78"/>
      <c r="V1254">
        <v>0</v>
      </c>
      <c r="Z1254" s="42">
        <f t="shared" si="169"/>
        <v>0</v>
      </c>
      <c r="AA1254" s="6">
        <f t="shared" si="168"/>
        <v>0</v>
      </c>
      <c r="AB1254" s="42">
        <f t="shared" si="170"/>
        <v>0</v>
      </c>
      <c r="AC1254" s="42"/>
    </row>
    <row r="1255" spans="5:29" x14ac:dyDescent="0.3">
      <c r="Q1255" s="46">
        <f>c_lung+c_hosp_fu+c_CSG</f>
        <v>54529.510902399998</v>
      </c>
      <c r="R1255" s="46"/>
      <c r="T1255" s="78"/>
      <c r="Z1255" s="42">
        <f t="shared" si="169"/>
        <v>0</v>
      </c>
      <c r="AA1255" s="6">
        <f t="shared" si="168"/>
        <v>0</v>
      </c>
      <c r="AB1255" s="42">
        <f t="shared" si="170"/>
        <v>0</v>
      </c>
      <c r="AC1255" s="42">
        <f>U1255*(Q1257-c_CSG)</f>
        <v>0</v>
      </c>
    </row>
    <row r="1256" spans="5:29" x14ac:dyDescent="0.3">
      <c r="Q1256" s="19" t="s">
        <v>226</v>
      </c>
      <c r="R1256" s="19"/>
      <c r="T1256" s="78"/>
      <c r="U1256">
        <f>$K$1269*$I$1258*$G$1279*$E$1207*$C$1053*$A$1008*$M$1264*$O$1259*Q1257</f>
        <v>0</v>
      </c>
      <c r="W1256" s="42">
        <f>$K$1270+$I$1259+$G$1280+$E$1208+$C$1054+$A$1009+$M$1265+$O$1260+Q1258</f>
        <v>50730.070548205636</v>
      </c>
      <c r="X1256">
        <f>u_CongnitiveImpairement</f>
        <v>17.270393127285455</v>
      </c>
      <c r="Z1256" s="42">
        <f t="shared" si="169"/>
        <v>0</v>
      </c>
      <c r="AA1256" s="6">
        <f t="shared" si="168"/>
        <v>0</v>
      </c>
      <c r="AB1256" s="42">
        <f t="shared" si="170"/>
        <v>0</v>
      </c>
      <c r="AC1256" s="42">
        <f>U1256*(Q1258-c_CSG)</f>
        <v>0</v>
      </c>
    </row>
    <row r="1257" spans="5:29" x14ac:dyDescent="0.3">
      <c r="I1257" s="19" t="s">
        <v>164</v>
      </c>
      <c r="Q1257" s="45">
        <f>Hypo2CI_3-(Hypo2CI_3*RDS2CLD_3)</f>
        <v>3.2801999999999998E-2</v>
      </c>
      <c r="R1257" s="45"/>
      <c r="T1257" s="78"/>
      <c r="V1257">
        <v>0</v>
      </c>
      <c r="Z1257" s="42">
        <f t="shared" si="169"/>
        <v>0</v>
      </c>
      <c r="AA1257" s="6">
        <f t="shared" si="168"/>
        <v>0</v>
      </c>
      <c r="AB1257" s="42">
        <f t="shared" si="170"/>
        <v>0</v>
      </c>
      <c r="AC1257" s="42"/>
    </row>
    <row r="1258" spans="5:29" x14ac:dyDescent="0.3">
      <c r="I1258" s="45">
        <f>NBW_term_2SGA_3</f>
        <v>0.18995639845107781</v>
      </c>
      <c r="O1258" s="19" t="s">
        <v>161</v>
      </c>
      <c r="Q1258" s="46">
        <f>c_cog+c_hosp_fu+c_CSG</f>
        <v>15766</v>
      </c>
      <c r="R1258" s="46"/>
      <c r="T1258" s="78"/>
      <c r="Z1258" s="42">
        <f t="shared" si="169"/>
        <v>0</v>
      </c>
      <c r="AA1258" s="6">
        <f t="shared" si="168"/>
        <v>0</v>
      </c>
      <c r="AB1258" s="42">
        <f t="shared" si="170"/>
        <v>0</v>
      </c>
      <c r="AC1258" s="42">
        <f>U1258*(Q1260-c_CSG)</f>
        <v>0</v>
      </c>
    </row>
    <row r="1259" spans="5:29" x14ac:dyDescent="0.3">
      <c r="I1259" s="46"/>
      <c r="O1259" s="45">
        <f>SGA_term_2hypoglycaemia_3</f>
        <v>0.26</v>
      </c>
      <c r="Q1259" s="19" t="s">
        <v>368</v>
      </c>
      <c r="R1259" s="19"/>
      <c r="T1259" s="78"/>
      <c r="U1259">
        <f>$K$1269*$I$1258*$G$1279*$E$1207*$C$1053*$A$1008*$M$1264*$O$1259*Q1260</f>
        <v>0</v>
      </c>
      <c r="W1259" s="42">
        <f>$K$1270+$I$1259+$G$1280+$E$1208+$C$1054+$A$1009+$M$1265+$O$1260+Q1261</f>
        <v>93312.581450605634</v>
      </c>
      <c r="X1259">
        <f>u_ChronicResp+u_CongnitiveImpairement</f>
        <v>17.805052694763283</v>
      </c>
      <c r="Z1259" s="42">
        <f t="shared" si="169"/>
        <v>0</v>
      </c>
      <c r="AA1259" s="6">
        <f t="shared" si="168"/>
        <v>0</v>
      </c>
      <c r="AB1259" s="42">
        <f t="shared" si="170"/>
        <v>0</v>
      </c>
      <c r="AC1259" s="42">
        <f>U1259*(Q1261-c_CSG)</f>
        <v>0</v>
      </c>
    </row>
    <row r="1260" spans="5:29" x14ac:dyDescent="0.3">
      <c r="O1260" s="46">
        <f>c_hypo</f>
        <v>2936.2604000000001</v>
      </c>
      <c r="Q1260" s="45">
        <f>Hypo2CI_3*RDS2CLD_3</f>
        <v>1.8531333333333334E-2</v>
      </c>
      <c r="R1260" s="45"/>
      <c r="T1260" s="78"/>
      <c r="V1260">
        <v>0</v>
      </c>
      <c r="Z1260" s="42">
        <f t="shared" si="169"/>
        <v>0</v>
      </c>
      <c r="AA1260" s="6">
        <f t="shared" si="168"/>
        <v>0</v>
      </c>
      <c r="AB1260" s="42">
        <f t="shared" si="170"/>
        <v>0</v>
      </c>
      <c r="AC1260" s="42"/>
    </row>
    <row r="1261" spans="5:29" x14ac:dyDescent="0.3">
      <c r="M1261" s="42"/>
      <c r="Q1261" s="46">
        <f>c_lung+c_cog+c_hosp_fu+c_CSG</f>
        <v>58348.510902399998</v>
      </c>
      <c r="R1261" s="46"/>
      <c r="T1261" s="78"/>
      <c r="Z1261" s="42">
        <f t="shared" si="169"/>
        <v>0</v>
      </c>
      <c r="AA1261" s="6">
        <f t="shared" si="168"/>
        <v>0</v>
      </c>
      <c r="AB1261" s="42">
        <f t="shared" si="170"/>
        <v>0</v>
      </c>
      <c r="AC1261" s="42">
        <f>U1261*(Q1263-c_CSG)</f>
        <v>0</v>
      </c>
    </row>
    <row r="1262" spans="5:29" x14ac:dyDescent="0.3">
      <c r="Q1262" s="19" t="s">
        <v>369</v>
      </c>
      <c r="R1262" s="19"/>
      <c r="T1262" s="78"/>
      <c r="U1262">
        <f>$K$1269*$I$1258*$G$1279*$E$1207*$C$1053*$A$1008*$M$1264*$O$1259*Q1263</f>
        <v>0</v>
      </c>
      <c r="W1262" s="42">
        <f>$K$1270+$I$1259+$G$1280+$E$1208+$C$1054+$A$1009+$M$1265+$O$1260+Q1264</f>
        <v>49367.070548205636</v>
      </c>
      <c r="X1262">
        <f>u_Healthy</f>
        <v>0</v>
      </c>
      <c r="Z1262" s="42">
        <f t="shared" si="169"/>
        <v>0</v>
      </c>
      <c r="AA1262" s="6">
        <f t="shared" si="168"/>
        <v>0</v>
      </c>
      <c r="AB1262" s="42">
        <f t="shared" si="170"/>
        <v>0</v>
      </c>
      <c r="AC1262" s="42">
        <f>U1262*(Q1264-c_CSG)</f>
        <v>0</v>
      </c>
    </row>
    <row r="1263" spans="5:29" x14ac:dyDescent="0.3">
      <c r="E1263" s="42"/>
      <c r="M1263" s="19" t="s">
        <v>9</v>
      </c>
      <c r="Q1263" s="45">
        <f>1-Q1254-Q1257-Q1260</f>
        <v>0.60619800000000001</v>
      </c>
      <c r="R1263" s="45"/>
      <c r="T1263" s="78"/>
      <c r="V1263">
        <v>0</v>
      </c>
      <c r="Z1263" s="42">
        <f t="shared" si="169"/>
        <v>0</v>
      </c>
      <c r="AA1263" s="6">
        <f t="shared" si="168"/>
        <v>0</v>
      </c>
      <c r="AB1263" s="42">
        <f t="shared" si="170"/>
        <v>0</v>
      </c>
      <c r="AC1263" s="42">
        <f>U1263*(Q1265-c_CSG)</f>
        <v>0</v>
      </c>
    </row>
    <row r="1264" spans="5:29" x14ac:dyDescent="0.3">
      <c r="K1264" s="42"/>
      <c r="M1264" s="45">
        <f>S_term_2RDS_3</f>
        <v>0</v>
      </c>
      <c r="Q1264" s="46">
        <f>c_clinic_fu+c_CSG</f>
        <v>14403</v>
      </c>
      <c r="R1264" s="46"/>
      <c r="T1264" s="78"/>
      <c r="Z1264" s="42">
        <f t="shared" si="169"/>
        <v>0</v>
      </c>
      <c r="AA1264" s="6">
        <f t="shared" si="168"/>
        <v>0</v>
      </c>
      <c r="AB1264" s="42">
        <f t="shared" si="170"/>
        <v>0</v>
      </c>
      <c r="AC1264" s="42"/>
    </row>
    <row r="1265" spans="7:29" x14ac:dyDescent="0.3">
      <c r="K1265" s="42"/>
      <c r="M1265" s="46">
        <f>c_RDS</f>
        <v>30595.610148205637</v>
      </c>
      <c r="Q1265" s="42"/>
      <c r="R1265" s="42"/>
      <c r="T1265" s="78"/>
      <c r="Z1265" s="42">
        <f t="shared" si="169"/>
        <v>0</v>
      </c>
      <c r="AA1265" s="6">
        <f t="shared" si="168"/>
        <v>0</v>
      </c>
      <c r="AB1265" s="42">
        <f t="shared" si="170"/>
        <v>0</v>
      </c>
      <c r="AC1265" s="42">
        <f>U1265*(Q1267-c_CSG)</f>
        <v>0</v>
      </c>
    </row>
    <row r="1266" spans="7:29" x14ac:dyDescent="0.3">
      <c r="Q1266" s="19" t="s">
        <v>367</v>
      </c>
      <c r="R1266" s="19"/>
      <c r="T1266" s="78"/>
      <c r="U1266">
        <f>$K$1269*$I$1258*$G$1279*$E$1207*$C$1053*$A$1008*$M$1264*$O$1269*Q1267</f>
        <v>0</v>
      </c>
      <c r="W1266" s="42">
        <f>$K$1270+$I$1259+$G$1280+$E$1208+$C$1054+$A$1009+$M$1265+$O$1270+Q1268</f>
        <v>86557.321050605635</v>
      </c>
      <c r="X1266">
        <f>u_ChronicResp</f>
        <v>0.53465956747782661</v>
      </c>
      <c r="Z1266" s="42">
        <f t="shared" si="169"/>
        <v>0</v>
      </c>
      <c r="AA1266" s="6">
        <f t="shared" si="168"/>
        <v>0</v>
      </c>
      <c r="AB1266" s="42">
        <f t="shared" si="170"/>
        <v>0</v>
      </c>
      <c r="AC1266" s="42">
        <f>U1266*(Q1268-c_CSG)</f>
        <v>0</v>
      </c>
    </row>
    <row r="1267" spans="7:29" x14ac:dyDescent="0.3">
      <c r="Q1267" s="45">
        <f>RDS2CLD_3-(RDS2CLD_3*noHypo2CI_3)</f>
        <v>0.34905610687022898</v>
      </c>
      <c r="R1267" s="45"/>
      <c r="T1267" s="78"/>
      <c r="V1267">
        <v>0</v>
      </c>
      <c r="Z1267" s="42">
        <f t="shared" si="169"/>
        <v>0</v>
      </c>
      <c r="AA1267" s="6">
        <f t="shared" si="168"/>
        <v>0</v>
      </c>
      <c r="AB1267" s="42">
        <f t="shared" si="170"/>
        <v>0</v>
      </c>
      <c r="AC1267" s="42"/>
    </row>
    <row r="1268" spans="7:29" x14ac:dyDescent="0.3">
      <c r="K1268" s="19" t="s">
        <v>37</v>
      </c>
      <c r="M1268" s="42"/>
      <c r="O1268" s="19" t="s">
        <v>370</v>
      </c>
      <c r="Q1268" s="46">
        <f>c_lung+c_hosp_fu+c_CSG</f>
        <v>54529.510902399998</v>
      </c>
      <c r="R1268" s="46"/>
      <c r="T1268" s="78"/>
      <c r="Z1268" s="42">
        <f t="shared" si="169"/>
        <v>0</v>
      </c>
      <c r="AA1268" s="6">
        <f t="shared" si="168"/>
        <v>0</v>
      </c>
      <c r="AB1268" s="42">
        <f t="shared" si="170"/>
        <v>0</v>
      </c>
      <c r="AC1268" s="42">
        <f>U1268*(Q1270-c_CSG)</f>
        <v>0</v>
      </c>
    </row>
    <row r="1269" spans="7:29" x14ac:dyDescent="0.3">
      <c r="K1269" s="45">
        <f>SGA_term_2s_3</f>
        <v>0.98680000000000001</v>
      </c>
      <c r="O1269" s="45">
        <f>SGA_term_2normoglycaemia_3</f>
        <v>0.74</v>
      </c>
      <c r="Q1269" s="19" t="s">
        <v>226</v>
      </c>
      <c r="R1269" s="19"/>
      <c r="T1269" s="78"/>
      <c r="U1269">
        <f>$K$1269*$I$1258*$G$1279*$E$1207*$C$1053*$A$1008*$M$1264*$O$1269*Q1270</f>
        <v>0</v>
      </c>
      <c r="W1269" s="42">
        <f>$K$1270+$I$1259+$G$1280+$E$1208+$C$1054+$A$1009+$M$1265+$O$1270+Q1271</f>
        <v>47793.810148205637</v>
      </c>
      <c r="X1269">
        <f>u_CongnitiveImpairement</f>
        <v>17.270393127285455</v>
      </c>
      <c r="Z1269" s="42">
        <f t="shared" si="169"/>
        <v>0</v>
      </c>
      <c r="AA1269" s="6">
        <f t="shared" si="168"/>
        <v>0</v>
      </c>
      <c r="AB1269" s="42">
        <f t="shared" si="170"/>
        <v>0</v>
      </c>
      <c r="AC1269" s="42">
        <f>U1269*(Q1271-c_CSG)</f>
        <v>0</v>
      </c>
    </row>
    <row r="1270" spans="7:29" x14ac:dyDescent="0.3">
      <c r="K1270" s="46"/>
      <c r="O1270" s="46"/>
      <c r="Q1270" s="45">
        <f>noHypo2CI_3-(RDS2CLD_3*noHypo2CI_3)</f>
        <v>2.1141683406990762E-2</v>
      </c>
      <c r="R1270" s="45"/>
      <c r="T1270" s="78"/>
      <c r="V1270">
        <v>0</v>
      </c>
      <c r="Z1270" s="42">
        <f t="shared" si="169"/>
        <v>0</v>
      </c>
      <c r="AA1270" s="6">
        <f t="shared" si="168"/>
        <v>0</v>
      </c>
      <c r="AB1270" s="42">
        <f t="shared" si="170"/>
        <v>0</v>
      </c>
      <c r="AC1270" s="42"/>
    </row>
    <row r="1271" spans="7:29" x14ac:dyDescent="0.3">
      <c r="Q1271" s="46">
        <f>c_cog+c_hosp_fu+c_CSG</f>
        <v>15766</v>
      </c>
      <c r="R1271" s="46"/>
      <c r="T1271" s="78"/>
      <c r="Z1271" s="42">
        <f t="shared" si="169"/>
        <v>0</v>
      </c>
      <c r="AA1271" s="6">
        <f t="shared" si="168"/>
        <v>0</v>
      </c>
      <c r="AB1271" s="42">
        <f t="shared" si="170"/>
        <v>0</v>
      </c>
      <c r="AC1271" s="42">
        <f>U1271*(Q1273-c_CSG)</f>
        <v>0</v>
      </c>
    </row>
    <row r="1272" spans="7:29" x14ac:dyDescent="0.3">
      <c r="Q1272" s="19" t="s">
        <v>368</v>
      </c>
      <c r="R1272" s="19"/>
      <c r="T1272" s="78"/>
      <c r="U1272">
        <f>$K$1269*$I$1258*$G$1279*$E$1207*$C$1053*$A$1008*$M$1264*$O$1269*Q1273</f>
        <v>0</v>
      </c>
      <c r="W1272" s="42">
        <f>$K$1270+$I$1259+$G$1280+$E$1208+$C$1054+$A$1009+$M$1265+$O$1270+Q1274</f>
        <v>90376.321050605635</v>
      </c>
      <c r="X1272">
        <f>u_ChronicResp+u_CongnitiveImpairement</f>
        <v>17.805052694763283</v>
      </c>
      <c r="Z1272" s="42">
        <f t="shared" si="169"/>
        <v>0</v>
      </c>
      <c r="AA1272" s="6">
        <f t="shared" si="168"/>
        <v>0</v>
      </c>
      <c r="AB1272" s="42">
        <f t="shared" si="170"/>
        <v>0</v>
      </c>
      <c r="AC1272" s="42">
        <f>U1272*(Q1274-c_CSG)</f>
        <v>0</v>
      </c>
    </row>
    <row r="1273" spans="7:29" x14ac:dyDescent="0.3">
      <c r="Q1273" s="45">
        <f>RDS2CLD_3*noHypo2CI_3</f>
        <v>1.1943893129770991E-2</v>
      </c>
      <c r="R1273" s="45"/>
      <c r="T1273" s="78"/>
      <c r="V1273">
        <v>0</v>
      </c>
      <c r="Z1273" s="42">
        <f t="shared" si="169"/>
        <v>0</v>
      </c>
      <c r="AA1273" s="6">
        <f t="shared" si="168"/>
        <v>0</v>
      </c>
      <c r="AB1273" s="42">
        <f t="shared" si="170"/>
        <v>0</v>
      </c>
      <c r="AC1273" s="42"/>
    </row>
    <row r="1274" spans="7:29" x14ac:dyDescent="0.3">
      <c r="Q1274" s="46">
        <f>c_cog+c_lung+c_hosp_fu+c_CSG</f>
        <v>58348.510902399998</v>
      </c>
      <c r="R1274" s="46"/>
      <c r="T1274" s="78"/>
      <c r="Z1274" s="42">
        <f t="shared" si="169"/>
        <v>0</v>
      </c>
      <c r="AA1274" s="6">
        <f t="shared" si="168"/>
        <v>0</v>
      </c>
      <c r="AB1274" s="42">
        <f t="shared" si="170"/>
        <v>0</v>
      </c>
      <c r="AC1274" s="42">
        <f>U1274*(Q1276-c_CSG)</f>
        <v>0</v>
      </c>
    </row>
    <row r="1275" spans="7:29" x14ac:dyDescent="0.3">
      <c r="Q1275" s="19" t="s">
        <v>369</v>
      </c>
      <c r="R1275" s="19"/>
      <c r="T1275" s="78"/>
      <c r="U1275">
        <f>$K$1269*$I$1258*$G$1279*$E$1207*$C$1053*$A$1008*$M$1264*$O$1269*Q1276</f>
        <v>0</v>
      </c>
      <c r="W1275" s="42">
        <f>$K$1270+$I$1259+$G$1280+$E$1208+$C$1054+$A$1009+$M$1265+$O$1270+Q1277</f>
        <v>46430.810148205637</v>
      </c>
      <c r="X1275">
        <f>u_Healthy</f>
        <v>0</v>
      </c>
      <c r="Z1275" s="42">
        <f t="shared" si="169"/>
        <v>0</v>
      </c>
      <c r="AA1275" s="6">
        <f t="shared" si="168"/>
        <v>0</v>
      </c>
      <c r="AB1275" s="42">
        <f t="shared" si="170"/>
        <v>0</v>
      </c>
      <c r="AC1275" s="42">
        <f>U1275*(Q1277-c_CSG)</f>
        <v>0</v>
      </c>
    </row>
    <row r="1276" spans="7:29" x14ac:dyDescent="0.3">
      <c r="Q1276" s="45">
        <f>1-Q1273-Q1270-Q1267</f>
        <v>0.61785831659300938</v>
      </c>
      <c r="R1276" s="45"/>
      <c r="T1276" s="78"/>
      <c r="V1276">
        <v>0</v>
      </c>
      <c r="Z1276" s="42">
        <f t="shared" si="169"/>
        <v>0</v>
      </c>
      <c r="AA1276" s="6">
        <f t="shared" si="168"/>
        <v>0</v>
      </c>
      <c r="AB1276" s="42">
        <f t="shared" si="170"/>
        <v>0</v>
      </c>
      <c r="AC1276" s="42">
        <f>U1276*(Q1278-c_CSG)</f>
        <v>0</v>
      </c>
    </row>
    <row r="1277" spans="7:29" x14ac:dyDescent="0.3">
      <c r="Q1277" s="46">
        <f>c_clinic_fu+c_CSG</f>
        <v>14403</v>
      </c>
      <c r="R1277" s="46"/>
      <c r="T1277" s="78"/>
      <c r="Z1277" s="42">
        <f t="shared" si="169"/>
        <v>0</v>
      </c>
      <c r="AA1277" s="6">
        <f t="shared" si="168"/>
        <v>0</v>
      </c>
      <c r="AB1277" s="42">
        <f t="shared" si="170"/>
        <v>0</v>
      </c>
      <c r="AC1277" s="42"/>
    </row>
    <row r="1278" spans="7:29" x14ac:dyDescent="0.3">
      <c r="G1278" s="19" t="s">
        <v>371</v>
      </c>
      <c r="Q1278" s="42"/>
      <c r="R1278" s="42"/>
      <c r="T1278" s="78"/>
      <c r="Z1278" s="42">
        <f t="shared" si="169"/>
        <v>0</v>
      </c>
      <c r="AA1278" s="6">
        <f t="shared" si="168"/>
        <v>0</v>
      </c>
      <c r="AB1278" s="42">
        <f t="shared" si="170"/>
        <v>0</v>
      </c>
      <c r="AC1278" s="42">
        <f>U1278*(Q1280-c_CSG)</f>
        <v>0</v>
      </c>
    </row>
    <row r="1279" spans="7:29" x14ac:dyDescent="0.3">
      <c r="G1279" s="45">
        <f>Term2NBW_3</f>
        <v>0.65230769230769226</v>
      </c>
      <c r="Q1279" s="19" t="s">
        <v>367</v>
      </c>
      <c r="R1279" s="19"/>
      <c r="T1279" s="78"/>
      <c r="U1279">
        <f>$K$1269*$I$1258*$G$1279*$E$1207*$C$1053*$A$1008*$M$1284*$O$1282*Q1280</f>
        <v>0</v>
      </c>
      <c r="W1279" s="42">
        <f>$K$1270+$I$1259+$G$1280+$E$1208+$C$1054+$A$1009+$M$1285+$O$1283+Q1281</f>
        <v>58897.971302399994</v>
      </c>
      <c r="X1279">
        <f>u_ChronicResp</f>
        <v>0.53465956747782661</v>
      </c>
      <c r="Z1279" s="42">
        <f t="shared" si="169"/>
        <v>0</v>
      </c>
      <c r="AA1279" s="6">
        <f t="shared" si="168"/>
        <v>0</v>
      </c>
      <c r="AB1279" s="42">
        <f t="shared" si="170"/>
        <v>0</v>
      </c>
      <c r="AC1279" s="42">
        <f>U1279*(Q1281-c_CSG)</f>
        <v>0</v>
      </c>
    </row>
    <row r="1280" spans="7:29" x14ac:dyDescent="0.3">
      <c r="G1280" s="46">
        <f>c_NICU_NBW</f>
        <v>1255.2</v>
      </c>
      <c r="Q1280" s="45">
        <f>noRDS2CLD_3-(Hypo2CI_3*noRDS2CLD_3)</f>
        <v>0</v>
      </c>
      <c r="R1280" s="45"/>
      <c r="T1280" s="78"/>
      <c r="V1280">
        <v>0</v>
      </c>
      <c r="Z1280" s="42">
        <f t="shared" si="169"/>
        <v>0</v>
      </c>
      <c r="AA1280" s="6">
        <f t="shared" si="168"/>
        <v>0</v>
      </c>
      <c r="AB1280" s="42">
        <f t="shared" si="170"/>
        <v>0</v>
      </c>
      <c r="AC1280" s="42"/>
    </row>
    <row r="1281" spans="1:29" x14ac:dyDescent="0.3">
      <c r="O1281" s="19" t="s">
        <v>161</v>
      </c>
      <c r="Q1281" s="46">
        <f>c_lung+c_hosp_fu+c_CSG</f>
        <v>54529.510902399998</v>
      </c>
      <c r="R1281" s="46"/>
      <c r="T1281" s="78"/>
      <c r="Z1281" s="42">
        <f t="shared" si="169"/>
        <v>0</v>
      </c>
      <c r="AA1281" s="6">
        <f t="shared" si="168"/>
        <v>0</v>
      </c>
      <c r="AB1281" s="42">
        <f t="shared" si="170"/>
        <v>0</v>
      </c>
      <c r="AC1281" s="42">
        <f>U1281*(Q1283-c_CSG)</f>
        <v>0</v>
      </c>
    </row>
    <row r="1282" spans="1:29" x14ac:dyDescent="0.3">
      <c r="O1282" s="45">
        <f>SGA_term_2hypoglycaemia_3</f>
        <v>0.26</v>
      </c>
      <c r="Q1282" s="19" t="s">
        <v>226</v>
      </c>
      <c r="R1282" s="19"/>
      <c r="T1282" s="78"/>
      <c r="U1282">
        <f>$K$1269*$I$1258*$G$1279*$E$1207*$C$1053*$A$1008*$M$1284*$O$1282*Q1283</f>
        <v>1.100696893094778E-3</v>
      </c>
      <c r="V1282">
        <v>1.1006968930947784E-3</v>
      </c>
      <c r="W1282" s="42">
        <f>$K$1270+$I$1259+$G$1280+$E$1208+$C$1054+$A$1009+$M$1285+$O$1283+Q1284</f>
        <v>20134.4604</v>
      </c>
      <c r="X1282">
        <f>u_CongnitiveImpairement</f>
        <v>17.270393127285455</v>
      </c>
      <c r="Z1282" s="42">
        <f t="shared" si="169"/>
        <v>22.161938006419842</v>
      </c>
      <c r="AA1282" s="6">
        <f t="shared" si="168"/>
        <v>1.9009468057728508E-2</v>
      </c>
      <c r="AB1282" s="42">
        <f t="shared" ref="AB1282:AB1304" si="171">U1282*c_CSG</f>
        <v>12.15169369976635</v>
      </c>
      <c r="AC1282" s="42">
        <f>U1282*(Q1284-c_CSG)</f>
        <v>5.2018935167659208</v>
      </c>
    </row>
    <row r="1283" spans="1:29" x14ac:dyDescent="0.3">
      <c r="M1283" s="19" t="s">
        <v>203</v>
      </c>
      <c r="O1283" s="46">
        <f>c_hypo</f>
        <v>2936.2604000000001</v>
      </c>
      <c r="Q1283" s="45">
        <f>Hypo2CI_3-(Hypo2CI_3*noRDS2CLD_3)</f>
        <v>5.1333333333333335E-2</v>
      </c>
      <c r="R1283" s="45"/>
      <c r="T1283" s="78"/>
      <c r="Z1283" s="42">
        <f t="shared" si="169"/>
        <v>0</v>
      </c>
      <c r="AA1283" s="6">
        <f t="shared" si="168"/>
        <v>0</v>
      </c>
      <c r="AB1283" s="42">
        <f t="shared" si="171"/>
        <v>0</v>
      </c>
      <c r="AC1283" s="42"/>
    </row>
    <row r="1284" spans="1:29" x14ac:dyDescent="0.3">
      <c r="M1284" s="45">
        <f>S_term_2noRDS_3</f>
        <v>1</v>
      </c>
      <c r="Q1284" s="46">
        <f>c_cog+c_hosp_fu+c_CSG</f>
        <v>15766</v>
      </c>
      <c r="R1284" s="46"/>
      <c r="T1284" s="78"/>
      <c r="Z1284" s="42">
        <f t="shared" si="169"/>
        <v>0</v>
      </c>
      <c r="AA1284" s="6">
        <f t="shared" si="168"/>
        <v>0</v>
      </c>
      <c r="AB1284" s="42">
        <f t="shared" si="171"/>
        <v>0</v>
      </c>
      <c r="AC1284" s="42">
        <f>U1284*(Q1286-c_CSG)</f>
        <v>0</v>
      </c>
    </row>
    <row r="1285" spans="1:29" x14ac:dyDescent="0.3">
      <c r="G1285" s="42"/>
      <c r="M1285" s="46"/>
      <c r="O1285" s="42"/>
      <c r="Q1285" s="19" t="s">
        <v>368</v>
      </c>
      <c r="R1285" s="19"/>
      <c r="T1285" s="78"/>
      <c r="U1285">
        <f>$K$1269*$I$1258*$G$1279*$E$1207*$C$1053*$A$1008*$M$1284*$O$1282*Q1286</f>
        <v>0</v>
      </c>
      <c r="V1285">
        <v>0</v>
      </c>
      <c r="W1285" s="42">
        <f>$K$1270+$I$1259+$G$1280+$E$1208+$C$1054+$A$1009+$M$1285+$O$1283+Q1287</f>
        <v>62716.971302399994</v>
      </c>
      <c r="X1285">
        <f>u_ChronicResp+u_CongnitiveImpairement</f>
        <v>17.805052694763283</v>
      </c>
      <c r="Z1285" s="42">
        <f t="shared" si="169"/>
        <v>0</v>
      </c>
      <c r="AA1285" s="6">
        <f t="shared" si="168"/>
        <v>0</v>
      </c>
      <c r="AB1285" s="42">
        <f t="shared" si="171"/>
        <v>0</v>
      </c>
      <c r="AC1285" s="42">
        <f>U1285*(Q1287-c_CSG)</f>
        <v>0</v>
      </c>
    </row>
    <row r="1286" spans="1:29" x14ac:dyDescent="0.3">
      <c r="M1286" s="42"/>
      <c r="Q1286" s="45">
        <f>noRDS2CLD_3*Hypo2CI_3</f>
        <v>0</v>
      </c>
      <c r="R1286" s="45"/>
      <c r="T1286" s="78"/>
      <c r="Z1286" s="42">
        <f t="shared" si="169"/>
        <v>0</v>
      </c>
      <c r="AA1286" s="6">
        <f t="shared" si="168"/>
        <v>0</v>
      </c>
      <c r="AB1286" s="42">
        <f t="shared" si="171"/>
        <v>0</v>
      </c>
      <c r="AC1286" s="42"/>
    </row>
    <row r="1287" spans="1:29" x14ac:dyDescent="0.3">
      <c r="A1287" s="42"/>
      <c r="M1287" s="42"/>
      <c r="Q1287" s="46">
        <f>c_lung+c_cog+c_hosp_fu+c_CSG</f>
        <v>58348.510902399998</v>
      </c>
      <c r="R1287" s="46"/>
      <c r="T1287" s="78"/>
      <c r="Z1287" s="42">
        <f t="shared" si="169"/>
        <v>0</v>
      </c>
      <c r="AA1287" s="6">
        <f t="shared" si="168"/>
        <v>0</v>
      </c>
      <c r="AB1287" s="42">
        <f t="shared" si="171"/>
        <v>0</v>
      </c>
      <c r="AC1287" s="42">
        <f>U1287*(Q1289-c_CSG)</f>
        <v>0</v>
      </c>
    </row>
    <row r="1288" spans="1:29" x14ac:dyDescent="0.3">
      <c r="M1288" s="42"/>
      <c r="Q1288" s="19" t="s">
        <v>369</v>
      </c>
      <c r="R1288" s="19"/>
      <c r="T1288" s="78"/>
      <c r="U1288">
        <f>$K$1269*$I$1258*$G$1279*$E$1207*$C$1053*$A$1008*$M$1284*$O$1282*Q1289</f>
        <v>2.0341450374985314E-2</v>
      </c>
      <c r="V1288">
        <v>2.0341450374985321E-2</v>
      </c>
      <c r="W1288" s="42">
        <f>$K$1270+$I$1259+$G$1280+$E$1208+$C$1054+$A$1009+$M$1285+$O$1283+Q1290</f>
        <v>18771.4604</v>
      </c>
      <c r="X1288">
        <f>u_Healthy</f>
        <v>0</v>
      </c>
      <c r="Z1288" s="42">
        <f t="shared" si="169"/>
        <v>381.83873019260199</v>
      </c>
      <c r="AA1288" s="6">
        <f t="shared" si="168"/>
        <v>0</v>
      </c>
      <c r="AB1288" s="42">
        <f t="shared" si="171"/>
        <v>224.56961213983786</v>
      </c>
      <c r="AC1288" s="42">
        <f>U1288*(Q1290-c_CSG)</f>
        <v>68.408297611075611</v>
      </c>
    </row>
    <row r="1289" spans="1:29" x14ac:dyDescent="0.3">
      <c r="M1289" s="42"/>
      <c r="O1289" s="42"/>
      <c r="Q1289" s="45">
        <f>1-Q1286-Q1283-Q1280</f>
        <v>0.94866666666666666</v>
      </c>
      <c r="R1289" s="45"/>
      <c r="T1289" s="78"/>
      <c r="Z1289" s="42">
        <f t="shared" si="169"/>
        <v>0</v>
      </c>
      <c r="AA1289" s="6">
        <f t="shared" si="168"/>
        <v>0</v>
      </c>
      <c r="AB1289" s="42">
        <f t="shared" si="171"/>
        <v>0</v>
      </c>
      <c r="AC1289" s="42">
        <f>U1289*(Q1291-c_CSG)</f>
        <v>0</v>
      </c>
    </row>
    <row r="1290" spans="1:29" x14ac:dyDescent="0.3">
      <c r="M1290" s="42"/>
      <c r="Q1290" s="46">
        <f>c_clinic_fu+c_CSG</f>
        <v>14403</v>
      </c>
      <c r="R1290" s="46"/>
      <c r="S1290" s="94"/>
      <c r="T1290" s="78"/>
      <c r="Z1290" s="42">
        <f t="shared" si="169"/>
        <v>0</v>
      </c>
      <c r="AA1290" s="6">
        <f t="shared" si="168"/>
        <v>0</v>
      </c>
      <c r="AB1290" s="42">
        <f t="shared" si="171"/>
        <v>0</v>
      </c>
      <c r="AC1290" s="42"/>
    </row>
    <row r="1291" spans="1:29" x14ac:dyDescent="0.3">
      <c r="M1291" s="42"/>
      <c r="Q1291" s="42"/>
      <c r="R1291" s="42"/>
      <c r="T1291" s="78"/>
      <c r="Z1291" s="42">
        <f t="shared" si="169"/>
        <v>0</v>
      </c>
      <c r="AA1291" s="6">
        <f t="shared" si="168"/>
        <v>0</v>
      </c>
      <c r="AB1291" s="42">
        <f t="shared" si="171"/>
        <v>0</v>
      </c>
      <c r="AC1291" s="42">
        <f>U1291*(Q1293-c_CSG)</f>
        <v>0</v>
      </c>
    </row>
    <row r="1292" spans="1:29" x14ac:dyDescent="0.3">
      <c r="M1292" s="42"/>
      <c r="Q1292" s="19" t="s">
        <v>367</v>
      </c>
      <c r="R1292" s="19"/>
      <c r="T1292" s="78"/>
      <c r="U1292">
        <f>$K$1269*$I$1258*$G$1279*$E$1207*$C$1053*$A$1008*$M$1284*$O$1296*Q1293</f>
        <v>0</v>
      </c>
      <c r="V1292">
        <v>0</v>
      </c>
      <c r="W1292" s="42">
        <f>$K$1270+$I$1259+$G$1280+$E$1208+$C$1054+$A$1009+$M$1285+$O$1297+Q1294</f>
        <v>57990.971302399994</v>
      </c>
      <c r="X1292">
        <f>u_ChronicResp</f>
        <v>0.53465956747782661</v>
      </c>
      <c r="Z1292" s="42">
        <f t="shared" si="169"/>
        <v>0</v>
      </c>
      <c r="AA1292" s="6">
        <f t="shared" si="168"/>
        <v>0</v>
      </c>
      <c r="AB1292" s="42">
        <f t="shared" si="171"/>
        <v>0</v>
      </c>
      <c r="AC1292" s="42">
        <f>U1292*(Q1294-c_CSG)</f>
        <v>0</v>
      </c>
    </row>
    <row r="1293" spans="1:29" x14ac:dyDescent="0.3">
      <c r="M1293" s="42"/>
      <c r="Q1293" s="45">
        <f>noRDS2CLD_3-(noRDS2CLD_3*noHypo2CI_3)</f>
        <v>0</v>
      </c>
      <c r="R1293" s="45"/>
      <c r="T1293" s="78"/>
      <c r="Z1293" s="42">
        <f t="shared" si="169"/>
        <v>0</v>
      </c>
      <c r="AA1293" s="6">
        <f t="shared" ref="AA1293:AA1356" si="172">U1293*X1293</f>
        <v>0</v>
      </c>
      <c r="AB1293" s="42">
        <f t="shared" si="171"/>
        <v>0</v>
      </c>
      <c r="AC1293" s="42"/>
    </row>
    <row r="1294" spans="1:29" x14ac:dyDescent="0.3">
      <c r="M1294" s="42"/>
      <c r="Q1294" s="46">
        <f>c_lung+c_hypo+c_CSG</f>
        <v>56558.771302399997</v>
      </c>
      <c r="R1294" s="46"/>
      <c r="T1294" s="78"/>
      <c r="Z1294" s="42">
        <f t="shared" si="169"/>
        <v>0</v>
      </c>
      <c r="AA1294" s="6">
        <f t="shared" si="172"/>
        <v>0</v>
      </c>
      <c r="AB1294" s="42">
        <f t="shared" si="171"/>
        <v>0</v>
      </c>
      <c r="AC1294" s="42">
        <f>U1294*(Q1296-c_CSG)</f>
        <v>0</v>
      </c>
    </row>
    <row r="1295" spans="1:29" x14ac:dyDescent="0.3">
      <c r="M1295" s="42"/>
      <c r="O1295" s="19" t="s">
        <v>370</v>
      </c>
      <c r="Q1295" s="19" t="s">
        <v>226</v>
      </c>
      <c r="R1295" s="19"/>
      <c r="T1295" s="78"/>
      <c r="U1295">
        <f>$K$1269*$I$1258*$G$1279*$E$1207*$C$1053*$A$1008*$M$1284*$O$1296*Q1296</f>
        <v>2.0191349821824219E-3</v>
      </c>
      <c r="V1295">
        <v>2.0191349821824228E-3</v>
      </c>
      <c r="W1295" s="42">
        <f>$K$1270+$I$1259+$G$1280+$E$1208+$C$1054+$A$1009+$M$1285+$O$1297+Q1297</f>
        <v>17198.2</v>
      </c>
      <c r="X1295">
        <f>u_CongnitiveImpairement</f>
        <v>17.270393127285455</v>
      </c>
      <c r="Z1295" s="42">
        <f t="shared" ref="Z1295:Z1358" si="173">U1295*W1295</f>
        <v>34.725487250569728</v>
      </c>
      <c r="AA1295" s="6">
        <f t="shared" si="172"/>
        <v>3.4871254919344938E-2</v>
      </c>
      <c r="AB1295" s="42">
        <f t="shared" si="171"/>
        <v>22.291250203293938</v>
      </c>
      <c r="AC1295" s="42">
        <f>U1295*(Q1297-c_CSG)</f>
        <v>9.5424319257941264</v>
      </c>
    </row>
    <row r="1296" spans="1:29" x14ac:dyDescent="0.3">
      <c r="M1296" s="42"/>
      <c r="O1296" s="45">
        <f>SGA_term_2normoglycaemia_3</f>
        <v>0.74</v>
      </c>
      <c r="Q1296" s="45">
        <f>noHypo2CI_3</f>
        <v>3.3085576536761752E-2</v>
      </c>
      <c r="R1296" s="45"/>
      <c r="T1296" s="78"/>
      <c r="Z1296" s="42">
        <f t="shared" si="173"/>
        <v>0</v>
      </c>
      <c r="AA1296" s="6">
        <f t="shared" si="172"/>
        <v>0</v>
      </c>
      <c r="AB1296" s="42">
        <f t="shared" si="171"/>
        <v>0</v>
      </c>
      <c r="AC1296" s="42"/>
    </row>
    <row r="1297" spans="11:29" x14ac:dyDescent="0.3">
      <c r="M1297" s="42"/>
      <c r="O1297" s="46"/>
      <c r="Q1297" s="46">
        <f>c_cog+c_hosp_fu+c_CSG</f>
        <v>15766</v>
      </c>
      <c r="R1297" s="46"/>
      <c r="T1297" s="78"/>
      <c r="Z1297" s="42">
        <f t="shared" si="173"/>
        <v>0</v>
      </c>
      <c r="AA1297" s="6">
        <f t="shared" si="172"/>
        <v>0</v>
      </c>
      <c r="AB1297" s="42">
        <f t="shared" si="171"/>
        <v>0</v>
      </c>
      <c r="AC1297" s="42">
        <f>U1297*(Q1299-c_CSG)</f>
        <v>0</v>
      </c>
    </row>
    <row r="1298" spans="11:29" x14ac:dyDescent="0.3">
      <c r="M1298" s="42"/>
      <c r="Q1298" s="19" t="s">
        <v>368</v>
      </c>
      <c r="R1298" s="19"/>
      <c r="T1298" s="78"/>
      <c r="U1298">
        <f>$K$1269*$I$1258*$G$1279*$E$1207*$C$1053*$A$1008*$M$1284*$O$1296*Q1299</f>
        <v>0</v>
      </c>
      <c r="V1298">
        <v>0</v>
      </c>
      <c r="W1298" s="42">
        <f>$K$1270+$I$1259+$G$1280+$E$1208+$C$1054+$A$1009+$M$1285+$O$1297+Q1300</f>
        <v>59780.710902399995</v>
      </c>
      <c r="X1298">
        <f>u_ChronicResp+u_CongnitiveImpairement</f>
        <v>17.805052694763283</v>
      </c>
      <c r="Z1298" s="42">
        <f t="shared" si="173"/>
        <v>0</v>
      </c>
      <c r="AA1298" s="6">
        <f t="shared" si="172"/>
        <v>0</v>
      </c>
      <c r="AB1298" s="42">
        <f t="shared" si="171"/>
        <v>0</v>
      </c>
      <c r="AC1298" s="42">
        <f>U1298*(Q1300-c_CSG)</f>
        <v>0</v>
      </c>
    </row>
    <row r="1299" spans="11:29" x14ac:dyDescent="0.3">
      <c r="M1299" s="42"/>
      <c r="Q1299" s="45">
        <f>noRDS2CLD_3*noHypo2CI_3</f>
        <v>0</v>
      </c>
      <c r="R1299" s="45"/>
      <c r="T1299" s="78"/>
      <c r="Z1299" s="42">
        <f t="shared" si="173"/>
        <v>0</v>
      </c>
      <c r="AA1299" s="6">
        <f t="shared" si="172"/>
        <v>0</v>
      </c>
      <c r="AB1299" s="42">
        <f t="shared" si="171"/>
        <v>0</v>
      </c>
      <c r="AC1299" s="42"/>
    </row>
    <row r="1300" spans="11:29" x14ac:dyDescent="0.3">
      <c r="M1300" s="42"/>
      <c r="Q1300" s="46">
        <f>c_cog+c_lung+c_hosp_fu+c_CSG</f>
        <v>58348.510902399998</v>
      </c>
      <c r="R1300" s="46"/>
      <c r="T1300" s="78"/>
      <c r="Z1300" s="42">
        <f t="shared" si="173"/>
        <v>0</v>
      </c>
      <c r="AA1300" s="6">
        <f t="shared" si="172"/>
        <v>0</v>
      </c>
      <c r="AB1300" s="42">
        <f t="shared" si="171"/>
        <v>0</v>
      </c>
      <c r="AC1300" s="42">
        <f>U1300*(Q1302-c_CSG)</f>
        <v>0</v>
      </c>
    </row>
    <row r="1301" spans="11:29" x14ac:dyDescent="0.3">
      <c r="M1301" s="42"/>
      <c r="Q1301" s="19" t="s">
        <v>369</v>
      </c>
      <c r="R1301" s="19"/>
      <c r="T1301" s="78"/>
      <c r="U1301">
        <f>$K$1269*$I$1258*$G$1279*$E$1207*$C$1053*$A$1008*$M$1284*$O$1296*Q1302</f>
        <v>5.9008514934660916E-2</v>
      </c>
      <c r="V1301">
        <v>5.9008514934660937E-2</v>
      </c>
      <c r="W1301" s="42">
        <f>$K$1270+$I$1259+$G$1280+$E$1208+$C$1054+$A$1009+$M$1285+$O$1297+Q1303</f>
        <v>15835.2</v>
      </c>
      <c r="X1301">
        <f>u_Healthy</f>
        <v>0</v>
      </c>
      <c r="Z1301" s="42">
        <f t="shared" si="173"/>
        <v>934.41163569334253</v>
      </c>
      <c r="AA1301" s="6">
        <f t="shared" si="172"/>
        <v>0</v>
      </c>
      <c r="AB1301" s="42">
        <f t="shared" si="171"/>
        <v>651.45400487865652</v>
      </c>
      <c r="AC1301" s="42">
        <f>U1301*(Q1303-c_CSG)</f>
        <v>198.44563572526465</v>
      </c>
    </row>
    <row r="1302" spans="11:29" x14ac:dyDescent="0.3">
      <c r="M1302" s="42"/>
      <c r="Q1302" s="45">
        <f>1-Q1299-Q1296-Q1293</f>
        <v>0.9669144234632383</v>
      </c>
      <c r="R1302" s="45"/>
      <c r="T1302" s="78"/>
      <c r="Z1302" s="42">
        <f t="shared" si="173"/>
        <v>0</v>
      </c>
      <c r="AA1302" s="6">
        <f t="shared" si="172"/>
        <v>0</v>
      </c>
      <c r="AB1302" s="42">
        <f t="shared" si="171"/>
        <v>0</v>
      </c>
      <c r="AC1302" s="42">
        <f>U1302*(Q1304-c_CSG)</f>
        <v>0</v>
      </c>
    </row>
    <row r="1303" spans="11:29" x14ac:dyDescent="0.3">
      <c r="M1303" s="42"/>
      <c r="Q1303" s="46">
        <f>c_clinic_fu+c_CSG</f>
        <v>14403</v>
      </c>
      <c r="R1303" s="46"/>
      <c r="T1303" s="78"/>
      <c r="Z1303" s="42">
        <f t="shared" si="173"/>
        <v>0</v>
      </c>
      <c r="AA1303" s="6">
        <f t="shared" si="172"/>
        <v>0</v>
      </c>
      <c r="AB1303" s="42">
        <f t="shared" si="171"/>
        <v>0</v>
      </c>
      <c r="AC1303" s="42">
        <f>U1303*(Q1305-c_CSG)</f>
        <v>0</v>
      </c>
    </row>
    <row r="1304" spans="11:29" x14ac:dyDescent="0.3">
      <c r="M1304" s="42"/>
      <c r="Q1304" s="42"/>
      <c r="R1304" s="42"/>
      <c r="T1304" s="78"/>
      <c r="Z1304" s="42">
        <f t="shared" si="173"/>
        <v>0</v>
      </c>
      <c r="AA1304" s="6">
        <f t="shared" si="172"/>
        <v>0</v>
      </c>
      <c r="AB1304" s="42">
        <f t="shared" si="171"/>
        <v>0</v>
      </c>
      <c r="AC1304" s="42">
        <f>U1304*(Q1306-c_CSG)</f>
        <v>0</v>
      </c>
    </row>
    <row r="1305" spans="11:29" x14ac:dyDescent="0.3">
      <c r="K1305" s="19" t="s">
        <v>165</v>
      </c>
      <c r="L1305" s="19"/>
      <c r="M1305" s="19"/>
      <c r="N1305" s="19"/>
      <c r="O1305" s="19"/>
      <c r="P1305" s="19"/>
      <c r="Q1305" s="19"/>
      <c r="R1305" s="19"/>
      <c r="T1305" s="78"/>
      <c r="U1305">
        <f>$K$1306*$I$1314*$G$1279*$E$1207*$C$1053*$A$1008</f>
        <v>2.2214707875297863E-3</v>
      </c>
      <c r="V1305">
        <v>2.2214707875297863E-3</v>
      </c>
      <c r="W1305" s="42">
        <f>$K$1307+$I$1315+$G$1280+$E$1208+$C$1054+$A$1009</f>
        <v>3224.2</v>
      </c>
      <c r="X1305">
        <f>u_Death</f>
        <v>19.181538114427529</v>
      </c>
      <c r="Z1305" s="42">
        <f t="shared" si="173"/>
        <v>7.1624661131535365</v>
      </c>
      <c r="AA1305" s="6">
        <f t="shared" si="172"/>
        <v>4.2611226581089935E-2</v>
      </c>
      <c r="AB1305" s="42"/>
      <c r="AC1305" s="42"/>
    </row>
    <row r="1306" spans="11:29" x14ac:dyDescent="0.3">
      <c r="K1306" s="45">
        <f>AGA_term_2d_3</f>
        <v>6.2333333333333338E-3</v>
      </c>
      <c r="T1306" s="78"/>
      <c r="Z1306" s="42">
        <f t="shared" si="173"/>
        <v>0</v>
      </c>
      <c r="AA1306" s="6">
        <f t="shared" si="172"/>
        <v>0</v>
      </c>
      <c r="AB1306" s="42">
        <f t="shared" ref="AB1306:AB1337" si="174">U1306*c_CSG</f>
        <v>0</v>
      </c>
      <c r="AC1306" s="42">
        <f>U1306*(Q1308-c_CSG)</f>
        <v>0</v>
      </c>
    </row>
    <row r="1307" spans="11:29" x14ac:dyDescent="0.3">
      <c r="K1307" s="46">
        <f>c_SB</f>
        <v>1792</v>
      </c>
      <c r="T1307" s="78"/>
      <c r="Z1307" s="42">
        <f t="shared" si="173"/>
        <v>0</v>
      </c>
      <c r="AA1307" s="6">
        <f t="shared" si="172"/>
        <v>0</v>
      </c>
      <c r="AB1307" s="42">
        <f t="shared" si="174"/>
        <v>0</v>
      </c>
      <c r="AC1307" s="42"/>
    </row>
    <row r="1308" spans="11:29" x14ac:dyDescent="0.3">
      <c r="T1308" s="78"/>
      <c r="Z1308" s="42">
        <f t="shared" si="173"/>
        <v>0</v>
      </c>
      <c r="AA1308" s="6">
        <f t="shared" si="172"/>
        <v>0</v>
      </c>
      <c r="AB1308" s="42">
        <f t="shared" si="174"/>
        <v>0</v>
      </c>
      <c r="AC1308" s="42">
        <f>U1308*(Q1310-c_CSG)</f>
        <v>0</v>
      </c>
    </row>
    <row r="1309" spans="11:29" x14ac:dyDescent="0.3">
      <c r="Q1309" s="19" t="s">
        <v>367</v>
      </c>
      <c r="R1309" s="19"/>
      <c r="T1309" s="78"/>
      <c r="U1309">
        <f>$K$1325*$I$1314*$G$1279*$E$1207*$C$1053*$A$1008*$M$1320*$O$1315*Q1310</f>
        <v>0</v>
      </c>
      <c r="W1309" s="42">
        <f>$K$1326+$I$1315+$G$1280+$E$1208+$C$1054+$A$1009+$M$1321+$O$1316+Q1311</f>
        <v>89493.581450605634</v>
      </c>
      <c r="X1309">
        <f>u_ChronicResp</f>
        <v>0.53465956747782661</v>
      </c>
      <c r="Z1309" s="42">
        <f t="shared" si="173"/>
        <v>0</v>
      </c>
      <c r="AA1309" s="6">
        <f t="shared" si="172"/>
        <v>0</v>
      </c>
      <c r="AB1309" s="42">
        <f t="shared" si="174"/>
        <v>0</v>
      </c>
      <c r="AC1309" s="42">
        <f>U1309*(Q1311-c_CSG)</f>
        <v>0</v>
      </c>
    </row>
    <row r="1310" spans="11:29" x14ac:dyDescent="0.3">
      <c r="Q1310" s="45">
        <f>RDS2CLD_3-(Hypo2CI_3*RDS2CLD_3)</f>
        <v>0.34246866666666664</v>
      </c>
      <c r="R1310" s="45"/>
      <c r="T1310" s="78"/>
      <c r="V1310">
        <v>0</v>
      </c>
      <c r="Z1310" s="42">
        <f t="shared" si="173"/>
        <v>0</v>
      </c>
      <c r="AA1310" s="6">
        <f t="shared" si="172"/>
        <v>0</v>
      </c>
      <c r="AB1310" s="42">
        <f t="shared" si="174"/>
        <v>0</v>
      </c>
      <c r="AC1310" s="42"/>
    </row>
    <row r="1311" spans="11:29" x14ac:dyDescent="0.3">
      <c r="Q1311" s="46">
        <f>c_lung+c_hosp_fu+c_CSG</f>
        <v>54529.510902399998</v>
      </c>
      <c r="R1311" s="46"/>
      <c r="T1311" s="78"/>
      <c r="Z1311" s="42">
        <f t="shared" si="173"/>
        <v>0</v>
      </c>
      <c r="AA1311" s="6">
        <f t="shared" si="172"/>
        <v>0</v>
      </c>
      <c r="AB1311" s="42">
        <f t="shared" si="174"/>
        <v>0</v>
      </c>
      <c r="AC1311" s="42">
        <f>U1311*(Q1313-c_CSG)</f>
        <v>0</v>
      </c>
    </row>
    <row r="1312" spans="11:29" x14ac:dyDescent="0.3">
      <c r="Q1312" s="19" t="s">
        <v>226</v>
      </c>
      <c r="R1312" s="19"/>
      <c r="T1312" s="78"/>
      <c r="U1312">
        <f>$K$1325*$I$1314*$G$1279*$E$1207*$C$1053*$A$1008*$M$1320*$O$1315*Q1313</f>
        <v>0</v>
      </c>
      <c r="W1312" s="42">
        <f>$K$1326+$I$1315+$G$1280+$E$1208+$C$1054+$A$1009+$M$1321+$O$1316+Q1314</f>
        <v>50730.070548205636</v>
      </c>
      <c r="X1312">
        <f>u_CongnitiveImpairement</f>
        <v>17.270393127285455</v>
      </c>
      <c r="Z1312" s="42">
        <f t="shared" si="173"/>
        <v>0</v>
      </c>
      <c r="AA1312" s="6">
        <f t="shared" si="172"/>
        <v>0</v>
      </c>
      <c r="AB1312" s="42">
        <f t="shared" si="174"/>
        <v>0</v>
      </c>
      <c r="AC1312" s="42">
        <f>U1312*(Q1314-c_CSG)</f>
        <v>0</v>
      </c>
    </row>
    <row r="1313" spans="9:29" x14ac:dyDescent="0.3">
      <c r="I1313" s="19" t="s">
        <v>424</v>
      </c>
      <c r="Q1313" s="45">
        <f>Hypo2CI_3-(Hypo2CI_3*RDS2CLD_3)</f>
        <v>3.2801999999999998E-2</v>
      </c>
      <c r="R1313" s="45"/>
      <c r="T1313" s="78"/>
      <c r="V1313">
        <v>0</v>
      </c>
      <c r="Z1313" s="42">
        <f t="shared" si="173"/>
        <v>0</v>
      </c>
      <c r="AA1313" s="6">
        <f t="shared" si="172"/>
        <v>0</v>
      </c>
      <c r="AB1313" s="42">
        <f t="shared" si="174"/>
        <v>0</v>
      </c>
      <c r="AC1313" s="42"/>
    </row>
    <row r="1314" spans="9:29" x14ac:dyDescent="0.3">
      <c r="I1314" s="45">
        <f>NBW_term_2AGA_3</f>
        <v>0.81004360154892219</v>
      </c>
      <c r="O1314" s="19" t="s">
        <v>161</v>
      </c>
      <c r="Q1314" s="46">
        <f>c_cog+c_hosp_fu+c_CSG</f>
        <v>15766</v>
      </c>
      <c r="R1314" s="46"/>
      <c r="T1314" s="78"/>
      <c r="Z1314" s="42">
        <f t="shared" si="173"/>
        <v>0</v>
      </c>
      <c r="AA1314" s="6">
        <f t="shared" si="172"/>
        <v>0</v>
      </c>
      <c r="AB1314" s="42">
        <f t="shared" si="174"/>
        <v>0</v>
      </c>
      <c r="AC1314" s="42">
        <f>U1314*(Q1316-c_CSG)</f>
        <v>0</v>
      </c>
    </row>
    <row r="1315" spans="9:29" x14ac:dyDescent="0.3">
      <c r="I1315" s="46"/>
      <c r="O1315" s="45">
        <f>AGA_term_2hypoglycaemia_3</f>
        <v>0</v>
      </c>
      <c r="Q1315" s="19" t="s">
        <v>368</v>
      </c>
      <c r="R1315" s="19"/>
      <c r="T1315" s="78"/>
      <c r="U1315">
        <f>$K$1325*$I$1314*$G$1279*$E$1207*$C$1053*$A$1008*$M$1320*$O$1315*Q1316</f>
        <v>0</v>
      </c>
      <c r="W1315" s="42">
        <f>$K$1326+$I$1315+$G$1280+$E$1208+$C$1054+$A$1009+$M$1321+$O$1316+Q1317</f>
        <v>93312.581450605634</v>
      </c>
      <c r="X1315">
        <f>u_ChronicResp+u_CongnitiveImpairement</f>
        <v>17.805052694763283</v>
      </c>
      <c r="Z1315" s="42">
        <f t="shared" si="173"/>
        <v>0</v>
      </c>
      <c r="AA1315" s="6">
        <f t="shared" si="172"/>
        <v>0</v>
      </c>
      <c r="AB1315" s="42">
        <f t="shared" si="174"/>
        <v>0</v>
      </c>
      <c r="AC1315" s="42">
        <f>U1315*(Q1317-c_CSG)</f>
        <v>0</v>
      </c>
    </row>
    <row r="1316" spans="9:29" x14ac:dyDescent="0.3">
      <c r="O1316" s="46">
        <f>c_hypo</f>
        <v>2936.2604000000001</v>
      </c>
      <c r="Q1316" s="45">
        <f>Hypo2CI_3*RDS2CLD_3</f>
        <v>1.8531333333333334E-2</v>
      </c>
      <c r="R1316" s="45"/>
      <c r="T1316" s="78"/>
      <c r="V1316">
        <v>0</v>
      </c>
      <c r="Z1316" s="42">
        <f t="shared" si="173"/>
        <v>0</v>
      </c>
      <c r="AA1316" s="6">
        <f t="shared" si="172"/>
        <v>0</v>
      </c>
      <c r="AB1316" s="42">
        <f t="shared" si="174"/>
        <v>0</v>
      </c>
      <c r="AC1316" s="42"/>
    </row>
    <row r="1317" spans="9:29" x14ac:dyDescent="0.3">
      <c r="M1317" s="42"/>
      <c r="Q1317" s="46">
        <f>c_lung+c_cog+c_hosp_fu+c_CSG</f>
        <v>58348.510902399998</v>
      </c>
      <c r="R1317" s="46"/>
      <c r="T1317" s="78"/>
      <c r="Z1317" s="42">
        <f t="shared" si="173"/>
        <v>0</v>
      </c>
      <c r="AA1317" s="6">
        <f t="shared" si="172"/>
        <v>0</v>
      </c>
      <c r="AB1317" s="42">
        <f t="shared" si="174"/>
        <v>0</v>
      </c>
      <c r="AC1317" s="42">
        <f>U1317*(Q1319-c_CSG)</f>
        <v>0</v>
      </c>
    </row>
    <row r="1318" spans="9:29" x14ac:dyDescent="0.3">
      <c r="Q1318" s="19" t="s">
        <v>369</v>
      </c>
      <c r="R1318" s="19"/>
      <c r="T1318" s="78"/>
      <c r="U1318">
        <f>$K$1325*$I$1314*$G$1279*$E$1207*$C$1053*$A$1008*$M$1320*$O$1315*Q1319</f>
        <v>0</v>
      </c>
      <c r="W1318" s="42">
        <f>$K$1326+$I$1315+$G$1280+$E$1208+$C$1054+$A$1009+$M$1321+$O$1316+Q1320</f>
        <v>49367.070548205636</v>
      </c>
      <c r="X1318">
        <f>u_Healthy</f>
        <v>0</v>
      </c>
      <c r="Z1318" s="42">
        <f t="shared" si="173"/>
        <v>0</v>
      </c>
      <c r="AA1318" s="6">
        <f t="shared" si="172"/>
        <v>0</v>
      </c>
      <c r="AB1318" s="42">
        <f t="shared" si="174"/>
        <v>0</v>
      </c>
      <c r="AC1318" s="42">
        <f>U1318*(Q1320-c_CSG)</f>
        <v>0</v>
      </c>
    </row>
    <row r="1319" spans="9:29" x14ac:dyDescent="0.3">
      <c r="M1319" s="19" t="s">
        <v>9</v>
      </c>
      <c r="Q1319" s="45">
        <f>1-Q1310-Q1313-Q1316</f>
        <v>0.60619800000000001</v>
      </c>
      <c r="R1319" s="45"/>
      <c r="T1319" s="78"/>
      <c r="V1319">
        <v>0</v>
      </c>
      <c r="Z1319" s="42">
        <f t="shared" si="173"/>
        <v>0</v>
      </c>
      <c r="AA1319" s="6">
        <f t="shared" si="172"/>
        <v>0</v>
      </c>
      <c r="AB1319" s="42">
        <f t="shared" si="174"/>
        <v>0</v>
      </c>
      <c r="AC1319" s="42">
        <f>U1319*(Q1321-c_CSG)</f>
        <v>0</v>
      </c>
    </row>
    <row r="1320" spans="9:29" x14ac:dyDescent="0.3">
      <c r="K1320" s="42"/>
      <c r="M1320" s="45">
        <f>S_term_2RDS_3</f>
        <v>0</v>
      </c>
      <c r="Q1320" s="46">
        <f>c_clinic_fu+c_CSG</f>
        <v>14403</v>
      </c>
      <c r="R1320" s="46"/>
      <c r="T1320" s="78"/>
      <c r="Z1320" s="42">
        <f t="shared" si="173"/>
        <v>0</v>
      </c>
      <c r="AA1320" s="6">
        <f t="shared" si="172"/>
        <v>0</v>
      </c>
      <c r="AB1320" s="42">
        <f t="shared" si="174"/>
        <v>0</v>
      </c>
      <c r="AC1320" s="42"/>
    </row>
    <row r="1321" spans="9:29" x14ac:dyDescent="0.3">
      <c r="K1321" s="42"/>
      <c r="M1321" s="46">
        <f>c_RDS</f>
        <v>30595.610148205637</v>
      </c>
      <c r="Q1321" s="42"/>
      <c r="R1321" s="42"/>
      <c r="T1321" s="78"/>
      <c r="Z1321" s="42">
        <f t="shared" si="173"/>
        <v>0</v>
      </c>
      <c r="AA1321" s="6">
        <f t="shared" si="172"/>
        <v>0</v>
      </c>
      <c r="AB1321" s="42">
        <f t="shared" si="174"/>
        <v>0</v>
      </c>
      <c r="AC1321" s="42">
        <f>U1321*(Q1323-c_CSG)</f>
        <v>0</v>
      </c>
    </row>
    <row r="1322" spans="9:29" x14ac:dyDescent="0.3">
      <c r="Q1322" s="19" t="s">
        <v>367</v>
      </c>
      <c r="R1322" s="19"/>
      <c r="T1322" s="78"/>
      <c r="U1322">
        <f>$K$1325*$I$1314*$G$1279*$E$1207*$C$1053*$A$1008*$M$1320*$O$1325*Q1323</f>
        <v>0</v>
      </c>
      <c r="W1322" s="42">
        <f>$K$1326+$I$1315+$G$1280+$E$1208+$C$1054+$A$1009+$M$1321+$O$1326+Q1324</f>
        <v>86557.321050605635</v>
      </c>
      <c r="X1322">
        <f>u_ChronicResp</f>
        <v>0.53465956747782661</v>
      </c>
      <c r="Z1322" s="42">
        <f t="shared" si="173"/>
        <v>0</v>
      </c>
      <c r="AA1322" s="6">
        <f t="shared" si="172"/>
        <v>0</v>
      </c>
      <c r="AB1322" s="42">
        <f t="shared" si="174"/>
        <v>0</v>
      </c>
      <c r="AC1322" s="42">
        <f>U1322*(Q1324-c_CSG)</f>
        <v>0</v>
      </c>
    </row>
    <row r="1323" spans="9:29" x14ac:dyDescent="0.3">
      <c r="Q1323" s="45">
        <f>RDS2CLD_3-(RDS2CLD_3*noHypo2CI_3)</f>
        <v>0.34905610687022898</v>
      </c>
      <c r="R1323" s="45"/>
      <c r="T1323" s="78"/>
      <c r="V1323">
        <v>0</v>
      </c>
      <c r="Z1323" s="42">
        <f t="shared" si="173"/>
        <v>0</v>
      </c>
      <c r="AA1323" s="6">
        <f t="shared" si="172"/>
        <v>0</v>
      </c>
      <c r="AB1323" s="42">
        <f t="shared" si="174"/>
        <v>0</v>
      </c>
      <c r="AC1323" s="42"/>
    </row>
    <row r="1324" spans="9:29" x14ac:dyDescent="0.3">
      <c r="K1324" s="19" t="s">
        <v>37</v>
      </c>
      <c r="M1324" s="42"/>
      <c r="O1324" s="19" t="s">
        <v>370</v>
      </c>
      <c r="Q1324" s="46">
        <f>c_lung+c_hosp_fu+c_CSG</f>
        <v>54529.510902399998</v>
      </c>
      <c r="R1324" s="46"/>
      <c r="T1324" s="78"/>
      <c r="Z1324" s="42">
        <f t="shared" si="173"/>
        <v>0</v>
      </c>
      <c r="AA1324" s="6">
        <f t="shared" si="172"/>
        <v>0</v>
      </c>
      <c r="AB1324" s="42">
        <f t="shared" si="174"/>
        <v>0</v>
      </c>
      <c r="AC1324" s="42">
        <f>U1324*(Q1326-c_CSG)</f>
        <v>0</v>
      </c>
    </row>
    <row r="1325" spans="9:29" x14ac:dyDescent="0.3">
      <c r="K1325" s="45">
        <f>AGA_term_2s_3</f>
        <v>0.99376666666666669</v>
      </c>
      <c r="O1325" s="45">
        <f>AGA_term_2normoglycaemia_3</f>
        <v>1</v>
      </c>
      <c r="Q1325" s="19" t="s">
        <v>226</v>
      </c>
      <c r="R1325" s="19"/>
      <c r="T1325" s="78"/>
      <c r="U1325">
        <f>$K$1325*$I$1314*$G$1279*$E$1207*$C$1053*$A$1008*$M$1320*$O$1325*Q1326</f>
        <v>0</v>
      </c>
      <c r="W1325" s="42">
        <f>$K$1326+$I$1315+$G$1280+$E$1208+$C$1054+$A$1009+$M$1321+$O$1326+Q1327</f>
        <v>47793.810148205637</v>
      </c>
      <c r="X1325">
        <f>u_CongnitiveImpairement</f>
        <v>17.270393127285455</v>
      </c>
      <c r="Z1325" s="42">
        <f t="shared" si="173"/>
        <v>0</v>
      </c>
      <c r="AA1325" s="6">
        <f t="shared" si="172"/>
        <v>0</v>
      </c>
      <c r="AB1325" s="42">
        <f t="shared" si="174"/>
        <v>0</v>
      </c>
      <c r="AC1325" s="42">
        <f>U1325*(Q1327-c_CSG)</f>
        <v>0</v>
      </c>
    </row>
    <row r="1326" spans="9:29" x14ac:dyDescent="0.3">
      <c r="K1326" s="46"/>
      <c r="O1326" s="46"/>
      <c r="Q1326" s="45">
        <f>noHypo2CI_3-(RDS2CLD_3*noHypo2CI_3)</f>
        <v>2.1141683406990762E-2</v>
      </c>
      <c r="R1326" s="45"/>
      <c r="T1326" s="78"/>
      <c r="V1326">
        <v>0</v>
      </c>
      <c r="Z1326" s="42">
        <f t="shared" si="173"/>
        <v>0</v>
      </c>
      <c r="AA1326" s="6">
        <f t="shared" si="172"/>
        <v>0</v>
      </c>
      <c r="AB1326" s="42">
        <f t="shared" si="174"/>
        <v>0</v>
      </c>
      <c r="AC1326" s="42"/>
    </row>
    <row r="1327" spans="9:29" x14ac:dyDescent="0.3">
      <c r="Q1327" s="46">
        <f>c_cog+c_hosp_fu+c_CSG</f>
        <v>15766</v>
      </c>
      <c r="R1327" s="46"/>
      <c r="T1327" s="78"/>
      <c r="Z1327" s="42">
        <f t="shared" si="173"/>
        <v>0</v>
      </c>
      <c r="AA1327" s="6">
        <f t="shared" si="172"/>
        <v>0</v>
      </c>
      <c r="AB1327" s="42">
        <f t="shared" si="174"/>
        <v>0</v>
      </c>
      <c r="AC1327" s="42">
        <f>U1327*(Q1329-c_CSG)</f>
        <v>0</v>
      </c>
    </row>
    <row r="1328" spans="9:29" x14ac:dyDescent="0.3">
      <c r="Q1328" s="19" t="s">
        <v>368</v>
      </c>
      <c r="R1328" s="19"/>
      <c r="T1328" s="78"/>
      <c r="U1328">
        <f>$K$1325*$I$1314*$G$1279*$E$1207*$C$1053*$A$1008*$M$1320*$O$1325*Q1329</f>
        <v>0</v>
      </c>
      <c r="W1328" s="42">
        <f>$K$1326+$I$1315+$G$1280+$E$1208+$C$1054+$A$1009+$M$1321+$O$1326+Q1330</f>
        <v>90376.321050605635</v>
      </c>
      <c r="X1328">
        <f>u_ChronicResp+u_CongnitiveImpairement</f>
        <v>17.805052694763283</v>
      </c>
      <c r="Z1328" s="42">
        <f t="shared" si="173"/>
        <v>0</v>
      </c>
      <c r="AA1328" s="6">
        <f t="shared" si="172"/>
        <v>0</v>
      </c>
      <c r="AB1328" s="42">
        <f t="shared" si="174"/>
        <v>0</v>
      </c>
      <c r="AC1328" s="42">
        <f>U1328*(Q1330-c_CSG)</f>
        <v>0</v>
      </c>
    </row>
    <row r="1329" spans="3:29" x14ac:dyDescent="0.3">
      <c r="Q1329" s="45">
        <f>RDS2CLD_3*noHypo2CI_3</f>
        <v>1.1943893129770991E-2</v>
      </c>
      <c r="R1329" s="45"/>
      <c r="T1329" s="78"/>
      <c r="V1329">
        <v>0</v>
      </c>
      <c r="Z1329" s="42">
        <f t="shared" si="173"/>
        <v>0</v>
      </c>
      <c r="AA1329" s="6">
        <f t="shared" si="172"/>
        <v>0</v>
      </c>
      <c r="AB1329" s="42">
        <f t="shared" si="174"/>
        <v>0</v>
      </c>
      <c r="AC1329" s="42"/>
    </row>
    <row r="1330" spans="3:29" x14ac:dyDescent="0.3">
      <c r="Q1330" s="46">
        <f>c_cog+c_lung+c_hosp_fu+c_CSG</f>
        <v>58348.510902399998</v>
      </c>
      <c r="R1330" s="46"/>
      <c r="T1330" s="78"/>
      <c r="Z1330" s="42">
        <f t="shared" si="173"/>
        <v>0</v>
      </c>
      <c r="AA1330" s="6">
        <f t="shared" si="172"/>
        <v>0</v>
      </c>
      <c r="AB1330" s="42">
        <f t="shared" si="174"/>
        <v>0</v>
      </c>
      <c r="AC1330" s="42">
        <f>U1330*(Q1332-c_CSG)</f>
        <v>0</v>
      </c>
    </row>
    <row r="1331" spans="3:29" x14ac:dyDescent="0.3">
      <c r="Q1331" s="19" t="s">
        <v>369</v>
      </c>
      <c r="R1331" s="19"/>
      <c r="T1331" s="78"/>
      <c r="U1331">
        <f>$K$1325*$I$1314*$G$1279*$E$1207*$C$1053*$A$1008*$M$1320*$O$1325*Q1332</f>
        <v>0</v>
      </c>
      <c r="W1331" s="42">
        <f>$K$1326+$I$1315+$G$1280+$E$1208+$C$1054+$A$1009+$M$1321+$O$1326+Q1333</f>
        <v>46430.810148205637</v>
      </c>
      <c r="X1331">
        <f>u_Healthy</f>
        <v>0</v>
      </c>
      <c r="Z1331" s="42">
        <f t="shared" si="173"/>
        <v>0</v>
      </c>
      <c r="AA1331" s="6">
        <f t="shared" si="172"/>
        <v>0</v>
      </c>
      <c r="AB1331" s="42">
        <f t="shared" si="174"/>
        <v>0</v>
      </c>
      <c r="AC1331" s="42">
        <f>U1331*(Q1333-c_CSG)</f>
        <v>0</v>
      </c>
    </row>
    <row r="1332" spans="3:29" x14ac:dyDescent="0.3">
      <c r="C1332" s="42"/>
      <c r="Q1332" s="45">
        <f>1-Q1329-Q1326-Q1323</f>
        <v>0.61785831659300938</v>
      </c>
      <c r="R1332" s="45"/>
      <c r="T1332" s="78"/>
      <c r="V1332">
        <v>0</v>
      </c>
      <c r="Z1332" s="42">
        <f t="shared" si="173"/>
        <v>0</v>
      </c>
      <c r="AA1332" s="6">
        <f t="shared" si="172"/>
        <v>0</v>
      </c>
      <c r="AB1332" s="42">
        <f t="shared" si="174"/>
        <v>0</v>
      </c>
      <c r="AC1332" s="42">
        <f>U1332*(Q1334-c_CSG)</f>
        <v>0</v>
      </c>
    </row>
    <row r="1333" spans="3:29" x14ac:dyDescent="0.3">
      <c r="Q1333" s="46">
        <f>c_clinic_fu+c_CSG</f>
        <v>14403</v>
      </c>
      <c r="R1333" s="46"/>
      <c r="T1333" s="78"/>
      <c r="Z1333" s="42">
        <f t="shared" si="173"/>
        <v>0</v>
      </c>
      <c r="AA1333" s="6">
        <f t="shared" si="172"/>
        <v>0</v>
      </c>
      <c r="AB1333" s="42">
        <f t="shared" si="174"/>
        <v>0</v>
      </c>
      <c r="AC1333" s="42"/>
    </row>
    <row r="1334" spans="3:29" x14ac:dyDescent="0.3">
      <c r="Q1334" s="42"/>
      <c r="R1334" s="42"/>
      <c r="T1334" s="78"/>
      <c r="Z1334" s="42">
        <f t="shared" si="173"/>
        <v>0</v>
      </c>
      <c r="AA1334" s="6">
        <f t="shared" si="172"/>
        <v>0</v>
      </c>
      <c r="AB1334" s="42">
        <f t="shared" si="174"/>
        <v>0</v>
      </c>
      <c r="AC1334" s="42">
        <f>U1334*(Q1336-c_CSG)</f>
        <v>0</v>
      </c>
    </row>
    <row r="1335" spans="3:29" x14ac:dyDescent="0.3">
      <c r="Q1335" s="19" t="s">
        <v>367</v>
      </c>
      <c r="R1335" s="19"/>
      <c r="T1335" s="78"/>
      <c r="U1335">
        <f>$K$1325*$I$1314*$G$1279*$E$1207*$C$1053*$A$1008*$M$1340*$O$1338*Q1336</f>
        <v>0</v>
      </c>
      <c r="W1335" s="42">
        <f>$K$1326+$I$1315+$G$1280+$E$1208+$C$1054+$A$1009+$M$1341+$O$1339+Q1337</f>
        <v>58897.971302399994</v>
      </c>
      <c r="X1335">
        <f>u_ChronicResp</f>
        <v>0.53465956747782661</v>
      </c>
      <c r="Z1335" s="42">
        <f t="shared" si="173"/>
        <v>0</v>
      </c>
      <c r="AA1335" s="6">
        <f t="shared" si="172"/>
        <v>0</v>
      </c>
      <c r="AB1335" s="42">
        <f t="shared" si="174"/>
        <v>0</v>
      </c>
      <c r="AC1335" s="42">
        <f>U1335*(Q1337-c_CSG)</f>
        <v>0</v>
      </c>
    </row>
    <row r="1336" spans="3:29" x14ac:dyDescent="0.3">
      <c r="Q1336" s="45">
        <f>noRDS2CLD_3-(Hypo2CI_3*noRDS2CLD_3)</f>
        <v>0</v>
      </c>
      <c r="R1336" s="45"/>
      <c r="T1336" s="78"/>
      <c r="V1336">
        <v>0</v>
      </c>
      <c r="Z1336" s="42">
        <f t="shared" si="173"/>
        <v>0</v>
      </c>
      <c r="AA1336" s="6">
        <f t="shared" si="172"/>
        <v>0</v>
      </c>
      <c r="AB1336" s="42">
        <f t="shared" si="174"/>
        <v>0</v>
      </c>
      <c r="AC1336" s="42"/>
    </row>
    <row r="1337" spans="3:29" x14ac:dyDescent="0.3">
      <c r="O1337" s="19" t="s">
        <v>161</v>
      </c>
      <c r="Q1337" s="46">
        <f>c_lung+c_hosp_fu+c_CSG</f>
        <v>54529.510902399998</v>
      </c>
      <c r="R1337" s="46"/>
      <c r="T1337" s="78"/>
      <c r="Z1337" s="42">
        <f t="shared" si="173"/>
        <v>0</v>
      </c>
      <c r="AA1337" s="6">
        <f t="shared" si="172"/>
        <v>0</v>
      </c>
      <c r="AB1337" s="42">
        <f t="shared" si="174"/>
        <v>0</v>
      </c>
      <c r="AC1337" s="42">
        <f>U1337*(Q1339-c_CSG)</f>
        <v>0</v>
      </c>
    </row>
    <row r="1338" spans="3:29" x14ac:dyDescent="0.3">
      <c r="O1338" s="45">
        <f>AGA_term_2hypoglycaemia_3</f>
        <v>0</v>
      </c>
      <c r="Q1338" s="19" t="s">
        <v>226</v>
      </c>
      <c r="R1338" s="19"/>
      <c r="T1338" s="78"/>
      <c r="U1338">
        <f>$K$1325*$I$1314*$G$1279*$E$1207*$C$1053*$A$1008*$M$1340*$O$1338*Q1339</f>
        <v>0</v>
      </c>
      <c r="W1338" s="42">
        <f>$K$1326+$I$1315+$G$1280+$E$1208+$C$1054+$A$1009+$M$1341+$O$1339+Q1340</f>
        <v>20134.4604</v>
      </c>
      <c r="X1338">
        <f>u_CongnitiveImpairement</f>
        <v>17.270393127285455</v>
      </c>
      <c r="Z1338" s="42">
        <f t="shared" si="173"/>
        <v>0</v>
      </c>
      <c r="AA1338" s="6">
        <f t="shared" si="172"/>
        <v>0</v>
      </c>
      <c r="AB1338" s="42">
        <f t="shared" ref="AB1338:AB1358" si="175">U1338*c_CSG</f>
        <v>0</v>
      </c>
      <c r="AC1338" s="42">
        <f>U1338*(Q1340-c_CSG)</f>
        <v>0</v>
      </c>
    </row>
    <row r="1339" spans="3:29" x14ac:dyDescent="0.3">
      <c r="M1339" s="19" t="s">
        <v>203</v>
      </c>
      <c r="O1339" s="46">
        <f>c_hypo</f>
        <v>2936.2604000000001</v>
      </c>
      <c r="Q1339" s="45">
        <f>Hypo2CI_3-(Hypo2CI_3*noRDS2CLD_3)</f>
        <v>5.1333333333333335E-2</v>
      </c>
      <c r="R1339" s="45"/>
      <c r="T1339" s="78"/>
      <c r="V1339">
        <v>0</v>
      </c>
      <c r="Z1339" s="42">
        <f t="shared" si="173"/>
        <v>0</v>
      </c>
      <c r="AA1339" s="6">
        <f t="shared" si="172"/>
        <v>0</v>
      </c>
      <c r="AB1339" s="42">
        <f t="shared" si="175"/>
        <v>0</v>
      </c>
      <c r="AC1339" s="42"/>
    </row>
    <row r="1340" spans="3:29" x14ac:dyDescent="0.3">
      <c r="M1340" s="45">
        <f>S_term_2noRDS_3</f>
        <v>1</v>
      </c>
      <c r="Q1340" s="46">
        <f>c_cog+c_hosp_fu+c_CSG</f>
        <v>15766</v>
      </c>
      <c r="R1340" s="46"/>
      <c r="T1340" s="78"/>
      <c r="Z1340" s="42">
        <f t="shared" si="173"/>
        <v>0</v>
      </c>
      <c r="AA1340" s="6">
        <f t="shared" si="172"/>
        <v>0</v>
      </c>
      <c r="AB1340" s="42">
        <f t="shared" si="175"/>
        <v>0</v>
      </c>
      <c r="AC1340" s="42">
        <f>U1340*(Q1342-c_CSG)</f>
        <v>0</v>
      </c>
    </row>
    <row r="1341" spans="3:29" x14ac:dyDescent="0.3">
      <c r="M1341" s="46"/>
      <c r="O1341" s="42"/>
      <c r="Q1341" s="19" t="s">
        <v>368</v>
      </c>
      <c r="R1341" s="19"/>
      <c r="T1341" s="78"/>
      <c r="U1341">
        <f>$K$1325*$I$1314*$G$1279*$E$1207*$C$1053*$A$1008*$M$1340*$O$1338*Q1342</f>
        <v>0</v>
      </c>
      <c r="W1341" s="42">
        <f>$K$1326+$I$1315+$G$1280+$E$1208+$C$1054+$A$1009+$M$1341+$O$1339+Q1343</f>
        <v>62716.971302399994</v>
      </c>
      <c r="X1341">
        <f>u_ChronicResp+u_CongnitiveImpairement</f>
        <v>17.805052694763283</v>
      </c>
      <c r="Z1341" s="42">
        <f t="shared" si="173"/>
        <v>0</v>
      </c>
      <c r="AA1341" s="6">
        <f t="shared" si="172"/>
        <v>0</v>
      </c>
      <c r="AB1341" s="42">
        <f t="shared" si="175"/>
        <v>0</v>
      </c>
      <c r="AC1341" s="42">
        <f>U1341*(Q1343-c_CSG)</f>
        <v>0</v>
      </c>
    </row>
    <row r="1342" spans="3:29" x14ac:dyDescent="0.3">
      <c r="M1342" s="42"/>
      <c r="Q1342" s="45">
        <f>noRDS2CLD_3*Hypo2CI_3</f>
        <v>0</v>
      </c>
      <c r="R1342" s="45"/>
      <c r="T1342" s="78"/>
      <c r="V1342">
        <v>0</v>
      </c>
      <c r="Z1342" s="42">
        <f t="shared" si="173"/>
        <v>0</v>
      </c>
      <c r="AA1342" s="6">
        <f t="shared" si="172"/>
        <v>0</v>
      </c>
      <c r="AB1342" s="42">
        <f t="shared" si="175"/>
        <v>0</v>
      </c>
      <c r="AC1342" s="42"/>
    </row>
    <row r="1343" spans="3:29" x14ac:dyDescent="0.3">
      <c r="M1343" s="42"/>
      <c r="Q1343" s="46">
        <f>c_lung+c_cog+c_hosp_fu+c_CSG</f>
        <v>58348.510902399998</v>
      </c>
      <c r="R1343" s="46"/>
      <c r="T1343" s="78"/>
      <c r="Z1343" s="42">
        <f t="shared" si="173"/>
        <v>0</v>
      </c>
      <c r="AA1343" s="6">
        <f t="shared" si="172"/>
        <v>0</v>
      </c>
      <c r="AB1343" s="42">
        <f t="shared" si="175"/>
        <v>0</v>
      </c>
      <c r="AC1343" s="42">
        <f>U1343*(Q1345-c_CSG)</f>
        <v>0</v>
      </c>
    </row>
    <row r="1344" spans="3:29" x14ac:dyDescent="0.3">
      <c r="M1344" s="42"/>
      <c r="Q1344" s="19" t="s">
        <v>369</v>
      </c>
      <c r="R1344" s="19"/>
      <c r="T1344" s="78"/>
      <c r="U1344">
        <f>$K$1325*$I$1314*$G$1279*$E$1207*$C$1053*$A$1008*$M$1340*$O$1338*Q1345</f>
        <v>0</v>
      </c>
      <c r="W1344" s="42">
        <f>$K$1326+$I$1315+$G$1280+$E$1208+$C$1054+$A$1009+$M$1341+$O$1339+Q1346</f>
        <v>18771.4604</v>
      </c>
      <c r="X1344">
        <f>u_Healthy</f>
        <v>0</v>
      </c>
      <c r="Z1344" s="42">
        <f t="shared" si="173"/>
        <v>0</v>
      </c>
      <c r="AA1344" s="6">
        <f t="shared" si="172"/>
        <v>0</v>
      </c>
      <c r="AB1344" s="42">
        <f t="shared" si="175"/>
        <v>0</v>
      </c>
      <c r="AC1344" s="42">
        <f>U1344*(Q1346-c_CSG)</f>
        <v>0</v>
      </c>
    </row>
    <row r="1345" spans="1:29" x14ac:dyDescent="0.3">
      <c r="M1345" s="42"/>
      <c r="O1345" s="42"/>
      <c r="Q1345" s="45">
        <f>1-Q1342-Q1339-Q1336</f>
        <v>0.94866666666666666</v>
      </c>
      <c r="R1345" s="45"/>
      <c r="T1345" s="78"/>
      <c r="V1345">
        <v>0</v>
      </c>
      <c r="Z1345" s="42">
        <f t="shared" si="173"/>
        <v>0</v>
      </c>
      <c r="AA1345" s="6">
        <f t="shared" si="172"/>
        <v>0</v>
      </c>
      <c r="AB1345" s="42">
        <f t="shared" si="175"/>
        <v>0</v>
      </c>
      <c r="AC1345" s="42">
        <f>U1345*(Q1347-c_CSG)</f>
        <v>0</v>
      </c>
    </row>
    <row r="1346" spans="1:29" x14ac:dyDescent="0.3">
      <c r="M1346" s="42"/>
      <c r="Q1346" s="46">
        <f>c_clinic_fu+c_CSG</f>
        <v>14403</v>
      </c>
      <c r="R1346" s="46"/>
      <c r="S1346" s="94"/>
      <c r="T1346" s="78"/>
      <c r="Z1346" s="42">
        <f t="shared" si="173"/>
        <v>0</v>
      </c>
      <c r="AA1346" s="6">
        <f t="shared" si="172"/>
        <v>0</v>
      </c>
      <c r="AB1346" s="42">
        <f t="shared" si="175"/>
        <v>0</v>
      </c>
      <c r="AC1346" s="42"/>
    </row>
    <row r="1347" spans="1:29" x14ac:dyDescent="0.3">
      <c r="M1347" s="42"/>
      <c r="Q1347" s="42"/>
      <c r="R1347" s="42"/>
      <c r="T1347" s="78"/>
      <c r="Z1347" s="42">
        <f t="shared" si="173"/>
        <v>0</v>
      </c>
      <c r="AA1347" s="6">
        <f t="shared" si="172"/>
        <v>0</v>
      </c>
      <c r="AB1347" s="42">
        <f t="shared" si="175"/>
        <v>0</v>
      </c>
      <c r="AC1347" s="42">
        <f>U1347*(Q1349-c_CSG)</f>
        <v>0</v>
      </c>
    </row>
    <row r="1348" spans="1:29" x14ac:dyDescent="0.3">
      <c r="M1348" s="42"/>
      <c r="Q1348" s="19" t="s">
        <v>367</v>
      </c>
      <c r="R1348" s="19"/>
      <c r="T1348" s="78"/>
      <c r="U1348">
        <f>$K$1325*$I$1314*$G$1279*$E$1207*$C$1053*$A$1008*$M$1340*$O$1352*Q1349</f>
        <v>0</v>
      </c>
      <c r="W1348" s="42">
        <f>$K$1326+$I$1315+$G$1280+$E$1208+$C$1054+$A$1009+$M$1341+$O$1353+Q1350</f>
        <v>57990.971302399994</v>
      </c>
      <c r="X1348">
        <f>u_ChronicResp</f>
        <v>0.53465956747782661</v>
      </c>
      <c r="Z1348" s="42">
        <f t="shared" si="173"/>
        <v>0</v>
      </c>
      <c r="AA1348" s="6">
        <f t="shared" si="172"/>
        <v>0</v>
      </c>
      <c r="AB1348" s="42">
        <f t="shared" si="175"/>
        <v>0</v>
      </c>
      <c r="AC1348" s="42">
        <f>U1348*(Q1350-c_CSG)</f>
        <v>0</v>
      </c>
    </row>
    <row r="1349" spans="1:29" x14ac:dyDescent="0.3">
      <c r="M1349" s="42"/>
      <c r="Q1349" s="45">
        <f>noRDS2CLD_3-(noRDS2CLD_3*noHypo2CI_3)</f>
        <v>0</v>
      </c>
      <c r="R1349" s="45"/>
      <c r="T1349" s="78"/>
      <c r="V1349">
        <v>0</v>
      </c>
      <c r="Z1349" s="42">
        <f t="shared" si="173"/>
        <v>0</v>
      </c>
      <c r="AA1349" s="6">
        <f t="shared" si="172"/>
        <v>0</v>
      </c>
      <c r="AB1349" s="42">
        <f t="shared" si="175"/>
        <v>0</v>
      </c>
      <c r="AC1349" s="42"/>
    </row>
    <row r="1350" spans="1:29" x14ac:dyDescent="0.3">
      <c r="M1350" s="42"/>
      <c r="Q1350" s="46">
        <f>c_lung+c_hypo+c_CSG</f>
        <v>56558.771302399997</v>
      </c>
      <c r="R1350" s="46"/>
      <c r="T1350" s="78"/>
      <c r="Z1350" s="42">
        <f t="shared" si="173"/>
        <v>0</v>
      </c>
      <c r="AA1350" s="6">
        <f t="shared" si="172"/>
        <v>0</v>
      </c>
      <c r="AB1350" s="42">
        <f t="shared" si="175"/>
        <v>0</v>
      </c>
      <c r="AC1350" s="42">
        <f>U1350*(Q1352-c_CSG)</f>
        <v>0</v>
      </c>
    </row>
    <row r="1351" spans="1:29" x14ac:dyDescent="0.3">
      <c r="M1351" s="42"/>
      <c r="O1351" s="19" t="s">
        <v>370</v>
      </c>
      <c r="Q1351" s="19" t="s">
        <v>226</v>
      </c>
      <c r="R1351" s="19"/>
      <c r="T1351" s="78"/>
      <c r="U1351">
        <f>$K$1325*$I$1314*$G$1279*$E$1207*$C$1053*$A$1008*$M$1340*$O$1352*Q1352</f>
        <v>1.1717727309838822E-2</v>
      </c>
      <c r="V1351">
        <v>1.1717727309838824E-2</v>
      </c>
      <c r="W1351" s="42">
        <f>$K$1326+$I$1315+$G$1280+$E$1208+$C$1054+$A$1009+$M$1341+$O$1353+Q1353</f>
        <v>17198.2</v>
      </c>
      <c r="X1351">
        <f>u_CongnitiveImpairement</f>
        <v>17.270393127285455</v>
      </c>
      <c r="Z1351" s="42">
        <f t="shared" si="173"/>
        <v>201.52381782007004</v>
      </c>
      <c r="AA1351" s="6">
        <f t="shared" si="172"/>
        <v>0.20236975719924549</v>
      </c>
      <c r="AB1351" s="42">
        <f t="shared" si="175"/>
        <v>129.36370950062059</v>
      </c>
      <c r="AC1351" s="42">
        <f>U1351*(Q1353-c_CSG)</f>
        <v>55.377979266298276</v>
      </c>
    </row>
    <row r="1352" spans="1:29" x14ac:dyDescent="0.3">
      <c r="M1352" s="42"/>
      <c r="O1352" s="45">
        <f>AGA_term_2normoglycaemia_3</f>
        <v>1</v>
      </c>
      <c r="Q1352" s="45">
        <f>noHypo2CI_3</f>
        <v>3.3085576536761752E-2</v>
      </c>
      <c r="R1352" s="45"/>
      <c r="T1352" s="78"/>
      <c r="Z1352" s="42">
        <f t="shared" si="173"/>
        <v>0</v>
      </c>
      <c r="AA1352" s="6">
        <f t="shared" si="172"/>
        <v>0</v>
      </c>
      <c r="AB1352" s="42">
        <f t="shared" si="175"/>
        <v>0</v>
      </c>
      <c r="AC1352" s="42"/>
    </row>
    <row r="1353" spans="1:29" x14ac:dyDescent="0.3">
      <c r="M1353" s="42"/>
      <c r="O1353" s="46"/>
      <c r="Q1353" s="46">
        <f>c_cog+c_hosp_fu+c_CSG</f>
        <v>15766</v>
      </c>
      <c r="R1353" s="46"/>
      <c r="T1353" s="78"/>
      <c r="Z1353" s="42">
        <f t="shared" si="173"/>
        <v>0</v>
      </c>
      <c r="AA1353" s="6">
        <f t="shared" si="172"/>
        <v>0</v>
      </c>
      <c r="AB1353" s="42">
        <f t="shared" si="175"/>
        <v>0</v>
      </c>
      <c r="AC1353" s="42">
        <f>U1353*(Q1355-c_CSG)</f>
        <v>0</v>
      </c>
    </row>
    <row r="1354" spans="1:29" x14ac:dyDescent="0.3">
      <c r="G1354" s="42"/>
      <c r="M1354" s="42"/>
      <c r="Q1354" s="19" t="s">
        <v>368</v>
      </c>
      <c r="R1354" s="19"/>
      <c r="T1354" s="78"/>
      <c r="U1354">
        <f>$K$1325*$I$1314*$G$1279*$E$1207*$C$1053*$A$1008*$M$1340*$O$1352*Q1355</f>
        <v>0</v>
      </c>
      <c r="W1354" s="42">
        <f>$K$1326+$I$1315+$G$1280+$E$1208+$C$1054+$A$1009+$M$1341+$O$1353+Q1356</f>
        <v>59780.710902399995</v>
      </c>
      <c r="X1354">
        <f>u_ChronicResp+u_CongnitiveImpairement</f>
        <v>17.805052694763283</v>
      </c>
      <c r="Z1354" s="42">
        <f t="shared" si="173"/>
        <v>0</v>
      </c>
      <c r="AA1354" s="6">
        <f t="shared" si="172"/>
        <v>0</v>
      </c>
      <c r="AB1354" s="42">
        <f t="shared" si="175"/>
        <v>0</v>
      </c>
      <c r="AC1354" s="42">
        <f>U1354*(Q1356-c_CSG)</f>
        <v>0</v>
      </c>
    </row>
    <row r="1355" spans="1:29" x14ac:dyDescent="0.3">
      <c r="Q1355" s="45">
        <f>noRDS2CLD_3*noHypo2CI_3</f>
        <v>0</v>
      </c>
      <c r="R1355" s="45"/>
      <c r="T1355" s="78"/>
      <c r="V1355">
        <v>0</v>
      </c>
      <c r="Z1355" s="42">
        <f t="shared" si="173"/>
        <v>0</v>
      </c>
      <c r="AA1355" s="6">
        <f t="shared" si="172"/>
        <v>0</v>
      </c>
      <c r="AB1355" s="42">
        <f t="shared" si="175"/>
        <v>0</v>
      </c>
      <c r="AC1355" s="42"/>
    </row>
    <row r="1356" spans="1:29" x14ac:dyDescent="0.3">
      <c r="Q1356" s="46">
        <f>c_cog+c_lung+c_hosp_fu+c_CSG</f>
        <v>58348.510902399998</v>
      </c>
      <c r="R1356" s="46"/>
      <c r="T1356" s="78"/>
      <c r="Z1356" s="42">
        <f t="shared" si="173"/>
        <v>0</v>
      </c>
      <c r="AA1356" s="6">
        <f t="shared" si="172"/>
        <v>0</v>
      </c>
      <c r="AB1356" s="42">
        <f t="shared" si="175"/>
        <v>0</v>
      </c>
      <c r="AC1356" s="42">
        <f>U1356*(Q1358-c_CSG)</f>
        <v>0</v>
      </c>
    </row>
    <row r="1357" spans="1:29" x14ac:dyDescent="0.3">
      <c r="M1357" s="42"/>
      <c r="Q1357" s="19" t="s">
        <v>369</v>
      </c>
      <c r="R1357" s="19"/>
      <c r="T1357" s="78"/>
      <c r="U1357">
        <f>$K$1325*$I$1314*$G$1279*$E$1207*$C$1053*$A$1008*$M$1340*$O$1352*Q1358</f>
        <v>0.34244648974163455</v>
      </c>
      <c r="V1357">
        <v>0.34244648974163461</v>
      </c>
      <c r="W1357" s="42">
        <f>$K$1326+$I$1315+$G$1280+$E$1208+$C$1054+$A$1009+$M$1341+$O$1353+Q1359</f>
        <v>15835.2</v>
      </c>
      <c r="X1357">
        <f>u_Healthy</f>
        <v>0</v>
      </c>
      <c r="Z1357" s="42">
        <f t="shared" si="173"/>
        <v>5422.708654356732</v>
      </c>
      <c r="AA1357" s="6">
        <f t="shared" ref="AA1357:AA1420" si="176">U1357*X1357</f>
        <v>0</v>
      </c>
      <c r="AB1357" s="42">
        <f t="shared" si="175"/>
        <v>3780.6092467476456</v>
      </c>
      <c r="AC1357" s="42">
        <f>U1357*(Q1359-c_CSG)</f>
        <v>1151.6475450011169</v>
      </c>
    </row>
    <row r="1358" spans="1:29" x14ac:dyDescent="0.3">
      <c r="M1358" s="42"/>
      <c r="Q1358" s="45">
        <f>1-Q1355-Q1352-Q1349</f>
        <v>0.9669144234632383</v>
      </c>
      <c r="R1358" s="45"/>
      <c r="T1358" s="78"/>
      <c r="Z1358" s="42">
        <f t="shared" si="173"/>
        <v>0</v>
      </c>
      <c r="AA1358" s="6">
        <f t="shared" si="176"/>
        <v>0</v>
      </c>
      <c r="AB1358" s="42">
        <f t="shared" si="175"/>
        <v>0</v>
      </c>
      <c r="AC1358" s="42">
        <f>U1358*(Q1360-c_CSG)</f>
        <v>0</v>
      </c>
    </row>
    <row r="1359" spans="1:29" x14ac:dyDescent="0.3">
      <c r="M1359" s="42"/>
      <c r="Q1359" s="46">
        <f>c_clinic_fu+c_CSG</f>
        <v>14403</v>
      </c>
      <c r="R1359" s="46"/>
      <c r="S1359" s="95"/>
      <c r="T1359" s="78"/>
      <c r="Z1359" s="42">
        <f t="shared" ref="Z1359:Z1422" si="177">U1359*W1359</f>
        <v>0</v>
      </c>
      <c r="AA1359" s="6">
        <f t="shared" si="176"/>
        <v>0</v>
      </c>
      <c r="AB1359" s="42"/>
      <c r="AC1359" s="42"/>
    </row>
    <row r="1360" spans="1:29" x14ac:dyDescent="0.3">
      <c r="A1360" s="81"/>
      <c r="B1360" s="81"/>
      <c r="C1360" s="81"/>
      <c r="D1360" s="81"/>
      <c r="E1360" s="81"/>
      <c r="F1360" s="81"/>
      <c r="G1360" s="81"/>
      <c r="H1360" s="81"/>
      <c r="I1360" s="81"/>
      <c r="J1360" s="81"/>
      <c r="K1360" s="81"/>
      <c r="L1360" s="81"/>
      <c r="M1360" s="83"/>
      <c r="N1360" s="81"/>
      <c r="O1360" s="81"/>
      <c r="P1360" s="81"/>
      <c r="Q1360" s="83"/>
      <c r="R1360" s="42"/>
      <c r="T1360" s="78"/>
      <c r="Z1360" s="42">
        <f t="shared" si="177"/>
        <v>0</v>
      </c>
      <c r="AA1360" s="6">
        <f t="shared" si="176"/>
        <v>0</v>
      </c>
      <c r="AB1360" s="42"/>
      <c r="AC1360" s="42"/>
    </row>
    <row r="1361" spans="3:29" x14ac:dyDescent="0.3">
      <c r="C1361" s="19" t="s">
        <v>3</v>
      </c>
      <c r="D1361" s="19"/>
      <c r="E1361" s="19"/>
      <c r="F1361" s="19"/>
      <c r="G1361" s="19"/>
      <c r="H1361" s="19"/>
      <c r="I1361" s="19"/>
      <c r="J1361" s="19"/>
      <c r="K1361" s="19"/>
      <c r="L1361" s="19"/>
      <c r="M1361" s="19"/>
      <c r="N1361" s="19"/>
      <c r="O1361" s="19"/>
      <c r="P1361" s="19"/>
      <c r="Q1361" s="19"/>
      <c r="R1361" s="19"/>
      <c r="T1361" s="78"/>
      <c r="U1361">
        <f>C1362*A1460</f>
        <v>5.3341426403641888E-3</v>
      </c>
      <c r="V1361">
        <v>5.3341426403641888E-3</v>
      </c>
      <c r="W1361" s="42">
        <f>C1363+A1461</f>
        <v>1792</v>
      </c>
      <c r="X1361">
        <f>u_Death</f>
        <v>19.181538114427529</v>
      </c>
      <c r="Z1361" s="42">
        <f t="shared" si="177"/>
        <v>9.5587836115326255</v>
      </c>
      <c r="AA1361" s="6">
        <f t="shared" si="176"/>
        <v>0.10231706036393878</v>
      </c>
      <c r="AB1361" s="42"/>
      <c r="AC1361" s="42"/>
    </row>
    <row r="1362" spans="3:29" x14ac:dyDescent="0.3">
      <c r="C1362" s="45">
        <f>NoANC2SB_4</f>
        <v>3.1562974203338388E-2</v>
      </c>
      <c r="T1362" s="78"/>
      <c r="Z1362" s="42">
        <f t="shared" si="177"/>
        <v>0</v>
      </c>
      <c r="AA1362" s="6">
        <f t="shared" si="176"/>
        <v>0</v>
      </c>
      <c r="AB1362" s="42"/>
      <c r="AC1362" s="42"/>
    </row>
    <row r="1363" spans="3:29" x14ac:dyDescent="0.3">
      <c r="C1363" s="46">
        <f>c_SB</f>
        <v>1792</v>
      </c>
      <c r="T1363" s="78"/>
      <c r="Z1363" s="42">
        <f t="shared" si="177"/>
        <v>0</v>
      </c>
      <c r="AA1363" s="6">
        <f t="shared" si="176"/>
        <v>0</v>
      </c>
      <c r="AB1363" s="42"/>
      <c r="AC1363" s="42"/>
    </row>
    <row r="1364" spans="3:29" x14ac:dyDescent="0.3">
      <c r="C1364" s="46"/>
      <c r="T1364" s="78"/>
      <c r="Z1364" s="42">
        <f t="shared" si="177"/>
        <v>0</v>
      </c>
      <c r="AA1364" s="6">
        <f t="shared" si="176"/>
        <v>0</v>
      </c>
      <c r="AB1364" s="42"/>
      <c r="AC1364" s="42"/>
    </row>
    <row r="1365" spans="3:29" x14ac:dyDescent="0.3">
      <c r="K1365" s="19" t="s">
        <v>165</v>
      </c>
      <c r="L1365" s="19"/>
      <c r="M1365" s="19"/>
      <c r="N1365" s="19"/>
      <c r="O1365" s="19"/>
      <c r="P1365" s="19"/>
      <c r="Q1365" s="19"/>
      <c r="R1365" s="19"/>
      <c r="T1365" s="78"/>
      <c r="U1365">
        <f>$K$1366*$I$1374*$G$1398*$E$1436*$C$1505*$A$1460</f>
        <v>7.2182412917313988E-4</v>
      </c>
      <c r="V1365">
        <v>7.2182412917313988E-4</v>
      </c>
      <c r="W1365" s="42">
        <f>$K$1367+$I$1375+$G$1399+$E$1437+$C$1506+$A$1461</f>
        <v>257071.45980810808</v>
      </c>
      <c r="X1365">
        <f>u_Death</f>
        <v>19.181538114427529</v>
      </c>
      <c r="Z1365" s="42">
        <f t="shared" si="177"/>
        <v>185.56038261125545</v>
      </c>
      <c r="AA1365" s="6">
        <f t="shared" si="176"/>
        <v>1.3845697045648043E-2</v>
      </c>
      <c r="AB1365" s="42"/>
      <c r="AC1365" s="42"/>
    </row>
    <row r="1366" spans="3:29" x14ac:dyDescent="0.3">
      <c r="K1366" s="45">
        <f>SGA_prem_2d_4</f>
        <v>8.4066666666666665E-2</v>
      </c>
      <c r="T1366" s="78"/>
      <c r="Z1366" s="42">
        <f t="shared" si="177"/>
        <v>0</v>
      </c>
      <c r="AA1366" s="6">
        <f t="shared" si="176"/>
        <v>0</v>
      </c>
      <c r="AB1366" s="42"/>
      <c r="AC1366" s="42"/>
    </row>
    <row r="1367" spans="3:29" x14ac:dyDescent="0.3">
      <c r="K1367" s="46">
        <f>c_SB</f>
        <v>1792</v>
      </c>
      <c r="T1367" s="78"/>
      <c r="Z1367" s="42">
        <f t="shared" si="177"/>
        <v>0</v>
      </c>
      <c r="AA1367" s="6">
        <f t="shared" si="176"/>
        <v>0</v>
      </c>
      <c r="AB1367" s="42"/>
      <c r="AC1367" s="42"/>
    </row>
    <row r="1368" spans="3:29" x14ac:dyDescent="0.3">
      <c r="T1368" s="78"/>
      <c r="Z1368" s="42">
        <f t="shared" si="177"/>
        <v>0</v>
      </c>
      <c r="AA1368" s="6">
        <f t="shared" si="176"/>
        <v>0</v>
      </c>
      <c r="AB1368" s="42"/>
      <c r="AC1368" s="42">
        <f>U1368*(Q1370-c_CSG)</f>
        <v>0</v>
      </c>
    </row>
    <row r="1369" spans="3:29" x14ac:dyDescent="0.3">
      <c r="Q1369" s="19" t="s">
        <v>367</v>
      </c>
      <c r="R1369" s="19"/>
      <c r="T1369" s="78"/>
      <c r="U1369">
        <f>$K$1385*$I$1374*$G$1398*$E$1436*$C$1505*$A$1460*$M$1380*$O$1375*Q1370</f>
        <v>2.6118730470040626E-4</v>
      </c>
      <c r="V1369">
        <v>2.6118730470040626E-4</v>
      </c>
      <c r="W1369" s="42">
        <f>$K$1386+$I$1375+$G$1399+$E$1437+$C$1506+$A$1461+$M$1381+$O$1376+Q1371</f>
        <v>343340.84125871374</v>
      </c>
      <c r="X1369">
        <f>u_ChronicResp</f>
        <v>0.53465956747782661</v>
      </c>
      <c r="Z1369" s="42">
        <f t="shared" si="177"/>
        <v>89.676268921933485</v>
      </c>
      <c r="AA1369" s="6">
        <f t="shared" si="176"/>
        <v>1.3964629136181851E-4</v>
      </c>
      <c r="AB1369" s="42">
        <f t="shared" ref="AB1369:AB1400" si="178">U1369*c_CSG</f>
        <v>2.883507843892485</v>
      </c>
      <c r="AC1369" s="42">
        <f>U1369*(Q1371-c_CSG)</f>
        <v>11.358908135336788</v>
      </c>
    </row>
    <row r="1370" spans="3:29" x14ac:dyDescent="0.3">
      <c r="Q1370" s="45">
        <f>RDS2CLD_4-(Hypo2CI_4*RDS2CLD_4)</f>
        <v>0.34246866666666664</v>
      </c>
      <c r="R1370" s="45"/>
      <c r="T1370" s="78"/>
      <c r="Z1370" s="42">
        <f t="shared" si="177"/>
        <v>0</v>
      </c>
      <c r="AA1370" s="6">
        <f t="shared" si="176"/>
        <v>0</v>
      </c>
      <c r="AB1370" s="42">
        <f t="shared" si="178"/>
        <v>0</v>
      </c>
      <c r="AC1370" s="42"/>
    </row>
    <row r="1371" spans="3:29" x14ac:dyDescent="0.3">
      <c r="Q1371" s="46">
        <f>c_lung+c_hosp_fu+c_CSG</f>
        <v>54529.510902399998</v>
      </c>
      <c r="R1371" s="46"/>
      <c r="T1371" s="78"/>
      <c r="Z1371" s="42">
        <f t="shared" si="177"/>
        <v>0</v>
      </c>
      <c r="AA1371" s="6">
        <f t="shared" si="176"/>
        <v>0</v>
      </c>
      <c r="AB1371" s="42">
        <f t="shared" si="178"/>
        <v>0</v>
      </c>
      <c r="AC1371" s="42">
        <f>U1371*(Q1373-c_CSG)</f>
        <v>0</v>
      </c>
    </row>
    <row r="1372" spans="3:29" x14ac:dyDescent="0.3">
      <c r="Q1372" s="19" t="s">
        <v>226</v>
      </c>
      <c r="R1372" s="19"/>
      <c r="T1372" s="78"/>
      <c r="U1372">
        <f>$K$1385*$I$1374*$G$1398*$E$1436*$C$1505*$A$1460*$M$1380*$O$1375*Q1373</f>
        <v>2.501678781937051E-5</v>
      </c>
      <c r="V1372">
        <v>2.501678781937051E-5</v>
      </c>
      <c r="W1372" s="42">
        <f>$K$1386+$I$1375+$G$1399+$E$1437+$C$1506+$A$1461+$M$1381+$O$1376+Q1374</f>
        <v>304577.33035631373</v>
      </c>
      <c r="X1372">
        <f>u_CongnitiveImpairement</f>
        <v>17.270393127285455</v>
      </c>
      <c r="Z1372" s="42">
        <f t="shared" si="177"/>
        <v>7.6195464481142174</v>
      </c>
      <c r="AA1372" s="6">
        <f t="shared" si="176"/>
        <v>4.3204976042241497E-4</v>
      </c>
      <c r="AB1372" s="42">
        <f t="shared" si="178"/>
        <v>0.27618533752585045</v>
      </c>
      <c r="AC1372" s="42">
        <f>U1372*(Q1374-c_CSG)</f>
        <v>0.11822933923434503</v>
      </c>
    </row>
    <row r="1373" spans="3:29" x14ac:dyDescent="0.3">
      <c r="I1373" s="19" t="s">
        <v>164</v>
      </c>
      <c r="Q1373" s="45">
        <f>Hypo2CI_4-(Hypo2CI_4*RDS2CLD_4)</f>
        <v>3.2801999999999998E-2</v>
      </c>
      <c r="R1373" s="45"/>
      <c r="T1373" s="78"/>
      <c r="Z1373" s="42">
        <f t="shared" si="177"/>
        <v>0</v>
      </c>
      <c r="AA1373" s="6">
        <f t="shared" si="176"/>
        <v>0</v>
      </c>
      <c r="AB1373" s="42">
        <f t="shared" si="178"/>
        <v>0</v>
      </c>
      <c r="AC1373" s="42"/>
    </row>
    <row r="1374" spans="3:29" x14ac:dyDescent="0.3">
      <c r="I1374" s="45">
        <f>LBW_prem_2SGA_4</f>
        <v>0.44409547738693467</v>
      </c>
      <c r="O1374" s="19" t="s">
        <v>161</v>
      </c>
      <c r="Q1374" s="46">
        <f>c_cog+c_hosp_fu+c_CSG</f>
        <v>15766</v>
      </c>
      <c r="R1374" s="46"/>
      <c r="T1374" s="78"/>
      <c r="Z1374" s="42">
        <f t="shared" si="177"/>
        <v>0</v>
      </c>
      <c r="AA1374" s="6">
        <f t="shared" si="176"/>
        <v>0</v>
      </c>
      <c r="AB1374" s="42">
        <f t="shared" si="178"/>
        <v>0</v>
      </c>
      <c r="AC1374" s="42">
        <f>U1374*(Q1376-c_CSG)</f>
        <v>0</v>
      </c>
    </row>
    <row r="1375" spans="3:29" x14ac:dyDescent="0.3">
      <c r="I1375" s="46"/>
      <c r="O1375" s="45">
        <f>SGA_prem_2hypoglycaemia_4</f>
        <v>0.2155</v>
      </c>
      <c r="Q1375" s="19" t="s">
        <v>368</v>
      </c>
      <c r="R1375" s="19"/>
      <c r="T1375" s="78"/>
      <c r="U1375">
        <f>$K$1385*$I$1374*$G$1398*$E$1436*$C$1505*$A$1460*$M$1380*$O$1375*Q1376</f>
        <v>1.4133114871350164E-5</v>
      </c>
      <c r="V1375">
        <v>1.4133114871350164E-5</v>
      </c>
      <c r="W1375" s="42">
        <f>$K$1386+$I$1375+$G$1399+$E$1437+$C$1506+$A$1461+$M$1381+$O$1376+Q1377</f>
        <v>347159.84125871374</v>
      </c>
      <c r="X1375">
        <f>u_ChronicResp+u_CongnitiveImpairement</f>
        <v>17.805052694763283</v>
      </c>
      <c r="Z1375" s="42">
        <f t="shared" si="177"/>
        <v>4.9064499152290892</v>
      </c>
      <c r="AA1375" s="6">
        <f t="shared" si="176"/>
        <v>2.5164085502553228E-4</v>
      </c>
      <c r="AB1375" s="42">
        <f t="shared" si="178"/>
        <v>0.1560295881797058</v>
      </c>
      <c r="AC1375" s="42">
        <f>U1375*(Q1377-c_CSG)</f>
        <v>0.66861661897614078</v>
      </c>
    </row>
    <row r="1376" spans="3:29" x14ac:dyDescent="0.3">
      <c r="O1376" s="46">
        <f>c_hypo</f>
        <v>2936.2604000000001</v>
      </c>
      <c r="Q1376" s="45">
        <f>Hypo2CI_4*RDS2CLD_4</f>
        <v>1.8531333333333334E-2</v>
      </c>
      <c r="R1376" s="45"/>
      <c r="T1376" s="78"/>
      <c r="Z1376" s="42">
        <f t="shared" si="177"/>
        <v>0</v>
      </c>
      <c r="AA1376" s="6">
        <f t="shared" si="176"/>
        <v>0</v>
      </c>
      <c r="AB1376" s="42">
        <f t="shared" si="178"/>
        <v>0</v>
      </c>
      <c r="AC1376" s="42"/>
    </row>
    <row r="1377" spans="7:29" x14ac:dyDescent="0.3">
      <c r="M1377" s="42"/>
      <c r="Q1377" s="46">
        <f>c_lung+c_cog+c_hosp_fu+c_CSG</f>
        <v>58348.510902399998</v>
      </c>
      <c r="R1377" s="46"/>
      <c r="T1377" s="78"/>
      <c r="Z1377" s="42">
        <f t="shared" si="177"/>
        <v>0</v>
      </c>
      <c r="AA1377" s="6">
        <f t="shared" si="176"/>
        <v>0</v>
      </c>
      <c r="AB1377" s="42">
        <f t="shared" si="178"/>
        <v>0</v>
      </c>
      <c r="AC1377" s="42">
        <f>U1377*(Q1379-c_CSG)</f>
        <v>0</v>
      </c>
    </row>
    <row r="1378" spans="7:29" x14ac:dyDescent="0.3">
      <c r="Q1378" s="19" t="s">
        <v>369</v>
      </c>
      <c r="R1378" s="19"/>
      <c r="T1378" s="78"/>
      <c r="U1378">
        <f>$K$1385*$I$1374*$G$1398*$E$1436*$C$1505*$A$1460*$M$1380*$O$1375*Q1379</f>
        <v>4.623232346358992E-4</v>
      </c>
      <c r="V1378">
        <v>4.623232346358992E-4</v>
      </c>
      <c r="W1378" s="42">
        <f>$K$1386+$I$1375+$G$1399+$E$1437+$C$1506+$A$1461+$M$1381+$O$1376+Q1380</f>
        <v>303214.33035631373</v>
      </c>
      <c r="X1378">
        <f>u_Healthy</f>
        <v>0</v>
      </c>
      <c r="Z1378" s="42">
        <f t="shared" si="177"/>
        <v>140.18302999828907</v>
      </c>
      <c r="AA1378" s="6">
        <f t="shared" si="176"/>
        <v>0</v>
      </c>
      <c r="AB1378" s="42">
        <f t="shared" si="178"/>
        <v>5.104048510380327</v>
      </c>
      <c r="AC1378" s="42">
        <f>U1378*(Q1380-c_CSG)</f>
        <v>1.554793038080529</v>
      </c>
    </row>
    <row r="1379" spans="7:29" x14ac:dyDescent="0.3">
      <c r="M1379" s="19" t="s">
        <v>9</v>
      </c>
      <c r="Q1379" s="45">
        <f>1-Q1370-Q1373-Q1376</f>
        <v>0.60619800000000001</v>
      </c>
      <c r="R1379" s="45"/>
      <c r="T1379" s="78"/>
      <c r="Z1379" s="42">
        <f t="shared" si="177"/>
        <v>0</v>
      </c>
      <c r="AA1379" s="6">
        <f t="shared" si="176"/>
        <v>0</v>
      </c>
      <c r="AB1379" s="42">
        <f t="shared" si="178"/>
        <v>0</v>
      </c>
      <c r="AC1379" s="42">
        <f>U1379*(Q1381-c_CSG)</f>
        <v>0</v>
      </c>
    </row>
    <row r="1380" spans="7:29" x14ac:dyDescent="0.3">
      <c r="K1380" s="42"/>
      <c r="M1380" s="45">
        <f>S_prem_2RDS_4</f>
        <v>0.45</v>
      </c>
      <c r="Q1380" s="46">
        <f>c_clinic_fu+c_CSG</f>
        <v>14403</v>
      </c>
      <c r="R1380" s="46"/>
      <c r="T1380" s="78"/>
      <c r="Z1380" s="42">
        <f t="shared" si="177"/>
        <v>0</v>
      </c>
      <c r="AA1380" s="6">
        <f t="shared" si="176"/>
        <v>0</v>
      </c>
      <c r="AB1380" s="42">
        <f t="shared" si="178"/>
        <v>0</v>
      </c>
      <c r="AC1380" s="42"/>
    </row>
    <row r="1381" spans="7:29" x14ac:dyDescent="0.3">
      <c r="K1381" s="42"/>
      <c r="M1381" s="46">
        <f>c_RDS</f>
        <v>30595.610148205637</v>
      </c>
      <c r="Q1381" s="42"/>
      <c r="R1381" s="42"/>
      <c r="T1381" s="78"/>
      <c r="Z1381" s="42">
        <f t="shared" si="177"/>
        <v>0</v>
      </c>
      <c r="AA1381" s="6">
        <f t="shared" si="176"/>
        <v>0</v>
      </c>
      <c r="AB1381" s="42">
        <f t="shared" si="178"/>
        <v>0</v>
      </c>
      <c r="AC1381" s="42">
        <f>U1381*(Q1383-c_CSG)</f>
        <v>0</v>
      </c>
    </row>
    <row r="1382" spans="7:29" x14ac:dyDescent="0.3">
      <c r="Q1382" s="19" t="s">
        <v>367</v>
      </c>
      <c r="R1382" s="19"/>
      <c r="T1382" s="78"/>
      <c r="U1382">
        <f>$K$1385*$I$1374*$G$1398*$E$1436*$C$1505*$A$1460*$M$1380*$O$1385*Q1383</f>
        <v>9.6910790205363435E-4</v>
      </c>
      <c r="V1382">
        <v>9.6910790205363435E-4</v>
      </c>
      <c r="W1382" s="42">
        <f>$K$1386+$I$1375+$G$1399+$E$1437+$C$1506+$A$1461+$M$1381+$O$1386+Q1384</f>
        <v>340404.58085871371</v>
      </c>
      <c r="X1382">
        <f>u_ChronicResp</f>
        <v>0.53465956747782661</v>
      </c>
      <c r="Z1382" s="42">
        <f t="shared" si="177"/>
        <v>329.88876920543476</v>
      </c>
      <c r="AA1382" s="6">
        <f t="shared" si="176"/>
        <v>5.1814281175134006E-4</v>
      </c>
      <c r="AB1382" s="42">
        <f t="shared" si="178"/>
        <v>10.698951238672123</v>
      </c>
      <c r="AC1382" s="42">
        <f>U1382*(Q1384-c_CSG)</f>
        <v>42.146028671963521</v>
      </c>
    </row>
    <row r="1383" spans="7:29" x14ac:dyDescent="0.3">
      <c r="Q1383" s="45">
        <f>RDS2CLD_4-(RDS2CLD_4*noHypo2CI_4)</f>
        <v>0.34905610687022898</v>
      </c>
      <c r="R1383" s="45"/>
      <c r="T1383" s="78"/>
      <c r="Z1383" s="42">
        <f t="shared" si="177"/>
        <v>0</v>
      </c>
      <c r="AA1383" s="6">
        <f t="shared" si="176"/>
        <v>0</v>
      </c>
      <c r="AB1383" s="42">
        <f t="shared" si="178"/>
        <v>0</v>
      </c>
      <c r="AC1383" s="42"/>
    </row>
    <row r="1384" spans="7:29" x14ac:dyDescent="0.3">
      <c r="K1384" s="19" t="s">
        <v>37</v>
      </c>
      <c r="M1384" s="42"/>
      <c r="O1384" s="19" t="s">
        <v>370</v>
      </c>
      <c r="Q1384" s="46">
        <f>c_lung+c_hosp_fu+c_CSG</f>
        <v>54529.510902399998</v>
      </c>
      <c r="R1384" s="46"/>
      <c r="T1384" s="78"/>
      <c r="Z1384" s="42">
        <f t="shared" si="177"/>
        <v>0</v>
      </c>
      <c r="AA1384" s="6">
        <f t="shared" si="176"/>
        <v>0</v>
      </c>
      <c r="AB1384" s="42">
        <f t="shared" si="178"/>
        <v>0</v>
      </c>
      <c r="AC1384" s="42">
        <f>U1384*(Q1386-c_CSG)</f>
        <v>0</v>
      </c>
    </row>
    <row r="1385" spans="7:29" x14ac:dyDescent="0.3">
      <c r="K1385" s="45">
        <f>SGA_prem_2s_4</f>
        <v>0.91593333333333338</v>
      </c>
      <c r="O1385" s="45">
        <f>SGA_prem_2normoglycaemia_4</f>
        <v>0.78449999999999998</v>
      </c>
      <c r="Q1385" s="19" t="s">
        <v>226</v>
      </c>
      <c r="R1385" s="19"/>
      <c r="T1385" s="78"/>
      <c r="U1385">
        <f>$K$1385*$I$1374*$G$1398*$E$1436*$C$1505*$A$1460*$M$1380*$O$1385*Q1386</f>
        <v>5.8697074909072222E-5</v>
      </c>
      <c r="V1385">
        <v>5.8697074909072222E-5</v>
      </c>
      <c r="W1385" s="42">
        <f>$K$1386+$I$1375+$G$1399+$E$1437+$C$1506+$A$1461+$M$1381+$O$1386+Q1387</f>
        <v>301641.0699563137</v>
      </c>
      <c r="X1385">
        <f>u_CongnitiveImpairement</f>
        <v>17.270393127285455</v>
      </c>
      <c r="Z1385" s="42">
        <f t="shared" si="177"/>
        <v>17.705448478878441</v>
      </c>
      <c r="AA1385" s="6">
        <f t="shared" si="176"/>
        <v>1.0137215591014004E-3</v>
      </c>
      <c r="AB1385" s="42">
        <f t="shared" si="178"/>
        <v>0.64801570699615729</v>
      </c>
      <c r="AC1385" s="42">
        <f>U1385*(Q1387-c_CSG)</f>
        <v>0.27740237602027534</v>
      </c>
    </row>
    <row r="1386" spans="7:29" x14ac:dyDescent="0.3">
      <c r="K1386" s="46"/>
      <c r="O1386" s="46"/>
      <c r="Q1386" s="45">
        <f>noHypo2CI_4-(RDS2CLD_4*noHypo2CI_4)</f>
        <v>2.1141683406990762E-2</v>
      </c>
      <c r="R1386" s="45"/>
      <c r="T1386" s="78"/>
      <c r="Z1386" s="42">
        <f t="shared" si="177"/>
        <v>0</v>
      </c>
      <c r="AA1386" s="6">
        <f t="shared" si="176"/>
        <v>0</v>
      </c>
      <c r="AB1386" s="42">
        <f t="shared" si="178"/>
        <v>0</v>
      </c>
      <c r="AC1386" s="42"/>
    </row>
    <row r="1387" spans="7:29" x14ac:dyDescent="0.3">
      <c r="Q1387" s="46">
        <f>c_cog+c_hosp_fu+c_CSG</f>
        <v>15766</v>
      </c>
      <c r="R1387" s="46"/>
      <c r="T1387" s="78"/>
      <c r="Z1387" s="42">
        <f t="shared" si="177"/>
        <v>0</v>
      </c>
      <c r="AA1387" s="6">
        <f t="shared" si="176"/>
        <v>0</v>
      </c>
      <c r="AB1387" s="42">
        <f t="shared" si="178"/>
        <v>0</v>
      </c>
      <c r="AC1387" s="42">
        <f>U1387*(Q1389-c_CSG)</f>
        <v>0</v>
      </c>
    </row>
    <row r="1388" spans="7:29" x14ac:dyDescent="0.3">
      <c r="Q1388" s="19" t="s">
        <v>368</v>
      </c>
      <c r="R1388" s="19"/>
      <c r="T1388" s="78"/>
      <c r="U1388">
        <f>$K$1385*$I$1374*$G$1398*$E$1436*$C$1505*$A$1460*$M$1380*$O$1385*Q1389</f>
        <v>3.3160632303873344E-5</v>
      </c>
      <c r="V1388">
        <v>3.3160632303873344E-5</v>
      </c>
      <c r="W1388" s="42">
        <f>$K$1386+$I$1375+$G$1399+$E$1437+$C$1506+$A$1461+$M$1381+$O$1386+Q1390</f>
        <v>344223.58085871371</v>
      </c>
      <c r="X1388">
        <f>u_ChronicResp+u_CongnitiveImpairement</f>
        <v>17.805052694763283</v>
      </c>
      <c r="Z1388" s="42">
        <f t="shared" si="177"/>
        <v>11.414671595178421</v>
      </c>
      <c r="AA1388" s="6">
        <f t="shared" si="176"/>
        <v>5.9042680556213448E-4</v>
      </c>
      <c r="AB1388" s="42">
        <f t="shared" si="178"/>
        <v>0.36609338063476171</v>
      </c>
      <c r="AC1388" s="42">
        <f>U1388*(Q1390-c_CSG)</f>
        <v>1.5687801348782697</v>
      </c>
    </row>
    <row r="1389" spans="7:29" x14ac:dyDescent="0.3">
      <c r="G1389" s="42"/>
      <c r="Q1389" s="45">
        <f>RDS2CLD_4*noHypo2CI_4</f>
        <v>1.1943893129770991E-2</v>
      </c>
      <c r="R1389" s="45"/>
      <c r="T1389" s="78"/>
      <c r="Z1389" s="42">
        <f t="shared" si="177"/>
        <v>0</v>
      </c>
      <c r="AA1389" s="6">
        <f t="shared" si="176"/>
        <v>0</v>
      </c>
      <c r="AB1389" s="42">
        <f t="shared" si="178"/>
        <v>0</v>
      </c>
      <c r="AC1389" s="42"/>
    </row>
    <row r="1390" spans="7:29" x14ac:dyDescent="0.3">
      <c r="G1390" s="42"/>
      <c r="Q1390" s="46">
        <f>c_cog+c_lung+c_hosp_fu+c_CSG</f>
        <v>58348.510902399998</v>
      </c>
      <c r="R1390" s="46"/>
      <c r="T1390" s="78"/>
      <c r="Z1390" s="42">
        <f t="shared" si="177"/>
        <v>0</v>
      </c>
      <c r="AA1390" s="6">
        <f t="shared" si="176"/>
        <v>0</v>
      </c>
      <c r="AB1390" s="42">
        <f t="shared" si="178"/>
        <v>0</v>
      </c>
      <c r="AC1390" s="42">
        <f>U1390*(Q1392-c_CSG)</f>
        <v>0</v>
      </c>
    </row>
    <row r="1391" spans="7:29" x14ac:dyDescent="0.3">
      <c r="Q1391" s="19" t="s">
        <v>369</v>
      </c>
      <c r="R1391" s="19"/>
      <c r="T1391" s="78"/>
      <c r="U1391">
        <f>$K$1385*$I$1374*$G$1398*$E$1436*$C$1505*$A$1460*$M$1380*$O$1385*Q1392</f>
        <v>1.7154015219176524E-3</v>
      </c>
      <c r="V1391">
        <v>1.7154015219176524E-3</v>
      </c>
      <c r="W1391" s="42">
        <f>$K$1386+$I$1375+$G$1399+$E$1437+$C$1506+$A$1461+$M$1381+$O$1386+Q1393</f>
        <v>300278.0699563137</v>
      </c>
      <c r="X1391">
        <f>u_Healthy</f>
        <v>0</v>
      </c>
      <c r="Z1391" s="42">
        <f t="shared" si="177"/>
        <v>515.09745820155581</v>
      </c>
      <c r="AA1391" s="6">
        <f t="shared" si="176"/>
        <v>0</v>
      </c>
      <c r="AB1391" s="42">
        <f t="shared" si="178"/>
        <v>18.938032801970884</v>
      </c>
      <c r="AC1391" s="42">
        <f>U1391*(Q1393-c_CSG)</f>
        <v>5.768895318209065</v>
      </c>
    </row>
    <row r="1392" spans="7:29" x14ac:dyDescent="0.3">
      <c r="Q1392" s="45">
        <f>1-Q1389-Q1386-Q1383</f>
        <v>0.61785831659300938</v>
      </c>
      <c r="R1392" s="45"/>
      <c r="T1392" s="78"/>
      <c r="Z1392" s="42">
        <f t="shared" si="177"/>
        <v>0</v>
      </c>
      <c r="AA1392" s="6">
        <f t="shared" si="176"/>
        <v>0</v>
      </c>
      <c r="AB1392" s="42">
        <f t="shared" si="178"/>
        <v>0</v>
      </c>
      <c r="AC1392" s="42">
        <f>U1392*(Q1394-c_CSG)</f>
        <v>0</v>
      </c>
    </row>
    <row r="1393" spans="7:29" x14ac:dyDescent="0.3">
      <c r="Q1393" s="46">
        <f>c_clinic_fu+c_CSG</f>
        <v>14403</v>
      </c>
      <c r="R1393" s="46"/>
      <c r="T1393" s="78"/>
      <c r="Z1393" s="42">
        <f t="shared" si="177"/>
        <v>0</v>
      </c>
      <c r="AA1393" s="6">
        <f t="shared" si="176"/>
        <v>0</v>
      </c>
      <c r="AB1393" s="42">
        <f t="shared" si="178"/>
        <v>0</v>
      </c>
      <c r="AC1393" s="42"/>
    </row>
    <row r="1394" spans="7:29" x14ac:dyDescent="0.3">
      <c r="Q1394" s="42"/>
      <c r="R1394" s="42"/>
      <c r="T1394" s="78"/>
      <c r="Z1394" s="42">
        <f t="shared" si="177"/>
        <v>0</v>
      </c>
      <c r="AA1394" s="6">
        <f t="shared" si="176"/>
        <v>0</v>
      </c>
      <c r="AB1394" s="42">
        <f t="shared" si="178"/>
        <v>0</v>
      </c>
      <c r="AC1394" s="42">
        <f>U1394*(Q1396-c_CSG)</f>
        <v>0</v>
      </c>
    </row>
    <row r="1395" spans="7:29" x14ac:dyDescent="0.3">
      <c r="Q1395" s="19" t="s">
        <v>367</v>
      </c>
      <c r="R1395" s="19"/>
      <c r="T1395" s="78"/>
      <c r="U1395">
        <f>$K$1385*$I$1374*$G$1398*$E$1436*$C$1505*$A$1460*$M$1400*$O$1398*Q1396</f>
        <v>3.1922892796716319E-4</v>
      </c>
      <c r="V1395">
        <v>3.1922892796716319E-4</v>
      </c>
      <c r="W1395" s="42">
        <f>$K$1386+$I$1375+$G$1399+$E$1437+$C$1506+$A$1461+$M$1401+$O$1399+Q1397</f>
        <v>312745.23111050809</v>
      </c>
      <c r="X1395">
        <f>u_ChronicResp</f>
        <v>0.53465956747782661</v>
      </c>
      <c r="Z1395" s="42">
        <f t="shared" si="177"/>
        <v>99.837324854250198</v>
      </c>
      <c r="AA1395" s="6">
        <f t="shared" si="176"/>
        <v>1.7067880055333373E-4</v>
      </c>
      <c r="AB1395" s="42">
        <f t="shared" si="178"/>
        <v>3.5242873647574817</v>
      </c>
      <c r="AC1395" s="42">
        <f>U1395*(Q1397-c_CSG)</f>
        <v>13.883109943189407</v>
      </c>
    </row>
    <row r="1396" spans="7:29" x14ac:dyDescent="0.3">
      <c r="Q1396" s="45">
        <f>RDS2CLD_4-(Hypo2CI_4*RDS2CLD_4)</f>
        <v>0.34246866666666664</v>
      </c>
      <c r="R1396" s="45"/>
      <c r="T1396" s="78"/>
      <c r="Z1396" s="42">
        <f t="shared" si="177"/>
        <v>0</v>
      </c>
      <c r="AA1396" s="6">
        <f t="shared" si="176"/>
        <v>0</v>
      </c>
      <c r="AB1396" s="42">
        <f t="shared" si="178"/>
        <v>0</v>
      </c>
      <c r="AC1396" s="42"/>
    </row>
    <row r="1397" spans="7:29" x14ac:dyDescent="0.3">
      <c r="G1397" s="19" t="s">
        <v>8</v>
      </c>
      <c r="O1397" s="19" t="s">
        <v>161</v>
      </c>
      <c r="Q1397" s="46">
        <f>c_lung+c_hosp_fu+c_CSG</f>
        <v>54529.510902399998</v>
      </c>
      <c r="R1397" s="46"/>
      <c r="T1397" s="78"/>
      <c r="Z1397" s="42">
        <f t="shared" si="177"/>
        <v>0</v>
      </c>
      <c r="AA1397" s="6">
        <f t="shared" si="176"/>
        <v>0</v>
      </c>
      <c r="AB1397" s="42">
        <f t="shared" si="178"/>
        <v>0</v>
      </c>
      <c r="AC1397" s="42">
        <f>U1397*(Q1399-c_CSG)</f>
        <v>0</v>
      </c>
    </row>
    <row r="1398" spans="7:29" x14ac:dyDescent="0.3">
      <c r="G1398" s="45">
        <f>Prem2LBW_4</f>
        <v>0.68135593220338986</v>
      </c>
      <c r="O1398" s="45">
        <f>SGA_prem_2hypoglycaemia_4</f>
        <v>0.2155</v>
      </c>
      <c r="Q1398" s="19" t="s">
        <v>226</v>
      </c>
      <c r="R1398" s="19"/>
      <c r="T1398" s="78"/>
      <c r="U1398">
        <f>$K$1385*$I$1374*$G$1398*$E$1436*$C$1505*$A$1460*$M$1400*$O$1398*Q1399</f>
        <v>3.0576074001452847E-5</v>
      </c>
      <c r="V1398">
        <v>3.0576074001452847E-5</v>
      </c>
      <c r="W1398" s="42">
        <f>$K$1386+$I$1375+$G$1399+$E$1437+$C$1506+$A$1461+$M$1401+$O$1399+Q1400</f>
        <v>273981.72020810808</v>
      </c>
      <c r="X1398">
        <f>u_CongnitiveImpairement</f>
        <v>17.270393127285455</v>
      </c>
      <c r="Z1398" s="42">
        <f t="shared" si="177"/>
        <v>8.377285352128462</v>
      </c>
      <c r="AA1398" s="6">
        <f t="shared" si="176"/>
        <v>5.2806081829406273E-4</v>
      </c>
      <c r="AB1398" s="42">
        <f t="shared" si="178"/>
        <v>0.33755985697603941</v>
      </c>
      <c r="AC1398" s="42">
        <f>U1398*(Q1400-c_CSG)</f>
        <v>0.14450252573086617</v>
      </c>
    </row>
    <row r="1399" spans="7:29" x14ac:dyDescent="0.3">
      <c r="G1399" s="46">
        <f>c_LBW</f>
        <v>254701.55809999997</v>
      </c>
      <c r="M1399" s="19" t="s">
        <v>203</v>
      </c>
      <c r="O1399" s="46">
        <f>c_hypo</f>
        <v>2936.2604000000001</v>
      </c>
      <c r="Q1399" s="45">
        <f>Hypo2CI_4-(Hypo2CI_4*RDS2CLD_4)</f>
        <v>3.2801999999999998E-2</v>
      </c>
      <c r="R1399" s="45"/>
      <c r="T1399" s="78"/>
      <c r="Z1399" s="42">
        <f t="shared" si="177"/>
        <v>0</v>
      </c>
      <c r="AA1399" s="6">
        <f t="shared" si="176"/>
        <v>0</v>
      </c>
      <c r="AB1399" s="42">
        <f t="shared" si="178"/>
        <v>0</v>
      </c>
      <c r="AC1399" s="42"/>
    </row>
    <row r="1400" spans="7:29" x14ac:dyDescent="0.3">
      <c r="M1400" s="45">
        <f>S_prem_2noRDS_4</f>
        <v>0.55000000000000004</v>
      </c>
      <c r="Q1400" s="46">
        <f>c_cog+c_hosp_fu+c_CSG</f>
        <v>15766</v>
      </c>
      <c r="R1400" s="46"/>
      <c r="T1400" s="78"/>
      <c r="Z1400" s="42">
        <f t="shared" si="177"/>
        <v>0</v>
      </c>
      <c r="AA1400" s="6">
        <f t="shared" si="176"/>
        <v>0</v>
      </c>
      <c r="AB1400" s="42">
        <f t="shared" si="178"/>
        <v>0</v>
      </c>
      <c r="AC1400" s="42">
        <f>U1400*(Q1402-c_CSG)</f>
        <v>0</v>
      </c>
    </row>
    <row r="1401" spans="7:29" x14ac:dyDescent="0.3">
      <c r="M1401" s="46"/>
      <c r="O1401" s="42"/>
      <c r="Q1401" s="19" t="s">
        <v>368</v>
      </c>
      <c r="R1401" s="19"/>
      <c r="T1401" s="78"/>
      <c r="U1401">
        <f>$K$1385*$I$1374*$G$1398*$E$1436*$C$1505*$A$1460*$M$1400*$O$1398*Q1402</f>
        <v>1.7273807064983534E-5</v>
      </c>
      <c r="V1401">
        <v>1.7273807064983534E-5</v>
      </c>
      <c r="W1401" s="42">
        <f>$K$1386+$I$1375+$G$1399+$E$1437+$C$1506+$A$1461+$M$1401+$O$1399+Q1403</f>
        <v>316564.23111050809</v>
      </c>
      <c r="X1401">
        <f>u_ChronicResp+u_CongnitiveImpairement</f>
        <v>17.805052694763283</v>
      </c>
      <c r="Z1401" s="42">
        <f t="shared" si="177"/>
        <v>5.4682694518777746</v>
      </c>
      <c r="AA1401" s="6">
        <f t="shared" si="176"/>
        <v>3.0756104503120612E-4</v>
      </c>
      <c r="AB1401" s="42">
        <f t="shared" ref="AB1401:AB1420" si="179">U1401*c_CSG</f>
        <v>0.19070282999741822</v>
      </c>
      <c r="AC1401" s="42">
        <f>U1401*(Q1403-c_CSG)</f>
        <v>0.81719808985972764</v>
      </c>
    </row>
    <row r="1402" spans="7:29" x14ac:dyDescent="0.3">
      <c r="M1402" s="42"/>
      <c r="Q1402" s="45">
        <f>Hypo2CI_4*RDS2CLD_4</f>
        <v>1.8531333333333334E-2</v>
      </c>
      <c r="R1402" s="45"/>
      <c r="T1402" s="78"/>
      <c r="Z1402" s="42">
        <f t="shared" si="177"/>
        <v>0</v>
      </c>
      <c r="AA1402" s="6">
        <f t="shared" si="176"/>
        <v>0</v>
      </c>
      <c r="AB1402" s="42">
        <f t="shared" si="179"/>
        <v>0</v>
      </c>
      <c r="AC1402" s="42"/>
    </row>
    <row r="1403" spans="7:29" x14ac:dyDescent="0.3">
      <c r="M1403" s="42"/>
      <c r="Q1403" s="46">
        <f>c_lung+c_cog+c_hosp_fu+c_CSG</f>
        <v>58348.510902399998</v>
      </c>
      <c r="R1403" s="46"/>
      <c r="T1403" s="78"/>
      <c r="Z1403" s="42">
        <f t="shared" si="177"/>
        <v>0</v>
      </c>
      <c r="AA1403" s="6">
        <f t="shared" si="176"/>
        <v>0</v>
      </c>
      <c r="AB1403" s="42">
        <f t="shared" si="179"/>
        <v>0</v>
      </c>
      <c r="AC1403" s="42">
        <f>U1403*(Q1405-c_CSG)</f>
        <v>0</v>
      </c>
    </row>
    <row r="1404" spans="7:29" x14ac:dyDescent="0.3">
      <c r="M1404" s="42"/>
      <c r="Q1404" s="19" t="s">
        <v>369</v>
      </c>
      <c r="R1404" s="19"/>
      <c r="T1404" s="78"/>
      <c r="U1404">
        <f>$K$1385*$I$1374*$G$1398*$E$1436*$C$1505*$A$1460*$M$1400*$O$1398*Q1405</f>
        <v>5.6506173122165457E-4</v>
      </c>
      <c r="V1404">
        <v>5.6506173122165457E-4</v>
      </c>
      <c r="W1404" s="42">
        <f>$K$1386+$I$1375+$G$1399+$E$1437+$C$1506+$A$1461+$M$1401+$O$1399+Q1406</f>
        <v>272618.72020810808</v>
      </c>
      <c r="X1404">
        <f>u_Healthy</f>
        <v>0</v>
      </c>
      <c r="Z1404" s="42">
        <f t="shared" si="177"/>
        <v>154.04640600422542</v>
      </c>
      <c r="AA1404" s="6">
        <f t="shared" si="176"/>
        <v>0</v>
      </c>
      <c r="AB1404" s="42">
        <f t="shared" si="179"/>
        <v>6.2382815126870668</v>
      </c>
      <c r="AC1404" s="42">
        <f>U1404*(Q1406-c_CSG)</f>
        <v>1.9003026020984244</v>
      </c>
    </row>
    <row r="1405" spans="7:29" x14ac:dyDescent="0.3">
      <c r="M1405" s="42"/>
      <c r="O1405" s="42"/>
      <c r="Q1405" s="45">
        <f>1-Q1396-Q1399-Q1402</f>
        <v>0.60619800000000001</v>
      </c>
      <c r="R1405" s="45"/>
      <c r="T1405" s="78"/>
      <c r="Z1405" s="42">
        <f t="shared" si="177"/>
        <v>0</v>
      </c>
      <c r="AA1405" s="6">
        <f t="shared" si="176"/>
        <v>0</v>
      </c>
      <c r="AB1405" s="42">
        <f t="shared" si="179"/>
        <v>0</v>
      </c>
      <c r="AC1405" s="42">
        <f>U1405*(Q1407-c_CSG)</f>
        <v>0</v>
      </c>
    </row>
    <row r="1406" spans="7:29" x14ac:dyDescent="0.3">
      <c r="M1406" s="42"/>
      <c r="Q1406" s="46">
        <f>c_clinic_fu+c_CSG</f>
        <v>14403</v>
      </c>
      <c r="R1406" s="46"/>
      <c r="S1406" s="94"/>
      <c r="T1406" s="78"/>
      <c r="Z1406" s="42">
        <f t="shared" si="177"/>
        <v>0</v>
      </c>
      <c r="AA1406" s="6">
        <f t="shared" si="176"/>
        <v>0</v>
      </c>
      <c r="AB1406" s="42">
        <f t="shared" si="179"/>
        <v>0</v>
      </c>
      <c r="AC1406" s="42"/>
    </row>
    <row r="1407" spans="7:29" x14ac:dyDescent="0.3">
      <c r="M1407" s="42"/>
      <c r="Q1407" s="42"/>
      <c r="R1407" s="42"/>
      <c r="T1407" s="78"/>
      <c r="Z1407" s="42">
        <f t="shared" si="177"/>
        <v>0</v>
      </c>
      <c r="AA1407" s="6">
        <f t="shared" si="176"/>
        <v>0</v>
      </c>
      <c r="AB1407" s="42">
        <f t="shared" si="179"/>
        <v>0</v>
      </c>
      <c r="AC1407" s="42">
        <f>U1407*(Q1409-c_CSG)</f>
        <v>0</v>
      </c>
    </row>
    <row r="1408" spans="7:29" x14ac:dyDescent="0.3">
      <c r="M1408" s="42"/>
      <c r="Q1408" s="19" t="s">
        <v>367</v>
      </c>
      <c r="R1408" s="19"/>
      <c r="T1408" s="78"/>
      <c r="U1408">
        <f>$K$1385*$I$1374*$G$1398*$E$1436*$C$1505*$A$1460*$M$1400*$O$1412*Q1409</f>
        <v>1.1844652136211086E-3</v>
      </c>
      <c r="V1408">
        <v>1.1844652136211086E-3</v>
      </c>
      <c r="W1408" s="42">
        <f>$K$1386+$I$1375+$G$1399+$E$1437+$C$1506+$A$1461+$M$1401+$O$1413+Q1410</f>
        <v>309808.97071050806</v>
      </c>
      <c r="X1408">
        <f>u_ChronicResp</f>
        <v>0.53465956747782661</v>
      </c>
      <c r="Z1408" s="42">
        <f t="shared" si="177"/>
        <v>366.95794867435774</v>
      </c>
      <c r="AA1408" s="6">
        <f t="shared" si="176"/>
        <v>6.332856588071934E-4</v>
      </c>
      <c r="AB1408" s="42">
        <f t="shared" si="179"/>
        <v>13.076495958377039</v>
      </c>
      <c r="AC1408" s="42">
        <f>U1408*(Q1410-c_CSG)</f>
        <v>51.51181282128875</v>
      </c>
    </row>
    <row r="1409" spans="11:29" x14ac:dyDescent="0.3">
      <c r="M1409" s="42"/>
      <c r="Q1409" s="45">
        <f>RDS2CLD_4-(RDS2CLD_4*noHypo2CI_4)</f>
        <v>0.34905610687022898</v>
      </c>
      <c r="R1409" s="45"/>
      <c r="T1409" s="78"/>
      <c r="Z1409" s="42">
        <f t="shared" si="177"/>
        <v>0</v>
      </c>
      <c r="AA1409" s="6">
        <f t="shared" si="176"/>
        <v>0</v>
      </c>
      <c r="AB1409" s="42">
        <f t="shared" si="179"/>
        <v>0</v>
      </c>
      <c r="AC1409" s="42"/>
    </row>
    <row r="1410" spans="11:29" x14ac:dyDescent="0.3">
      <c r="M1410" s="42"/>
      <c r="Q1410" s="46">
        <f>c_lung+c_hosp_fu+c_CSG</f>
        <v>54529.510902399998</v>
      </c>
      <c r="R1410" s="46"/>
      <c r="T1410" s="78"/>
      <c r="Z1410" s="42">
        <f t="shared" si="177"/>
        <v>0</v>
      </c>
      <c r="AA1410" s="6">
        <f t="shared" si="176"/>
        <v>0</v>
      </c>
      <c r="AB1410" s="42">
        <f t="shared" si="179"/>
        <v>0</v>
      </c>
      <c r="AC1410" s="42">
        <f>U1410*(Q1412-c_CSG)</f>
        <v>0</v>
      </c>
    </row>
    <row r="1411" spans="11:29" x14ac:dyDescent="0.3">
      <c r="M1411" s="42"/>
      <c r="O1411" s="19" t="s">
        <v>370</v>
      </c>
      <c r="Q1411" s="19" t="s">
        <v>226</v>
      </c>
      <c r="R1411" s="19"/>
      <c r="T1411" s="78"/>
      <c r="U1411">
        <f>$K$1385*$I$1374*$G$1398*$E$1436*$C$1505*$A$1460*$M$1400*$O$1412*Q1412</f>
        <v>7.1740869333310485E-5</v>
      </c>
      <c r="V1411">
        <v>7.1740869333310485E-5</v>
      </c>
      <c r="W1411" s="42">
        <f>$K$1386+$I$1375+$G$1399+$E$1437+$C$1506+$A$1461+$M$1401+$O$1413+Q1413</f>
        <v>271045.45980810805</v>
      </c>
      <c r="X1411">
        <f>u_CongnitiveImpairement</f>
        <v>17.270393127285455</v>
      </c>
      <c r="Z1411" s="42">
        <f t="shared" si="177"/>
        <v>19.445036915480539</v>
      </c>
      <c r="AA1411" s="6">
        <f t="shared" si="176"/>
        <v>1.2389930166794893E-3</v>
      </c>
      <c r="AB1411" s="42">
        <f t="shared" si="179"/>
        <v>0.7920191974397478</v>
      </c>
      <c r="AC1411" s="42">
        <f>U1411*(Q1413-c_CSG)</f>
        <v>0.33904734846922535</v>
      </c>
    </row>
    <row r="1412" spans="11:29" x14ac:dyDescent="0.3">
      <c r="M1412" s="42"/>
      <c r="O1412" s="45">
        <f>SGA_prem_2normoglycaemia_4</f>
        <v>0.78449999999999998</v>
      </c>
      <c r="Q1412" s="45">
        <f>noHypo2CI_4-(RDS2CLD_4*noHypo2CI_4)</f>
        <v>2.1141683406990762E-2</v>
      </c>
      <c r="R1412" s="45"/>
      <c r="T1412" s="78"/>
      <c r="Z1412" s="42">
        <f t="shared" si="177"/>
        <v>0</v>
      </c>
      <c r="AA1412" s="6">
        <f t="shared" si="176"/>
        <v>0</v>
      </c>
      <c r="AB1412" s="42">
        <f t="shared" si="179"/>
        <v>0</v>
      </c>
      <c r="AC1412" s="42"/>
    </row>
    <row r="1413" spans="11:29" x14ac:dyDescent="0.3">
      <c r="M1413" s="42"/>
      <c r="O1413" s="46"/>
      <c r="Q1413" s="46">
        <f>c_cog+c_hosp_fu+c_CSG</f>
        <v>15766</v>
      </c>
      <c r="R1413" s="46"/>
      <c r="T1413" s="78"/>
      <c r="Z1413" s="42">
        <f t="shared" si="177"/>
        <v>0</v>
      </c>
      <c r="AA1413" s="6">
        <f t="shared" si="176"/>
        <v>0</v>
      </c>
      <c r="AB1413" s="42">
        <f t="shared" si="179"/>
        <v>0</v>
      </c>
      <c r="AC1413" s="42">
        <f>U1413*(Q1415-c_CSG)</f>
        <v>0</v>
      </c>
    </row>
    <row r="1414" spans="11:29" x14ac:dyDescent="0.3">
      <c r="M1414" s="42"/>
      <c r="Q1414" s="19" t="s">
        <v>368</v>
      </c>
      <c r="R1414" s="19"/>
      <c r="T1414" s="78"/>
      <c r="U1414">
        <f>$K$1385*$I$1374*$G$1398*$E$1436*$C$1505*$A$1460*$M$1400*$O$1412*Q1415</f>
        <v>4.0529661704734088E-5</v>
      </c>
      <c r="V1414">
        <v>4.0529661704734088E-5</v>
      </c>
      <c r="W1414" s="42">
        <f>$K$1386+$I$1375+$G$1399+$E$1437+$C$1506+$A$1461+$M$1401+$O$1413+Q1416</f>
        <v>313627.97071050806</v>
      </c>
      <c r="X1414">
        <f>u_ChronicResp+u_CongnitiveImpairement</f>
        <v>17.805052694763283</v>
      </c>
      <c r="Z1414" s="42">
        <f t="shared" si="177"/>
        <v>12.711235554039142</v>
      </c>
      <c r="AA1414" s="6">
        <f t="shared" si="176"/>
        <v>7.2163276235371991E-4</v>
      </c>
      <c r="AB1414" s="42">
        <f t="shared" si="179"/>
        <v>0.44744746522026435</v>
      </c>
      <c r="AC1414" s="42">
        <f>U1414*(Q1416-c_CSG)</f>
        <v>1.9173979426289962</v>
      </c>
    </row>
    <row r="1415" spans="11:29" x14ac:dyDescent="0.3">
      <c r="M1415" s="42"/>
      <c r="Q1415" s="45">
        <f>RDS2CLD_4*noHypo2CI_4</f>
        <v>1.1943893129770991E-2</v>
      </c>
      <c r="R1415" s="45"/>
      <c r="T1415" s="78"/>
      <c r="Z1415" s="42">
        <f t="shared" si="177"/>
        <v>0</v>
      </c>
      <c r="AA1415" s="6">
        <f t="shared" si="176"/>
        <v>0</v>
      </c>
      <c r="AB1415" s="42">
        <f t="shared" si="179"/>
        <v>0</v>
      </c>
      <c r="AC1415" s="42"/>
    </row>
    <row r="1416" spans="11:29" x14ac:dyDescent="0.3">
      <c r="M1416" s="42"/>
      <c r="Q1416" s="46">
        <f>c_cog+c_lung+c_hosp_fu+c_CSG</f>
        <v>58348.510902399998</v>
      </c>
      <c r="R1416" s="46"/>
      <c r="T1416" s="78"/>
      <c r="Z1416" s="42">
        <f t="shared" si="177"/>
        <v>0</v>
      </c>
      <c r="AA1416" s="6">
        <f t="shared" si="176"/>
        <v>0</v>
      </c>
      <c r="AB1416" s="42">
        <f t="shared" si="179"/>
        <v>0</v>
      </c>
      <c r="AC1416" s="42">
        <f>U1416*(Q1418-c_CSG)</f>
        <v>0</v>
      </c>
    </row>
    <row r="1417" spans="11:29" x14ac:dyDescent="0.3">
      <c r="M1417" s="42"/>
      <c r="Q1417" s="19" t="s">
        <v>369</v>
      </c>
      <c r="R1417" s="19"/>
      <c r="T1417" s="78"/>
      <c r="U1417">
        <f>$K$1385*$I$1374*$G$1398*$E$1436*$C$1505*$A$1460*$M$1400*$O$1412*Q1418</f>
        <v>2.0966018601215751E-3</v>
      </c>
      <c r="V1417">
        <v>2.0966018601215751E-3</v>
      </c>
      <c r="W1417" s="42">
        <f>$K$1386+$I$1375+$G$1399+$E$1437+$C$1506+$A$1461+$M$1401+$O$1413+Q1419</f>
        <v>269682.45980810805</v>
      </c>
      <c r="X1417">
        <f>u_Healthy</f>
        <v>0</v>
      </c>
      <c r="Z1417" s="42">
        <f t="shared" si="177"/>
        <v>565.41674687584123</v>
      </c>
      <c r="AA1417" s="6">
        <f t="shared" si="176"/>
        <v>0</v>
      </c>
      <c r="AB1417" s="42">
        <f t="shared" si="179"/>
        <v>23.146484535742189</v>
      </c>
      <c r="AC1417" s="42">
        <f>U1417*(Q1419-c_CSG)</f>
        <v>7.0508720555888571</v>
      </c>
    </row>
    <row r="1418" spans="11:29" x14ac:dyDescent="0.3">
      <c r="M1418" s="42"/>
      <c r="Q1418" s="45">
        <f>1-Q1415-Q1412-Q1409</f>
        <v>0.61785831659300938</v>
      </c>
      <c r="R1418" s="45"/>
      <c r="T1418" s="78"/>
      <c r="Z1418" s="42">
        <f t="shared" si="177"/>
        <v>0</v>
      </c>
      <c r="AA1418" s="6">
        <f t="shared" si="176"/>
        <v>0</v>
      </c>
      <c r="AB1418" s="42">
        <f t="shared" si="179"/>
        <v>0</v>
      </c>
      <c r="AC1418" s="42">
        <f>U1418*(Q1420-c_CSG)</f>
        <v>0</v>
      </c>
    </row>
    <row r="1419" spans="11:29" x14ac:dyDescent="0.3">
      <c r="M1419" s="42"/>
      <c r="Q1419" s="46">
        <f>c_clinic_fu+c_CSG</f>
        <v>14403</v>
      </c>
      <c r="R1419" s="46"/>
      <c r="T1419" s="78"/>
      <c r="Z1419" s="42">
        <f t="shared" si="177"/>
        <v>0</v>
      </c>
      <c r="AA1419" s="6">
        <f t="shared" si="176"/>
        <v>0</v>
      </c>
      <c r="AB1419" s="42">
        <f t="shared" si="179"/>
        <v>0</v>
      </c>
      <c r="AC1419" s="42">
        <f>U1419*(Q1421-c_CSG)</f>
        <v>0</v>
      </c>
    </row>
    <row r="1420" spans="11:29" x14ac:dyDescent="0.3">
      <c r="M1420" s="42"/>
      <c r="Q1420" s="42"/>
      <c r="R1420" s="42"/>
      <c r="T1420" s="78"/>
      <c r="Z1420" s="42">
        <f t="shared" si="177"/>
        <v>0</v>
      </c>
      <c r="AA1420" s="6">
        <f t="shared" si="176"/>
        <v>0</v>
      </c>
      <c r="AB1420" s="42">
        <f t="shared" si="179"/>
        <v>0</v>
      </c>
      <c r="AC1420" s="42"/>
    </row>
    <row r="1421" spans="11:29" x14ac:dyDescent="0.3">
      <c r="K1421" s="19" t="s">
        <v>165</v>
      </c>
      <c r="L1421" s="19"/>
      <c r="M1421" s="19"/>
      <c r="N1421" s="19"/>
      <c r="O1421" s="19"/>
      <c r="P1421" s="19"/>
      <c r="Q1421" s="19"/>
      <c r="R1421" s="19"/>
      <c r="T1421" s="78"/>
      <c r="U1421">
        <f>$K$1422*$I$1430*$G$1398*$E$1436*$C$1505*$A$1460</f>
        <v>3.7806417943276585E-4</v>
      </c>
      <c r="V1421">
        <v>3.7806417943276585E-4</v>
      </c>
      <c r="W1421" s="42">
        <f>$K$1423+$I$1431+$G$1399+$E$1437+$C$1506+$A$1461</f>
        <v>257071.45980810808</v>
      </c>
      <c r="X1421">
        <f>u_Death</f>
        <v>19.181538114427529</v>
      </c>
      <c r="Z1421" s="42">
        <f t="shared" si="177"/>
        <v>97.189510507935623</v>
      </c>
      <c r="AA1421" s="6">
        <f t="shared" ref="AA1421:AA1484" si="180">U1421*X1421</f>
        <v>7.2518524674893663E-3</v>
      </c>
      <c r="AB1421" s="42"/>
      <c r="AC1421" s="42"/>
    </row>
    <row r="1422" spans="11:29" x14ac:dyDescent="0.3">
      <c r="K1422" s="45">
        <f>AGA_prem_2d_4</f>
        <v>3.5174999999999998E-2</v>
      </c>
      <c r="T1422" s="78"/>
      <c r="Z1422" s="42">
        <f t="shared" si="177"/>
        <v>0</v>
      </c>
      <c r="AA1422" s="6">
        <f t="shared" si="180"/>
        <v>0</v>
      </c>
      <c r="AB1422" s="42">
        <f t="shared" ref="AB1422:AB1453" si="181">U1422*c_CSG</f>
        <v>0</v>
      </c>
      <c r="AC1422" s="42">
        <f>U1422*(Q1424-c_CSG)</f>
        <v>0</v>
      </c>
    </row>
    <row r="1423" spans="11:29" x14ac:dyDescent="0.3">
      <c r="K1423" s="46">
        <f>c_SB</f>
        <v>1792</v>
      </c>
      <c r="T1423" s="78"/>
      <c r="Z1423" s="42">
        <f t="shared" ref="Z1423:Z1486" si="182">U1423*W1423</f>
        <v>0</v>
      </c>
      <c r="AA1423" s="6">
        <f t="shared" si="180"/>
        <v>0</v>
      </c>
      <c r="AB1423" s="42">
        <f t="shared" si="181"/>
        <v>0</v>
      </c>
      <c r="AC1423" s="42"/>
    </row>
    <row r="1424" spans="11:29" x14ac:dyDescent="0.3">
      <c r="T1424" s="78"/>
      <c r="Z1424" s="42">
        <f t="shared" si="182"/>
        <v>0</v>
      </c>
      <c r="AA1424" s="6">
        <f t="shared" si="180"/>
        <v>0</v>
      </c>
      <c r="AB1424" s="42">
        <f t="shared" si="181"/>
        <v>0</v>
      </c>
      <c r="AC1424" s="42">
        <f>U1424*(Q1426-c_CSG)</f>
        <v>0</v>
      </c>
    </row>
    <row r="1425" spans="5:29" x14ac:dyDescent="0.3">
      <c r="Q1425" s="19" t="s">
        <v>367</v>
      </c>
      <c r="R1425" s="19"/>
      <c r="T1425" s="78"/>
      <c r="U1425">
        <f>$K$1441*$I$1430*$G$1398*$E$1436*$C$1505*$A$1460*$M$1436*$O$1431*Q1426</f>
        <v>2.3972017654572998E-4</v>
      </c>
      <c r="V1425">
        <v>2.3972017654573001E-4</v>
      </c>
      <c r="W1425" s="42">
        <f>$K$1442+$I$1431+$G$1399+$E$1437+$C$1506+$A$1461+$M$1437+$O$1432+Q1427</f>
        <v>343340.84125871374</v>
      </c>
      <c r="X1425">
        <f>u_ChronicResp</f>
        <v>0.53465956747782661</v>
      </c>
      <c r="Z1425" s="42">
        <f t="shared" si="182"/>
        <v>82.305727081898311</v>
      </c>
      <c r="AA1425" s="6">
        <f t="shared" si="180"/>
        <v>1.2816868590764823E-4</v>
      </c>
      <c r="AB1425" s="42">
        <f t="shared" si="181"/>
        <v>2.6465107490648592</v>
      </c>
      <c r="AC1425" s="42">
        <f>U1425*(Q1427-c_CSG)</f>
        <v>10.425313231410776</v>
      </c>
    </row>
    <row r="1426" spans="5:29" x14ac:dyDescent="0.3">
      <c r="Q1426" s="45">
        <f>RDS2CLD_4-(Hypo2CI_4*RDS2CLD_4)</f>
        <v>0.34246866666666664</v>
      </c>
      <c r="R1426" s="45"/>
      <c r="T1426" s="78"/>
      <c r="Z1426" s="42">
        <f t="shared" si="182"/>
        <v>0</v>
      </c>
      <c r="AA1426" s="6">
        <f t="shared" si="180"/>
        <v>0</v>
      </c>
      <c r="AB1426" s="42">
        <f t="shared" si="181"/>
        <v>0</v>
      </c>
      <c r="AC1426" s="42"/>
    </row>
    <row r="1427" spans="5:29" x14ac:dyDescent="0.3">
      <c r="Q1427" s="46">
        <f>c_lung+c_hosp_fu+c_CSG</f>
        <v>54529.510902399998</v>
      </c>
      <c r="R1427" s="46"/>
      <c r="T1427" s="78"/>
      <c r="Z1427" s="42">
        <f t="shared" si="182"/>
        <v>0</v>
      </c>
      <c r="AA1427" s="6">
        <f t="shared" si="180"/>
        <v>0</v>
      </c>
      <c r="AB1427" s="42">
        <f t="shared" si="181"/>
        <v>0</v>
      </c>
      <c r="AC1427" s="42">
        <f>U1427*(Q1429-c_CSG)</f>
        <v>0</v>
      </c>
    </row>
    <row r="1428" spans="5:29" x14ac:dyDescent="0.3">
      <c r="Q1428" s="19" t="s">
        <v>226</v>
      </c>
      <c r="R1428" s="19"/>
      <c r="T1428" s="78"/>
      <c r="U1428">
        <f>$K$1441*$I$1430*$G$1398*$E$1436*$C$1505*$A$1460*$M$1436*$O$1431*Q1429</f>
        <v>2.2960644276127552E-5</v>
      </c>
      <c r="V1428">
        <v>2.2960644276127556E-5</v>
      </c>
      <c r="W1428" s="42">
        <f>$K$1442+$I$1431+$G$1399+$E$1437+$C$1506+$A$1461+$M$1437+$O$1432+Q1430</f>
        <v>304577.33035631373</v>
      </c>
      <c r="X1428">
        <f>u_CongnitiveImpairement</f>
        <v>17.270393127285455</v>
      </c>
      <c r="Z1428" s="42">
        <f t="shared" si="182"/>
        <v>6.9932917368839052</v>
      </c>
      <c r="AA1428" s="6">
        <f t="shared" si="180"/>
        <v>3.9653935310447942E-4</v>
      </c>
      <c r="AB1428" s="42">
        <f t="shared" si="181"/>
        <v>0.25348551280844817</v>
      </c>
      <c r="AC1428" s="42">
        <f>U1428*(Q1430-c_CSG)</f>
        <v>0.10851200484897881</v>
      </c>
    </row>
    <row r="1429" spans="5:29" x14ac:dyDescent="0.3">
      <c r="I1429" s="19" t="s">
        <v>424</v>
      </c>
      <c r="Q1429" s="45">
        <f>Hypo2CI_4-(Hypo2CI_4*RDS2CLD_4)</f>
        <v>3.2801999999999998E-2</v>
      </c>
      <c r="R1429" s="45"/>
      <c r="T1429" s="78"/>
      <c r="Z1429" s="42">
        <f t="shared" si="182"/>
        <v>0</v>
      </c>
      <c r="AA1429" s="6">
        <f t="shared" si="180"/>
        <v>0</v>
      </c>
      <c r="AB1429" s="42">
        <f t="shared" si="181"/>
        <v>0</v>
      </c>
      <c r="AC1429" s="42"/>
    </row>
    <row r="1430" spans="5:29" x14ac:dyDescent="0.3">
      <c r="I1430" s="45">
        <f>LBW_prem_2AGA_4</f>
        <v>0.55590452261306533</v>
      </c>
      <c r="O1430" s="19" t="s">
        <v>161</v>
      </c>
      <c r="Q1430" s="46">
        <f>c_cog+c_hosp_fu+c_CSG</f>
        <v>15766</v>
      </c>
      <c r="R1430" s="46"/>
      <c r="T1430" s="78"/>
      <c r="Z1430" s="42">
        <f t="shared" si="182"/>
        <v>0</v>
      </c>
      <c r="AA1430" s="6">
        <f t="shared" si="180"/>
        <v>0</v>
      </c>
      <c r="AB1430" s="42">
        <f t="shared" si="181"/>
        <v>0</v>
      </c>
      <c r="AC1430" s="42">
        <f>U1430*(Q1432-c_CSG)</f>
        <v>0</v>
      </c>
    </row>
    <row r="1431" spans="5:29" x14ac:dyDescent="0.3">
      <c r="I1431" s="46"/>
      <c r="O1431" s="45">
        <f>AGA_prem_2hypoglycaemia_4</f>
        <v>0.15</v>
      </c>
      <c r="Q1431" s="19" t="s">
        <v>368</v>
      </c>
      <c r="R1431" s="19"/>
      <c r="T1431" s="78"/>
      <c r="U1431">
        <f>$K$1441*$I$1430*$G$1398*$E$1436*$C$1505*$A$1460*$M$1436*$O$1431*Q1432</f>
        <v>1.2971506390738727E-5</v>
      </c>
      <c r="V1431">
        <v>1.297150639073873E-5</v>
      </c>
      <c r="W1431" s="42">
        <f>$K$1442+$I$1431+$G$1399+$E$1437+$C$1506+$A$1461+$M$1437+$O$1432+Q1433</f>
        <v>347159.84125871374</v>
      </c>
      <c r="X1431">
        <f>u_ChronicResp+u_CongnitiveImpairement</f>
        <v>17.805052694763283</v>
      </c>
      <c r="Z1431" s="42">
        <f t="shared" si="182"/>
        <v>4.5031860994952471</v>
      </c>
      <c r="AA1431" s="6">
        <f t="shared" si="180"/>
        <v>2.3095835481756172E-4</v>
      </c>
      <c r="AB1431" s="42">
        <f t="shared" si="181"/>
        <v>0.14320543055375554</v>
      </c>
      <c r="AC1431" s="42">
        <f>U1431*(Q1433-c_CSG)</f>
        <v>0.61366265150681432</v>
      </c>
    </row>
    <row r="1432" spans="5:29" x14ac:dyDescent="0.3">
      <c r="O1432" s="46">
        <f>c_hypo</f>
        <v>2936.2604000000001</v>
      </c>
      <c r="Q1432" s="45">
        <f>Hypo2CI_4*RDS2CLD_4</f>
        <v>1.8531333333333334E-2</v>
      </c>
      <c r="R1432" s="45"/>
      <c r="T1432" s="78"/>
      <c r="Z1432" s="42">
        <f t="shared" si="182"/>
        <v>0</v>
      </c>
      <c r="AA1432" s="6">
        <f t="shared" si="180"/>
        <v>0</v>
      </c>
      <c r="AB1432" s="42">
        <f t="shared" si="181"/>
        <v>0</v>
      </c>
      <c r="AC1432" s="42"/>
    </row>
    <row r="1433" spans="5:29" x14ac:dyDescent="0.3">
      <c r="M1433" s="42"/>
      <c r="Q1433" s="46">
        <f>c_lung+c_cog+c_hosp_fu+c_CSG</f>
        <v>58348.510902399998</v>
      </c>
      <c r="R1433" s="46"/>
      <c r="T1433" s="78"/>
      <c r="Z1433" s="42">
        <f t="shared" si="182"/>
        <v>0</v>
      </c>
      <c r="AA1433" s="6">
        <f t="shared" si="180"/>
        <v>0</v>
      </c>
      <c r="AB1433" s="42">
        <f t="shared" si="181"/>
        <v>0</v>
      </c>
      <c r="AC1433" s="42">
        <f>U1433*(Q1435-c_CSG)</f>
        <v>0</v>
      </c>
    </row>
    <row r="1434" spans="5:29" x14ac:dyDescent="0.3">
      <c r="Q1434" s="19" t="s">
        <v>369</v>
      </c>
      <c r="R1434" s="19"/>
      <c r="T1434" s="78"/>
      <c r="U1434">
        <f>$K$1441*$I$1430*$G$1398*$E$1436*$C$1505*$A$1460*$M$1436*$O$1431*Q1435</f>
        <v>4.2432463383025338E-4</v>
      </c>
      <c r="V1434">
        <v>4.2432463383025343E-4</v>
      </c>
      <c r="W1434" s="42">
        <f>$K$1442+$I$1431+$G$1399+$E$1437+$C$1506+$A$1461+$M$1437+$O$1432+Q1436</f>
        <v>303214.33035631373</v>
      </c>
      <c r="X1434">
        <f>u_Healthy</f>
        <v>0</v>
      </c>
      <c r="Z1434" s="42">
        <f t="shared" si="182"/>
        <v>128.66130970052831</v>
      </c>
      <c r="AA1434" s="6">
        <f t="shared" si="180"/>
        <v>0</v>
      </c>
      <c r="AB1434" s="42">
        <f t="shared" si="181"/>
        <v>4.6845439574859977</v>
      </c>
      <c r="AC1434" s="42">
        <f>U1434*(Q1436-c_CSG)</f>
        <v>1.427003743571142</v>
      </c>
    </row>
    <row r="1435" spans="5:29" x14ac:dyDescent="0.3">
      <c r="E1435" s="19" t="s">
        <v>10</v>
      </c>
      <c r="M1435" s="19" t="s">
        <v>9</v>
      </c>
      <c r="Q1435" s="45">
        <f>1-Q1426-Q1429-Q1432</f>
        <v>0.60619800000000001</v>
      </c>
      <c r="R1435" s="45"/>
      <c r="T1435" s="78"/>
      <c r="Z1435" s="42">
        <f t="shared" si="182"/>
        <v>0</v>
      </c>
      <c r="AA1435" s="6">
        <f t="shared" si="180"/>
        <v>0</v>
      </c>
      <c r="AB1435" s="42">
        <f t="shared" si="181"/>
        <v>0</v>
      </c>
      <c r="AC1435" s="42">
        <f>U1435*(Q1437-c_CSG)</f>
        <v>0</v>
      </c>
    </row>
    <row r="1436" spans="5:29" x14ac:dyDescent="0.3">
      <c r="E1436" s="45">
        <f>LB2prem_4</f>
        <v>0.1733800350262697</v>
      </c>
      <c r="K1436" s="42"/>
      <c r="M1436" s="45">
        <f>S_prem_2RDS_4</f>
        <v>0.45</v>
      </c>
      <c r="Q1436" s="46">
        <f>c_clinic_fu+c_CSG</f>
        <v>14403</v>
      </c>
      <c r="R1436" s="46"/>
      <c r="T1436" s="78"/>
      <c r="Z1436" s="42">
        <f t="shared" si="182"/>
        <v>0</v>
      </c>
      <c r="AA1436" s="6">
        <f t="shared" si="180"/>
        <v>0</v>
      </c>
      <c r="AB1436" s="42">
        <f t="shared" si="181"/>
        <v>0</v>
      </c>
      <c r="AC1436" s="42"/>
    </row>
    <row r="1437" spans="5:29" x14ac:dyDescent="0.3">
      <c r="E1437" s="46">
        <f>c_prem</f>
        <v>577.9017081081081</v>
      </c>
      <c r="K1437" s="42"/>
      <c r="M1437" s="46">
        <f>c_RDS</f>
        <v>30595.610148205637</v>
      </c>
      <c r="Q1437" s="42"/>
      <c r="R1437" s="42"/>
      <c r="T1437" s="78"/>
      <c r="Z1437" s="42">
        <f t="shared" si="182"/>
        <v>0</v>
      </c>
      <c r="AA1437" s="6">
        <f t="shared" si="180"/>
        <v>0</v>
      </c>
      <c r="AB1437" s="42">
        <f t="shared" si="181"/>
        <v>0</v>
      </c>
      <c r="AC1437" s="42">
        <f>U1437*(Q1439-c_CSG)</f>
        <v>0</v>
      </c>
    </row>
    <row r="1438" spans="5:29" x14ac:dyDescent="0.3">
      <c r="Q1438" s="19" t="s">
        <v>367</v>
      </c>
      <c r="R1438" s="19"/>
      <c r="T1438" s="78"/>
      <c r="U1438">
        <f>$K$1441*$I$1430*$G$1398*$E$1436*$C$1505*$A$1460*$M$1436*$O$1441*Q1439</f>
        <v>1.3845436532160024E-3</v>
      </c>
      <c r="V1438">
        <v>1.3845436532160028E-3</v>
      </c>
      <c r="W1438" s="42">
        <f>$K$1442+$I$1431+$G$1399+$E$1437+$C$1506+$A$1461+$M$1437+$O$1442+Q1440</f>
        <v>340404.58085871371</v>
      </c>
      <c r="X1438">
        <f>u_ChronicResp</f>
        <v>0.53465956747782661</v>
      </c>
      <c r="Z1438" s="42">
        <f t="shared" si="182"/>
        <v>471.30500195358553</v>
      </c>
      <c r="AA1438" s="6">
        <f t="shared" si="180"/>
        <v>7.4025951078263781E-4</v>
      </c>
      <c r="AB1438" s="42">
        <f t="shared" si="181"/>
        <v>15.285361931504665</v>
      </c>
      <c r="AC1438" s="42">
        <f>U1438*(Q1440-c_CSG)</f>
        <v>60.213126301386055</v>
      </c>
    </row>
    <row r="1439" spans="5:29" x14ac:dyDescent="0.3">
      <c r="Q1439" s="45">
        <f>RDS2CLD_4-(RDS2CLD_4*noHypo2CI_4)</f>
        <v>0.34905610687022898</v>
      </c>
      <c r="R1439" s="45"/>
      <c r="T1439" s="78"/>
      <c r="Z1439" s="42">
        <f t="shared" si="182"/>
        <v>0</v>
      </c>
      <c r="AA1439" s="6">
        <f t="shared" si="180"/>
        <v>0</v>
      </c>
      <c r="AB1439" s="42">
        <f t="shared" si="181"/>
        <v>0</v>
      </c>
      <c r="AC1439" s="42"/>
    </row>
    <row r="1440" spans="5:29" x14ac:dyDescent="0.3">
      <c r="K1440" s="19" t="s">
        <v>37</v>
      </c>
      <c r="M1440" s="42"/>
      <c r="O1440" s="19" t="s">
        <v>370</v>
      </c>
      <c r="Q1440" s="46">
        <f>c_lung+c_hosp_fu+c_CSG</f>
        <v>54529.510902399998</v>
      </c>
      <c r="R1440" s="46"/>
      <c r="T1440" s="78"/>
      <c r="Z1440" s="42">
        <f t="shared" si="182"/>
        <v>0</v>
      </c>
      <c r="AA1440" s="6">
        <f t="shared" si="180"/>
        <v>0</v>
      </c>
      <c r="AB1440" s="42">
        <f t="shared" si="181"/>
        <v>0</v>
      </c>
      <c r="AC1440" s="42">
        <f>U1440*(Q1442-c_CSG)</f>
        <v>0</v>
      </c>
    </row>
    <row r="1441" spans="11:29" x14ac:dyDescent="0.3">
      <c r="K1441" s="45">
        <f>AGA_prem_2s_4</f>
        <v>0.96482500000000004</v>
      </c>
      <c r="O1441" s="45">
        <f>AGA_prem_2normoglycaemia_4</f>
        <v>0.85</v>
      </c>
      <c r="Q1441" s="19" t="s">
        <v>226</v>
      </c>
      <c r="R1441" s="19"/>
      <c r="T1441" s="78"/>
      <c r="U1441">
        <f>$K$1441*$I$1430*$G$1398*$E$1436*$C$1505*$A$1460*$M$1436*$O$1441*Q1442</f>
        <v>8.3859250714480777E-5</v>
      </c>
      <c r="V1441">
        <v>8.3859250714480804E-5</v>
      </c>
      <c r="W1441" s="42">
        <f>$K$1442+$I$1431+$G$1399+$E$1437+$C$1506+$A$1461+$M$1437+$O$1442+Q1443</f>
        <v>301641.0699563137</v>
      </c>
      <c r="X1441">
        <f>u_CongnitiveImpairement</f>
        <v>17.270393127285455</v>
      </c>
      <c r="Z1441" s="42">
        <f t="shared" si="182"/>
        <v>25.295394111250747</v>
      </c>
      <c r="AA1441" s="6">
        <f t="shared" si="180"/>
        <v>1.4482822271986767E-3</v>
      </c>
      <c r="AB1441" s="42">
        <f t="shared" si="181"/>
        <v>0.92580612788786776</v>
      </c>
      <c r="AC1441" s="42">
        <f>U1441*(Q1443-c_CSG)</f>
        <v>0.39631881887663617</v>
      </c>
    </row>
    <row r="1442" spans="11:29" x14ac:dyDescent="0.3">
      <c r="K1442" s="46"/>
      <c r="O1442" s="46"/>
      <c r="Q1442" s="45">
        <f>noHypo2CI_4-(RDS2CLD_4*noHypo2CI_4)</f>
        <v>2.1141683406990762E-2</v>
      </c>
      <c r="R1442" s="45"/>
      <c r="T1442" s="78"/>
      <c r="Z1442" s="42">
        <f t="shared" si="182"/>
        <v>0</v>
      </c>
      <c r="AA1442" s="6">
        <f t="shared" si="180"/>
        <v>0</v>
      </c>
      <c r="AB1442" s="42">
        <f t="shared" si="181"/>
        <v>0</v>
      </c>
      <c r="AC1442" s="42"/>
    </row>
    <row r="1443" spans="11:29" x14ac:dyDescent="0.3">
      <c r="Q1443" s="46">
        <f>c_cog+c_hosp_fu+c_CSG</f>
        <v>15766</v>
      </c>
      <c r="R1443" s="46"/>
      <c r="T1443" s="78"/>
      <c r="Z1443" s="42">
        <f t="shared" si="182"/>
        <v>0</v>
      </c>
      <c r="AA1443" s="6">
        <f t="shared" si="180"/>
        <v>0</v>
      </c>
      <c r="AB1443" s="42">
        <f t="shared" si="181"/>
        <v>0</v>
      </c>
      <c r="AC1443" s="42">
        <f>U1443*(Q1445-c_CSG)</f>
        <v>0</v>
      </c>
    </row>
    <row r="1444" spans="11:29" x14ac:dyDescent="0.3">
      <c r="Q1444" s="19" t="s">
        <v>368</v>
      </c>
      <c r="R1444" s="19"/>
      <c r="T1444" s="78"/>
      <c r="U1444">
        <f>$K$1441*$I$1430*$G$1398*$E$1436*$C$1505*$A$1460*$M$1436*$O$1441*Q1445</f>
        <v>4.7375883423986789E-5</v>
      </c>
      <c r="V1444">
        <v>4.7375883423986795E-5</v>
      </c>
      <c r="W1444" s="42">
        <f>$K$1442+$I$1431+$G$1399+$E$1437+$C$1506+$A$1461+$M$1437+$O$1442+Q1446</f>
        <v>344223.58085871371</v>
      </c>
      <c r="X1444">
        <f>u_ChronicResp+u_CongnitiveImpairement</f>
        <v>17.805052694763283</v>
      </c>
      <c r="Z1444" s="42">
        <f t="shared" si="182"/>
        <v>16.307896238549713</v>
      </c>
      <c r="AA1444" s="6">
        <f t="shared" si="180"/>
        <v>8.4353010082504709E-4</v>
      </c>
      <c r="AB1444" s="42">
        <f t="shared" si="181"/>
        <v>0.52302975300081411</v>
      </c>
      <c r="AC1444" s="42">
        <f>U1444*(Q1446-c_CSG)</f>
        <v>2.2412824974745105</v>
      </c>
    </row>
    <row r="1445" spans="11:29" x14ac:dyDescent="0.3">
      <c r="Q1445" s="45">
        <f>RDS2CLD_4*noHypo2CI_4</f>
        <v>1.1943893129770991E-2</v>
      </c>
      <c r="R1445" s="45"/>
      <c r="T1445" s="78"/>
      <c r="Z1445" s="42">
        <f t="shared" si="182"/>
        <v>0</v>
      </c>
      <c r="AA1445" s="6">
        <f t="shared" si="180"/>
        <v>0</v>
      </c>
      <c r="AB1445" s="42">
        <f t="shared" si="181"/>
        <v>0</v>
      </c>
      <c r="AC1445" s="42"/>
    </row>
    <row r="1446" spans="11:29" x14ac:dyDescent="0.3">
      <c r="Q1446" s="46">
        <f>c_cog+c_lung+c_hosp_fu+c_CSG</f>
        <v>58348.510902399998</v>
      </c>
      <c r="R1446" s="46"/>
      <c r="T1446" s="78"/>
      <c r="Z1446" s="42">
        <f t="shared" si="182"/>
        <v>0</v>
      </c>
      <c r="AA1446" s="6">
        <f t="shared" si="180"/>
        <v>0</v>
      </c>
      <c r="AB1446" s="42">
        <f t="shared" si="181"/>
        <v>0</v>
      </c>
      <c r="AC1446" s="42">
        <f>U1446*(Q1448-c_CSG)</f>
        <v>0</v>
      </c>
    </row>
    <row r="1447" spans="11:29" x14ac:dyDescent="0.3">
      <c r="Q1447" s="19" t="s">
        <v>369</v>
      </c>
      <c r="R1447" s="19"/>
      <c r="T1447" s="78"/>
      <c r="U1447">
        <f>$K$1441*$I$1430*$G$1398*$E$1436*$C$1505*$A$1460*$M$1436*$O$1441*Q1448</f>
        <v>2.4507573252216782E-3</v>
      </c>
      <c r="V1447">
        <v>2.4507573252216786E-3</v>
      </c>
      <c r="W1447" s="42">
        <f>$K$1442+$I$1431+$G$1399+$E$1437+$C$1506+$A$1461+$M$1437+$O$1442+Q1449</f>
        <v>300278.0699563137</v>
      </c>
      <c r="X1447">
        <f>u_Healthy</f>
        <v>0</v>
      </c>
      <c r="Z1447" s="42">
        <f t="shared" si="182"/>
        <v>735.90867954886335</v>
      </c>
      <c r="AA1447" s="6">
        <f t="shared" si="180"/>
        <v>0</v>
      </c>
      <c r="AB1447" s="42">
        <f t="shared" si="181"/>
        <v>27.056360870447328</v>
      </c>
      <c r="AC1447" s="42">
        <f>U1447*(Q1449-c_CSG)</f>
        <v>8.2418968847205036</v>
      </c>
    </row>
    <row r="1448" spans="11:29" x14ac:dyDescent="0.3">
      <c r="Q1448" s="45">
        <f>1-Q1445-Q1442-Q1439</f>
        <v>0.61785831659300938</v>
      </c>
      <c r="R1448" s="45"/>
      <c r="T1448" s="78"/>
      <c r="Z1448" s="42">
        <f t="shared" si="182"/>
        <v>0</v>
      </c>
      <c r="AA1448" s="6">
        <f t="shared" si="180"/>
        <v>0</v>
      </c>
      <c r="AB1448" s="42">
        <f t="shared" si="181"/>
        <v>0</v>
      </c>
      <c r="AC1448" s="42">
        <f>U1448*(Q1450-c_CSG)</f>
        <v>0</v>
      </c>
    </row>
    <row r="1449" spans="11:29" x14ac:dyDescent="0.3">
      <c r="Q1449" s="46">
        <f>c_clinic_fu+c_CSG</f>
        <v>14403</v>
      </c>
      <c r="R1449" s="46"/>
      <c r="T1449" s="78"/>
      <c r="Z1449" s="42">
        <f t="shared" si="182"/>
        <v>0</v>
      </c>
      <c r="AA1449" s="6">
        <f t="shared" si="180"/>
        <v>0</v>
      </c>
      <c r="AB1449" s="42">
        <f t="shared" si="181"/>
        <v>0</v>
      </c>
      <c r="AC1449" s="42"/>
    </row>
    <row r="1450" spans="11:29" x14ac:dyDescent="0.3">
      <c r="Q1450" s="42"/>
      <c r="R1450" s="42"/>
      <c r="T1450" s="78"/>
      <c r="Z1450" s="42">
        <f t="shared" si="182"/>
        <v>0</v>
      </c>
      <c r="AA1450" s="6">
        <f t="shared" si="180"/>
        <v>0</v>
      </c>
      <c r="AB1450" s="42">
        <f t="shared" si="181"/>
        <v>0</v>
      </c>
      <c r="AC1450" s="42">
        <f>U1450*(Q1452-c_CSG)</f>
        <v>0</v>
      </c>
    </row>
    <row r="1451" spans="11:29" x14ac:dyDescent="0.3">
      <c r="Q1451" s="19" t="s">
        <v>367</v>
      </c>
      <c r="R1451" s="19"/>
      <c r="T1451" s="78"/>
      <c r="U1451">
        <f>$K$1441*$I$1430*$G$1398*$E$1436*$C$1505*$A$1460*$M$1456*$O$1454*Q1452</f>
        <v>2.9299132688922553E-4</v>
      </c>
      <c r="V1451">
        <v>2.9299132688922564E-4</v>
      </c>
      <c r="W1451" s="42">
        <f>$K$1442+$I$1431+$G$1399+$E$1437+$C$1506+$A$1461+$M$1457+$O$1455+Q1453</f>
        <v>312745.23111050809</v>
      </c>
      <c r="X1451">
        <f>u_ChronicResp</f>
        <v>0.53465956747782661</v>
      </c>
      <c r="Z1451" s="42">
        <f t="shared" si="182"/>
        <v>91.631640241345266</v>
      </c>
      <c r="AA1451" s="6">
        <f t="shared" si="180"/>
        <v>1.5665061610934782E-4</v>
      </c>
      <c r="AB1451" s="42">
        <f t="shared" si="181"/>
        <v>3.2346242488570498</v>
      </c>
      <c r="AC1451" s="42">
        <f>U1451*(Q1453-c_CSG)</f>
        <v>12.742049505057615</v>
      </c>
    </row>
    <row r="1452" spans="11:29" x14ac:dyDescent="0.3">
      <c r="Q1452" s="45">
        <f>RDS2CLD_4-(Hypo2CI_4*RDS2CLD_4)</f>
        <v>0.34246866666666664</v>
      </c>
      <c r="R1452" s="45"/>
      <c r="T1452" s="78"/>
      <c r="Z1452" s="42">
        <f t="shared" si="182"/>
        <v>0</v>
      </c>
      <c r="AA1452" s="6">
        <f t="shared" si="180"/>
        <v>0</v>
      </c>
      <c r="AB1452" s="42">
        <f t="shared" si="181"/>
        <v>0</v>
      </c>
      <c r="AC1452" s="42"/>
    </row>
    <row r="1453" spans="11:29" x14ac:dyDescent="0.3">
      <c r="O1453" s="19" t="s">
        <v>161</v>
      </c>
      <c r="Q1453" s="46">
        <f>c_lung+c_hosp_fu+c_CSG</f>
        <v>54529.510902399998</v>
      </c>
      <c r="R1453" s="46"/>
      <c r="T1453" s="78"/>
      <c r="Z1453" s="42">
        <f t="shared" si="182"/>
        <v>0</v>
      </c>
      <c r="AA1453" s="6">
        <f t="shared" si="180"/>
        <v>0</v>
      </c>
      <c r="AB1453" s="42">
        <f t="shared" si="181"/>
        <v>0</v>
      </c>
      <c r="AC1453" s="42">
        <f>U1453*(Q1455-c_CSG)</f>
        <v>0</v>
      </c>
    </row>
    <row r="1454" spans="11:29" x14ac:dyDescent="0.3">
      <c r="O1454" s="45">
        <f>AGA_prem_2hypoglycaemia_4</f>
        <v>0.15</v>
      </c>
      <c r="Q1454" s="19" t="s">
        <v>226</v>
      </c>
      <c r="R1454" s="19"/>
      <c r="T1454" s="78"/>
      <c r="U1454">
        <f>$K$1441*$I$1430*$G$1398*$E$1436*$C$1505*$A$1460*$M$1456*$O$1454*Q1455</f>
        <v>2.8063009670822566E-5</v>
      </c>
      <c r="V1454">
        <v>2.8063009670822573E-5</v>
      </c>
      <c r="W1454" s="42">
        <f>$K$1442+$I$1431+$G$1399+$E$1437+$C$1506+$A$1461+$M$1457+$O$1455+Q1456</f>
        <v>273981.72020810808</v>
      </c>
      <c r="X1454">
        <f>u_CongnitiveImpairement</f>
        <v>17.270393127285455</v>
      </c>
      <c r="Z1454" s="42">
        <f t="shared" si="182"/>
        <v>7.6887516638287394</v>
      </c>
      <c r="AA1454" s="6">
        <f t="shared" si="180"/>
        <v>4.8465920934991931E-4</v>
      </c>
      <c r="AB1454" s="42">
        <f t="shared" ref="AB1454:AB1476" si="183">U1454*c_CSG</f>
        <v>0.30981562676588115</v>
      </c>
      <c r="AC1454" s="42">
        <f>U1454*(Q1456-c_CSG)</f>
        <v>0.13262578370430744</v>
      </c>
    </row>
    <row r="1455" spans="11:29" x14ac:dyDescent="0.3">
      <c r="M1455" s="19" t="s">
        <v>203</v>
      </c>
      <c r="O1455" s="46">
        <f>c_hypo</f>
        <v>2936.2604000000001</v>
      </c>
      <c r="Q1455" s="45">
        <f>Hypo2CI_4-(Hypo2CI_4*RDS2CLD_4)</f>
        <v>3.2801999999999998E-2</v>
      </c>
      <c r="R1455" s="45"/>
      <c r="T1455" s="78"/>
      <c r="Z1455" s="42">
        <f t="shared" si="182"/>
        <v>0</v>
      </c>
      <c r="AA1455" s="6">
        <f t="shared" si="180"/>
        <v>0</v>
      </c>
      <c r="AB1455" s="42">
        <f t="shared" si="183"/>
        <v>0</v>
      </c>
      <c r="AC1455" s="42"/>
    </row>
    <row r="1456" spans="11:29" x14ac:dyDescent="0.3">
      <c r="M1456" s="45">
        <f>S_prem_2noRDS_4</f>
        <v>0.55000000000000004</v>
      </c>
      <c r="Q1456" s="46">
        <f>c_cog+c_hosp_fu+c_CSG</f>
        <v>15766</v>
      </c>
      <c r="R1456" s="46"/>
      <c r="T1456" s="78"/>
      <c r="Z1456" s="42">
        <f t="shared" si="182"/>
        <v>0</v>
      </c>
      <c r="AA1456" s="6">
        <f t="shared" si="180"/>
        <v>0</v>
      </c>
      <c r="AB1456" s="42">
        <f t="shared" si="183"/>
        <v>0</v>
      </c>
      <c r="AC1456" s="42">
        <f>U1456*(Q1458-c_CSG)</f>
        <v>0</v>
      </c>
    </row>
    <row r="1457" spans="1:29" x14ac:dyDescent="0.3">
      <c r="M1457" s="46"/>
      <c r="O1457" s="42"/>
      <c r="Q1457" s="19" t="s">
        <v>368</v>
      </c>
      <c r="R1457" s="19"/>
      <c r="T1457" s="78"/>
      <c r="U1457" s="97">
        <f>G1398*E1436*C1505*A1460*I1430*K1441*M1456*O1454*Q1458</f>
        <v>1.585406336645845E-5</v>
      </c>
      <c r="V1457">
        <v>1.585406336645845E-5</v>
      </c>
      <c r="W1457" s="42">
        <f>$K$1442+$I$1431+$G$1399+$E$1437+$C$1506+$A$1461+$M$1457+$O$1455+Q1459</f>
        <v>316564.23111050809</v>
      </c>
      <c r="X1457">
        <f>u_ChronicResp+u_CongnitiveImpairement</f>
        <v>17.805052694763283</v>
      </c>
      <c r="Z1457" s="42">
        <f t="shared" si="182"/>
        <v>5.0188293795801924</v>
      </c>
      <c r="AA1457" s="6">
        <f t="shared" si="180"/>
        <v>2.8228243366590887E-4</v>
      </c>
      <c r="AB1457" s="42">
        <f t="shared" si="183"/>
        <v>0.1750288595657013</v>
      </c>
      <c r="AC1457" s="42">
        <f>U1457*(Q1459-c_CSG)</f>
        <v>0.75003212961943999</v>
      </c>
    </row>
    <row r="1458" spans="1:29" x14ac:dyDescent="0.3">
      <c r="A1458" t="s">
        <v>300</v>
      </c>
      <c r="M1458" s="42"/>
      <c r="Q1458" s="45">
        <f>Hypo2CI_4*RDS2CLD_4</f>
        <v>1.8531333333333334E-2</v>
      </c>
      <c r="R1458" s="45"/>
      <c r="T1458" s="78"/>
      <c r="Z1458" s="42">
        <f t="shared" si="182"/>
        <v>0</v>
      </c>
      <c r="AA1458" s="6">
        <f t="shared" si="180"/>
        <v>0</v>
      </c>
      <c r="AB1458" s="42">
        <f t="shared" si="183"/>
        <v>0</v>
      </c>
      <c r="AC1458" s="42"/>
    </row>
    <row r="1459" spans="1:29" x14ac:dyDescent="0.3">
      <c r="A1459" s="19" t="s">
        <v>23</v>
      </c>
      <c r="M1459" s="42"/>
      <c r="Q1459" s="46">
        <f>c_lung+c_cog+c_hosp_fu+c_CSG</f>
        <v>58348.510902399998</v>
      </c>
      <c r="R1459" s="46"/>
      <c r="T1459" s="78"/>
      <c r="Z1459" s="42">
        <f t="shared" si="182"/>
        <v>0</v>
      </c>
      <c r="AA1459" s="6">
        <f t="shared" si="180"/>
        <v>0</v>
      </c>
      <c r="AB1459" s="42">
        <f t="shared" si="183"/>
        <v>0</v>
      </c>
      <c r="AC1459" s="42">
        <f>U1459*(Q1461-c_CSG)</f>
        <v>0</v>
      </c>
    </row>
    <row r="1460" spans="1:29" x14ac:dyDescent="0.3">
      <c r="A1460" s="45">
        <f>NoG2noANC</f>
        <v>0.16900000000000004</v>
      </c>
      <c r="M1460" s="42"/>
      <c r="Q1460" s="19" t="s">
        <v>369</v>
      </c>
      <c r="R1460" s="19"/>
      <c r="T1460" s="78"/>
      <c r="U1460">
        <f>$K$1441*$I$1430*$G$1398*$E$1436*$C$1505*$A$1460*$M$1456*$O$1454*Q1461</f>
        <v>5.1861899690364306E-4</v>
      </c>
      <c r="V1460">
        <v>5.1861899690364317E-4</v>
      </c>
      <c r="W1460" s="42">
        <f>$K$1442+$I$1431+$G$1399+$E$1437+$C$1506+$A$1461+$M$1457+$O$1455+Q1462</f>
        <v>272618.72020810808</v>
      </c>
      <c r="X1460">
        <f>u_Healthy</f>
        <v>0</v>
      </c>
      <c r="Z1460" s="42">
        <f t="shared" si="182"/>
        <v>141.38524721148394</v>
      </c>
      <c r="AA1460" s="6">
        <f t="shared" si="180"/>
        <v>0</v>
      </c>
      <c r="AB1460" s="42">
        <f t="shared" si="183"/>
        <v>5.7255537258162192</v>
      </c>
      <c r="AC1460" s="42">
        <f>U1460*(Q1462-c_CSG)</f>
        <v>1.7441156865869516</v>
      </c>
    </row>
    <row r="1461" spans="1:29" x14ac:dyDescent="0.3">
      <c r="A1461" s="46"/>
      <c r="M1461" s="42"/>
      <c r="O1461" s="42"/>
      <c r="Q1461" s="45">
        <f>1-Q1452-Q1455-Q1458</f>
        <v>0.60619800000000001</v>
      </c>
      <c r="R1461" s="45"/>
      <c r="T1461" s="78"/>
      <c r="Z1461" s="42">
        <f t="shared" si="182"/>
        <v>0</v>
      </c>
      <c r="AA1461" s="6">
        <f t="shared" si="180"/>
        <v>0</v>
      </c>
      <c r="AB1461" s="42">
        <f t="shared" si="183"/>
        <v>0</v>
      </c>
      <c r="AC1461" s="42">
        <f>U1461*(Q1463-c_CSG)</f>
        <v>0</v>
      </c>
    </row>
    <row r="1462" spans="1:29" x14ac:dyDescent="0.3">
      <c r="M1462" s="42"/>
      <c r="Q1462" s="46">
        <f>c_clinic_fu+c_CSG</f>
        <v>14403</v>
      </c>
      <c r="R1462" s="46"/>
      <c r="S1462" s="94"/>
      <c r="T1462" s="78"/>
      <c r="Z1462" s="42">
        <f t="shared" si="182"/>
        <v>0</v>
      </c>
      <c r="AA1462" s="6">
        <f t="shared" si="180"/>
        <v>0</v>
      </c>
      <c r="AB1462" s="42">
        <f t="shared" si="183"/>
        <v>0</v>
      </c>
      <c r="AC1462" s="42"/>
    </row>
    <row r="1463" spans="1:29" x14ac:dyDescent="0.3">
      <c r="M1463" s="42"/>
      <c r="Q1463" s="42"/>
      <c r="R1463" s="42"/>
      <c r="T1463" s="78"/>
      <c r="Z1463" s="42">
        <f t="shared" si="182"/>
        <v>0</v>
      </c>
      <c r="AA1463" s="6">
        <f t="shared" si="180"/>
        <v>0</v>
      </c>
      <c r="AB1463" s="42">
        <f t="shared" si="183"/>
        <v>0</v>
      </c>
      <c r="AC1463" s="42">
        <f>U1463*(Q1465-c_CSG)</f>
        <v>0</v>
      </c>
    </row>
    <row r="1464" spans="1:29" x14ac:dyDescent="0.3">
      <c r="M1464" s="42"/>
      <c r="Q1464" s="19" t="s">
        <v>367</v>
      </c>
      <c r="R1464" s="19"/>
      <c r="T1464" s="78"/>
      <c r="U1464">
        <f>$K$1441*$I$1430*$G$1398*$E$1436*$C$1505*$A$1460*$M$1456*$O$1468*Q1465</f>
        <v>1.6922200205973365E-3</v>
      </c>
      <c r="V1464">
        <v>1.6922200205973369E-3</v>
      </c>
      <c r="W1464" s="42">
        <f>$K$1442+$I$1431+$G$1399+$E$1437+$C$1506+$A$1461+$M$1457+$O$1469+Q1466</f>
        <v>309808.97071050806</v>
      </c>
      <c r="X1464">
        <f>u_ChronicResp</f>
        <v>0.53465956747782661</v>
      </c>
      <c r="Z1464" s="42">
        <f t="shared" si="182"/>
        <v>524.26494279697556</v>
      </c>
      <c r="AA1464" s="6">
        <f t="shared" si="180"/>
        <v>9.0476162428989074E-4</v>
      </c>
      <c r="AB1464" s="42">
        <f t="shared" si="183"/>
        <v>18.682109027394596</v>
      </c>
      <c r="AC1464" s="42">
        <f>U1464*(Q1466-c_CSG)</f>
        <v>73.593821035027418</v>
      </c>
    </row>
    <row r="1465" spans="1:29" x14ac:dyDescent="0.3">
      <c r="M1465" s="42"/>
      <c r="Q1465" s="45">
        <f>RDS2CLD_4-(RDS2CLD_4*noHypo2CI_4)</f>
        <v>0.34905610687022898</v>
      </c>
      <c r="R1465" s="45"/>
      <c r="T1465" s="78"/>
      <c r="Z1465" s="42">
        <f t="shared" si="182"/>
        <v>0</v>
      </c>
      <c r="AA1465" s="6">
        <f t="shared" si="180"/>
        <v>0</v>
      </c>
      <c r="AB1465" s="42">
        <f t="shared" si="183"/>
        <v>0</v>
      </c>
      <c r="AC1465" s="42"/>
    </row>
    <row r="1466" spans="1:29" x14ac:dyDescent="0.3">
      <c r="M1466" s="42"/>
      <c r="Q1466" s="46">
        <f>c_lung+c_hosp_fu+c_CSG</f>
        <v>54529.510902399998</v>
      </c>
      <c r="R1466" s="46"/>
      <c r="T1466" s="78"/>
      <c r="Z1466" s="42">
        <f t="shared" si="182"/>
        <v>0</v>
      </c>
      <c r="AA1466" s="6">
        <f t="shared" si="180"/>
        <v>0</v>
      </c>
      <c r="AB1466" s="42">
        <f t="shared" si="183"/>
        <v>0</v>
      </c>
      <c r="AC1466" s="42">
        <f>U1466*(Q1468-c_CSG)</f>
        <v>0</v>
      </c>
    </row>
    <row r="1467" spans="1:29" x14ac:dyDescent="0.3">
      <c r="M1467" s="42"/>
      <c r="O1467" s="19" t="s">
        <v>370</v>
      </c>
      <c r="Q1467" s="19" t="s">
        <v>226</v>
      </c>
      <c r="R1467" s="19"/>
      <c r="T1467" s="78"/>
      <c r="U1467">
        <f>$K$1441*$I$1430*$G$1398*$E$1436*$C$1505*$A$1460*$M$1456*$O$1468*Q1468</f>
        <v>1.0249463976214319E-4</v>
      </c>
      <c r="V1467">
        <v>1.0249463976214322E-4</v>
      </c>
      <c r="W1467" s="42">
        <f>$K$1442+$I$1431+$G$1399+$E$1437+$C$1506+$A$1461+$M$1457+$O$1469+Q1469</f>
        <v>271045.45980810805</v>
      </c>
      <c r="X1467">
        <f>u_CongnitiveImpairement</f>
        <v>17.270393127285455</v>
      </c>
      <c r="Z1467" s="42">
        <f t="shared" si="182"/>
        <v>27.780706762196495</v>
      </c>
      <c r="AA1467" s="6">
        <f t="shared" si="180"/>
        <v>1.7701227221317162E-3</v>
      </c>
      <c r="AB1467" s="42">
        <f t="shared" si="183"/>
        <v>1.1315408229740609</v>
      </c>
      <c r="AC1467" s="42">
        <f>U1467*(Q1469-c_CSG)</f>
        <v>0.48438966751588869</v>
      </c>
    </row>
    <row r="1468" spans="1:29" x14ac:dyDescent="0.3">
      <c r="M1468" s="42"/>
      <c r="O1468" s="45">
        <f>AGA_prem_2normoglycaemia_4</f>
        <v>0.85</v>
      </c>
      <c r="Q1468" s="45">
        <f>noHypo2CI_4-(RDS2CLD_4*noHypo2CI_4)</f>
        <v>2.1141683406990762E-2</v>
      </c>
      <c r="R1468" s="45"/>
      <c r="T1468" s="78"/>
      <c r="Z1468" s="42">
        <f t="shared" si="182"/>
        <v>0</v>
      </c>
      <c r="AA1468" s="6">
        <f t="shared" si="180"/>
        <v>0</v>
      </c>
      <c r="AB1468" s="42">
        <f t="shared" si="183"/>
        <v>0</v>
      </c>
      <c r="AC1468" s="42"/>
    </row>
    <row r="1469" spans="1:29" x14ac:dyDescent="0.3">
      <c r="M1469" s="42"/>
      <c r="O1469" s="46"/>
      <c r="Q1469" s="46">
        <f>c_cog+c_hosp_fu+c_CSG</f>
        <v>15766</v>
      </c>
      <c r="R1469" s="46"/>
      <c r="T1469" s="78"/>
      <c r="Z1469" s="42">
        <f t="shared" si="182"/>
        <v>0</v>
      </c>
      <c r="AA1469" s="6">
        <f t="shared" si="180"/>
        <v>0</v>
      </c>
      <c r="AB1469" s="42">
        <f t="shared" si="183"/>
        <v>0</v>
      </c>
      <c r="AC1469" s="42">
        <f>U1469*(Q1471-c_CSG)</f>
        <v>0</v>
      </c>
    </row>
    <row r="1470" spans="1:29" x14ac:dyDescent="0.3">
      <c r="M1470" s="42"/>
      <c r="Q1470" s="19" t="s">
        <v>368</v>
      </c>
      <c r="R1470" s="19"/>
      <c r="T1470" s="78"/>
      <c r="U1470">
        <f>$K$1441*$I$1430*$G$1398*$E$1436*$C$1505*$A$1460*$M$1456*$O$1468*Q1471</f>
        <v>5.7903857518206079E-5</v>
      </c>
      <c r="V1470">
        <v>5.7903857518206092E-5</v>
      </c>
      <c r="W1470" s="42">
        <f>$K$1442+$I$1431+$G$1399+$E$1437+$C$1506+$A$1461+$M$1457+$O$1469+Q1472</f>
        <v>313627.97071050806</v>
      </c>
      <c r="X1470">
        <f>u_ChronicResp+u_CongnitiveImpairement</f>
        <v>17.805052694763283</v>
      </c>
      <c r="Z1470" s="42">
        <f t="shared" si="182"/>
        <v>18.160269329745368</v>
      </c>
      <c r="AA1470" s="6">
        <f t="shared" si="180"/>
        <v>1.0309812343417242E-3</v>
      </c>
      <c r="AB1470" s="42">
        <f t="shared" si="183"/>
        <v>0.63925858700099514</v>
      </c>
      <c r="AC1470" s="42">
        <f>U1470*(Q1472-c_CSG)</f>
        <v>2.7393452746910683</v>
      </c>
    </row>
    <row r="1471" spans="1:29" x14ac:dyDescent="0.3">
      <c r="Q1471" s="45">
        <f>RDS2CLD_4*noHypo2CI_4</f>
        <v>1.1943893129770991E-2</v>
      </c>
      <c r="R1471" s="45"/>
      <c r="T1471" s="78"/>
      <c r="Z1471" s="42">
        <f t="shared" si="182"/>
        <v>0</v>
      </c>
      <c r="AA1471" s="6">
        <f t="shared" si="180"/>
        <v>0</v>
      </c>
      <c r="AB1471" s="42">
        <f t="shared" si="183"/>
        <v>0</v>
      </c>
      <c r="AC1471" s="42"/>
    </row>
    <row r="1472" spans="1:29" x14ac:dyDescent="0.3">
      <c r="Q1472" s="46">
        <f>c_cog+c_lung+c_hosp_fu+c_CSG</f>
        <v>58348.510902399998</v>
      </c>
      <c r="R1472" s="46"/>
      <c r="T1472" s="78"/>
      <c r="Z1472" s="42">
        <f t="shared" si="182"/>
        <v>0</v>
      </c>
      <c r="AA1472" s="6">
        <f t="shared" si="180"/>
        <v>0</v>
      </c>
      <c r="AB1472" s="42">
        <f t="shared" si="183"/>
        <v>0</v>
      </c>
      <c r="AC1472" s="42">
        <f>U1472*(Q1474-c_CSG)</f>
        <v>0</v>
      </c>
    </row>
    <row r="1473" spans="9:29" x14ac:dyDescent="0.3">
      <c r="M1473" s="42"/>
      <c r="Q1473" s="19" t="s">
        <v>369</v>
      </c>
      <c r="R1473" s="19"/>
      <c r="T1473" s="78"/>
      <c r="U1473">
        <f>$K$1441*$I$1430*$G$1398*$E$1436*$C$1505*$A$1460*$M$1456*$O$1468*Q1474</f>
        <v>2.9953700641598292E-3</v>
      </c>
      <c r="V1473">
        <v>2.99537006415983E-3</v>
      </c>
      <c r="W1473" s="42">
        <f>$K$1442+$I$1431+$G$1399+$E$1437+$C$1506+$A$1461+$M$1457+$O$1469+Q1475</f>
        <v>269682.45980810805</v>
      </c>
      <c r="X1473">
        <f>u_Healthy</f>
        <v>0</v>
      </c>
      <c r="Z1473" s="42">
        <f t="shared" si="182"/>
        <v>807.79876693819313</v>
      </c>
      <c r="AA1473" s="6">
        <f t="shared" si="180"/>
        <v>0</v>
      </c>
      <c r="AB1473" s="42">
        <f t="shared" si="183"/>
        <v>33.068885508324513</v>
      </c>
      <c r="AC1473" s="42">
        <f>U1473*(Q1475-c_CSG)</f>
        <v>10.073429525769505</v>
      </c>
    </row>
    <row r="1474" spans="9:29" x14ac:dyDescent="0.3">
      <c r="M1474" s="42"/>
      <c r="Q1474" s="45">
        <f>1-Q1471-Q1468-Q1465</f>
        <v>0.61785831659300938</v>
      </c>
      <c r="R1474" s="45"/>
      <c r="T1474" s="78"/>
      <c r="Z1474" s="42">
        <f t="shared" si="182"/>
        <v>0</v>
      </c>
      <c r="AA1474" s="6">
        <f t="shared" si="180"/>
        <v>0</v>
      </c>
      <c r="AB1474" s="42">
        <f t="shared" si="183"/>
        <v>0</v>
      </c>
      <c r="AC1474" s="42">
        <f>U1474*(Q1476-c_CSG)</f>
        <v>0</v>
      </c>
    </row>
    <row r="1475" spans="9:29" x14ac:dyDescent="0.3">
      <c r="M1475" s="42"/>
      <c r="Q1475" s="46">
        <f>c_clinic_fu+c_CSG</f>
        <v>14403</v>
      </c>
      <c r="R1475" s="46"/>
      <c r="T1475" s="78"/>
      <c r="Z1475" s="42">
        <f t="shared" si="182"/>
        <v>0</v>
      </c>
      <c r="AA1475" s="6">
        <f t="shared" si="180"/>
        <v>0</v>
      </c>
      <c r="AB1475" s="42">
        <f t="shared" si="183"/>
        <v>0</v>
      </c>
      <c r="AC1475" s="42">
        <f>U1475*(Q1477-c_CSG)</f>
        <v>0</v>
      </c>
    </row>
    <row r="1476" spans="9:29" x14ac:dyDescent="0.3">
      <c r="M1476" s="42"/>
      <c r="Q1476" s="42"/>
      <c r="R1476" s="42"/>
      <c r="T1476" s="78"/>
      <c r="Z1476" s="42">
        <f t="shared" si="182"/>
        <v>0</v>
      </c>
      <c r="AA1476" s="6">
        <f t="shared" si="180"/>
        <v>0</v>
      </c>
      <c r="AB1476" s="42">
        <f t="shared" si="183"/>
        <v>0</v>
      </c>
      <c r="AC1476" s="42">
        <f>U1476*(Q1478-c_CSG)</f>
        <v>0</v>
      </c>
    </row>
    <row r="1477" spans="9:29" x14ac:dyDescent="0.3">
      <c r="K1477" s="19" t="s">
        <v>165</v>
      </c>
      <c r="L1477" s="19"/>
      <c r="M1477" s="19"/>
      <c r="N1477" s="19"/>
      <c r="O1477" s="19"/>
      <c r="P1477" s="19"/>
      <c r="Q1477" s="19"/>
      <c r="R1477" s="19"/>
      <c r="T1477" s="78"/>
      <c r="U1477">
        <f>$K$1478*$I$1486*$G$1507*$E$1436*$C$1505*$A$1460</f>
        <v>0</v>
      </c>
      <c r="W1477" s="42">
        <f>$K$1479+$I$1487+$G$1508+$E$1437+$C$1506+$A$1461</f>
        <v>3625.1017081081081</v>
      </c>
      <c r="X1477">
        <f>u_Death</f>
        <v>19.181538114427529</v>
      </c>
      <c r="Z1477" s="42">
        <f t="shared" si="182"/>
        <v>0</v>
      </c>
      <c r="AA1477" s="6">
        <f t="shared" si="180"/>
        <v>0</v>
      </c>
      <c r="AB1477" s="42"/>
      <c r="AC1477" s="42"/>
    </row>
    <row r="1478" spans="9:29" x14ac:dyDescent="0.3">
      <c r="K1478" s="45">
        <f>SGA_prem_2d_4</f>
        <v>8.4066666666666665E-2</v>
      </c>
      <c r="T1478" s="78"/>
      <c r="V1478">
        <v>0</v>
      </c>
      <c r="Z1478" s="42">
        <f t="shared" si="182"/>
        <v>0</v>
      </c>
      <c r="AA1478" s="6">
        <f t="shared" si="180"/>
        <v>0</v>
      </c>
      <c r="AB1478" s="42">
        <f t="shared" ref="AB1478:AB1509" si="184">U1478*c_CSG</f>
        <v>0</v>
      </c>
      <c r="AC1478" s="42">
        <f>U1478*(Q1480-c_CSG)</f>
        <v>0</v>
      </c>
    </row>
    <row r="1479" spans="9:29" x14ac:dyDescent="0.3">
      <c r="K1479" s="46">
        <f>c_SB</f>
        <v>1792</v>
      </c>
      <c r="T1479" s="78"/>
      <c r="Z1479" s="42">
        <f t="shared" si="182"/>
        <v>0</v>
      </c>
      <c r="AA1479" s="6">
        <f t="shared" si="180"/>
        <v>0</v>
      </c>
      <c r="AB1479" s="42">
        <f t="shared" si="184"/>
        <v>0</v>
      </c>
      <c r="AC1479" s="42"/>
    </row>
    <row r="1480" spans="9:29" x14ac:dyDescent="0.3">
      <c r="T1480" s="78"/>
      <c r="Z1480" s="42">
        <f t="shared" si="182"/>
        <v>0</v>
      </c>
      <c r="AA1480" s="6">
        <f t="shared" si="180"/>
        <v>0</v>
      </c>
      <c r="AB1480" s="42">
        <f t="shared" si="184"/>
        <v>0</v>
      </c>
      <c r="AC1480" s="42">
        <f>U1480*(Q1482-c_CSG)</f>
        <v>0</v>
      </c>
    </row>
    <row r="1481" spans="9:29" x14ac:dyDescent="0.3">
      <c r="Q1481" s="19" t="s">
        <v>367</v>
      </c>
      <c r="R1481" s="19"/>
      <c r="T1481" s="78"/>
      <c r="U1481">
        <f>$K$1497*$I$1486*$G$1507*$E$1436*$C$1505*$A$1460*$M$1492*$O$1487*Q1482</f>
        <v>0</v>
      </c>
      <c r="W1481" s="42">
        <f>$K$1498+$I$1487+$G$1508+$E$1437+$C$1506+$A$1461+$M$1493+$O$1488+Q1483</f>
        <v>89894.483158713745</v>
      </c>
      <c r="X1481">
        <f>u_ChronicResp</f>
        <v>0.53465956747782661</v>
      </c>
      <c r="Z1481" s="42">
        <f t="shared" si="182"/>
        <v>0</v>
      </c>
      <c r="AA1481" s="6">
        <f t="shared" si="180"/>
        <v>0</v>
      </c>
      <c r="AB1481" s="42">
        <f t="shared" si="184"/>
        <v>0</v>
      </c>
      <c r="AC1481" s="42">
        <f>U1481*(Q1483-c_CSG)</f>
        <v>0</v>
      </c>
    </row>
    <row r="1482" spans="9:29" x14ac:dyDescent="0.3">
      <c r="Q1482" s="45">
        <f>RDS2CLD_4-(Hypo2CI_4*RDS2CLD_4)</f>
        <v>0.34246866666666664</v>
      </c>
      <c r="R1482" s="45"/>
      <c r="T1482" s="78"/>
      <c r="V1482">
        <v>0</v>
      </c>
      <c r="Z1482" s="42">
        <f t="shared" si="182"/>
        <v>0</v>
      </c>
      <c r="AA1482" s="6">
        <f t="shared" si="180"/>
        <v>0</v>
      </c>
      <c r="AB1482" s="42">
        <f t="shared" si="184"/>
        <v>0</v>
      </c>
      <c r="AC1482" s="42"/>
    </row>
    <row r="1483" spans="9:29" x14ac:dyDescent="0.3">
      <c r="Q1483" s="46">
        <f>c_lung+c_hosp_fu+c_CSG</f>
        <v>54529.510902399998</v>
      </c>
      <c r="R1483" s="46"/>
      <c r="T1483" s="78"/>
      <c r="Z1483" s="42">
        <f t="shared" si="182"/>
        <v>0</v>
      </c>
      <c r="AA1483" s="6">
        <f t="shared" si="180"/>
        <v>0</v>
      </c>
      <c r="AB1483" s="42">
        <f t="shared" si="184"/>
        <v>0</v>
      </c>
      <c r="AC1483" s="42">
        <f>U1483*(Q1485-c_CSG)</f>
        <v>0</v>
      </c>
    </row>
    <row r="1484" spans="9:29" x14ac:dyDescent="0.3">
      <c r="Q1484" s="19" t="s">
        <v>226</v>
      </c>
      <c r="R1484" s="19"/>
      <c r="T1484" s="78"/>
      <c r="U1484">
        <f>$K$1497*$I$1486*$G$1507*$E$1436*$C$1505*$A$1460*$M$1492*$O$1487*Q1485</f>
        <v>0</v>
      </c>
      <c r="W1484" s="42">
        <f>$K$1498+$I$1487+$G$1508+$E$1437+$C$1506+$A$1461+$M$1493+$O$1488+Q1486</f>
        <v>51130.972256313747</v>
      </c>
      <c r="X1484">
        <f>u_CongnitiveImpairement</f>
        <v>17.270393127285455</v>
      </c>
      <c r="Z1484" s="42">
        <f t="shared" si="182"/>
        <v>0</v>
      </c>
      <c r="AA1484" s="6">
        <f t="shared" si="180"/>
        <v>0</v>
      </c>
      <c r="AB1484" s="42">
        <f t="shared" si="184"/>
        <v>0</v>
      </c>
      <c r="AC1484" s="42">
        <f>U1484*(Q1486-c_CSG)</f>
        <v>0</v>
      </c>
    </row>
    <row r="1485" spans="9:29" x14ac:dyDescent="0.3">
      <c r="I1485" s="19" t="s">
        <v>164</v>
      </c>
      <c r="Q1485" s="45">
        <f>Hypo2CI_4-(Hypo2CI_4*RDS2CLD_4)</f>
        <v>3.2801999999999998E-2</v>
      </c>
      <c r="R1485" s="45"/>
      <c r="T1485" s="78"/>
      <c r="V1485">
        <v>0</v>
      </c>
      <c r="Z1485" s="42">
        <f t="shared" si="182"/>
        <v>0</v>
      </c>
      <c r="AA1485" s="6">
        <f t="shared" ref="AA1485:AA1548" si="185">U1485*X1485</f>
        <v>0</v>
      </c>
      <c r="AB1485" s="42">
        <f t="shared" si="184"/>
        <v>0</v>
      </c>
      <c r="AC1485" s="42"/>
    </row>
    <row r="1486" spans="9:29" x14ac:dyDescent="0.3">
      <c r="I1486" s="45">
        <f>NBW_prem_2SGA_4</f>
        <v>0</v>
      </c>
      <c r="O1486" s="19" t="s">
        <v>161</v>
      </c>
      <c r="Q1486" s="46">
        <f>c_cog+c_hosp_fu+c_CSG</f>
        <v>15766</v>
      </c>
      <c r="R1486" s="46"/>
      <c r="T1486" s="78"/>
      <c r="Z1486" s="42">
        <f t="shared" si="182"/>
        <v>0</v>
      </c>
      <c r="AA1486" s="6">
        <f t="shared" si="185"/>
        <v>0</v>
      </c>
      <c r="AB1486" s="42">
        <f t="shared" si="184"/>
        <v>0</v>
      </c>
      <c r="AC1486" s="42">
        <f>U1486*(Q1488-c_CSG)</f>
        <v>0</v>
      </c>
    </row>
    <row r="1487" spans="9:29" x14ac:dyDescent="0.3">
      <c r="I1487" s="46"/>
      <c r="O1487" s="45">
        <f>SGA_prem_2hypoglycaemia_4</f>
        <v>0.2155</v>
      </c>
      <c r="Q1487" s="19" t="s">
        <v>368</v>
      </c>
      <c r="R1487" s="19"/>
      <c r="T1487" s="78"/>
      <c r="U1487">
        <f>$K$1497*$I$1486*$G$1507*$E$1436*$C$1505*$A$1460*$M$1492*$O$1487*Q1488</f>
        <v>0</v>
      </c>
      <c r="W1487" s="42">
        <f>$K$1498+$I$1487+$G$1508+$E$1437+$C$1506+$A$1461+$M$1493+$O$1488+Q1489</f>
        <v>93713.483158713745</v>
      </c>
      <c r="X1487">
        <f>u_ChronicResp+u_CongnitiveImpairement</f>
        <v>17.805052694763283</v>
      </c>
      <c r="Z1487" s="42">
        <f t="shared" ref="Z1487:Z1550" si="186">U1487*W1487</f>
        <v>0</v>
      </c>
      <c r="AA1487" s="6">
        <f t="shared" si="185"/>
        <v>0</v>
      </c>
      <c r="AB1487" s="42">
        <f t="shared" si="184"/>
        <v>0</v>
      </c>
      <c r="AC1487" s="42">
        <f>U1487*(Q1489-c_CSG)</f>
        <v>0</v>
      </c>
    </row>
    <row r="1488" spans="9:29" x14ac:dyDescent="0.3">
      <c r="O1488" s="46">
        <f>c_hypo</f>
        <v>2936.2604000000001</v>
      </c>
      <c r="Q1488" s="45">
        <f>Hypo2CI_4*RDS2CLD_4</f>
        <v>1.8531333333333334E-2</v>
      </c>
      <c r="R1488" s="45"/>
      <c r="T1488" s="78"/>
      <c r="V1488">
        <v>0</v>
      </c>
      <c r="Z1488" s="42">
        <f t="shared" si="186"/>
        <v>0</v>
      </c>
      <c r="AA1488" s="6">
        <f t="shared" si="185"/>
        <v>0</v>
      </c>
      <c r="AB1488" s="42">
        <f t="shared" si="184"/>
        <v>0</v>
      </c>
      <c r="AC1488" s="42"/>
    </row>
    <row r="1489" spans="3:29" x14ac:dyDescent="0.3">
      <c r="M1489" s="42"/>
      <c r="Q1489" s="46">
        <f>c_lung+c_cog+c_hosp_fu+c_CSG</f>
        <v>58348.510902399998</v>
      </c>
      <c r="R1489" s="46"/>
      <c r="T1489" s="78"/>
      <c r="Z1489" s="42">
        <f t="shared" si="186"/>
        <v>0</v>
      </c>
      <c r="AA1489" s="6">
        <f t="shared" si="185"/>
        <v>0</v>
      </c>
      <c r="AB1489" s="42">
        <f t="shared" si="184"/>
        <v>0</v>
      </c>
      <c r="AC1489" s="42">
        <f>U1489*(Q1491-c_CSG)</f>
        <v>0</v>
      </c>
    </row>
    <row r="1490" spans="3:29" x14ac:dyDescent="0.3">
      <c r="Q1490" s="19" t="s">
        <v>369</v>
      </c>
      <c r="R1490" s="19"/>
      <c r="T1490" s="78"/>
      <c r="U1490">
        <f>$K$1497*$I$1486*$G$1507*$E$1436*$C$1505*$A$1460*$M$1492*$O$1487*Q1491</f>
        <v>0</v>
      </c>
      <c r="W1490" s="42">
        <f>$K$1498+$I$1487+$G$1508+$E$1437+$C$1506+$A$1461+$M$1493+$O$1488+Q1492</f>
        <v>49767.972256313747</v>
      </c>
      <c r="X1490">
        <f>u_Healthy</f>
        <v>0</v>
      </c>
      <c r="Z1490" s="42">
        <f t="shared" si="186"/>
        <v>0</v>
      </c>
      <c r="AA1490" s="6">
        <f t="shared" si="185"/>
        <v>0</v>
      </c>
      <c r="AB1490" s="42">
        <f t="shared" si="184"/>
        <v>0</v>
      </c>
      <c r="AC1490" s="42">
        <f>U1490*(Q1492-c_CSG)</f>
        <v>0</v>
      </c>
    </row>
    <row r="1491" spans="3:29" x14ac:dyDescent="0.3">
      <c r="M1491" s="19" t="s">
        <v>9</v>
      </c>
      <c r="Q1491" s="45">
        <f>1-Q1482-Q1485-Q1488</f>
        <v>0.60619800000000001</v>
      </c>
      <c r="R1491" s="45"/>
      <c r="T1491" s="78"/>
      <c r="V1491">
        <v>0</v>
      </c>
      <c r="Z1491" s="42">
        <f t="shared" si="186"/>
        <v>0</v>
      </c>
      <c r="AA1491" s="6">
        <f t="shared" si="185"/>
        <v>0</v>
      </c>
      <c r="AB1491" s="42">
        <f t="shared" si="184"/>
        <v>0</v>
      </c>
      <c r="AC1491" s="42">
        <f>U1491*(Q1493-c_CSG)</f>
        <v>0</v>
      </c>
    </row>
    <row r="1492" spans="3:29" x14ac:dyDescent="0.3">
      <c r="K1492" s="42"/>
      <c r="M1492" s="45">
        <f>S_prem_2RDS_4</f>
        <v>0.45</v>
      </c>
      <c r="Q1492" s="46">
        <f>c_clinic_fu+c_CSG</f>
        <v>14403</v>
      </c>
      <c r="R1492" s="46"/>
      <c r="T1492" s="78"/>
      <c r="Z1492" s="42">
        <f t="shared" si="186"/>
        <v>0</v>
      </c>
      <c r="AA1492" s="6">
        <f t="shared" si="185"/>
        <v>0</v>
      </c>
      <c r="AB1492" s="42">
        <f t="shared" si="184"/>
        <v>0</v>
      </c>
      <c r="AC1492" s="42"/>
    </row>
    <row r="1493" spans="3:29" x14ac:dyDescent="0.3">
      <c r="K1493" s="42"/>
      <c r="M1493" s="46">
        <f>c_RDS</f>
        <v>30595.610148205637</v>
      </c>
      <c r="Q1493" s="42"/>
      <c r="R1493" s="42"/>
      <c r="T1493" s="78"/>
      <c r="Z1493" s="42">
        <f t="shared" si="186"/>
        <v>0</v>
      </c>
      <c r="AA1493" s="6">
        <f t="shared" si="185"/>
        <v>0</v>
      </c>
      <c r="AB1493" s="42">
        <f t="shared" si="184"/>
        <v>0</v>
      </c>
      <c r="AC1493" s="42">
        <f>U1493*(Q1495-c_CSG)</f>
        <v>0</v>
      </c>
    </row>
    <row r="1494" spans="3:29" x14ac:dyDescent="0.3">
      <c r="Q1494" s="19" t="s">
        <v>367</v>
      </c>
      <c r="R1494" s="19"/>
      <c r="T1494" s="78"/>
      <c r="U1494">
        <f>$K$1497*$I$1486*$G$1507*$E$1436*$C$1505*$A$1460*$M$1492*$O$1497*Q1495</f>
        <v>0</v>
      </c>
      <c r="W1494" s="42">
        <f>$K$1498+$I$1487+$G$1508+$E$1437+$C$1506+$A$1461+$M$1493+$O$1498+Q1496</f>
        <v>86958.222758713746</v>
      </c>
      <c r="X1494">
        <f>u_ChronicResp</f>
        <v>0.53465956747782661</v>
      </c>
      <c r="Z1494" s="42">
        <f t="shared" si="186"/>
        <v>0</v>
      </c>
      <c r="AA1494" s="6">
        <f t="shared" si="185"/>
        <v>0</v>
      </c>
      <c r="AB1494" s="42">
        <f t="shared" si="184"/>
        <v>0</v>
      </c>
      <c r="AC1494" s="42">
        <f>U1494*(Q1496-c_CSG)</f>
        <v>0</v>
      </c>
    </row>
    <row r="1495" spans="3:29" x14ac:dyDescent="0.3">
      <c r="Q1495" s="45">
        <f>RDS2CLD_4-(RDS2CLD_4*noHypo2CI_4)</f>
        <v>0.34905610687022898</v>
      </c>
      <c r="R1495" s="45"/>
      <c r="T1495" s="78"/>
      <c r="V1495">
        <v>0</v>
      </c>
      <c r="Z1495" s="42">
        <f t="shared" si="186"/>
        <v>0</v>
      </c>
      <c r="AA1495" s="6">
        <f t="shared" si="185"/>
        <v>0</v>
      </c>
      <c r="AB1495" s="42">
        <f t="shared" si="184"/>
        <v>0</v>
      </c>
      <c r="AC1495" s="42"/>
    </row>
    <row r="1496" spans="3:29" x14ac:dyDescent="0.3">
      <c r="K1496" s="19" t="s">
        <v>37</v>
      </c>
      <c r="M1496" s="42"/>
      <c r="O1496" s="19" t="s">
        <v>370</v>
      </c>
      <c r="Q1496" s="46">
        <f>c_lung+c_hosp_fu+c_CSG</f>
        <v>54529.510902399998</v>
      </c>
      <c r="R1496" s="46"/>
      <c r="T1496" s="78"/>
      <c r="Z1496" s="42">
        <f t="shared" si="186"/>
        <v>0</v>
      </c>
      <c r="AA1496" s="6">
        <f t="shared" si="185"/>
        <v>0</v>
      </c>
      <c r="AB1496" s="42">
        <f t="shared" si="184"/>
        <v>0</v>
      </c>
      <c r="AC1496" s="42">
        <f>U1496*(Q1498-c_CSG)</f>
        <v>0</v>
      </c>
    </row>
    <row r="1497" spans="3:29" x14ac:dyDescent="0.3">
      <c r="K1497" s="45">
        <f>SGA_prem_2s_4</f>
        <v>0.91593333333333338</v>
      </c>
      <c r="O1497" s="45">
        <f>SGA_prem_2normoglycaemia_4</f>
        <v>0.78449999999999998</v>
      </c>
      <c r="Q1497" s="19" t="s">
        <v>226</v>
      </c>
      <c r="R1497" s="19"/>
      <c r="T1497" s="78"/>
      <c r="U1497">
        <f>$K$1497*$I$1486*$G$1507*$E$1436*$C$1505*$A$1460*$M$1492*$O$1497*Q1498</f>
        <v>0</v>
      </c>
      <c r="W1497" s="42">
        <f>$K$1498+$I$1487+$G$1508+$E$1437+$C$1506+$A$1461+$M$1493+$O$1498+Q1499</f>
        <v>48194.711856313748</v>
      </c>
      <c r="X1497">
        <f>u_CongnitiveImpairement</f>
        <v>17.270393127285455</v>
      </c>
      <c r="Z1497" s="42">
        <f t="shared" si="186"/>
        <v>0</v>
      </c>
      <c r="AA1497" s="6">
        <f t="shared" si="185"/>
        <v>0</v>
      </c>
      <c r="AB1497" s="42">
        <f t="shared" si="184"/>
        <v>0</v>
      </c>
      <c r="AC1497" s="42">
        <f>U1497*(Q1499-c_CSG)</f>
        <v>0</v>
      </c>
    </row>
    <row r="1498" spans="3:29" x14ac:dyDescent="0.3">
      <c r="K1498" s="46"/>
      <c r="O1498" s="46"/>
      <c r="Q1498" s="45">
        <f>noHypo2CI_4-(RDS2CLD_4*noHypo2CI_4)</f>
        <v>2.1141683406990762E-2</v>
      </c>
      <c r="R1498" s="45"/>
      <c r="T1498" s="78"/>
      <c r="V1498">
        <v>0</v>
      </c>
      <c r="Z1498" s="42">
        <f t="shared" si="186"/>
        <v>0</v>
      </c>
      <c r="AA1498" s="6">
        <f t="shared" si="185"/>
        <v>0</v>
      </c>
      <c r="AB1498" s="42">
        <f t="shared" si="184"/>
        <v>0</v>
      </c>
      <c r="AC1498" s="42"/>
    </row>
    <row r="1499" spans="3:29" x14ac:dyDescent="0.3">
      <c r="Q1499" s="46">
        <f>c_cog+c_hosp_fu+c_CSG</f>
        <v>15766</v>
      </c>
      <c r="R1499" s="46"/>
      <c r="T1499" s="78"/>
      <c r="Z1499" s="42">
        <f t="shared" si="186"/>
        <v>0</v>
      </c>
      <c r="AA1499" s="6">
        <f t="shared" si="185"/>
        <v>0</v>
      </c>
      <c r="AB1499" s="42">
        <f t="shared" si="184"/>
        <v>0</v>
      </c>
      <c r="AC1499" s="42">
        <f>U1499*(Q1501-c_CSG)</f>
        <v>0</v>
      </c>
    </row>
    <row r="1500" spans="3:29" x14ac:dyDescent="0.3">
      <c r="Q1500" s="19" t="s">
        <v>368</v>
      </c>
      <c r="R1500" s="19"/>
      <c r="T1500" s="78"/>
      <c r="U1500">
        <f>$K$1497*$I$1486*$G$1507*$E$1436*$C$1505*$A$1460*$M$1492*$O$1497*Q1501</f>
        <v>0</v>
      </c>
      <c r="W1500" s="42">
        <f>$K$1498+$I$1487+$G$1508+$E$1437+$C$1506+$A$1461+$M$1493+$O$1498+Q1502</f>
        <v>90777.222758713746</v>
      </c>
      <c r="X1500">
        <f>u_ChronicResp+u_CongnitiveImpairement</f>
        <v>17.805052694763283</v>
      </c>
      <c r="Z1500" s="42">
        <f t="shared" si="186"/>
        <v>0</v>
      </c>
      <c r="AA1500" s="6">
        <f t="shared" si="185"/>
        <v>0</v>
      </c>
      <c r="AB1500" s="42">
        <f t="shared" si="184"/>
        <v>0</v>
      </c>
      <c r="AC1500" s="42">
        <f>U1500*(Q1502-c_CSG)</f>
        <v>0</v>
      </c>
    </row>
    <row r="1501" spans="3:29" x14ac:dyDescent="0.3">
      <c r="Q1501" s="45">
        <f>RDS2CLD_4*noHypo2CI_4</f>
        <v>1.1943893129770991E-2</v>
      </c>
      <c r="R1501" s="45"/>
      <c r="T1501" s="78"/>
      <c r="V1501">
        <v>0</v>
      </c>
      <c r="Z1501" s="42">
        <f t="shared" si="186"/>
        <v>0</v>
      </c>
      <c r="AA1501" s="6">
        <f t="shared" si="185"/>
        <v>0</v>
      </c>
      <c r="AB1501" s="42">
        <f t="shared" si="184"/>
        <v>0</v>
      </c>
      <c r="AC1501" s="42"/>
    </row>
    <row r="1502" spans="3:29" x14ac:dyDescent="0.3">
      <c r="Q1502" s="46">
        <f>c_cog+c_lung+c_hosp_fu+c_CSG</f>
        <v>58348.510902399998</v>
      </c>
      <c r="R1502" s="46"/>
      <c r="T1502" s="78"/>
      <c r="Z1502" s="42">
        <f t="shared" si="186"/>
        <v>0</v>
      </c>
      <c r="AA1502" s="6">
        <f t="shared" si="185"/>
        <v>0</v>
      </c>
      <c r="AB1502" s="42">
        <f t="shared" si="184"/>
        <v>0</v>
      </c>
      <c r="AC1502" s="42">
        <f>U1502*(Q1504-c_CSG)</f>
        <v>0</v>
      </c>
    </row>
    <row r="1503" spans="3:29" x14ac:dyDescent="0.3">
      <c r="Q1503" s="19" t="s">
        <v>369</v>
      </c>
      <c r="R1503" s="19"/>
      <c r="T1503" s="78"/>
      <c r="U1503">
        <f>$K$1497*$I$1486*$G$1507*$E$1436*$C$1505*$A$1460*$M$1492*$O$1497*Q1504</f>
        <v>0</v>
      </c>
      <c r="W1503" s="42">
        <f>$K$1498+$I$1487+$G$1508+$E$1437+$C$1506+$A$1461+$M$1493+$O$1498+Q1505</f>
        <v>46831.711856313748</v>
      </c>
      <c r="X1503">
        <f>u_Healthy</f>
        <v>0</v>
      </c>
      <c r="Z1503" s="42">
        <f t="shared" si="186"/>
        <v>0</v>
      </c>
      <c r="AA1503" s="6">
        <f t="shared" si="185"/>
        <v>0</v>
      </c>
      <c r="AB1503" s="42">
        <f t="shared" si="184"/>
        <v>0</v>
      </c>
      <c r="AC1503" s="42">
        <f>U1503*(Q1505-c_CSG)</f>
        <v>0</v>
      </c>
    </row>
    <row r="1504" spans="3:29" x14ac:dyDescent="0.3">
      <c r="C1504" s="19" t="s">
        <v>372</v>
      </c>
      <c r="Q1504" s="45">
        <f>1-Q1501-Q1498-Q1495</f>
        <v>0.61785831659300938</v>
      </c>
      <c r="R1504" s="45"/>
      <c r="T1504" s="78"/>
      <c r="V1504">
        <v>0</v>
      </c>
      <c r="Z1504" s="42">
        <f t="shared" si="186"/>
        <v>0</v>
      </c>
      <c r="AA1504" s="6">
        <f t="shared" si="185"/>
        <v>0</v>
      </c>
      <c r="AB1504" s="42">
        <f t="shared" si="184"/>
        <v>0</v>
      </c>
      <c r="AC1504" s="42">
        <f>U1504*(Q1506-c_CSG)</f>
        <v>0</v>
      </c>
    </row>
    <row r="1505" spans="3:29" x14ac:dyDescent="0.3">
      <c r="C1505" s="45">
        <f>NoANC2LB_4</f>
        <v>0.96843702579666158</v>
      </c>
      <c r="Q1505" s="46">
        <f>c_clinic_fu+c_CSG</f>
        <v>14403</v>
      </c>
      <c r="R1505" s="46"/>
      <c r="T1505" s="78"/>
      <c r="Z1505" s="42">
        <f t="shared" si="186"/>
        <v>0</v>
      </c>
      <c r="AA1505" s="6">
        <f t="shared" si="185"/>
        <v>0</v>
      </c>
      <c r="AB1505" s="42">
        <f t="shared" si="184"/>
        <v>0</v>
      </c>
      <c r="AC1505" s="42"/>
    </row>
    <row r="1506" spans="3:29" x14ac:dyDescent="0.3">
      <c r="C1506" s="46"/>
      <c r="G1506" s="19" t="s">
        <v>371</v>
      </c>
      <c r="Q1506" s="42"/>
      <c r="R1506" s="42"/>
      <c r="T1506" s="78"/>
      <c r="Z1506" s="42">
        <f t="shared" si="186"/>
        <v>0</v>
      </c>
      <c r="AA1506" s="6">
        <f t="shared" si="185"/>
        <v>0</v>
      </c>
      <c r="AB1506" s="42">
        <f t="shared" si="184"/>
        <v>0</v>
      </c>
      <c r="AC1506" s="42">
        <f>U1506*(Q1508-c_CSG)</f>
        <v>0</v>
      </c>
    </row>
    <row r="1507" spans="3:29" x14ac:dyDescent="0.3">
      <c r="G1507" s="45">
        <f>Prem2NBW_4</f>
        <v>0.31864406779661014</v>
      </c>
      <c r="Q1507" s="19" t="s">
        <v>367</v>
      </c>
      <c r="R1507" s="19"/>
      <c r="T1507" s="78"/>
      <c r="U1507">
        <f>$K$1497*$I$1486*$G$1507*$E$1436*$C$1505*$A$1460*$M$1512*$O$1510*Q1508</f>
        <v>0</v>
      </c>
      <c r="W1507" s="42">
        <f>$K$1498+$I$1487+$G$1508+$E$1437+$C$1506+$A$1461+$M$1513+$O$1511+Q1509</f>
        <v>59298.873010508105</v>
      </c>
      <c r="X1507">
        <f>u_ChronicResp</f>
        <v>0.53465956747782661</v>
      </c>
      <c r="Z1507" s="42">
        <f t="shared" si="186"/>
        <v>0</v>
      </c>
      <c r="AA1507" s="6">
        <f t="shared" si="185"/>
        <v>0</v>
      </c>
      <c r="AB1507" s="42">
        <f t="shared" si="184"/>
        <v>0</v>
      </c>
      <c r="AC1507" s="42">
        <f>U1507*(Q1509-c_CSG)</f>
        <v>0</v>
      </c>
    </row>
    <row r="1508" spans="3:29" x14ac:dyDescent="0.3">
      <c r="G1508" s="46">
        <f>c_NICU_NBW</f>
        <v>1255.2</v>
      </c>
      <c r="Q1508" s="45">
        <f>RDS2CLD_4-(Hypo2CI_4*RDS2CLD_4)</f>
        <v>0.34246866666666664</v>
      </c>
      <c r="R1508" s="45"/>
      <c r="T1508" s="78"/>
      <c r="V1508">
        <v>0</v>
      </c>
      <c r="Z1508" s="42">
        <f t="shared" si="186"/>
        <v>0</v>
      </c>
      <c r="AA1508" s="6">
        <f t="shared" si="185"/>
        <v>0</v>
      </c>
      <c r="AB1508" s="42">
        <f t="shared" si="184"/>
        <v>0</v>
      </c>
      <c r="AC1508" s="42"/>
    </row>
    <row r="1509" spans="3:29" x14ac:dyDescent="0.3">
      <c r="O1509" s="19" t="s">
        <v>161</v>
      </c>
      <c r="Q1509" s="46">
        <f>c_lung+c_hosp_fu+c_CSG</f>
        <v>54529.510902399998</v>
      </c>
      <c r="R1509" s="46"/>
      <c r="T1509" s="78"/>
      <c r="Z1509" s="42">
        <f t="shared" si="186"/>
        <v>0</v>
      </c>
      <c r="AA1509" s="6">
        <f t="shared" si="185"/>
        <v>0</v>
      </c>
      <c r="AB1509" s="42">
        <f t="shared" si="184"/>
        <v>0</v>
      </c>
      <c r="AC1509" s="42">
        <f>U1509*(Q1511-c_CSG)</f>
        <v>0</v>
      </c>
    </row>
    <row r="1510" spans="3:29" x14ac:dyDescent="0.3">
      <c r="O1510" s="45">
        <f>SGA_prem_2hypoglycaemia_4</f>
        <v>0.2155</v>
      </c>
      <c r="Q1510" s="19" t="s">
        <v>226</v>
      </c>
      <c r="R1510" s="19"/>
      <c r="T1510" s="78"/>
      <c r="U1510">
        <f>$K$1497*$I$1486*$G$1507*$E$1436*$C$1505*$A$1460*$M$1512*$O$1510*Q1511</f>
        <v>0</v>
      </c>
      <c r="W1510" s="42">
        <f>$K$1498+$I$1487+$G$1508+$E$1437+$C$1506+$A$1461+$M$1513+$O$1511+Q1512</f>
        <v>20535.362108108107</v>
      </c>
      <c r="X1510">
        <f>u_CongnitiveImpairement</f>
        <v>17.270393127285455</v>
      </c>
      <c r="Z1510" s="42">
        <f t="shared" si="186"/>
        <v>0</v>
      </c>
      <c r="AA1510" s="6">
        <f t="shared" si="185"/>
        <v>0</v>
      </c>
      <c r="AB1510" s="42">
        <f t="shared" ref="AB1510:AB1532" si="187">U1510*c_CSG</f>
        <v>0</v>
      </c>
      <c r="AC1510" s="42">
        <f>U1510*(Q1512-c_CSG)</f>
        <v>0</v>
      </c>
    </row>
    <row r="1511" spans="3:29" x14ac:dyDescent="0.3">
      <c r="M1511" s="19" t="s">
        <v>203</v>
      </c>
      <c r="O1511" s="46">
        <f>c_hypo</f>
        <v>2936.2604000000001</v>
      </c>
      <c r="Q1511" s="45">
        <f>Hypo2CI_4-(Hypo2CI_4*RDS2CLD_4)</f>
        <v>3.2801999999999998E-2</v>
      </c>
      <c r="R1511" s="45"/>
      <c r="T1511" s="78"/>
      <c r="V1511">
        <v>0</v>
      </c>
      <c r="Z1511" s="42">
        <f t="shared" si="186"/>
        <v>0</v>
      </c>
      <c r="AA1511" s="6">
        <f t="shared" si="185"/>
        <v>0</v>
      </c>
      <c r="AB1511" s="42">
        <f t="shared" si="187"/>
        <v>0</v>
      </c>
      <c r="AC1511" s="42"/>
    </row>
    <row r="1512" spans="3:29" x14ac:dyDescent="0.3">
      <c r="M1512" s="45">
        <f>S_prem_2noRDS_4</f>
        <v>0.55000000000000004</v>
      </c>
      <c r="Q1512" s="46">
        <f>c_cog+c_hosp_fu+c_CSG</f>
        <v>15766</v>
      </c>
      <c r="R1512" s="46"/>
      <c r="T1512" s="78"/>
      <c r="Z1512" s="42">
        <f t="shared" si="186"/>
        <v>0</v>
      </c>
      <c r="AA1512" s="6">
        <f t="shared" si="185"/>
        <v>0</v>
      </c>
      <c r="AB1512" s="42">
        <f t="shared" si="187"/>
        <v>0</v>
      </c>
      <c r="AC1512" s="42">
        <f>U1512*(Q1514-c_CSG)</f>
        <v>0</v>
      </c>
    </row>
    <row r="1513" spans="3:29" x14ac:dyDescent="0.3">
      <c r="G1513" s="42"/>
      <c r="M1513" s="46"/>
      <c r="O1513" s="42"/>
      <c r="Q1513" s="19" t="s">
        <v>368</v>
      </c>
      <c r="R1513" s="19"/>
      <c r="T1513" s="78"/>
      <c r="U1513">
        <f>$K$1497*$I$1486*$G$1507*$E$1436*$C$1505*$A$1460*$M$1512*$O$1510*Q1514</f>
        <v>0</v>
      </c>
      <c r="W1513" s="42">
        <f>$K$1498+$I$1487+$G$1508+$E$1437+$C$1506+$A$1461+$M$1513+$O$1511+Q1515</f>
        <v>63117.873010508105</v>
      </c>
      <c r="X1513">
        <f>u_ChronicResp+u_CongnitiveImpairement</f>
        <v>17.805052694763283</v>
      </c>
      <c r="Z1513" s="42">
        <f t="shared" si="186"/>
        <v>0</v>
      </c>
      <c r="AA1513" s="6">
        <f t="shared" si="185"/>
        <v>0</v>
      </c>
      <c r="AB1513" s="42">
        <f t="shared" si="187"/>
        <v>0</v>
      </c>
      <c r="AC1513" s="42">
        <f>U1513*(Q1515-c_CSG)</f>
        <v>0</v>
      </c>
    </row>
    <row r="1514" spans="3:29" x14ac:dyDescent="0.3">
      <c r="M1514" s="42"/>
      <c r="Q1514" s="45">
        <f>Hypo2CI_4*RDS2CLD_4</f>
        <v>1.8531333333333334E-2</v>
      </c>
      <c r="R1514" s="45"/>
      <c r="T1514" s="78"/>
      <c r="V1514">
        <v>0</v>
      </c>
      <c r="Z1514" s="42">
        <f t="shared" si="186"/>
        <v>0</v>
      </c>
      <c r="AA1514" s="6">
        <f t="shared" si="185"/>
        <v>0</v>
      </c>
      <c r="AB1514" s="42">
        <f t="shared" si="187"/>
        <v>0</v>
      </c>
      <c r="AC1514" s="42"/>
    </row>
    <row r="1515" spans="3:29" x14ac:dyDescent="0.3">
      <c r="M1515" s="42"/>
      <c r="Q1515" s="46">
        <f>c_lung+c_cog+c_hosp_fu+c_CSG</f>
        <v>58348.510902399998</v>
      </c>
      <c r="R1515" s="46"/>
      <c r="T1515" s="78"/>
      <c r="Z1515" s="42">
        <f t="shared" si="186"/>
        <v>0</v>
      </c>
      <c r="AA1515" s="6">
        <f t="shared" si="185"/>
        <v>0</v>
      </c>
      <c r="AB1515" s="42">
        <f t="shared" si="187"/>
        <v>0</v>
      </c>
      <c r="AC1515" s="42">
        <f>U1515*(Q1517-c_CSG)</f>
        <v>0</v>
      </c>
    </row>
    <row r="1516" spans="3:29" x14ac:dyDescent="0.3">
      <c r="M1516" s="42"/>
      <c r="Q1516" s="19" t="s">
        <v>369</v>
      </c>
      <c r="R1516" s="19"/>
      <c r="T1516" s="78"/>
      <c r="U1516">
        <f>$K$1497*$I$1486*$G$1507*$E$1436*$C$1505*$A$1460*$M$1512*$O$1510*Q1517</f>
        <v>0</v>
      </c>
      <c r="W1516" s="42">
        <f>$K$1498+$I$1487+$G$1508+$E$1437+$C$1506+$A$1461+$M$1513+$O$1511+Q1518</f>
        <v>19172.362108108107</v>
      </c>
      <c r="X1516">
        <f>u_Healthy</f>
        <v>0</v>
      </c>
      <c r="Z1516" s="42">
        <f t="shared" si="186"/>
        <v>0</v>
      </c>
      <c r="AA1516" s="6">
        <f t="shared" si="185"/>
        <v>0</v>
      </c>
      <c r="AB1516" s="42">
        <f t="shared" si="187"/>
        <v>0</v>
      </c>
      <c r="AC1516" s="42">
        <f>U1516*(Q1518-c_CSG)</f>
        <v>0</v>
      </c>
    </row>
    <row r="1517" spans="3:29" x14ac:dyDescent="0.3">
      <c r="M1517" s="42"/>
      <c r="O1517" s="42"/>
      <c r="Q1517" s="45">
        <f>1-Q1508-Q1511-Q1514</f>
        <v>0.60619800000000001</v>
      </c>
      <c r="R1517" s="45"/>
      <c r="T1517" s="78"/>
      <c r="V1517">
        <v>0</v>
      </c>
      <c r="Z1517" s="42">
        <f t="shared" si="186"/>
        <v>0</v>
      </c>
      <c r="AA1517" s="6">
        <f t="shared" si="185"/>
        <v>0</v>
      </c>
      <c r="AB1517" s="42">
        <f t="shared" si="187"/>
        <v>0</v>
      </c>
      <c r="AC1517" s="42">
        <f>U1517*(Q1519-c_CSG)</f>
        <v>0</v>
      </c>
    </row>
    <row r="1518" spans="3:29" x14ac:dyDescent="0.3">
      <c r="M1518" s="42"/>
      <c r="Q1518" s="46">
        <f>c_clinic_fu+c_CSG</f>
        <v>14403</v>
      </c>
      <c r="R1518" s="46"/>
      <c r="S1518" s="94"/>
      <c r="T1518" s="78"/>
      <c r="Z1518" s="42">
        <f t="shared" si="186"/>
        <v>0</v>
      </c>
      <c r="AA1518" s="6">
        <f t="shared" si="185"/>
        <v>0</v>
      </c>
      <c r="AB1518" s="42">
        <f t="shared" si="187"/>
        <v>0</v>
      </c>
      <c r="AC1518" s="42"/>
    </row>
    <row r="1519" spans="3:29" x14ac:dyDescent="0.3">
      <c r="M1519" s="42"/>
      <c r="Q1519" s="42"/>
      <c r="R1519" s="42"/>
      <c r="T1519" s="78"/>
      <c r="Z1519" s="42">
        <f t="shared" si="186"/>
        <v>0</v>
      </c>
      <c r="AA1519" s="6">
        <f t="shared" si="185"/>
        <v>0</v>
      </c>
      <c r="AB1519" s="42">
        <f t="shared" si="187"/>
        <v>0</v>
      </c>
      <c r="AC1519" s="42">
        <f>U1519*(Q1521-c_CSG)</f>
        <v>0</v>
      </c>
    </row>
    <row r="1520" spans="3:29" x14ac:dyDescent="0.3">
      <c r="M1520" s="42"/>
      <c r="Q1520" s="19" t="s">
        <v>367</v>
      </c>
      <c r="R1520" s="19"/>
      <c r="T1520" s="78"/>
      <c r="U1520">
        <f>$K$1497*$I$1486*$G$1507*$E$1436*$C$1505*$A$1460*$M$1512*$O$1524*Q1521</f>
        <v>0</v>
      </c>
      <c r="W1520" s="42">
        <f>$K$1498+$I$1487+$G$1508+$E$1437+$C$1506+$A$1461+$M$1513+$O$1525+Q1522</f>
        <v>56362.612610508106</v>
      </c>
      <c r="X1520">
        <f>u_ChronicResp</f>
        <v>0.53465956747782661</v>
      </c>
      <c r="Z1520" s="42">
        <f t="shared" si="186"/>
        <v>0</v>
      </c>
      <c r="AA1520" s="6">
        <f t="shared" si="185"/>
        <v>0</v>
      </c>
      <c r="AB1520" s="42">
        <f t="shared" si="187"/>
        <v>0</v>
      </c>
      <c r="AC1520" s="42">
        <f>U1520*(Q1522-c_CSG)</f>
        <v>0</v>
      </c>
    </row>
    <row r="1521" spans="11:29" x14ac:dyDescent="0.3">
      <c r="M1521" s="42"/>
      <c r="Q1521" s="45">
        <f>RDS2CLD_4-(RDS2CLD_4*noHypo2CI_4)</f>
        <v>0.34905610687022898</v>
      </c>
      <c r="R1521" s="45"/>
      <c r="T1521" s="78"/>
      <c r="V1521">
        <v>0</v>
      </c>
      <c r="Z1521" s="42">
        <f t="shared" si="186"/>
        <v>0</v>
      </c>
      <c r="AA1521" s="6">
        <f t="shared" si="185"/>
        <v>0</v>
      </c>
      <c r="AB1521" s="42">
        <f t="shared" si="187"/>
        <v>0</v>
      </c>
      <c r="AC1521" s="42"/>
    </row>
    <row r="1522" spans="11:29" x14ac:dyDescent="0.3">
      <c r="M1522" s="42"/>
      <c r="Q1522" s="46">
        <f>c_lung+c_hosp_fu+c_CSG</f>
        <v>54529.510902399998</v>
      </c>
      <c r="R1522" s="46"/>
      <c r="T1522" s="78"/>
      <c r="Z1522" s="42">
        <f t="shared" si="186"/>
        <v>0</v>
      </c>
      <c r="AA1522" s="6">
        <f t="shared" si="185"/>
        <v>0</v>
      </c>
      <c r="AB1522" s="42">
        <f t="shared" si="187"/>
        <v>0</v>
      </c>
      <c r="AC1522" s="42">
        <f>U1522*(Q1524-c_CSG)</f>
        <v>0</v>
      </c>
    </row>
    <row r="1523" spans="11:29" x14ac:dyDescent="0.3">
      <c r="M1523" s="42"/>
      <c r="O1523" s="19" t="s">
        <v>370</v>
      </c>
      <c r="Q1523" s="19" t="s">
        <v>226</v>
      </c>
      <c r="R1523" s="19"/>
      <c r="T1523" s="78"/>
      <c r="U1523">
        <f>$K$1497*$I$1486*$G$1507*$E$1436*$C$1505*$A$1460*$M$1512*$O$1524*Q1524</f>
        <v>0</v>
      </c>
      <c r="W1523" s="42">
        <f>$K$1498+$I$1487+$G$1508+$E$1437+$C$1506+$A$1461+$M$1513+$O$1525+Q1525</f>
        <v>17599.101708108108</v>
      </c>
      <c r="X1523">
        <f>u_CongnitiveImpairement</f>
        <v>17.270393127285455</v>
      </c>
      <c r="Z1523" s="42">
        <f t="shared" si="186"/>
        <v>0</v>
      </c>
      <c r="AA1523" s="6">
        <f t="shared" si="185"/>
        <v>0</v>
      </c>
      <c r="AB1523" s="42">
        <f t="shared" si="187"/>
        <v>0</v>
      </c>
      <c r="AC1523" s="42">
        <f>U1523*(Q1525-c_CSG)</f>
        <v>0</v>
      </c>
    </row>
    <row r="1524" spans="11:29" x14ac:dyDescent="0.3">
      <c r="M1524" s="42"/>
      <c r="O1524" s="45">
        <f>SGA_prem_2normoglycaemia_4</f>
        <v>0.78449999999999998</v>
      </c>
      <c r="Q1524" s="45">
        <f>noHypo2CI_4-(RDS2CLD_4*noHypo2CI_4)</f>
        <v>2.1141683406990762E-2</v>
      </c>
      <c r="R1524" s="45"/>
      <c r="T1524" s="78"/>
      <c r="V1524">
        <v>0</v>
      </c>
      <c r="Z1524" s="42">
        <f t="shared" si="186"/>
        <v>0</v>
      </c>
      <c r="AA1524" s="6">
        <f t="shared" si="185"/>
        <v>0</v>
      </c>
      <c r="AB1524" s="42">
        <f t="shared" si="187"/>
        <v>0</v>
      </c>
      <c r="AC1524" s="42"/>
    </row>
    <row r="1525" spans="11:29" x14ac:dyDescent="0.3">
      <c r="M1525" s="42"/>
      <c r="O1525" s="46"/>
      <c r="Q1525" s="46">
        <f>c_cog+c_hosp_fu+c_CSG</f>
        <v>15766</v>
      </c>
      <c r="R1525" s="46"/>
      <c r="T1525" s="78"/>
      <c r="Z1525" s="42">
        <f t="shared" si="186"/>
        <v>0</v>
      </c>
      <c r="AA1525" s="6">
        <f t="shared" si="185"/>
        <v>0</v>
      </c>
      <c r="AB1525" s="42">
        <f t="shared" si="187"/>
        <v>0</v>
      </c>
      <c r="AC1525" s="42">
        <f>U1525*(Q1527-c_CSG)</f>
        <v>0</v>
      </c>
    </row>
    <row r="1526" spans="11:29" x14ac:dyDescent="0.3">
      <c r="M1526" s="42"/>
      <c r="Q1526" s="19" t="s">
        <v>368</v>
      </c>
      <c r="R1526" s="19"/>
      <c r="T1526" s="78"/>
      <c r="U1526">
        <f>$K$1497*$I$1486*$G$1507*$E$1436*$C$1505*$A$1460*$M$1512*$O$1524*Q1527</f>
        <v>0</v>
      </c>
      <c r="W1526" s="42">
        <f>$K$1498+$I$1487+$G$1508+$E$1437+$C$1506+$A$1461+$M$1513+$O$1525+Q1528</f>
        <v>60181.612610508106</v>
      </c>
      <c r="X1526">
        <f>u_ChronicResp+u_CongnitiveImpairement</f>
        <v>17.805052694763283</v>
      </c>
      <c r="Z1526" s="42">
        <f t="shared" si="186"/>
        <v>0</v>
      </c>
      <c r="AA1526" s="6">
        <f t="shared" si="185"/>
        <v>0</v>
      </c>
      <c r="AB1526" s="42">
        <f t="shared" si="187"/>
        <v>0</v>
      </c>
      <c r="AC1526" s="42">
        <f>U1526*(Q1528-c_CSG)</f>
        <v>0</v>
      </c>
    </row>
    <row r="1527" spans="11:29" x14ac:dyDescent="0.3">
      <c r="M1527" s="42"/>
      <c r="Q1527" s="45">
        <f>RDS2CLD_4*noHypo2CI_4</f>
        <v>1.1943893129770991E-2</v>
      </c>
      <c r="R1527" s="45"/>
      <c r="T1527" s="78"/>
      <c r="V1527">
        <v>0</v>
      </c>
      <c r="Z1527" s="42">
        <f t="shared" si="186"/>
        <v>0</v>
      </c>
      <c r="AA1527" s="6">
        <f t="shared" si="185"/>
        <v>0</v>
      </c>
      <c r="AB1527" s="42">
        <f t="shared" si="187"/>
        <v>0</v>
      </c>
      <c r="AC1527" s="42"/>
    </row>
    <row r="1528" spans="11:29" x14ac:dyDescent="0.3">
      <c r="M1528" s="42"/>
      <c r="Q1528" s="46">
        <f>c_cog+c_lung+c_hosp_fu+c_CSG</f>
        <v>58348.510902399998</v>
      </c>
      <c r="R1528" s="46"/>
      <c r="T1528" s="78"/>
      <c r="Z1528" s="42">
        <f t="shared" si="186"/>
        <v>0</v>
      </c>
      <c r="AA1528" s="6">
        <f t="shared" si="185"/>
        <v>0</v>
      </c>
      <c r="AB1528" s="42">
        <f t="shared" si="187"/>
        <v>0</v>
      </c>
      <c r="AC1528" s="42">
        <f>U1528*(Q1530-c_CSG)</f>
        <v>0</v>
      </c>
    </row>
    <row r="1529" spans="11:29" x14ac:dyDescent="0.3">
      <c r="M1529" s="42"/>
      <c r="Q1529" s="19" t="s">
        <v>369</v>
      </c>
      <c r="R1529" s="19"/>
      <c r="T1529" s="78"/>
      <c r="U1529">
        <f>$K$1497*$I$1486*$G$1507*$E$1436*$C$1505*$A$1460*$M$1512*$O$1524*Q1530</f>
        <v>0</v>
      </c>
      <c r="W1529" s="42">
        <f>$K$1498+$I$1487+$G$1508+$E$1437+$C$1506+$A$1461+$M$1513+$O$1525+Q1531</f>
        <v>16236.101708108108</v>
      </c>
      <c r="X1529">
        <f>u_Healthy</f>
        <v>0</v>
      </c>
      <c r="Z1529" s="42">
        <f t="shared" si="186"/>
        <v>0</v>
      </c>
      <c r="AA1529" s="6">
        <f t="shared" si="185"/>
        <v>0</v>
      </c>
      <c r="AB1529" s="42">
        <f t="shared" si="187"/>
        <v>0</v>
      </c>
      <c r="AC1529" s="42">
        <f>U1529*(Q1531-c_CSG)</f>
        <v>0</v>
      </c>
    </row>
    <row r="1530" spans="11:29" x14ac:dyDescent="0.3">
      <c r="M1530" s="42"/>
      <c r="Q1530" s="45">
        <f>1-Q1527-Q1524-Q1521</f>
        <v>0.61785831659300938</v>
      </c>
      <c r="R1530" s="45"/>
      <c r="T1530" s="78"/>
      <c r="V1530">
        <v>0</v>
      </c>
      <c r="Z1530" s="42">
        <f t="shared" si="186"/>
        <v>0</v>
      </c>
      <c r="AA1530" s="6">
        <f t="shared" si="185"/>
        <v>0</v>
      </c>
      <c r="AB1530" s="42">
        <f t="shared" si="187"/>
        <v>0</v>
      </c>
      <c r="AC1530" s="42">
        <f>U1530*(Q1532-c_CSG)</f>
        <v>0</v>
      </c>
    </row>
    <row r="1531" spans="11:29" x14ac:dyDescent="0.3">
      <c r="M1531" s="42"/>
      <c r="Q1531" s="46">
        <f>c_clinic_fu+c_CSG</f>
        <v>14403</v>
      </c>
      <c r="R1531" s="46"/>
      <c r="T1531" s="78"/>
      <c r="Z1531" s="42">
        <f t="shared" si="186"/>
        <v>0</v>
      </c>
      <c r="AA1531" s="6">
        <f t="shared" si="185"/>
        <v>0</v>
      </c>
      <c r="AB1531" s="42">
        <f t="shared" si="187"/>
        <v>0</v>
      </c>
      <c r="AC1531" s="42">
        <f>U1531*(Q1533-c_CSG)</f>
        <v>0</v>
      </c>
    </row>
    <row r="1532" spans="11:29" x14ac:dyDescent="0.3">
      <c r="M1532" s="42"/>
      <c r="Q1532" s="42"/>
      <c r="R1532" s="42"/>
      <c r="T1532" s="78"/>
      <c r="Z1532" s="42">
        <f t="shared" si="186"/>
        <v>0</v>
      </c>
      <c r="AA1532" s="6">
        <f t="shared" si="185"/>
        <v>0</v>
      </c>
      <c r="AB1532" s="42">
        <f t="shared" si="187"/>
        <v>0</v>
      </c>
      <c r="AC1532" s="42">
        <f>U1532*(Q1534-c_CSG)</f>
        <v>0</v>
      </c>
    </row>
    <row r="1533" spans="11:29" x14ac:dyDescent="0.3">
      <c r="K1533" s="19" t="s">
        <v>165</v>
      </c>
      <c r="L1533" s="19"/>
      <c r="M1533" s="19"/>
      <c r="N1533" s="19"/>
      <c r="O1533" s="19"/>
      <c r="P1533" s="19"/>
      <c r="Q1533" s="19"/>
      <c r="R1533" s="19"/>
      <c r="T1533" s="78"/>
      <c r="U1533">
        <f>$K$1534*$I$1542*$G$1507*$E$1436*$C$1505*$A$1460</f>
        <v>3.180512596551397E-4</v>
      </c>
      <c r="V1533">
        <v>3.180512596551397E-4</v>
      </c>
      <c r="W1533" s="42">
        <f>$K$1535+$I$1543+$G$1508+$E$1437+$C$1506+$A$1461</f>
        <v>3625.1017081081081</v>
      </c>
      <c r="X1533">
        <f>u_Death</f>
        <v>19.181538114427529</v>
      </c>
      <c r="Z1533" s="42">
        <f t="shared" si="186"/>
        <v>1.1529681646417824</v>
      </c>
      <c r="AA1533" s="6">
        <f t="shared" si="185"/>
        <v>6.1007123594167484E-3</v>
      </c>
      <c r="AB1533" s="42"/>
      <c r="AC1533" s="42"/>
    </row>
    <row r="1534" spans="11:29" x14ac:dyDescent="0.3">
      <c r="K1534" s="45">
        <f>AGA_prem_2d_4</f>
        <v>3.5174999999999998E-2</v>
      </c>
      <c r="T1534" s="78"/>
      <c r="Z1534" s="42">
        <f t="shared" si="186"/>
        <v>0</v>
      </c>
      <c r="AA1534" s="6">
        <f t="shared" si="185"/>
        <v>0</v>
      </c>
      <c r="AB1534" s="42">
        <f t="shared" ref="AB1534:AB1565" si="188">U1534*c_CSG</f>
        <v>0</v>
      </c>
      <c r="AC1534" s="42">
        <f>U1534*(Q1536-c_CSG)</f>
        <v>0</v>
      </c>
    </row>
    <row r="1535" spans="11:29" x14ac:dyDescent="0.3">
      <c r="K1535" s="46">
        <f>c_SB</f>
        <v>1792</v>
      </c>
      <c r="T1535" s="78"/>
      <c r="Z1535" s="42">
        <f t="shared" si="186"/>
        <v>0</v>
      </c>
      <c r="AA1535" s="6">
        <f t="shared" si="185"/>
        <v>0</v>
      </c>
      <c r="AB1535" s="42">
        <f t="shared" si="188"/>
        <v>0</v>
      </c>
      <c r="AC1535" s="42"/>
    </row>
    <row r="1536" spans="11:29" x14ac:dyDescent="0.3">
      <c r="T1536" s="78"/>
      <c r="Z1536" s="42">
        <f t="shared" si="186"/>
        <v>0</v>
      </c>
      <c r="AA1536" s="6">
        <f t="shared" si="185"/>
        <v>0</v>
      </c>
      <c r="AB1536" s="42">
        <f t="shared" si="188"/>
        <v>0</v>
      </c>
      <c r="AC1536" s="42">
        <f>U1536*(Q1538-c_CSG)</f>
        <v>0</v>
      </c>
    </row>
    <row r="1537" spans="9:29" x14ac:dyDescent="0.3">
      <c r="Q1537" s="19" t="s">
        <v>367</v>
      </c>
      <c r="R1537" s="19"/>
      <c r="T1537" s="78"/>
      <c r="U1537">
        <f>$K$1553*$I$1542*$G$1507*$E$1436*$C$1505*$A$1460*$M$1548*$O$1543*Q1538</f>
        <v>2.0166762222624391E-4</v>
      </c>
      <c r="V1537">
        <v>2.0166762222624391E-4</v>
      </c>
      <c r="W1537" s="42">
        <f>$K$1554+$I$1543+$G$1508+$E$1437+$C$1506+$A$1461+$M$1549+$O$1544+Q1539</f>
        <v>89894.483158713745</v>
      </c>
      <c r="X1537">
        <f>u_ChronicResp</f>
        <v>0.53465956747782661</v>
      </c>
      <c r="Z1537" s="42">
        <f t="shared" si="186"/>
        <v>18.12880666987493</v>
      </c>
      <c r="AA1537" s="6">
        <f t="shared" si="185"/>
        <v>1.0782352367376531E-4</v>
      </c>
      <c r="AB1537" s="42">
        <f t="shared" si="188"/>
        <v>2.2264105493777326</v>
      </c>
      <c r="AC1537" s="42">
        <f>U1537*(Q1539-c_CSG)</f>
        <v>8.7704262554693191</v>
      </c>
    </row>
    <row r="1538" spans="9:29" x14ac:dyDescent="0.3">
      <c r="Q1538" s="45">
        <f>RDS2CLD_4-(Hypo2CI_4*RDS2CLD_4)</f>
        <v>0.34246866666666664</v>
      </c>
      <c r="R1538" s="45"/>
      <c r="T1538" s="78"/>
      <c r="Z1538" s="42">
        <f t="shared" si="186"/>
        <v>0</v>
      </c>
      <c r="AA1538" s="6">
        <f t="shared" si="185"/>
        <v>0</v>
      </c>
      <c r="AB1538" s="42">
        <f t="shared" si="188"/>
        <v>0</v>
      </c>
      <c r="AC1538" s="42"/>
    </row>
    <row r="1539" spans="9:29" x14ac:dyDescent="0.3">
      <c r="Q1539" s="46">
        <f>c_lung+c_hosp_fu+c_CSG</f>
        <v>54529.510902399998</v>
      </c>
      <c r="R1539" s="46"/>
      <c r="T1539" s="78"/>
      <c r="Z1539" s="42">
        <f t="shared" si="186"/>
        <v>0</v>
      </c>
      <c r="AA1539" s="6">
        <f t="shared" si="185"/>
        <v>0</v>
      </c>
      <c r="AB1539" s="42">
        <f t="shared" si="188"/>
        <v>0</v>
      </c>
      <c r="AC1539" s="42">
        <f>U1539*(Q1541-c_CSG)</f>
        <v>0</v>
      </c>
    </row>
    <row r="1540" spans="9:29" x14ac:dyDescent="0.3">
      <c r="Q1540" s="19" t="s">
        <v>226</v>
      </c>
      <c r="R1540" s="19"/>
      <c r="T1540" s="78"/>
      <c r="U1540">
        <f>$K$1553*$I$1542*$G$1507*$E$1436*$C$1505*$A$1460*$M$1548*$O$1543*Q1541</f>
        <v>1.9315931611062969E-5</v>
      </c>
      <c r="V1540">
        <v>1.9315931611062969E-5</v>
      </c>
      <c r="W1540" s="42">
        <f>$K$1554+$I$1543+$G$1508+$E$1437+$C$1506+$A$1461+$M$1549+$O$1544+Q1542</f>
        <v>51130.972256313747</v>
      </c>
      <c r="X1540">
        <f>u_CongnitiveImpairement</f>
        <v>17.270393127285455</v>
      </c>
      <c r="Z1540" s="42">
        <f t="shared" si="186"/>
        <v>0.98764236331011435</v>
      </c>
      <c r="AA1540" s="6">
        <f t="shared" si="185"/>
        <v>3.3359373254281778E-4</v>
      </c>
      <c r="AB1540" s="42">
        <f t="shared" si="188"/>
        <v>0.21324788498613517</v>
      </c>
      <c r="AC1540" s="42">
        <f>U1540*(Q1542-c_CSG)</f>
        <v>9.1287092793883584E-2</v>
      </c>
    </row>
    <row r="1541" spans="9:29" x14ac:dyDescent="0.3">
      <c r="I1541" s="19" t="s">
        <v>424</v>
      </c>
      <c r="Q1541" s="45">
        <f>Hypo2CI_4-(Hypo2CI_4*RDS2CLD_4)</f>
        <v>3.2801999999999998E-2</v>
      </c>
      <c r="R1541" s="45"/>
      <c r="T1541" s="78"/>
      <c r="Z1541" s="42">
        <f t="shared" si="186"/>
        <v>0</v>
      </c>
      <c r="AA1541" s="6">
        <f t="shared" si="185"/>
        <v>0</v>
      </c>
      <c r="AB1541" s="42">
        <f t="shared" si="188"/>
        <v>0</v>
      </c>
      <c r="AC1541" s="42"/>
    </row>
    <row r="1542" spans="9:29" x14ac:dyDescent="0.3">
      <c r="I1542" s="45">
        <f>NBW_prem_2AGA_4</f>
        <v>1</v>
      </c>
      <c r="O1542" s="19" t="s">
        <v>161</v>
      </c>
      <c r="Q1542" s="46">
        <f>c_cog+c_hosp_fu+c_CSG</f>
        <v>15766</v>
      </c>
      <c r="R1542" s="46"/>
      <c r="T1542" s="78"/>
      <c r="Z1542" s="42">
        <f t="shared" si="186"/>
        <v>0</v>
      </c>
      <c r="AA1542" s="6">
        <f t="shared" si="185"/>
        <v>0</v>
      </c>
      <c r="AB1542" s="42">
        <f t="shared" si="188"/>
        <v>0</v>
      </c>
      <c r="AC1542" s="42">
        <f>U1542*(Q1544-c_CSG)</f>
        <v>0</v>
      </c>
    </row>
    <row r="1543" spans="9:29" x14ac:dyDescent="0.3">
      <c r="I1543" s="46"/>
      <c r="O1543" s="45">
        <f>AGA_prem_2hypoglycaemia_4</f>
        <v>0.15</v>
      </c>
      <c r="Q1543" s="19" t="s">
        <v>368</v>
      </c>
      <c r="R1543" s="19"/>
      <c r="T1543" s="78"/>
      <c r="U1543">
        <f>$K$1553*$I$1542*$G$1507*$E$1436*$C$1505*$A$1460*$M$1548*$O$1543*Q1544</f>
        <v>1.0912443367126341E-5</v>
      </c>
      <c r="V1543">
        <v>1.0912443367126341E-5</v>
      </c>
      <c r="W1543" s="42">
        <f>$K$1554+$I$1543+$G$1508+$E$1437+$C$1506+$A$1461+$M$1549+$O$1544+Q1545</f>
        <v>93713.483158713745</v>
      </c>
      <c r="X1543">
        <f>u_ChronicResp+u_CongnitiveImpairement</f>
        <v>17.805052694763283</v>
      </c>
      <c r="Z1543" s="42">
        <f t="shared" si="186"/>
        <v>1.0226430777056119</v>
      </c>
      <c r="AA1543" s="6">
        <f t="shared" si="185"/>
        <v>1.9429662918030459E-4</v>
      </c>
      <c r="AB1543" s="42">
        <f t="shared" si="188"/>
        <v>0.12047337477307481</v>
      </c>
      <c r="AC1543" s="42">
        <f>U1543*(Q1545-c_CSG)</f>
        <v>0.51625144600551909</v>
      </c>
    </row>
    <row r="1544" spans="9:29" x14ac:dyDescent="0.3">
      <c r="O1544" s="46">
        <f>c_hypo</f>
        <v>2936.2604000000001</v>
      </c>
      <c r="Q1544" s="45">
        <f>Hypo2CI_4*RDS2CLD_4</f>
        <v>1.8531333333333334E-2</v>
      </c>
      <c r="R1544" s="45"/>
      <c r="T1544" s="78"/>
      <c r="Z1544" s="42">
        <f t="shared" si="186"/>
        <v>0</v>
      </c>
      <c r="AA1544" s="6">
        <f t="shared" si="185"/>
        <v>0</v>
      </c>
      <c r="AB1544" s="42">
        <f t="shared" si="188"/>
        <v>0</v>
      </c>
      <c r="AC1544" s="42"/>
    </row>
    <row r="1545" spans="9:29" x14ac:dyDescent="0.3">
      <c r="M1545" s="42"/>
      <c r="Q1545" s="46">
        <f>c_lung+c_cog+c_hosp_fu+c_CSG</f>
        <v>58348.510902399998</v>
      </c>
      <c r="R1545" s="46"/>
      <c r="T1545" s="78"/>
      <c r="Z1545" s="42">
        <f t="shared" si="186"/>
        <v>0</v>
      </c>
      <c r="AA1545" s="6">
        <f t="shared" si="185"/>
        <v>0</v>
      </c>
      <c r="AB1545" s="42">
        <f t="shared" si="188"/>
        <v>0</v>
      </c>
      <c r="AC1545" s="42">
        <f>U1545*(Q1547-c_CSG)</f>
        <v>0</v>
      </c>
    </row>
    <row r="1546" spans="9:29" x14ac:dyDescent="0.3">
      <c r="Q1546" s="19" t="s">
        <v>369</v>
      </c>
      <c r="R1546" s="19"/>
      <c r="T1546" s="78"/>
      <c r="U1546">
        <f>$K$1553*$I$1542*$G$1507*$E$1436*$C$1505*$A$1460*$M$1548*$O$1543*Q1547</f>
        <v>3.5696845042263126E-4</v>
      </c>
      <c r="V1546">
        <v>3.5696845042263126E-4</v>
      </c>
      <c r="W1546" s="42">
        <f>$K$1554+$I$1543+$G$1508+$E$1437+$C$1506+$A$1461+$M$1549+$O$1544+Q1548</f>
        <v>49767.972256313747</v>
      </c>
      <c r="X1546">
        <f>u_Healthy</f>
        <v>0</v>
      </c>
      <c r="Z1546" s="42">
        <f t="shared" si="186"/>
        <v>17.765595937012822</v>
      </c>
      <c r="AA1546" s="6">
        <f t="shared" si="185"/>
        <v>0</v>
      </c>
      <c r="AB1546" s="42">
        <f t="shared" si="188"/>
        <v>3.9409316926658491</v>
      </c>
      <c r="AC1546" s="42">
        <f>U1546*(Q1548-c_CSG)</f>
        <v>1.2004848987713088</v>
      </c>
    </row>
    <row r="1547" spans="9:29" x14ac:dyDescent="0.3">
      <c r="M1547" s="19" t="s">
        <v>9</v>
      </c>
      <c r="Q1547" s="45">
        <f>1-Q1538-Q1541-Q1544</f>
        <v>0.60619800000000001</v>
      </c>
      <c r="R1547" s="45"/>
      <c r="T1547" s="78"/>
      <c r="Z1547" s="42">
        <f t="shared" si="186"/>
        <v>0</v>
      </c>
      <c r="AA1547" s="6">
        <f t="shared" si="185"/>
        <v>0</v>
      </c>
      <c r="AB1547" s="42">
        <f t="shared" si="188"/>
        <v>0</v>
      </c>
      <c r="AC1547" s="42">
        <f>U1547*(Q1549-c_CSG)</f>
        <v>0</v>
      </c>
    </row>
    <row r="1548" spans="9:29" x14ac:dyDescent="0.3">
      <c r="K1548" s="42"/>
      <c r="M1548" s="45">
        <f>S_prem_2RDS_4</f>
        <v>0.45</v>
      </c>
      <c r="Q1548" s="46">
        <f>c_clinic_fu+c_CSG</f>
        <v>14403</v>
      </c>
      <c r="R1548" s="46"/>
      <c r="T1548" s="78"/>
      <c r="Z1548" s="42">
        <f t="shared" si="186"/>
        <v>0</v>
      </c>
      <c r="AA1548" s="6">
        <f t="shared" si="185"/>
        <v>0</v>
      </c>
      <c r="AB1548" s="42">
        <f t="shared" si="188"/>
        <v>0</v>
      </c>
      <c r="AC1548" s="42"/>
    </row>
    <row r="1549" spans="9:29" x14ac:dyDescent="0.3">
      <c r="K1549" s="42"/>
      <c r="M1549" s="46">
        <f>c_RDS</f>
        <v>30595.610148205637</v>
      </c>
      <c r="Q1549" s="42"/>
      <c r="R1549" s="42"/>
      <c r="T1549" s="78"/>
      <c r="Z1549" s="42">
        <f t="shared" si="186"/>
        <v>0</v>
      </c>
      <c r="AA1549" s="6">
        <f t="shared" ref="AA1549:AA1612" si="189">U1549*X1549</f>
        <v>0</v>
      </c>
      <c r="AB1549" s="42">
        <f t="shared" si="188"/>
        <v>0</v>
      </c>
      <c r="AC1549" s="42">
        <f>U1549*(Q1551-c_CSG)</f>
        <v>0</v>
      </c>
    </row>
    <row r="1550" spans="9:29" x14ac:dyDescent="0.3">
      <c r="Q1550" s="19" t="s">
        <v>367</v>
      </c>
      <c r="R1550" s="19"/>
      <c r="T1550" s="78"/>
      <c r="U1550">
        <f>$K$1553*$I$1542*$G$1507*$E$1436*$C$1505*$A$1460*$M$1548*$O$1553*Q1551</f>
        <v>1.1647648121902823E-3</v>
      </c>
      <c r="V1550">
        <v>1.1647648121902823E-3</v>
      </c>
      <c r="W1550" s="42">
        <f>$K$1554+$I$1543+$G$1508+$E$1437+$C$1506+$A$1461+$M$1549+$O$1554+Q1552</f>
        <v>86958.222758713746</v>
      </c>
      <c r="X1550">
        <f>u_ChronicResp</f>
        <v>0.53465956747782661</v>
      </c>
      <c r="Z1550" s="42">
        <f t="shared" si="186"/>
        <v>101.28587799995394</v>
      </c>
      <c r="AA1550" s="6">
        <f t="shared" si="189"/>
        <v>6.2275265069904821E-4</v>
      </c>
      <c r="AB1550" s="42">
        <f t="shared" si="188"/>
        <v>12.859003526580716</v>
      </c>
      <c r="AC1550" s="42">
        <f>U1550*(Q1552-c_CSG)</f>
        <v>50.655051998481163</v>
      </c>
    </row>
    <row r="1551" spans="9:29" x14ac:dyDescent="0.3">
      <c r="Q1551" s="45">
        <f>RDS2CLD_4-(RDS2CLD_4*noHypo2CI_4)</f>
        <v>0.34905610687022898</v>
      </c>
      <c r="R1551" s="45"/>
      <c r="T1551" s="78"/>
      <c r="Z1551" s="42">
        <f t="shared" ref="Z1551:Z1614" si="190">U1551*W1551</f>
        <v>0</v>
      </c>
      <c r="AA1551" s="6">
        <f t="shared" si="189"/>
        <v>0</v>
      </c>
      <c r="AB1551" s="42">
        <f t="shared" si="188"/>
        <v>0</v>
      </c>
      <c r="AC1551" s="42"/>
    </row>
    <row r="1552" spans="9:29" x14ac:dyDescent="0.3">
      <c r="K1552" s="19" t="s">
        <v>37</v>
      </c>
      <c r="M1552" s="42"/>
      <c r="O1552" s="19" t="s">
        <v>370</v>
      </c>
      <c r="Q1552" s="46">
        <f>c_lung+c_hosp_fu+c_CSG</f>
        <v>54529.510902399998</v>
      </c>
      <c r="R1552" s="46"/>
      <c r="T1552" s="78"/>
      <c r="Z1552" s="42">
        <f t="shared" si="190"/>
        <v>0</v>
      </c>
      <c r="AA1552" s="6">
        <f t="shared" si="189"/>
        <v>0</v>
      </c>
      <c r="AB1552" s="42">
        <f t="shared" si="188"/>
        <v>0</v>
      </c>
      <c r="AC1552" s="42">
        <f>U1552*(Q1554-c_CSG)</f>
        <v>0</v>
      </c>
    </row>
    <row r="1553" spans="11:29" x14ac:dyDescent="0.3">
      <c r="K1553" s="45">
        <f>AGA_prem_2s_4</f>
        <v>0.96482500000000004</v>
      </c>
      <c r="O1553" s="45">
        <f>AGA_prem_2normoglycaemia_4</f>
        <v>0.85</v>
      </c>
      <c r="Q1553" s="19" t="s">
        <v>226</v>
      </c>
      <c r="R1553" s="19"/>
      <c r="T1553" s="78"/>
      <c r="U1553">
        <f>$K$1553*$I$1542*$G$1507*$E$1436*$C$1505*$A$1460*$M$1548*$O$1553*Q1554</f>
        <v>7.0547652421062041E-5</v>
      </c>
      <c r="V1553">
        <v>7.0547652421062041E-5</v>
      </c>
      <c r="W1553" s="42">
        <f>$K$1554+$I$1543+$G$1508+$E$1437+$C$1506+$A$1461+$M$1549+$O$1554+Q1555</f>
        <v>48194.711856313748</v>
      </c>
      <c r="X1553">
        <f>u_CongnitiveImpairement</f>
        <v>17.270393127285455</v>
      </c>
      <c r="Z1553" s="42">
        <f t="shared" si="190"/>
        <v>3.40002378057246</v>
      </c>
      <c r="AA1553" s="6">
        <f t="shared" si="189"/>
        <v>1.2183856915188331E-3</v>
      </c>
      <c r="AB1553" s="42">
        <f t="shared" si="188"/>
        <v>0.77884608272852496</v>
      </c>
      <c r="AC1553" s="42">
        <f>U1553*(Q1555-c_CSG)</f>
        <v>0.33340820534193921</v>
      </c>
    </row>
    <row r="1554" spans="11:29" x14ac:dyDescent="0.3">
      <c r="K1554" s="46"/>
      <c r="O1554" s="46"/>
      <c r="Q1554" s="45">
        <f>noHypo2CI_4-(RDS2CLD_4*noHypo2CI_4)</f>
        <v>2.1141683406990762E-2</v>
      </c>
      <c r="R1554" s="45"/>
      <c r="T1554" s="78"/>
      <c r="Z1554" s="42">
        <f t="shared" si="190"/>
        <v>0</v>
      </c>
      <c r="AA1554" s="6">
        <f t="shared" si="189"/>
        <v>0</v>
      </c>
      <c r="AB1554" s="42">
        <f t="shared" si="188"/>
        <v>0</v>
      </c>
      <c r="AC1554" s="42"/>
    </row>
    <row r="1555" spans="11:29" x14ac:dyDescent="0.3">
      <c r="Q1555" s="46">
        <f>c_cog+c_hosp_fu+c_CSG</f>
        <v>15766</v>
      </c>
      <c r="R1555" s="46"/>
      <c r="T1555" s="78"/>
      <c r="Z1555" s="42">
        <f t="shared" si="190"/>
        <v>0</v>
      </c>
      <c r="AA1555" s="6">
        <f t="shared" si="189"/>
        <v>0</v>
      </c>
      <c r="AB1555" s="42">
        <f t="shared" si="188"/>
        <v>0</v>
      </c>
      <c r="AC1555" s="42">
        <f>U1555*(Q1557-c_CSG)</f>
        <v>0</v>
      </c>
    </row>
    <row r="1556" spans="11:29" x14ac:dyDescent="0.3">
      <c r="Q1556" s="19" t="s">
        <v>368</v>
      </c>
      <c r="R1556" s="19"/>
      <c r="T1556" s="78"/>
      <c r="U1556">
        <f>$K$1553*$I$1542*$G$1507*$E$1436*$C$1505*$A$1460*$M$1548*$O$1553*Q1557</f>
        <v>3.9855559505482618E-5</v>
      </c>
      <c r="V1556">
        <v>3.9855559505482618E-5</v>
      </c>
      <c r="W1556" s="42">
        <f>$K$1554+$I$1543+$G$1508+$E$1437+$C$1506+$A$1461+$M$1549+$O$1554+Q1558</f>
        <v>90777.222758713746</v>
      </c>
      <c r="X1556">
        <f>u_ChronicResp+u_CongnitiveImpairement</f>
        <v>17.805052694763283</v>
      </c>
      <c r="Z1556" s="42">
        <f t="shared" si="190"/>
        <v>3.6179770034023666</v>
      </c>
      <c r="AA1556" s="6">
        <f t="shared" si="189"/>
        <v>7.0963033717439165E-4</v>
      </c>
      <c r="AB1556" s="42">
        <f t="shared" si="188"/>
        <v>0.4400053769405281</v>
      </c>
      <c r="AC1556" s="42">
        <f>U1556*(Q1558-c_CSG)</f>
        <v>1.8855071713863762</v>
      </c>
    </row>
    <row r="1557" spans="11:29" x14ac:dyDescent="0.3">
      <c r="Q1557" s="45">
        <f>RDS2CLD_4*noHypo2CI_4</f>
        <v>1.1943893129770991E-2</v>
      </c>
      <c r="R1557" s="45"/>
      <c r="T1557" s="78"/>
      <c r="Z1557" s="42">
        <f t="shared" si="190"/>
        <v>0</v>
      </c>
      <c r="AA1557" s="6">
        <f t="shared" si="189"/>
        <v>0</v>
      </c>
      <c r="AB1557" s="42">
        <f t="shared" si="188"/>
        <v>0</v>
      </c>
      <c r="AC1557" s="42"/>
    </row>
    <row r="1558" spans="11:29" x14ac:dyDescent="0.3">
      <c r="Q1558" s="46">
        <f>c_cog+c_lung+c_hosp_fu+c_CSG</f>
        <v>58348.510902399998</v>
      </c>
      <c r="R1558" s="46"/>
      <c r="T1558" s="78"/>
      <c r="Z1558" s="42">
        <f t="shared" si="190"/>
        <v>0</v>
      </c>
      <c r="AA1558" s="6">
        <f t="shared" si="189"/>
        <v>0</v>
      </c>
      <c r="AB1558" s="42">
        <f t="shared" si="188"/>
        <v>0</v>
      </c>
      <c r="AC1558" s="42">
        <f>U1558*(Q1560-c_CSG)</f>
        <v>0</v>
      </c>
    </row>
    <row r="1559" spans="11:29" x14ac:dyDescent="0.3">
      <c r="Q1559" s="19" t="s">
        <v>369</v>
      </c>
      <c r="R1559" s="19"/>
      <c r="T1559" s="78"/>
      <c r="U1559">
        <f>$K$1553*$I$1542*$G$1507*$E$1436*$C$1505*$A$1460*$M$1548*$O$1553*Q1560</f>
        <v>2.0617305124365388E-3</v>
      </c>
      <c r="V1559">
        <v>2.0617305124365388E-3</v>
      </c>
      <c r="W1559" s="42">
        <f>$K$1554+$I$1543+$G$1508+$E$1437+$C$1506+$A$1461+$M$1549+$O$1554+Q1561</f>
        <v>46831.711856313748</v>
      </c>
      <c r="X1559">
        <f>u_Healthy</f>
        <v>0</v>
      </c>
      <c r="Z1559" s="42">
        <f t="shared" si="190"/>
        <v>96.554369283798081</v>
      </c>
      <c r="AA1559" s="6">
        <f t="shared" si="189"/>
        <v>0</v>
      </c>
      <c r="AB1559" s="42">
        <f t="shared" si="188"/>
        <v>22.761504857299389</v>
      </c>
      <c r="AC1559" s="42">
        <f>U1559*(Q1561-c_CSG)</f>
        <v>6.9335997133240799</v>
      </c>
    </row>
    <row r="1560" spans="11:29" x14ac:dyDescent="0.3">
      <c r="Q1560" s="45">
        <f>1-Q1557-Q1554-Q1551</f>
        <v>0.61785831659300938</v>
      </c>
      <c r="R1560" s="45"/>
      <c r="T1560" s="78"/>
      <c r="Z1560" s="42">
        <f t="shared" si="190"/>
        <v>0</v>
      </c>
      <c r="AA1560" s="6">
        <f t="shared" si="189"/>
        <v>0</v>
      </c>
      <c r="AB1560" s="42">
        <f t="shared" si="188"/>
        <v>0</v>
      </c>
      <c r="AC1560" s="42">
        <f>U1560*(Q1562-c_CSG)</f>
        <v>0</v>
      </c>
    </row>
    <row r="1561" spans="11:29" x14ac:dyDescent="0.3">
      <c r="Q1561" s="46">
        <f>c_clinic_fu+c_CSG</f>
        <v>14403</v>
      </c>
      <c r="R1561" s="46"/>
      <c r="T1561" s="78"/>
      <c r="Z1561" s="42">
        <f t="shared" si="190"/>
        <v>0</v>
      </c>
      <c r="AA1561" s="6">
        <f t="shared" si="189"/>
        <v>0</v>
      </c>
      <c r="AB1561" s="42">
        <f t="shared" si="188"/>
        <v>0</v>
      </c>
      <c r="AC1561" s="42"/>
    </row>
    <row r="1562" spans="11:29" x14ac:dyDescent="0.3">
      <c r="Q1562" s="42"/>
      <c r="R1562" s="42"/>
      <c r="T1562" s="78"/>
      <c r="Z1562" s="42">
        <f t="shared" si="190"/>
        <v>0</v>
      </c>
      <c r="AA1562" s="6">
        <f t="shared" si="189"/>
        <v>0</v>
      </c>
      <c r="AB1562" s="42">
        <f t="shared" si="188"/>
        <v>0</v>
      </c>
      <c r="AC1562" s="42">
        <f>U1562*(Q1564-c_CSG)</f>
        <v>0</v>
      </c>
    </row>
    <row r="1563" spans="11:29" x14ac:dyDescent="0.3">
      <c r="Q1563" s="19" t="s">
        <v>367</v>
      </c>
      <c r="R1563" s="19"/>
      <c r="T1563" s="78"/>
      <c r="U1563">
        <f>$K$1553*$I$1542*$G$1507*$E$1436*$C$1505*$A$1460*$M$1568*$O$1566*Q1564</f>
        <v>2.4648264938763152E-4</v>
      </c>
      <c r="V1563">
        <v>2.4648264938763152E-4</v>
      </c>
      <c r="W1563" s="42">
        <f>$K$1554+$I$1543+$G$1508+$E$1437+$C$1506+$A$1461+$M$1569+$O$1567+Q1565</f>
        <v>59298.873010508105</v>
      </c>
      <c r="X1563">
        <f>u_ChronicResp</f>
        <v>0.53465956747782661</v>
      </c>
      <c r="Z1563" s="42">
        <f t="shared" si="190"/>
        <v>14.616143325330755</v>
      </c>
      <c r="AA1563" s="6">
        <f t="shared" si="189"/>
        <v>1.3178430671237986E-4</v>
      </c>
      <c r="AB1563" s="42">
        <f t="shared" si="188"/>
        <v>2.7211684492394519</v>
      </c>
      <c r="AC1563" s="42">
        <f>U1563*(Q1565-c_CSG)</f>
        <v>10.719409867795838</v>
      </c>
    </row>
    <row r="1564" spans="11:29" x14ac:dyDescent="0.3">
      <c r="Q1564" s="45">
        <f>RDS2CLD_4-(Hypo2CI_4*RDS2CLD_4)</f>
        <v>0.34246866666666664</v>
      </c>
      <c r="R1564" s="45"/>
      <c r="T1564" s="78"/>
      <c r="Z1564" s="42">
        <f t="shared" si="190"/>
        <v>0</v>
      </c>
      <c r="AA1564" s="6">
        <f t="shared" si="189"/>
        <v>0</v>
      </c>
      <c r="AB1564" s="42">
        <f t="shared" si="188"/>
        <v>0</v>
      </c>
      <c r="AC1564" s="42"/>
    </row>
    <row r="1565" spans="11:29" x14ac:dyDescent="0.3">
      <c r="O1565" s="19" t="s">
        <v>161</v>
      </c>
      <c r="Q1565" s="46">
        <f>c_lung+c_hosp_fu+c_CSG</f>
        <v>54529.510902399998</v>
      </c>
      <c r="R1565" s="46"/>
      <c r="T1565" s="78"/>
      <c r="Z1565" s="42">
        <f t="shared" si="190"/>
        <v>0</v>
      </c>
      <c r="AA1565" s="6">
        <f t="shared" si="189"/>
        <v>0</v>
      </c>
      <c r="AB1565" s="42">
        <f t="shared" si="188"/>
        <v>0</v>
      </c>
      <c r="AC1565" s="42">
        <f>U1565*(Q1567-c_CSG)</f>
        <v>0</v>
      </c>
    </row>
    <row r="1566" spans="11:29" x14ac:dyDescent="0.3">
      <c r="O1566" s="45">
        <f>AGA_prem_2hypoglycaemia_4</f>
        <v>0.15</v>
      </c>
      <c r="Q1566" s="19" t="s">
        <v>226</v>
      </c>
      <c r="R1566" s="19"/>
      <c r="T1566" s="78"/>
      <c r="U1566">
        <f>$K$1553*$I$1542*$G$1507*$E$1436*$C$1505*$A$1460*$M$1568*$O$1566*Q1567</f>
        <v>2.3608360857965852E-5</v>
      </c>
      <c r="V1566">
        <v>2.3608360857965852E-5</v>
      </c>
      <c r="W1566" s="42">
        <f>$K$1554+$I$1543+$G$1508+$E$1437+$C$1506+$A$1461+$M$1569+$O$1567+Q1568</f>
        <v>20535.362108108107</v>
      </c>
      <c r="X1566">
        <f>u_CongnitiveImpairement</f>
        <v>17.270393127285455</v>
      </c>
      <c r="Z1566" s="42">
        <f t="shared" si="190"/>
        <v>0.48480623899721459</v>
      </c>
      <c r="AA1566" s="6">
        <f t="shared" si="189"/>
        <v>4.0772567310788839E-4</v>
      </c>
      <c r="AB1566" s="42">
        <f t="shared" ref="AB1566:AB1588" si="191">U1566*c_CSG</f>
        <v>0.26063630387194303</v>
      </c>
      <c r="AC1566" s="42">
        <f>U1566*(Q1568-c_CSG)</f>
        <v>0.11157311341474661</v>
      </c>
    </row>
    <row r="1567" spans="11:29" x14ac:dyDescent="0.3">
      <c r="M1567" s="19" t="s">
        <v>203</v>
      </c>
      <c r="O1567" s="46">
        <f>c_hypo</f>
        <v>2936.2604000000001</v>
      </c>
      <c r="Q1567" s="45">
        <f>Hypo2CI_4-(Hypo2CI_4*RDS2CLD_4)</f>
        <v>3.2801999999999998E-2</v>
      </c>
      <c r="R1567" s="45"/>
      <c r="T1567" s="78"/>
      <c r="Z1567" s="42">
        <f t="shared" si="190"/>
        <v>0</v>
      </c>
      <c r="AA1567" s="6">
        <f t="shared" si="189"/>
        <v>0</v>
      </c>
      <c r="AB1567" s="42">
        <f t="shared" si="191"/>
        <v>0</v>
      </c>
      <c r="AC1567" s="42"/>
    </row>
    <row r="1568" spans="11:29" x14ac:dyDescent="0.3">
      <c r="M1568" s="45">
        <f>S_prem_2noRDS_4</f>
        <v>0.55000000000000004</v>
      </c>
      <c r="Q1568" s="46">
        <f>c_cog+c_hosp_fu+c_CSG</f>
        <v>15766</v>
      </c>
      <c r="R1568" s="46"/>
      <c r="T1568" s="78"/>
      <c r="Z1568" s="42">
        <f t="shared" si="190"/>
        <v>0</v>
      </c>
      <c r="AA1568" s="6">
        <f t="shared" si="189"/>
        <v>0</v>
      </c>
      <c r="AB1568" s="42">
        <f t="shared" si="191"/>
        <v>0</v>
      </c>
      <c r="AC1568" s="42">
        <f>U1568*(Q1570-c_CSG)</f>
        <v>0</v>
      </c>
    </row>
    <row r="1569" spans="7:29" x14ac:dyDescent="0.3">
      <c r="M1569" s="46"/>
      <c r="O1569" s="42"/>
      <c r="Q1569" s="19" t="s">
        <v>368</v>
      </c>
      <c r="R1569" s="19"/>
      <c r="T1569" s="78"/>
      <c r="U1569">
        <f>$K$1553*$I$1542*$G$1507*$E$1436*$C$1505*$A$1460*$M$1568*$O$1566*Q1570</f>
        <v>1.3337430782043308E-5</v>
      </c>
      <c r="V1569">
        <v>1.3337430782043308E-5</v>
      </c>
      <c r="W1569" s="42">
        <f>$K$1554+$I$1543+$G$1508+$E$1437+$C$1506+$A$1461+$M$1569+$O$1567+Q1571</f>
        <v>63117.873010508105</v>
      </c>
      <c r="X1569">
        <f>u_ChronicResp+u_CongnitiveImpairement</f>
        <v>17.805052694763283</v>
      </c>
      <c r="Z1569" s="42">
        <f t="shared" si="190"/>
        <v>0.84183026238745129</v>
      </c>
      <c r="AA1569" s="6">
        <f t="shared" si="189"/>
        <v>2.3747365788703896E-4</v>
      </c>
      <c r="AB1569" s="42">
        <f t="shared" si="191"/>
        <v>0.14724523583375812</v>
      </c>
      <c r="AC1569" s="42">
        <f>U1569*(Q1571-c_CSG)</f>
        <v>0.63097398956230122</v>
      </c>
    </row>
    <row r="1570" spans="7:29" x14ac:dyDescent="0.3">
      <c r="M1570" s="42"/>
      <c r="Q1570" s="45">
        <f>Hypo2CI_4*RDS2CLD_4</f>
        <v>1.8531333333333334E-2</v>
      </c>
      <c r="R1570" s="45"/>
      <c r="T1570" s="78"/>
      <c r="Z1570" s="42">
        <f t="shared" si="190"/>
        <v>0</v>
      </c>
      <c r="AA1570" s="6">
        <f t="shared" si="189"/>
        <v>0</v>
      </c>
      <c r="AB1570" s="42">
        <f t="shared" si="191"/>
        <v>0</v>
      </c>
      <c r="AC1570" s="42"/>
    </row>
    <row r="1571" spans="7:29" x14ac:dyDescent="0.3">
      <c r="M1571" s="42"/>
      <c r="Q1571" s="46">
        <f>c_lung+c_cog+c_hosp_fu+c_CSG</f>
        <v>58348.510902399998</v>
      </c>
      <c r="R1571" s="46"/>
      <c r="T1571" s="78"/>
      <c r="Z1571" s="42">
        <f t="shared" si="190"/>
        <v>0</v>
      </c>
      <c r="AA1571" s="6">
        <f t="shared" si="189"/>
        <v>0</v>
      </c>
      <c r="AB1571" s="42">
        <f t="shared" si="191"/>
        <v>0</v>
      </c>
      <c r="AC1571" s="42">
        <f>U1571*(Q1573-c_CSG)</f>
        <v>0</v>
      </c>
    </row>
    <row r="1572" spans="7:29" x14ac:dyDescent="0.3">
      <c r="M1572" s="42"/>
      <c r="Q1572" s="19" t="s">
        <v>369</v>
      </c>
      <c r="R1572" s="19"/>
      <c r="T1572" s="78"/>
      <c r="U1572">
        <f>$K$1553*$I$1542*$G$1507*$E$1436*$C$1505*$A$1460*$M$1568*$O$1566*Q1573</f>
        <v>4.3629477273877156E-4</v>
      </c>
      <c r="V1572">
        <v>4.3629477273877156E-4</v>
      </c>
      <c r="W1572" s="42">
        <f>$K$1554+$I$1543+$G$1508+$E$1437+$C$1506+$A$1461+$M$1569+$O$1567+Q1574</f>
        <v>19172.362108108107</v>
      </c>
      <c r="X1572">
        <f>u_Healthy</f>
        <v>0</v>
      </c>
      <c r="Z1572" s="42">
        <f t="shared" si="190"/>
        <v>8.3648013688224623</v>
      </c>
      <c r="AA1572" s="6">
        <f t="shared" si="189"/>
        <v>0</v>
      </c>
      <c r="AB1572" s="42">
        <f t="shared" si="191"/>
        <v>4.816694291036038</v>
      </c>
      <c r="AC1572" s="42">
        <f>U1572*(Q1574-c_CSG)</f>
        <v>1.4672593207204887</v>
      </c>
    </row>
    <row r="1573" spans="7:29" x14ac:dyDescent="0.3">
      <c r="M1573" s="42"/>
      <c r="O1573" s="42"/>
      <c r="Q1573" s="45">
        <f>1-Q1564-Q1567-Q1570</f>
        <v>0.60619800000000001</v>
      </c>
      <c r="R1573" s="45"/>
      <c r="T1573" s="78"/>
      <c r="Z1573" s="42">
        <f t="shared" si="190"/>
        <v>0</v>
      </c>
      <c r="AA1573" s="6">
        <f t="shared" si="189"/>
        <v>0</v>
      </c>
      <c r="AB1573" s="42">
        <f t="shared" si="191"/>
        <v>0</v>
      </c>
      <c r="AC1573" s="42">
        <f>U1573*(Q1575-c_CSG)</f>
        <v>0</v>
      </c>
    </row>
    <row r="1574" spans="7:29" x14ac:dyDescent="0.3">
      <c r="M1574" s="42"/>
      <c r="Q1574" s="46">
        <f>c_clinic_fu+c_CSG</f>
        <v>14403</v>
      </c>
      <c r="R1574" s="46"/>
      <c r="S1574" s="94"/>
      <c r="T1574" s="78"/>
      <c r="Z1574" s="42">
        <f t="shared" si="190"/>
        <v>0</v>
      </c>
      <c r="AA1574" s="6">
        <f t="shared" si="189"/>
        <v>0</v>
      </c>
      <c r="AB1574" s="42">
        <f t="shared" si="191"/>
        <v>0</v>
      </c>
      <c r="AC1574" s="42"/>
    </row>
    <row r="1575" spans="7:29" x14ac:dyDescent="0.3">
      <c r="M1575" s="42"/>
      <c r="Q1575" s="42"/>
      <c r="R1575" s="42"/>
      <c r="T1575" s="78"/>
      <c r="Z1575" s="42">
        <f t="shared" si="190"/>
        <v>0</v>
      </c>
      <c r="AA1575" s="6">
        <f t="shared" si="189"/>
        <v>0</v>
      </c>
      <c r="AB1575" s="42">
        <f t="shared" si="191"/>
        <v>0</v>
      </c>
      <c r="AC1575" s="42">
        <f>U1575*(Q1577-c_CSG)</f>
        <v>0</v>
      </c>
    </row>
    <row r="1576" spans="7:29" x14ac:dyDescent="0.3">
      <c r="M1576" s="42"/>
      <c r="Q1576" s="19" t="s">
        <v>367</v>
      </c>
      <c r="R1576" s="19"/>
      <c r="T1576" s="78"/>
      <c r="U1576">
        <f>$K$1553*$I$1542*$G$1507*$E$1436*$C$1505*$A$1460*$M$1568*$O$1580*Q1577</f>
        <v>1.423601437121456E-3</v>
      </c>
      <c r="V1576">
        <v>1.423601437121456E-3</v>
      </c>
      <c r="W1576" s="42">
        <f>$K$1554+$I$1543+$G$1508+$E$1437+$C$1506+$A$1461+$M$1569+$O$1581+Q1578</f>
        <v>56362.612610508106</v>
      </c>
      <c r="X1576">
        <f>u_ChronicResp</f>
        <v>0.53465956747782661</v>
      </c>
      <c r="Z1576" s="42">
        <f t="shared" si="190"/>
        <v>80.237896312239243</v>
      </c>
      <c r="AA1576" s="6">
        <f t="shared" si="189"/>
        <v>7.6114212863217004E-4</v>
      </c>
      <c r="AB1576" s="42">
        <f t="shared" si="191"/>
        <v>15.716559865820875</v>
      </c>
      <c r="AC1576" s="42">
        <f>U1576*(Q1578-c_CSG)</f>
        <v>61.911730220365868</v>
      </c>
    </row>
    <row r="1577" spans="7:29" x14ac:dyDescent="0.3">
      <c r="M1577" s="42"/>
      <c r="Q1577" s="45">
        <f>RDS2CLD_4-(RDS2CLD_4*noHypo2CI_4)</f>
        <v>0.34905610687022898</v>
      </c>
      <c r="R1577" s="45"/>
      <c r="T1577" s="78"/>
      <c r="Z1577" s="42">
        <f t="shared" si="190"/>
        <v>0</v>
      </c>
      <c r="AA1577" s="6">
        <f t="shared" si="189"/>
        <v>0</v>
      </c>
      <c r="AB1577" s="42">
        <f t="shared" si="191"/>
        <v>0</v>
      </c>
      <c r="AC1577" s="42"/>
    </row>
    <row r="1578" spans="7:29" x14ac:dyDescent="0.3">
      <c r="M1578" s="42"/>
      <c r="Q1578" s="46">
        <f>c_lung+c_hosp_fu+c_CSG</f>
        <v>54529.510902399998</v>
      </c>
      <c r="R1578" s="46"/>
      <c r="T1578" s="78"/>
      <c r="Z1578" s="42">
        <f t="shared" si="190"/>
        <v>0</v>
      </c>
      <c r="AA1578" s="6">
        <f t="shared" si="189"/>
        <v>0</v>
      </c>
      <c r="AB1578" s="42">
        <f t="shared" si="191"/>
        <v>0</v>
      </c>
      <c r="AC1578" s="42">
        <f>U1578*(Q1580-c_CSG)</f>
        <v>0</v>
      </c>
    </row>
    <row r="1579" spans="7:29" x14ac:dyDescent="0.3">
      <c r="M1579" s="42"/>
      <c r="O1579" s="19" t="s">
        <v>370</v>
      </c>
      <c r="Q1579" s="19" t="s">
        <v>226</v>
      </c>
      <c r="R1579" s="19"/>
      <c r="T1579" s="78"/>
      <c r="U1579">
        <f>$K$1553*$I$1542*$G$1507*$E$1436*$C$1505*$A$1460*$M$1568*$O$1580*Q1580</f>
        <v>8.6224908514631385E-5</v>
      </c>
      <c r="V1579">
        <v>8.6224908514631385E-5</v>
      </c>
      <c r="W1579" s="42">
        <f>$K$1554+$I$1543+$G$1508+$E$1437+$C$1506+$A$1461+$M$1569+$O$1581+Q1581</f>
        <v>17599.101708108108</v>
      </c>
      <c r="X1579">
        <f>u_CongnitiveImpairement</f>
        <v>17.270393127285455</v>
      </c>
      <c r="Z1579" s="42">
        <f t="shared" si="190"/>
        <v>1.5174809347213145</v>
      </c>
      <c r="AA1579" s="6">
        <f t="shared" si="189"/>
        <v>1.4891380674119071E-3</v>
      </c>
      <c r="AB1579" s="42">
        <f t="shared" si="191"/>
        <v>0.95192299000153047</v>
      </c>
      <c r="AC1579" s="42">
        <f>U1579*(Q1581-c_CSG)</f>
        <v>0.40749891764014795</v>
      </c>
    </row>
    <row r="1580" spans="7:29" x14ac:dyDescent="0.3">
      <c r="M1580" s="42"/>
      <c r="O1580" s="45">
        <f>AGA_prem_2normoglycaemia_4</f>
        <v>0.85</v>
      </c>
      <c r="Q1580" s="45">
        <f>noHypo2CI_4-(RDS2CLD_4*noHypo2CI_4)</f>
        <v>2.1141683406990762E-2</v>
      </c>
      <c r="R1580" s="45"/>
      <c r="T1580" s="78"/>
      <c r="Z1580" s="42">
        <f t="shared" si="190"/>
        <v>0</v>
      </c>
      <c r="AA1580" s="6">
        <f t="shared" si="189"/>
        <v>0</v>
      </c>
      <c r="AB1580" s="42">
        <f t="shared" si="191"/>
        <v>0</v>
      </c>
      <c r="AC1580" s="42"/>
    </row>
    <row r="1581" spans="7:29" x14ac:dyDescent="0.3">
      <c r="M1581" s="42"/>
      <c r="O1581" s="46"/>
      <c r="Q1581" s="46">
        <f>c_cog+c_hosp_fu+c_CSG</f>
        <v>15766</v>
      </c>
      <c r="R1581" s="46"/>
      <c r="T1581" s="78"/>
      <c r="Z1581" s="42">
        <f t="shared" si="190"/>
        <v>0</v>
      </c>
      <c r="AA1581" s="6">
        <f t="shared" si="189"/>
        <v>0</v>
      </c>
      <c r="AB1581" s="42">
        <f t="shared" si="191"/>
        <v>0</v>
      </c>
      <c r="AC1581" s="42">
        <f>U1581*(Q1583-c_CSG)</f>
        <v>0</v>
      </c>
    </row>
    <row r="1582" spans="7:29" x14ac:dyDescent="0.3">
      <c r="G1582" s="42"/>
      <c r="M1582" s="42"/>
      <c r="Q1582" s="19" t="s">
        <v>368</v>
      </c>
      <c r="R1582" s="19"/>
      <c r="T1582" s="78"/>
      <c r="U1582">
        <f>$K$1553*$I$1542*$G$1507*$E$1436*$C$1505*$A$1460*$M$1568*$O$1580*Q1583</f>
        <v>4.8712350506700979E-5</v>
      </c>
      <c r="V1582">
        <v>4.8712350506700979E-5</v>
      </c>
      <c r="W1582" s="42">
        <f>$K$1554+$I$1543+$G$1508+$E$1437+$C$1506+$A$1461+$M$1569+$O$1581+Q1584</f>
        <v>60181.612610508106</v>
      </c>
      <c r="X1582">
        <f>u_ChronicResp+u_CongnitiveImpairement</f>
        <v>17.805052694763283</v>
      </c>
      <c r="Z1582" s="42">
        <f t="shared" si="190"/>
        <v>2.9315878075415664</v>
      </c>
      <c r="AA1582" s="6">
        <f t="shared" si="189"/>
        <v>8.6732596765758986E-4</v>
      </c>
      <c r="AB1582" s="42">
        <f t="shared" si="191"/>
        <v>0.53778434959397881</v>
      </c>
      <c r="AC1582" s="42">
        <f>U1582*(Q1584-c_CSG)</f>
        <v>2.3045087650277933</v>
      </c>
    </row>
    <row r="1583" spans="7:29" x14ac:dyDescent="0.3">
      <c r="Q1583" s="45">
        <f>RDS2CLD_4*noHypo2CI_4</f>
        <v>1.1943893129770991E-2</v>
      </c>
      <c r="R1583" s="45"/>
      <c r="T1583" s="78"/>
      <c r="Z1583" s="42">
        <f t="shared" si="190"/>
        <v>0</v>
      </c>
      <c r="AA1583" s="6">
        <f t="shared" si="189"/>
        <v>0</v>
      </c>
      <c r="AB1583" s="42">
        <f t="shared" si="191"/>
        <v>0</v>
      </c>
      <c r="AC1583" s="42"/>
    </row>
    <row r="1584" spans="7:29" x14ac:dyDescent="0.3">
      <c r="Q1584" s="46">
        <f>c_cog+c_lung+c_hosp_fu+c_CSG</f>
        <v>58348.510902399998</v>
      </c>
      <c r="R1584" s="46"/>
      <c r="T1584" s="78"/>
      <c r="Z1584" s="42">
        <f t="shared" si="190"/>
        <v>0</v>
      </c>
      <c r="AA1584" s="6">
        <f t="shared" si="189"/>
        <v>0</v>
      </c>
      <c r="AB1584" s="42">
        <f t="shared" si="191"/>
        <v>0</v>
      </c>
      <c r="AC1584" s="42">
        <f>U1584*(Q1586-c_CSG)</f>
        <v>0</v>
      </c>
    </row>
    <row r="1585" spans="9:29" x14ac:dyDescent="0.3">
      <c r="M1585" s="42"/>
      <c r="Q1585" s="19" t="s">
        <v>369</v>
      </c>
      <c r="R1585" s="19"/>
      <c r="T1585" s="78"/>
      <c r="U1585">
        <f>$K$1553*$I$1542*$G$1507*$E$1436*$C$1505*$A$1460*$M$1568*$O$1580*Q1586</f>
        <v>2.5198928485335478E-3</v>
      </c>
      <c r="V1585">
        <v>2.5198928485335478E-3</v>
      </c>
      <c r="W1585" s="42">
        <f>$K$1554+$I$1543+$G$1508+$E$1437+$C$1506+$A$1461+$M$1569+$O$1581+Q1587</f>
        <v>16236.101708108108</v>
      </c>
      <c r="X1585">
        <f>u_Healthy</f>
        <v>0</v>
      </c>
      <c r="Z1585" s="42">
        <f t="shared" si="190"/>
        <v>40.913236582324942</v>
      </c>
      <c r="AA1585" s="6">
        <f t="shared" si="189"/>
        <v>0</v>
      </c>
      <c r="AB1585" s="42">
        <f t="shared" si="191"/>
        <v>27.819617047810368</v>
      </c>
      <c r="AC1585" s="42">
        <f>U1585*(Q1587-c_CSG)</f>
        <v>8.4743996496183218</v>
      </c>
    </row>
    <row r="1586" spans="9:29" x14ac:dyDescent="0.3">
      <c r="M1586" s="42"/>
      <c r="Q1586" s="45">
        <f>1-Q1583-Q1580-Q1577</f>
        <v>0.61785831659300938</v>
      </c>
      <c r="R1586" s="45"/>
      <c r="T1586" s="78"/>
      <c r="Z1586" s="42">
        <f t="shared" si="190"/>
        <v>0</v>
      </c>
      <c r="AA1586" s="6">
        <f t="shared" si="189"/>
        <v>0</v>
      </c>
      <c r="AB1586" s="42">
        <f t="shared" si="191"/>
        <v>0</v>
      </c>
      <c r="AC1586" s="42">
        <f>U1586*(Q1588-c_CSG)</f>
        <v>0</v>
      </c>
    </row>
    <row r="1587" spans="9:29" x14ac:dyDescent="0.3">
      <c r="M1587" s="42"/>
      <c r="Q1587" s="46">
        <f>c_clinic_fu+c_CSG</f>
        <v>14403</v>
      </c>
      <c r="R1587" s="46"/>
      <c r="T1587" s="78"/>
      <c r="Z1587" s="42">
        <f t="shared" si="190"/>
        <v>0</v>
      </c>
      <c r="AA1587" s="6">
        <f t="shared" si="189"/>
        <v>0</v>
      </c>
      <c r="AB1587" s="42">
        <f t="shared" si="191"/>
        <v>0</v>
      </c>
      <c r="AC1587" s="42">
        <f>U1587*(Q1589-c_CSG)</f>
        <v>0</v>
      </c>
    </row>
    <row r="1588" spans="9:29" x14ac:dyDescent="0.3">
      <c r="M1588" s="42"/>
      <c r="Q1588" s="42"/>
      <c r="R1588" s="42"/>
      <c r="T1588" s="78"/>
      <c r="Z1588" s="42">
        <f t="shared" si="190"/>
        <v>0</v>
      </c>
      <c r="AA1588" s="6">
        <f t="shared" si="189"/>
        <v>0</v>
      </c>
      <c r="AB1588" s="42">
        <f t="shared" si="191"/>
        <v>0</v>
      </c>
      <c r="AC1588" s="42">
        <f>U1588*(Q1590-c_CSG)</f>
        <v>0</v>
      </c>
    </row>
    <row r="1589" spans="9:29" x14ac:dyDescent="0.3">
      <c r="K1589" s="19" t="s">
        <v>165</v>
      </c>
      <c r="L1589" s="19"/>
      <c r="M1589" s="19"/>
      <c r="N1589" s="19"/>
      <c r="O1589" s="19"/>
      <c r="P1589" s="19"/>
      <c r="Q1589" s="19"/>
      <c r="R1589" s="19"/>
      <c r="T1589" s="78"/>
      <c r="U1589">
        <f>$K$1590*$I$1598*$G$1622*$E$1659*$C$1505*$A$1460</f>
        <v>6.2091620433443457E-4</v>
      </c>
      <c r="V1589">
        <v>6.2091620433443457E-4</v>
      </c>
      <c r="W1589" s="42">
        <f>$K$1591+$I$1599+$G$1623+$E$1660+$C$1506+$A$1461</f>
        <v>256493.55809999997</v>
      </c>
      <c r="X1589">
        <f>u_Death</f>
        <v>19.181538114427529</v>
      </c>
      <c r="Z1589" s="42">
        <f t="shared" si="190"/>
        <v>159.26100653168575</v>
      </c>
      <c r="AA1589" s="6">
        <f t="shared" si="189"/>
        <v>1.1910127839306629E-2</v>
      </c>
      <c r="AB1589" s="42"/>
      <c r="AC1589" s="42"/>
    </row>
    <row r="1590" spans="9:29" x14ac:dyDescent="0.3">
      <c r="K1590" s="45">
        <f>SGA_term_2d_4</f>
        <v>1.3200000000000002E-2</v>
      </c>
      <c r="T1590" s="78"/>
      <c r="Z1590" s="42">
        <f t="shared" si="190"/>
        <v>0</v>
      </c>
      <c r="AA1590" s="6">
        <f t="shared" si="189"/>
        <v>0</v>
      </c>
      <c r="AB1590" s="42">
        <f t="shared" ref="AB1590:AB1621" si="192">U1590*c_CSG</f>
        <v>0</v>
      </c>
      <c r="AC1590" s="42">
        <f>U1590*(Q1592-c_CSG)</f>
        <v>0</v>
      </c>
    </row>
    <row r="1591" spans="9:29" x14ac:dyDescent="0.3">
      <c r="K1591" s="46">
        <f>c_SB</f>
        <v>1792</v>
      </c>
      <c r="T1591" s="78"/>
      <c r="Z1591" s="42">
        <f t="shared" si="190"/>
        <v>0</v>
      </c>
      <c r="AA1591" s="6">
        <f t="shared" si="189"/>
        <v>0</v>
      </c>
      <c r="AB1591" s="42">
        <f t="shared" si="192"/>
        <v>0</v>
      </c>
      <c r="AC1591" s="42"/>
    </row>
    <row r="1592" spans="9:29" x14ac:dyDescent="0.3">
      <c r="T1592" s="78"/>
      <c r="Z1592" s="42">
        <f t="shared" si="190"/>
        <v>0</v>
      </c>
      <c r="AA1592" s="6">
        <f t="shared" si="189"/>
        <v>0</v>
      </c>
      <c r="AB1592" s="42">
        <f t="shared" si="192"/>
        <v>0</v>
      </c>
      <c r="AC1592" s="42">
        <f>U1592*(Q1594-c_CSG)</f>
        <v>0</v>
      </c>
    </row>
    <row r="1593" spans="9:29" x14ac:dyDescent="0.3">
      <c r="Q1593" s="19" t="s">
        <v>367</v>
      </c>
      <c r="R1593" s="19"/>
      <c r="T1593" s="78"/>
      <c r="U1593">
        <f>$K$1609*$I$1598*$G$1622*$E$1659*$C$1505*$A$1460*$M$1604*$O$1599*Q1594</f>
        <v>0</v>
      </c>
      <c r="W1593" s="42">
        <f>$K$1610+$I$1599+$G$1623+$E$1660+$C$1506+$A$1461+$M$1605+$O$1600+Q1595</f>
        <v>342762.93955060566</v>
      </c>
      <c r="X1593">
        <f>u_ChronicResp</f>
        <v>0.53465956747782661</v>
      </c>
      <c r="Z1593" s="42">
        <f t="shared" si="190"/>
        <v>0</v>
      </c>
      <c r="AA1593" s="6">
        <f t="shared" si="189"/>
        <v>0</v>
      </c>
      <c r="AB1593" s="42">
        <f t="shared" si="192"/>
        <v>0</v>
      </c>
      <c r="AC1593" s="42">
        <f>U1593*(Q1595-c_CSG)</f>
        <v>0</v>
      </c>
    </row>
    <row r="1594" spans="9:29" x14ac:dyDescent="0.3">
      <c r="Q1594" s="45">
        <f>RDS2CLD_4-(Hypo2CI_4*RDS2CLD_4)</f>
        <v>0.34246866666666664</v>
      </c>
      <c r="R1594" s="45"/>
      <c r="T1594" s="78"/>
      <c r="V1594">
        <v>0</v>
      </c>
      <c r="Z1594" s="42">
        <f t="shared" si="190"/>
        <v>0</v>
      </c>
      <c r="AA1594" s="6">
        <f t="shared" si="189"/>
        <v>0</v>
      </c>
      <c r="AB1594" s="42">
        <f t="shared" si="192"/>
        <v>0</v>
      </c>
      <c r="AC1594" s="42"/>
    </row>
    <row r="1595" spans="9:29" x14ac:dyDescent="0.3">
      <c r="Q1595" s="46">
        <f>c_lung+c_hosp_fu+c_CSG</f>
        <v>54529.510902399998</v>
      </c>
      <c r="R1595" s="46"/>
      <c r="T1595" s="78"/>
      <c r="Z1595" s="42">
        <f t="shared" si="190"/>
        <v>0</v>
      </c>
      <c r="AA1595" s="6">
        <f t="shared" si="189"/>
        <v>0</v>
      </c>
      <c r="AB1595" s="42">
        <f t="shared" si="192"/>
        <v>0</v>
      </c>
      <c r="AC1595" s="42">
        <f>U1595*(Q1597-c_CSG)</f>
        <v>0</v>
      </c>
    </row>
    <row r="1596" spans="9:29" x14ac:dyDescent="0.3">
      <c r="Q1596" s="19" t="s">
        <v>226</v>
      </c>
      <c r="R1596" s="19"/>
      <c r="T1596" s="78"/>
      <c r="U1596">
        <f>$K$1609*$I$1598*$G$1622*$E$1659*$C$1505*$A$1460*$M$1604*$O$1599*Q1597</f>
        <v>0</v>
      </c>
      <c r="W1596" s="42">
        <f>$K$1610+$I$1599+$G$1623+$E$1660+$C$1506+$A$1461+$M$1605+$O$1600+Q1598</f>
        <v>303999.42864820565</v>
      </c>
      <c r="X1596">
        <f>u_CongnitiveImpairement</f>
        <v>17.270393127285455</v>
      </c>
      <c r="Z1596" s="42">
        <f t="shared" si="190"/>
        <v>0</v>
      </c>
      <c r="AA1596" s="6">
        <f t="shared" si="189"/>
        <v>0</v>
      </c>
      <c r="AB1596" s="42">
        <f t="shared" si="192"/>
        <v>0</v>
      </c>
      <c r="AC1596" s="42">
        <f>U1596*(Q1598-c_CSG)</f>
        <v>0</v>
      </c>
    </row>
    <row r="1597" spans="9:29" x14ac:dyDescent="0.3">
      <c r="I1597" s="19" t="s">
        <v>164</v>
      </c>
      <c r="Q1597" s="45">
        <f>Hypo2CI_4-(Hypo2CI_4*RDS2CLD_4)</f>
        <v>3.2801999999999998E-2</v>
      </c>
      <c r="R1597" s="45"/>
      <c r="T1597" s="78"/>
      <c r="V1597">
        <v>0</v>
      </c>
      <c r="Z1597" s="42">
        <f t="shared" si="190"/>
        <v>0</v>
      </c>
      <c r="AA1597" s="6">
        <f t="shared" si="189"/>
        <v>0</v>
      </c>
      <c r="AB1597" s="42">
        <f t="shared" si="192"/>
        <v>0</v>
      </c>
      <c r="AC1597" s="42"/>
    </row>
    <row r="1598" spans="9:29" x14ac:dyDescent="0.3">
      <c r="I1598" s="45">
        <f>LBW_term_2SGA_4</f>
        <v>1</v>
      </c>
      <c r="O1598" s="19" t="s">
        <v>161</v>
      </c>
      <c r="Q1598" s="46">
        <f>c_cog+c_hosp_fu+c_CSG</f>
        <v>15766</v>
      </c>
      <c r="R1598" s="46"/>
      <c r="T1598" s="78"/>
      <c r="Z1598" s="42">
        <f t="shared" si="190"/>
        <v>0</v>
      </c>
      <c r="AA1598" s="6">
        <f t="shared" si="189"/>
        <v>0</v>
      </c>
      <c r="AB1598" s="42">
        <f t="shared" si="192"/>
        <v>0</v>
      </c>
      <c r="AC1598" s="42">
        <f>U1598*(Q1600-c_CSG)</f>
        <v>0</v>
      </c>
    </row>
    <row r="1599" spans="9:29" x14ac:dyDescent="0.3">
      <c r="I1599" s="46"/>
      <c r="O1599" s="45">
        <f>SGA_term_2hypoglycaemia_4</f>
        <v>0.26</v>
      </c>
      <c r="Q1599" s="19" t="s">
        <v>368</v>
      </c>
      <c r="R1599" s="19"/>
      <c r="T1599" s="78"/>
      <c r="U1599">
        <f>$K$1609*$I$1598*$G$1622*$E$1659*$C$1505*$A$1460*$M$1604*$O$1599*Q1600</f>
        <v>0</v>
      </c>
      <c r="W1599" s="42">
        <f>$K$1610+$I$1599+$G$1623+$E$1660+$C$1506+$A$1461+$M$1605+$O$1600+Q1601</f>
        <v>346581.93955060566</v>
      </c>
      <c r="X1599">
        <f>u_ChronicResp+u_CongnitiveImpairement</f>
        <v>17.805052694763283</v>
      </c>
      <c r="Z1599" s="42">
        <f t="shared" si="190"/>
        <v>0</v>
      </c>
      <c r="AA1599" s="6">
        <f t="shared" si="189"/>
        <v>0</v>
      </c>
      <c r="AB1599" s="42">
        <f t="shared" si="192"/>
        <v>0</v>
      </c>
      <c r="AC1599" s="42">
        <f>U1599*(Q1601-c_CSG)</f>
        <v>0</v>
      </c>
    </row>
    <row r="1600" spans="9:29" x14ac:dyDescent="0.3">
      <c r="O1600" s="46">
        <f>c_hypo</f>
        <v>2936.2604000000001</v>
      </c>
      <c r="Q1600" s="45">
        <f>Hypo2CI_4*RDS2CLD_4</f>
        <v>1.8531333333333334E-2</v>
      </c>
      <c r="R1600" s="45"/>
      <c r="T1600" s="78"/>
      <c r="V1600">
        <v>0</v>
      </c>
      <c r="Z1600" s="42">
        <f t="shared" si="190"/>
        <v>0</v>
      </c>
      <c r="AA1600" s="6">
        <f t="shared" si="189"/>
        <v>0</v>
      </c>
      <c r="AB1600" s="42">
        <f t="shared" si="192"/>
        <v>0</v>
      </c>
      <c r="AC1600" s="42"/>
    </row>
    <row r="1601" spans="7:29" x14ac:dyDescent="0.3">
      <c r="M1601" s="42"/>
      <c r="Q1601" s="46">
        <f>c_lung+c_cog+c_hosp_fu+c_CSG</f>
        <v>58348.510902399998</v>
      </c>
      <c r="R1601" s="46"/>
      <c r="T1601" s="78"/>
      <c r="Z1601" s="42">
        <f t="shared" si="190"/>
        <v>0</v>
      </c>
      <c r="AA1601" s="6">
        <f t="shared" si="189"/>
        <v>0</v>
      </c>
      <c r="AB1601" s="42">
        <f t="shared" si="192"/>
        <v>0</v>
      </c>
      <c r="AC1601" s="42">
        <f>U1601*(Q1603-c_CSG)</f>
        <v>0</v>
      </c>
    </row>
    <row r="1602" spans="7:29" x14ac:dyDescent="0.3">
      <c r="Q1602" s="19" t="s">
        <v>369</v>
      </c>
      <c r="R1602" s="19"/>
      <c r="T1602" s="78"/>
      <c r="U1602">
        <f>$K$1609*$I$1598*$G$1622*$E$1659*$C$1505*$A$1460*$M$1604*$O$1599*Q1603</f>
        <v>0</v>
      </c>
      <c r="W1602" s="42">
        <f>$K$1610+$I$1599+$G$1623+$E$1660+$C$1506+$A$1461+$M$1605+$O$1600+Q1604</f>
        <v>302636.42864820565</v>
      </c>
      <c r="X1602">
        <f>u_Healthy</f>
        <v>0</v>
      </c>
      <c r="Z1602" s="42">
        <f t="shared" si="190"/>
        <v>0</v>
      </c>
      <c r="AA1602" s="6">
        <f t="shared" si="189"/>
        <v>0</v>
      </c>
      <c r="AB1602" s="42">
        <f t="shared" si="192"/>
        <v>0</v>
      </c>
      <c r="AC1602" s="42">
        <f>U1602*(Q1604-c_CSG)</f>
        <v>0</v>
      </c>
    </row>
    <row r="1603" spans="7:29" x14ac:dyDescent="0.3">
      <c r="M1603" s="19" t="s">
        <v>9</v>
      </c>
      <c r="Q1603" s="45">
        <f>1-Q1594-Q1597-Q1600</f>
        <v>0.60619800000000001</v>
      </c>
      <c r="R1603" s="45"/>
      <c r="T1603" s="78"/>
      <c r="V1603">
        <v>0</v>
      </c>
      <c r="Z1603" s="42">
        <f t="shared" si="190"/>
        <v>0</v>
      </c>
      <c r="AA1603" s="6">
        <f t="shared" si="189"/>
        <v>0</v>
      </c>
      <c r="AB1603" s="42">
        <f t="shared" si="192"/>
        <v>0</v>
      </c>
      <c r="AC1603" s="42">
        <f>U1603*(Q1605-c_CSG)</f>
        <v>0</v>
      </c>
    </row>
    <row r="1604" spans="7:29" x14ac:dyDescent="0.3">
      <c r="K1604" s="42"/>
      <c r="M1604" s="45">
        <f>S_term_2RDS_4</f>
        <v>0</v>
      </c>
      <c r="Q1604" s="46">
        <f>c_clinic_fu+c_CSG</f>
        <v>14403</v>
      </c>
      <c r="R1604" s="46"/>
      <c r="T1604" s="78"/>
      <c r="Z1604" s="42">
        <f t="shared" si="190"/>
        <v>0</v>
      </c>
      <c r="AA1604" s="6">
        <f t="shared" si="189"/>
        <v>0</v>
      </c>
      <c r="AB1604" s="42">
        <f t="shared" si="192"/>
        <v>0</v>
      </c>
      <c r="AC1604" s="42"/>
    </row>
    <row r="1605" spans="7:29" x14ac:dyDescent="0.3">
      <c r="K1605" s="42"/>
      <c r="M1605" s="46">
        <f>c_RDS</f>
        <v>30595.610148205637</v>
      </c>
      <c r="Q1605" s="42"/>
      <c r="R1605" s="42"/>
      <c r="T1605" s="78"/>
      <c r="Z1605" s="42">
        <f t="shared" si="190"/>
        <v>0</v>
      </c>
      <c r="AA1605" s="6">
        <f t="shared" si="189"/>
        <v>0</v>
      </c>
      <c r="AB1605" s="42">
        <f t="shared" si="192"/>
        <v>0</v>
      </c>
      <c r="AC1605" s="42">
        <f>U1605*(Q1607-c_CSG)</f>
        <v>0</v>
      </c>
    </row>
    <row r="1606" spans="7:29" x14ac:dyDescent="0.3">
      <c r="Q1606" s="19" t="s">
        <v>367</v>
      </c>
      <c r="R1606" s="19"/>
      <c r="T1606" s="78"/>
      <c r="U1606">
        <f>$K$1609*$I$1598*$G$1622*$E$1659*$C$1505*$A$1460*$M$1604*$O$1609*Q1607</f>
        <v>0</v>
      </c>
      <c r="W1606" s="42">
        <f>$K$1610+$I$1599+$G$1623+$E$1660+$C$1506+$A$1461+$M$1605+$O$1610+Q1608</f>
        <v>339826.67915060563</v>
      </c>
      <c r="X1606">
        <f>u_ChronicResp</f>
        <v>0.53465956747782661</v>
      </c>
      <c r="Z1606" s="42">
        <f t="shared" si="190"/>
        <v>0</v>
      </c>
      <c r="AA1606" s="6">
        <f t="shared" si="189"/>
        <v>0</v>
      </c>
      <c r="AB1606" s="42">
        <f t="shared" si="192"/>
        <v>0</v>
      </c>
      <c r="AC1606" s="42">
        <f>U1606*(Q1608-c_CSG)</f>
        <v>0</v>
      </c>
    </row>
    <row r="1607" spans="7:29" x14ac:dyDescent="0.3">
      <c r="Q1607" s="45">
        <f>RDS2CLD_4-(RDS2CLD_4*noHypo2CI_4)</f>
        <v>0.34905610687022898</v>
      </c>
      <c r="R1607" s="45"/>
      <c r="T1607" s="78"/>
      <c r="V1607">
        <v>0</v>
      </c>
      <c r="Z1607" s="42">
        <f t="shared" si="190"/>
        <v>0</v>
      </c>
      <c r="AA1607" s="6">
        <f t="shared" si="189"/>
        <v>0</v>
      </c>
      <c r="AB1607" s="42">
        <f t="shared" si="192"/>
        <v>0</v>
      </c>
      <c r="AC1607" s="42"/>
    </row>
    <row r="1608" spans="7:29" x14ac:dyDescent="0.3">
      <c r="K1608" s="19" t="s">
        <v>37</v>
      </c>
      <c r="M1608" s="42"/>
      <c r="O1608" s="19" t="s">
        <v>370</v>
      </c>
      <c r="Q1608" s="46">
        <f>c_lung+c_hosp_fu+c_CSG</f>
        <v>54529.510902399998</v>
      </c>
      <c r="R1608" s="46"/>
      <c r="T1608" s="78"/>
      <c r="Z1608" s="42">
        <f t="shared" si="190"/>
        <v>0</v>
      </c>
      <c r="AA1608" s="6">
        <f t="shared" si="189"/>
        <v>0</v>
      </c>
      <c r="AB1608" s="42">
        <f t="shared" si="192"/>
        <v>0</v>
      </c>
      <c r="AC1608" s="42">
        <f>U1608*(Q1610-c_CSG)</f>
        <v>0</v>
      </c>
    </row>
    <row r="1609" spans="7:29" x14ac:dyDescent="0.3">
      <c r="K1609" s="45">
        <f>SGA_term_2s_4</f>
        <v>0.98680000000000001</v>
      </c>
      <c r="O1609" s="45">
        <f>SGA_term_2normoglycaemia_4</f>
        <v>0.74</v>
      </c>
      <c r="Q1609" s="19" t="s">
        <v>226</v>
      </c>
      <c r="R1609" s="19"/>
      <c r="T1609" s="78"/>
      <c r="U1609">
        <f>$K$1609*$I$1598*$G$1622*$E$1659*$C$1505*$A$1460*$M$1604*$O$1609*Q1610</f>
        <v>0</v>
      </c>
      <c r="W1609" s="42">
        <f>$K$1610+$I$1599+$G$1623+$E$1660+$C$1506+$A$1461+$M$1605+$O$1610+Q1611</f>
        <v>301063.16824820562</v>
      </c>
      <c r="X1609">
        <f>u_CongnitiveImpairement</f>
        <v>17.270393127285455</v>
      </c>
      <c r="Z1609" s="42">
        <f t="shared" si="190"/>
        <v>0</v>
      </c>
      <c r="AA1609" s="6">
        <f t="shared" si="189"/>
        <v>0</v>
      </c>
      <c r="AB1609" s="42">
        <f t="shared" si="192"/>
        <v>0</v>
      </c>
      <c r="AC1609" s="42">
        <f>U1609*(Q1611-c_CSG)</f>
        <v>0</v>
      </c>
    </row>
    <row r="1610" spans="7:29" x14ac:dyDescent="0.3">
      <c r="K1610" s="46"/>
      <c r="O1610" s="46"/>
      <c r="Q1610" s="45">
        <f>noHypo2CI_4-(RDS2CLD_4*noHypo2CI_4)</f>
        <v>2.1141683406990762E-2</v>
      </c>
      <c r="R1610" s="45"/>
      <c r="T1610" s="78"/>
      <c r="V1610">
        <v>0</v>
      </c>
      <c r="Z1610" s="42">
        <f t="shared" si="190"/>
        <v>0</v>
      </c>
      <c r="AA1610" s="6">
        <f t="shared" si="189"/>
        <v>0</v>
      </c>
      <c r="AB1610" s="42">
        <f t="shared" si="192"/>
        <v>0</v>
      </c>
      <c r="AC1610" s="42"/>
    </row>
    <row r="1611" spans="7:29" x14ac:dyDescent="0.3">
      <c r="Q1611" s="46">
        <f>c_cog+c_hosp_fu+c_CSG</f>
        <v>15766</v>
      </c>
      <c r="R1611" s="46"/>
      <c r="T1611" s="78"/>
      <c r="Z1611" s="42">
        <f t="shared" si="190"/>
        <v>0</v>
      </c>
      <c r="AA1611" s="6">
        <f t="shared" si="189"/>
        <v>0</v>
      </c>
      <c r="AB1611" s="42">
        <f t="shared" si="192"/>
        <v>0</v>
      </c>
      <c r="AC1611" s="42">
        <f>U1611*(Q1613-c_CSG)</f>
        <v>0</v>
      </c>
    </row>
    <row r="1612" spans="7:29" x14ac:dyDescent="0.3">
      <c r="Q1612" s="19" t="s">
        <v>368</v>
      </c>
      <c r="R1612" s="19"/>
      <c r="T1612" s="78"/>
      <c r="U1612">
        <f>$K$1609*$I$1598*$G$1622*$E$1659*$C$1505*$A$1460*$M$1604*$O$1609*Q1613</f>
        <v>0</v>
      </c>
      <c r="W1612" s="42">
        <f>$K$1610+$I$1599+$G$1623+$E$1660+$C$1506+$A$1461+$M$1605+$O$1610+Q1614</f>
        <v>343645.67915060563</v>
      </c>
      <c r="X1612">
        <f>u_ChronicResp+u_CongnitiveImpairement</f>
        <v>17.805052694763283</v>
      </c>
      <c r="Z1612" s="42">
        <f t="shared" si="190"/>
        <v>0</v>
      </c>
      <c r="AA1612" s="6">
        <f t="shared" si="189"/>
        <v>0</v>
      </c>
      <c r="AB1612" s="42">
        <f t="shared" si="192"/>
        <v>0</v>
      </c>
      <c r="AC1612" s="42">
        <f>U1612*(Q1614-c_CSG)</f>
        <v>0</v>
      </c>
    </row>
    <row r="1613" spans="7:29" x14ac:dyDescent="0.3">
      <c r="G1613" s="42"/>
      <c r="Q1613" s="45">
        <f>RDS2CLD_4*noHypo2CI_4</f>
        <v>1.1943893129770991E-2</v>
      </c>
      <c r="R1613" s="45"/>
      <c r="T1613" s="78"/>
      <c r="V1613">
        <v>0</v>
      </c>
      <c r="Z1613" s="42">
        <f t="shared" si="190"/>
        <v>0</v>
      </c>
      <c r="AA1613" s="6">
        <f t="shared" ref="AA1613:AA1676" si="193">U1613*X1613</f>
        <v>0</v>
      </c>
      <c r="AB1613" s="42">
        <f t="shared" si="192"/>
        <v>0</v>
      </c>
      <c r="AC1613" s="42"/>
    </row>
    <row r="1614" spans="7:29" x14ac:dyDescent="0.3">
      <c r="G1614" s="42"/>
      <c r="Q1614" s="46">
        <f>c_cog+c_lung+c_hosp_fu+c_CSG</f>
        <v>58348.510902399998</v>
      </c>
      <c r="R1614" s="46"/>
      <c r="T1614" s="78"/>
      <c r="Z1614" s="42">
        <f t="shared" si="190"/>
        <v>0</v>
      </c>
      <c r="AA1614" s="6">
        <f t="shared" si="193"/>
        <v>0</v>
      </c>
      <c r="AB1614" s="42">
        <f t="shared" si="192"/>
        <v>0</v>
      </c>
      <c r="AC1614" s="42">
        <f>U1614*(Q1616-c_CSG)</f>
        <v>0</v>
      </c>
    </row>
    <row r="1615" spans="7:29" x14ac:dyDescent="0.3">
      <c r="Q1615" s="19" t="s">
        <v>369</v>
      </c>
      <c r="R1615" s="19"/>
      <c r="T1615" s="78"/>
      <c r="U1615">
        <f>$K$1609*$I$1598*$G$1622*$E$1659*$C$1505*$A$1460*$M$1604*$O$1609*Q1616</f>
        <v>0</v>
      </c>
      <c r="W1615" s="42">
        <f>$K$1610+$I$1599+$G$1623+$E$1660+$C$1506+$A$1461+$M$1605+$O$1610+Q1617</f>
        <v>299700.16824820562</v>
      </c>
      <c r="X1615">
        <f>u_Healthy</f>
        <v>0</v>
      </c>
      <c r="Z1615" s="42">
        <f t="shared" ref="Z1615:Z1678" si="194">U1615*W1615</f>
        <v>0</v>
      </c>
      <c r="AA1615" s="6">
        <f t="shared" si="193"/>
        <v>0</v>
      </c>
      <c r="AB1615" s="42">
        <f t="shared" si="192"/>
        <v>0</v>
      </c>
      <c r="AC1615" s="42">
        <f>U1615*(Q1617-c_CSG)</f>
        <v>0</v>
      </c>
    </row>
    <row r="1616" spans="7:29" x14ac:dyDescent="0.3">
      <c r="Q1616" s="45">
        <f>1-Q1613-Q1610-Q1607</f>
        <v>0.61785831659300938</v>
      </c>
      <c r="R1616" s="45"/>
      <c r="T1616" s="78"/>
      <c r="V1616">
        <v>0</v>
      </c>
      <c r="Z1616" s="42">
        <f t="shared" si="194"/>
        <v>0</v>
      </c>
      <c r="AA1616" s="6">
        <f t="shared" si="193"/>
        <v>0</v>
      </c>
      <c r="AB1616" s="42">
        <f t="shared" si="192"/>
        <v>0</v>
      </c>
      <c r="AC1616" s="42">
        <f>U1616*(Q1618-c_CSG)</f>
        <v>0</v>
      </c>
    </row>
    <row r="1617" spans="7:29" x14ac:dyDescent="0.3">
      <c r="Q1617" s="46">
        <f>c_clinic_fu+c_CSG</f>
        <v>14403</v>
      </c>
      <c r="R1617" s="46"/>
      <c r="T1617" s="78"/>
      <c r="Z1617" s="42">
        <f t="shared" si="194"/>
        <v>0</v>
      </c>
      <c r="AA1617" s="6">
        <f t="shared" si="193"/>
        <v>0</v>
      </c>
      <c r="AB1617" s="42">
        <f t="shared" si="192"/>
        <v>0</v>
      </c>
      <c r="AC1617" s="42"/>
    </row>
    <row r="1618" spans="7:29" x14ac:dyDescent="0.3">
      <c r="Q1618" s="42"/>
      <c r="R1618" s="42"/>
      <c r="T1618" s="78"/>
      <c r="Z1618" s="42">
        <f t="shared" si="194"/>
        <v>0</v>
      </c>
      <c r="AA1618" s="6">
        <f t="shared" si="193"/>
        <v>0</v>
      </c>
      <c r="AB1618" s="42">
        <f t="shared" si="192"/>
        <v>0</v>
      </c>
      <c r="AC1618" s="42">
        <f>U1618*(Q1620-c_CSG)</f>
        <v>0</v>
      </c>
    </row>
    <row r="1619" spans="7:29" x14ac:dyDescent="0.3">
      <c r="Q1619" s="19" t="s">
        <v>367</v>
      </c>
      <c r="R1619" s="19"/>
      <c r="T1619" s="78"/>
      <c r="U1619">
        <f>$K$1609*$I$1598*$G$1622*$E$1659*$C$1505*$A$1460*$M$1624*$O$1622*Q1620</f>
        <v>4.1331616824192988E-3</v>
      </c>
      <c r="V1619">
        <v>4.1331616824192988E-3</v>
      </c>
      <c r="W1619" s="42">
        <f>$K$1610+$I$1599+$G$1623+$E$1660+$C$1506+$A$1461+$M$1625+$O$1623+Q1621</f>
        <v>312167.32940239995</v>
      </c>
      <c r="X1619">
        <f>u_ChronicResp</f>
        <v>0.53465956747782661</v>
      </c>
      <c r="Z1619" s="42">
        <f t="shared" si="194"/>
        <v>1290.2380443891627</v>
      </c>
      <c r="AA1619" s="6">
        <f t="shared" si="193"/>
        <v>2.2098344374382284E-3</v>
      </c>
      <c r="AB1619" s="42">
        <f t="shared" si="192"/>
        <v>45.630104973909056</v>
      </c>
      <c r="AC1619" s="42">
        <f>U1619*(Q1621-c_CSG)</f>
        <v>179.74918004895602</v>
      </c>
    </row>
    <row r="1620" spans="7:29" x14ac:dyDescent="0.3">
      <c r="Q1620" s="45">
        <f>RDS2CLD_4-(Hypo2CI_4*RDS2CLD_4)</f>
        <v>0.34246866666666664</v>
      </c>
      <c r="R1620" s="45"/>
      <c r="T1620" s="78"/>
      <c r="Z1620" s="42">
        <f t="shared" si="194"/>
        <v>0</v>
      </c>
      <c r="AA1620" s="6">
        <f t="shared" si="193"/>
        <v>0</v>
      </c>
      <c r="AB1620" s="42">
        <f t="shared" si="192"/>
        <v>0</v>
      </c>
      <c r="AC1620" s="42"/>
    </row>
    <row r="1621" spans="7:29" x14ac:dyDescent="0.3">
      <c r="G1621" s="19" t="s">
        <v>8</v>
      </c>
      <c r="O1621" s="19" t="s">
        <v>161</v>
      </c>
      <c r="Q1621" s="46">
        <f>c_lung+c_hosp_fu+c_CSG</f>
        <v>54529.510902399998</v>
      </c>
      <c r="R1621" s="46"/>
      <c r="T1621" s="78"/>
      <c r="Z1621" s="42">
        <f t="shared" si="194"/>
        <v>0</v>
      </c>
      <c r="AA1621" s="6">
        <f t="shared" si="193"/>
        <v>0</v>
      </c>
      <c r="AB1621" s="42">
        <f t="shared" si="192"/>
        <v>0</v>
      </c>
      <c r="AC1621" s="42">
        <f>U1621*(Q1623-c_CSG)</f>
        <v>0</v>
      </c>
    </row>
    <row r="1622" spans="7:29" x14ac:dyDescent="0.3">
      <c r="G1622" s="45">
        <f>Term2LBW_4</f>
        <v>0.34769230769230769</v>
      </c>
      <c r="O1622" s="45">
        <f>SGA_term_2hypoglycaemia_4</f>
        <v>0.26</v>
      </c>
      <c r="Q1622" s="19" t="s">
        <v>226</v>
      </c>
      <c r="R1622" s="19"/>
      <c r="T1622" s="78"/>
      <c r="U1622">
        <f>$K$1609*$I$1598*$G$1622*$E$1659*$C$1505*$A$1460*$M$1624*$O$1622*Q1623</f>
        <v>3.958784633534878E-4</v>
      </c>
      <c r="V1622">
        <v>3.958784633534878E-4</v>
      </c>
      <c r="W1622" s="42">
        <f>$K$1610+$I$1599+$G$1623+$E$1660+$C$1506+$A$1461+$M$1625+$O$1623+Q1624</f>
        <v>273403.81849999994</v>
      </c>
      <c r="X1622">
        <f>u_CongnitiveImpairement</f>
        <v>17.270393127285455</v>
      </c>
      <c r="Z1622" s="42">
        <f t="shared" si="194"/>
        <v>108.23468354275586</v>
      </c>
      <c r="AA1622" s="6">
        <f t="shared" si="193"/>
        <v>6.8369766927404031E-3</v>
      </c>
      <c r="AB1622" s="42">
        <f t="shared" ref="AB1622:AB1644" si="195">U1622*c_CSG</f>
        <v>4.370498235422505</v>
      </c>
      <c r="AC1622" s="42">
        <f>U1622*(Q1624-c_CSG)</f>
        <v>1.8709216178085832</v>
      </c>
    </row>
    <row r="1623" spans="7:29" x14ac:dyDescent="0.3">
      <c r="G1623" s="46">
        <f>c_LBW</f>
        <v>254701.55809999997</v>
      </c>
      <c r="M1623" s="19" t="s">
        <v>203</v>
      </c>
      <c r="O1623" s="46">
        <f>c_hypo</f>
        <v>2936.2604000000001</v>
      </c>
      <c r="Q1623" s="45">
        <f>Hypo2CI_4-(Hypo2CI_4*RDS2CLD_4)</f>
        <v>3.2801999999999998E-2</v>
      </c>
      <c r="R1623" s="45"/>
      <c r="T1623" s="78"/>
      <c r="Z1623" s="42">
        <f t="shared" si="194"/>
        <v>0</v>
      </c>
      <c r="AA1623" s="6">
        <f t="shared" si="193"/>
        <v>0</v>
      </c>
      <c r="AB1623" s="42">
        <f t="shared" si="195"/>
        <v>0</v>
      </c>
      <c r="AC1623" s="42"/>
    </row>
    <row r="1624" spans="7:29" x14ac:dyDescent="0.3">
      <c r="M1624" s="45">
        <f>S_term_2noRDS_4</f>
        <v>1</v>
      </c>
      <c r="Q1624" s="46">
        <f>c_cog+c_hosp_fu+c_CSG</f>
        <v>15766</v>
      </c>
      <c r="R1624" s="46"/>
      <c r="T1624" s="78"/>
      <c r="Z1624" s="42">
        <f t="shared" si="194"/>
        <v>0</v>
      </c>
      <c r="AA1624" s="6">
        <f t="shared" si="193"/>
        <v>0</v>
      </c>
      <c r="AB1624" s="42">
        <f t="shared" si="195"/>
        <v>0</v>
      </c>
      <c r="AC1624" s="42">
        <f>U1624*(Q1626-c_CSG)</f>
        <v>0</v>
      </c>
    </row>
    <row r="1625" spans="7:29" x14ac:dyDescent="0.3">
      <c r="M1625" s="46"/>
      <c r="O1625" s="42"/>
      <c r="Q1625" s="19" t="s">
        <v>368</v>
      </c>
      <c r="R1625" s="19"/>
      <c r="T1625" s="78"/>
      <c r="U1625">
        <f>$K$1609*$I$1598*$G$1622*$E$1659*$C$1505*$A$1460*$M$1624*$O$1622*Q1626</f>
        <v>2.2364964831081237E-4</v>
      </c>
      <c r="V1625">
        <v>2.2364964831081237E-4</v>
      </c>
      <c r="W1625" s="42">
        <f>$K$1610+$I$1599+$G$1623+$E$1660+$C$1506+$A$1461+$M$1625+$O$1623+Q1627</f>
        <v>315986.32940239995</v>
      </c>
      <c r="X1625">
        <f>u_ChronicResp+u_CongnitiveImpairement</f>
        <v>17.805052694763283</v>
      </c>
      <c r="Z1625" s="42">
        <f t="shared" si="194"/>
        <v>70.670231441871252</v>
      </c>
      <c r="AA1625" s="6">
        <f t="shared" si="193"/>
        <v>3.9820937733392901E-3</v>
      </c>
      <c r="AB1625" s="42">
        <f t="shared" si="195"/>
        <v>2.4690921173513685</v>
      </c>
      <c r="AC1625" s="42">
        <f>U1625*(Q1627-c_CSG)</f>
        <v>10.580531825429992</v>
      </c>
    </row>
    <row r="1626" spans="7:29" x14ac:dyDescent="0.3">
      <c r="M1626" s="42"/>
      <c r="Q1626" s="45">
        <f>Hypo2CI_4*RDS2CLD_4</f>
        <v>1.8531333333333334E-2</v>
      </c>
      <c r="R1626" s="45"/>
      <c r="T1626" s="78"/>
      <c r="Z1626" s="42">
        <f t="shared" si="194"/>
        <v>0</v>
      </c>
      <c r="AA1626" s="6">
        <f t="shared" si="193"/>
        <v>0</v>
      </c>
      <c r="AB1626" s="42">
        <f t="shared" si="195"/>
        <v>0</v>
      </c>
      <c r="AC1626" s="42"/>
    </row>
    <row r="1627" spans="7:29" x14ac:dyDescent="0.3">
      <c r="M1627" s="42"/>
      <c r="Q1627" s="46">
        <f>c_lung+c_cog+c_hosp_fu+c_CSG</f>
        <v>58348.510902399998</v>
      </c>
      <c r="R1627" s="46"/>
      <c r="T1627" s="78"/>
      <c r="Z1627" s="42">
        <f t="shared" si="194"/>
        <v>0</v>
      </c>
      <c r="AA1627" s="6">
        <f t="shared" si="193"/>
        <v>0</v>
      </c>
      <c r="AB1627" s="42">
        <f t="shared" si="195"/>
        <v>0</v>
      </c>
      <c r="AC1627" s="42">
        <f>U1627*(Q1629-c_CSG)</f>
        <v>0</v>
      </c>
    </row>
    <row r="1628" spans="7:29" x14ac:dyDescent="0.3">
      <c r="M1628" s="42"/>
      <c r="Q1628" s="19" t="s">
        <v>369</v>
      </c>
      <c r="R1628" s="19"/>
      <c r="T1628" s="78"/>
      <c r="U1628">
        <f>$K$1609*$I$1598*$G$1622*$E$1659*$C$1505*$A$1460*$M$1624*$O$1622*Q1629</f>
        <v>7.3160396539222496E-3</v>
      </c>
      <c r="V1628">
        <v>7.3160396539222496E-3</v>
      </c>
      <c r="W1628" s="42">
        <f>$K$1610+$I$1599+$G$1623+$E$1660+$C$1506+$A$1461+$M$1625+$O$1623+Q1630</f>
        <v>272040.81849999994</v>
      </c>
      <c r="X1628">
        <f>u_Healthy</f>
        <v>0</v>
      </c>
      <c r="Z1628" s="42">
        <f t="shared" si="194"/>
        <v>1990.2614156314651</v>
      </c>
      <c r="AA1628" s="6">
        <f t="shared" si="193"/>
        <v>0</v>
      </c>
      <c r="AB1628" s="42">
        <f t="shared" si="195"/>
        <v>80.769077779301639</v>
      </c>
      <c r="AC1628" s="42">
        <f>U1628*(Q1630-c_CSG)</f>
        <v>24.603841356140524</v>
      </c>
    </row>
    <row r="1629" spans="7:29" x14ac:dyDescent="0.3">
      <c r="M1629" s="42"/>
      <c r="O1629" s="42"/>
      <c r="Q1629" s="45">
        <f>1-Q1620-Q1623-Q1626</f>
        <v>0.60619800000000001</v>
      </c>
      <c r="R1629" s="45"/>
      <c r="T1629" s="78"/>
      <c r="Z1629" s="42">
        <f t="shared" si="194"/>
        <v>0</v>
      </c>
      <c r="AA1629" s="6">
        <f t="shared" si="193"/>
        <v>0</v>
      </c>
      <c r="AB1629" s="42">
        <f t="shared" si="195"/>
        <v>0</v>
      </c>
      <c r="AC1629" s="42">
        <f>U1629*(Q1631-c_CSG)</f>
        <v>0</v>
      </c>
    </row>
    <row r="1630" spans="7:29" x14ac:dyDescent="0.3">
      <c r="M1630" s="42"/>
      <c r="Q1630" s="46">
        <f>c_clinic_fu+c_CSG</f>
        <v>14403</v>
      </c>
      <c r="R1630" s="46"/>
      <c r="S1630" s="94"/>
      <c r="T1630" s="78"/>
      <c r="Z1630" s="42">
        <f t="shared" si="194"/>
        <v>0</v>
      </c>
      <c r="AA1630" s="6">
        <f t="shared" si="193"/>
        <v>0</v>
      </c>
      <c r="AB1630" s="42">
        <f t="shared" si="195"/>
        <v>0</v>
      </c>
      <c r="AC1630" s="42"/>
    </row>
    <row r="1631" spans="7:29" x14ac:dyDescent="0.3">
      <c r="M1631" s="42"/>
      <c r="Q1631" s="42"/>
      <c r="R1631" s="42"/>
      <c r="T1631" s="78"/>
      <c r="Z1631" s="42">
        <f t="shared" si="194"/>
        <v>0</v>
      </c>
      <c r="AA1631" s="6">
        <f t="shared" si="193"/>
        <v>0</v>
      </c>
      <c r="AB1631" s="42">
        <f t="shared" si="195"/>
        <v>0</v>
      </c>
      <c r="AC1631" s="42">
        <f>U1631*(Q1633-c_CSG)</f>
        <v>0</v>
      </c>
    </row>
    <row r="1632" spans="7:29" x14ac:dyDescent="0.3">
      <c r="M1632" s="42"/>
      <c r="Q1632" s="19" t="s">
        <v>367</v>
      </c>
      <c r="R1632" s="19"/>
      <c r="T1632" s="78"/>
      <c r="U1632">
        <f>$K$1609*$I$1598*$G$1622*$E$1659*$C$1505*$A$1460*$M$1624*$O$1636*Q1633</f>
        <v>1.1989889037820563E-2</v>
      </c>
      <c r="V1632">
        <v>1.1989889037820563E-2</v>
      </c>
      <c r="W1632" s="42">
        <f>$K$1610+$I$1599+$G$1623+$E$1660+$C$1506+$A$1461+$M$1625+$O$1637+Q1634</f>
        <v>309231.06900239998</v>
      </c>
      <c r="X1632">
        <f>u_ChronicResp</f>
        <v>0.53465956747782661</v>
      </c>
      <c r="Z1632" s="42">
        <f t="shared" si="194"/>
        <v>3707.6462043854094</v>
      </c>
      <c r="AA1632" s="6">
        <f t="shared" si="193"/>
        <v>6.410508887068277E-3</v>
      </c>
      <c r="AB1632" s="42">
        <f t="shared" si="195"/>
        <v>132.36837497753902</v>
      </c>
      <c r="AC1632" s="42">
        <f>U1632*(Q1634-c_CSG)</f>
        <v>521.43441002886357</v>
      </c>
    </row>
    <row r="1633" spans="3:29" x14ac:dyDescent="0.3">
      <c r="M1633" s="42"/>
      <c r="Q1633" s="45">
        <f>RDS2CLD_4-(RDS2CLD_4*noHypo2CI_4)</f>
        <v>0.34905610687022898</v>
      </c>
      <c r="R1633" s="45"/>
      <c r="T1633" s="78"/>
      <c r="Z1633" s="42">
        <f t="shared" si="194"/>
        <v>0</v>
      </c>
      <c r="AA1633" s="6">
        <f t="shared" si="193"/>
        <v>0</v>
      </c>
      <c r="AB1633" s="42">
        <f t="shared" si="195"/>
        <v>0</v>
      </c>
      <c r="AC1633" s="42"/>
    </row>
    <row r="1634" spans="3:29" x14ac:dyDescent="0.3">
      <c r="M1634" s="42"/>
      <c r="Q1634" s="46">
        <f>c_lung+c_hosp_fu+c_CSG</f>
        <v>54529.510902399998</v>
      </c>
      <c r="R1634" s="46"/>
      <c r="T1634" s="78"/>
      <c r="Z1634" s="42">
        <f t="shared" si="194"/>
        <v>0</v>
      </c>
      <c r="AA1634" s="6">
        <f t="shared" si="193"/>
        <v>0</v>
      </c>
      <c r="AB1634" s="42">
        <f t="shared" si="195"/>
        <v>0</v>
      </c>
      <c r="AC1634" s="42">
        <f>U1634*(Q1636-c_CSG)</f>
        <v>0</v>
      </c>
    </row>
    <row r="1635" spans="3:29" x14ac:dyDescent="0.3">
      <c r="M1635" s="42"/>
      <c r="O1635" s="19" t="s">
        <v>370</v>
      </c>
      <c r="Q1635" s="19" t="s">
        <v>226</v>
      </c>
      <c r="R1635" s="19"/>
      <c r="T1635" s="78"/>
      <c r="U1635">
        <f>$K$1609*$I$1598*$G$1622*$E$1659*$C$1505*$A$1460*$M$1624*$O$1636*Q1636</f>
        <v>7.26205424094734E-4</v>
      </c>
      <c r="V1635">
        <v>7.26205424094734E-4</v>
      </c>
      <c r="W1635" s="42">
        <f>$K$1610+$I$1599+$G$1623+$E$1660+$C$1506+$A$1461+$M$1625+$O$1637+Q1637</f>
        <v>270467.55809999997</v>
      </c>
      <c r="X1635">
        <f>u_CongnitiveImpairement</f>
        <v>17.270393127285455</v>
      </c>
      <c r="Z1635" s="42">
        <f t="shared" si="194"/>
        <v>196.41500773387759</v>
      </c>
      <c r="AA1635" s="6">
        <f t="shared" si="193"/>
        <v>1.2541853165283114E-2</v>
      </c>
      <c r="AB1635" s="42">
        <f t="shared" si="195"/>
        <v>8.0173078820058628</v>
      </c>
      <c r="AC1635" s="42">
        <f>U1635*(Q1637-c_CSG)</f>
        <v>3.4320468342717128</v>
      </c>
    </row>
    <row r="1636" spans="3:29" x14ac:dyDescent="0.3">
      <c r="M1636" s="42"/>
      <c r="O1636" s="45">
        <f>SGA_term_2normoglycaemia_4</f>
        <v>0.74</v>
      </c>
      <c r="Q1636" s="45">
        <f>noHypo2CI_4-(RDS2CLD_4*noHypo2CI_4)</f>
        <v>2.1141683406990762E-2</v>
      </c>
      <c r="R1636" s="45"/>
      <c r="T1636" s="78"/>
      <c r="Z1636" s="42">
        <f t="shared" si="194"/>
        <v>0</v>
      </c>
      <c r="AA1636" s="6">
        <f t="shared" si="193"/>
        <v>0</v>
      </c>
      <c r="AB1636" s="42">
        <f t="shared" si="195"/>
        <v>0</v>
      </c>
      <c r="AC1636" s="42"/>
    </row>
    <row r="1637" spans="3:29" x14ac:dyDescent="0.3">
      <c r="M1637" s="42"/>
      <c r="O1637" s="46"/>
      <c r="Q1637" s="46">
        <f>c_cog+c_hosp_fu+c_CSG</f>
        <v>15766</v>
      </c>
      <c r="R1637" s="46"/>
      <c r="T1637" s="78"/>
      <c r="Z1637" s="42">
        <f t="shared" si="194"/>
        <v>0</v>
      </c>
      <c r="AA1637" s="6">
        <f t="shared" si="193"/>
        <v>0</v>
      </c>
      <c r="AB1637" s="42">
        <f t="shared" si="195"/>
        <v>0</v>
      </c>
      <c r="AC1637" s="42">
        <f>U1637*(Q1639-c_CSG)</f>
        <v>0</v>
      </c>
    </row>
    <row r="1638" spans="3:29" x14ac:dyDescent="0.3">
      <c r="M1638" s="42"/>
      <c r="Q1638" s="19" t="s">
        <v>368</v>
      </c>
      <c r="R1638" s="19"/>
      <c r="T1638" s="78"/>
      <c r="U1638">
        <f>$K$1609*$I$1598*$G$1622*$E$1659*$C$1505*$A$1460*$M$1624*$O$1636*Q1639</f>
        <v>4.1026628810359768E-4</v>
      </c>
      <c r="V1638">
        <v>4.1026628810359768E-4</v>
      </c>
      <c r="W1638" s="42">
        <f>$K$1610+$I$1599+$G$1623+$E$1660+$C$1506+$A$1461+$M$1625+$O$1637+Q1640</f>
        <v>313050.06900239998</v>
      </c>
      <c r="X1638">
        <f>u_ChronicResp+u_CongnitiveImpairement</f>
        <v>17.805052694763283</v>
      </c>
      <c r="Z1638" s="42">
        <f t="shared" si="194"/>
        <v>128.43388980018977</v>
      </c>
      <c r="AA1638" s="6">
        <f t="shared" si="193"/>
        <v>7.3048128785694914E-3</v>
      </c>
      <c r="AB1638" s="42">
        <f t="shared" si="195"/>
        <v>4.5293398206637185</v>
      </c>
      <c r="AC1638" s="42">
        <f>U1638*(Q1640-c_CSG)</f>
        <v>19.409087163636229</v>
      </c>
    </row>
    <row r="1639" spans="3:29" x14ac:dyDescent="0.3">
      <c r="M1639" s="42"/>
      <c r="Q1639" s="45">
        <f>RDS2CLD_4*noHypo2CI_4</f>
        <v>1.1943893129770991E-2</v>
      </c>
      <c r="R1639" s="45"/>
      <c r="T1639" s="78"/>
      <c r="Z1639" s="42">
        <f t="shared" si="194"/>
        <v>0</v>
      </c>
      <c r="AA1639" s="6">
        <f t="shared" si="193"/>
        <v>0</v>
      </c>
      <c r="AB1639" s="42">
        <f t="shared" si="195"/>
        <v>0</v>
      </c>
      <c r="AC1639" s="42"/>
    </row>
    <row r="1640" spans="3:29" x14ac:dyDescent="0.3">
      <c r="M1640" s="42"/>
      <c r="Q1640" s="46">
        <f>c_cog+c_lung+c_hosp_fu+c_CSG</f>
        <v>58348.510902399998</v>
      </c>
      <c r="R1640" s="46"/>
      <c r="T1640" s="78"/>
      <c r="Z1640" s="42">
        <f t="shared" si="194"/>
        <v>0</v>
      </c>
      <c r="AA1640" s="6">
        <f t="shared" si="193"/>
        <v>0</v>
      </c>
      <c r="AB1640" s="42">
        <f t="shared" si="195"/>
        <v>0</v>
      </c>
      <c r="AC1640" s="42">
        <f>U1640*(Q1642-c_CSG)</f>
        <v>0</v>
      </c>
    </row>
    <row r="1641" spans="3:29" x14ac:dyDescent="0.3">
      <c r="M1641" s="42"/>
      <c r="Q1641" s="19" t="s">
        <v>369</v>
      </c>
      <c r="R1641" s="19"/>
      <c r="T1641" s="78"/>
      <c r="U1641">
        <f>$K$1609*$I$1598*$G$1622*$E$1659*$C$1505*$A$1460*$M$1624*$O$1636*Q1642</f>
        <v>2.1223099986613134E-2</v>
      </c>
      <c r="V1641">
        <v>2.1223099986613134E-2</v>
      </c>
      <c r="W1641" s="42">
        <f>$K$1610+$I$1599+$G$1623+$E$1660+$C$1506+$A$1461+$M$1625+$O$1637+Q1643</f>
        <v>269104.55809999997</v>
      </c>
      <c r="X1641">
        <f>u_Healthy</f>
        <v>0</v>
      </c>
      <c r="Z1641" s="42">
        <f t="shared" si="194"/>
        <v>5711.2329434096428</v>
      </c>
      <c r="AA1641" s="6">
        <f t="shared" si="193"/>
        <v>0</v>
      </c>
      <c r="AB1641" s="42">
        <f t="shared" si="195"/>
        <v>234.30302385220901</v>
      </c>
      <c r="AC1641" s="42">
        <f>U1641*(Q1643-c_CSG)</f>
        <v>71.373285254979962</v>
      </c>
    </row>
    <row r="1642" spans="3:29" x14ac:dyDescent="0.3">
      <c r="M1642" s="42"/>
      <c r="Q1642" s="45">
        <f>1-Q1639-Q1636-Q1633</f>
        <v>0.61785831659300938</v>
      </c>
      <c r="R1642" s="45"/>
      <c r="T1642" s="78"/>
      <c r="Z1642" s="42">
        <f t="shared" si="194"/>
        <v>0</v>
      </c>
      <c r="AA1642" s="6">
        <f t="shared" si="193"/>
        <v>0</v>
      </c>
      <c r="AB1642" s="42">
        <f t="shared" si="195"/>
        <v>0</v>
      </c>
      <c r="AC1642" s="42">
        <f>U1642*(Q1644-c_CSG)</f>
        <v>0</v>
      </c>
    </row>
    <row r="1643" spans="3:29" x14ac:dyDescent="0.3">
      <c r="C1643" s="42"/>
      <c r="M1643" s="42"/>
      <c r="Q1643" s="46">
        <f>c_clinic_fu+c_CSG</f>
        <v>14403</v>
      </c>
      <c r="R1643" s="46"/>
      <c r="T1643" s="78"/>
      <c r="Z1643" s="42">
        <f t="shared" si="194"/>
        <v>0</v>
      </c>
      <c r="AA1643" s="6">
        <f t="shared" si="193"/>
        <v>0</v>
      </c>
      <c r="AB1643" s="42">
        <f t="shared" si="195"/>
        <v>0</v>
      </c>
      <c r="AC1643" s="42">
        <f>U1643*(Q1645-c_CSG)</f>
        <v>0</v>
      </c>
    </row>
    <row r="1644" spans="3:29" x14ac:dyDescent="0.3">
      <c r="M1644" s="42"/>
      <c r="Q1644" s="42"/>
      <c r="R1644" s="42"/>
      <c r="T1644" s="78"/>
      <c r="Z1644" s="42">
        <f t="shared" si="194"/>
        <v>0</v>
      </c>
      <c r="AA1644" s="6">
        <f t="shared" si="193"/>
        <v>0</v>
      </c>
      <c r="AB1644" s="42">
        <f t="shared" si="195"/>
        <v>0</v>
      </c>
      <c r="AC1644" s="42">
        <f>U1644*(Q1646-c_CSG)</f>
        <v>0</v>
      </c>
    </row>
    <row r="1645" spans="3:29" x14ac:dyDescent="0.3">
      <c r="K1645" s="19" t="s">
        <v>165</v>
      </c>
      <c r="L1645" s="19"/>
      <c r="M1645" s="19"/>
      <c r="N1645" s="19"/>
      <c r="O1645" s="19"/>
      <c r="P1645" s="19"/>
      <c r="Q1645" s="19"/>
      <c r="R1645" s="19"/>
      <c r="T1645" s="78"/>
      <c r="U1645">
        <f>$K$1646*$I$1654*$G$1622*$E$1659*$C$1505*$A$1460</f>
        <v>0</v>
      </c>
      <c r="W1645" s="42">
        <f>$K$1647+$I$1655+$G$1623+$E$1660+$C$1506+$A$1461</f>
        <v>256493.55809999997</v>
      </c>
      <c r="X1645">
        <f>u_Death</f>
        <v>19.181538114427529</v>
      </c>
      <c r="Z1645" s="42">
        <f t="shared" si="194"/>
        <v>0</v>
      </c>
      <c r="AA1645" s="6">
        <f t="shared" si="193"/>
        <v>0</v>
      </c>
      <c r="AB1645" s="42"/>
      <c r="AC1645" s="42"/>
    </row>
    <row r="1646" spans="3:29" x14ac:dyDescent="0.3">
      <c r="K1646" s="45">
        <f>AGA_term_2d_4</f>
        <v>6.2333333333333338E-3</v>
      </c>
      <c r="T1646" s="78"/>
      <c r="V1646">
        <v>0</v>
      </c>
      <c r="Z1646" s="42">
        <f t="shared" si="194"/>
        <v>0</v>
      </c>
      <c r="AA1646" s="6">
        <f t="shared" si="193"/>
        <v>0</v>
      </c>
      <c r="AB1646" s="42">
        <f t="shared" ref="AB1646:AB1677" si="196">U1646*c_CSG</f>
        <v>0</v>
      </c>
      <c r="AC1646" s="42"/>
    </row>
    <row r="1647" spans="3:29" x14ac:dyDescent="0.3">
      <c r="K1647" s="46">
        <f>c_SB</f>
        <v>1792</v>
      </c>
      <c r="T1647" s="78"/>
      <c r="Z1647" s="42">
        <f t="shared" si="194"/>
        <v>0</v>
      </c>
      <c r="AA1647" s="6">
        <f t="shared" si="193"/>
        <v>0</v>
      </c>
      <c r="AB1647" s="42">
        <f t="shared" si="196"/>
        <v>0</v>
      </c>
      <c r="AC1647" s="42"/>
    </row>
    <row r="1648" spans="3:29" x14ac:dyDescent="0.3">
      <c r="T1648" s="78"/>
      <c r="Z1648" s="42">
        <f t="shared" si="194"/>
        <v>0</v>
      </c>
      <c r="AA1648" s="6">
        <f t="shared" si="193"/>
        <v>0</v>
      </c>
      <c r="AB1648" s="42">
        <f t="shared" si="196"/>
        <v>0</v>
      </c>
      <c r="AC1648" s="42">
        <f>U1648*(Q1650-c_CSG)</f>
        <v>0</v>
      </c>
    </row>
    <row r="1649" spans="5:29" x14ac:dyDescent="0.3">
      <c r="Q1649" s="19" t="s">
        <v>367</v>
      </c>
      <c r="R1649" s="19"/>
      <c r="T1649" s="78"/>
      <c r="U1649">
        <f>$K$1665*$I$1654*$G$1622*$E$1659*$C$1505*$A$1460*$M$1660*$O$1655*Q1650</f>
        <v>0</v>
      </c>
      <c r="W1649" s="42">
        <f>$K$1666+$I$1655+$G$1623+$E$1660+$C$1506+$A$1461+$M$1661+$O$1656+Q1651</f>
        <v>342762.93955060566</v>
      </c>
      <c r="X1649">
        <f>u_ChronicResp</f>
        <v>0.53465956747782661</v>
      </c>
      <c r="Z1649" s="42">
        <f t="shared" si="194"/>
        <v>0</v>
      </c>
      <c r="AA1649" s="6">
        <f t="shared" si="193"/>
        <v>0</v>
      </c>
      <c r="AB1649" s="42">
        <f t="shared" si="196"/>
        <v>0</v>
      </c>
      <c r="AC1649" s="42">
        <f>U1649*(Q1651-c_CSG)</f>
        <v>0</v>
      </c>
    </row>
    <row r="1650" spans="5:29" x14ac:dyDescent="0.3">
      <c r="Q1650" s="45">
        <f>RDS2CLD_4-(Hypo2CI_4*RDS2CLD_4)</f>
        <v>0.34246866666666664</v>
      </c>
      <c r="R1650" s="45"/>
      <c r="T1650" s="78"/>
      <c r="V1650">
        <v>0</v>
      </c>
      <c r="Z1650" s="42">
        <f t="shared" si="194"/>
        <v>0</v>
      </c>
      <c r="AA1650" s="6">
        <f t="shared" si="193"/>
        <v>0</v>
      </c>
      <c r="AB1650" s="42">
        <f t="shared" si="196"/>
        <v>0</v>
      </c>
      <c r="AC1650" s="42"/>
    </row>
    <row r="1651" spans="5:29" x14ac:dyDescent="0.3">
      <c r="Q1651" s="46">
        <f>c_lung+c_hosp_fu+c_CSG</f>
        <v>54529.510902399998</v>
      </c>
      <c r="R1651" s="46"/>
      <c r="T1651" s="78"/>
      <c r="Z1651" s="42">
        <f t="shared" si="194"/>
        <v>0</v>
      </c>
      <c r="AA1651" s="6">
        <f t="shared" si="193"/>
        <v>0</v>
      </c>
      <c r="AB1651" s="42">
        <f t="shared" si="196"/>
        <v>0</v>
      </c>
      <c r="AC1651" s="42">
        <f>U1651*(Q1653-c_CSG)</f>
        <v>0</v>
      </c>
    </row>
    <row r="1652" spans="5:29" x14ac:dyDescent="0.3">
      <c r="Q1652" s="19" t="s">
        <v>226</v>
      </c>
      <c r="R1652" s="19"/>
      <c r="T1652" s="78"/>
      <c r="U1652">
        <f>$K$1665*$I$1654*$G$1622*$E$1659*$C$1505*$A$1460*$M$1660*$O$1655*Q1653</f>
        <v>0</v>
      </c>
      <c r="W1652" s="42">
        <f>$K$1666+$I$1655+$G$1623+$E$1660+$C$1506+$A$1461+$M$1661+$O$1656+Q1654</f>
        <v>303999.42864820565</v>
      </c>
      <c r="X1652">
        <f>u_CongnitiveImpairement</f>
        <v>17.270393127285455</v>
      </c>
      <c r="Z1652" s="42">
        <f t="shared" si="194"/>
        <v>0</v>
      </c>
      <c r="AA1652" s="6">
        <f t="shared" si="193"/>
        <v>0</v>
      </c>
      <c r="AB1652" s="42">
        <f t="shared" si="196"/>
        <v>0</v>
      </c>
      <c r="AC1652" s="42">
        <f>U1652*(Q1654-c_CSG)</f>
        <v>0</v>
      </c>
    </row>
    <row r="1653" spans="5:29" x14ac:dyDescent="0.3">
      <c r="I1653" s="19" t="s">
        <v>424</v>
      </c>
      <c r="Q1653" s="45">
        <f>Hypo2CI_4-(Hypo2CI_4*RDS2CLD_4)</f>
        <v>3.2801999999999998E-2</v>
      </c>
      <c r="R1653" s="45"/>
      <c r="T1653" s="78"/>
      <c r="V1653">
        <v>0</v>
      </c>
      <c r="Z1653" s="42">
        <f t="shared" si="194"/>
        <v>0</v>
      </c>
      <c r="AA1653" s="6">
        <f t="shared" si="193"/>
        <v>0</v>
      </c>
      <c r="AB1653" s="42">
        <f t="shared" si="196"/>
        <v>0</v>
      </c>
      <c r="AC1653" s="42"/>
    </row>
    <row r="1654" spans="5:29" x14ac:dyDescent="0.3">
      <c r="I1654" s="45">
        <f>LBW_term_2AGA_4</f>
        <v>0</v>
      </c>
      <c r="O1654" s="19" t="s">
        <v>161</v>
      </c>
      <c r="Q1654" s="46">
        <f>c_cog+c_hosp_fu+c_CSG</f>
        <v>15766</v>
      </c>
      <c r="R1654" s="46"/>
      <c r="T1654" s="78"/>
      <c r="Z1654" s="42">
        <f t="shared" si="194"/>
        <v>0</v>
      </c>
      <c r="AA1654" s="6">
        <f t="shared" si="193"/>
        <v>0</v>
      </c>
      <c r="AB1654" s="42">
        <f t="shared" si="196"/>
        <v>0</v>
      </c>
      <c r="AC1654" s="42">
        <f>U1654*(Q1656-c_CSG)</f>
        <v>0</v>
      </c>
    </row>
    <row r="1655" spans="5:29" x14ac:dyDescent="0.3">
      <c r="I1655" s="46"/>
      <c r="O1655" s="45">
        <f>AGA_term_2hypoglycaemia_4</f>
        <v>0</v>
      </c>
      <c r="Q1655" s="19" t="s">
        <v>368</v>
      </c>
      <c r="R1655" s="19"/>
      <c r="T1655" s="78"/>
      <c r="U1655">
        <f>$K$1665*$I$1654*$G$1622*$E$1659*$C$1505*$A$1460*$M$1660*$O$1655*Q1656</f>
        <v>0</v>
      </c>
      <c r="W1655" s="42">
        <f>$K$1666+$I$1655+$G$1623+$E$1660+$C$1506+$A$1461+$M$1661+$O$1656+Q1657</f>
        <v>346581.93955060566</v>
      </c>
      <c r="X1655">
        <f>u_ChronicResp+u_CongnitiveImpairement</f>
        <v>17.805052694763283</v>
      </c>
      <c r="Z1655" s="42">
        <f t="shared" si="194"/>
        <v>0</v>
      </c>
      <c r="AA1655" s="6">
        <f t="shared" si="193"/>
        <v>0</v>
      </c>
      <c r="AB1655" s="42">
        <f t="shared" si="196"/>
        <v>0</v>
      </c>
      <c r="AC1655" s="42">
        <f>U1655*(Q1657-c_CSG)</f>
        <v>0</v>
      </c>
    </row>
    <row r="1656" spans="5:29" x14ac:dyDescent="0.3">
      <c r="O1656" s="46">
        <f>c_hypo</f>
        <v>2936.2604000000001</v>
      </c>
      <c r="Q1656" s="45">
        <f>Hypo2CI_4*RDS2CLD_4</f>
        <v>1.8531333333333334E-2</v>
      </c>
      <c r="R1656" s="45"/>
      <c r="T1656" s="78"/>
      <c r="V1656">
        <v>0</v>
      </c>
      <c r="Z1656" s="42">
        <f t="shared" si="194"/>
        <v>0</v>
      </c>
      <c r="AA1656" s="6">
        <f t="shared" si="193"/>
        <v>0</v>
      </c>
      <c r="AB1656" s="42">
        <f t="shared" si="196"/>
        <v>0</v>
      </c>
      <c r="AC1656" s="42"/>
    </row>
    <row r="1657" spans="5:29" x14ac:dyDescent="0.3">
      <c r="M1657" s="42"/>
      <c r="Q1657" s="46">
        <f>c_lung+c_cog+c_hosp_fu+c_CSG</f>
        <v>58348.510902399998</v>
      </c>
      <c r="R1657" s="46"/>
      <c r="T1657" s="78"/>
      <c r="Z1657" s="42">
        <f t="shared" si="194"/>
        <v>0</v>
      </c>
      <c r="AA1657" s="6">
        <f t="shared" si="193"/>
        <v>0</v>
      </c>
      <c r="AB1657" s="42">
        <f t="shared" si="196"/>
        <v>0</v>
      </c>
      <c r="AC1657" s="42">
        <f>U1657*(Q1659-c_CSG)</f>
        <v>0</v>
      </c>
    </row>
    <row r="1658" spans="5:29" x14ac:dyDescent="0.3">
      <c r="E1658" s="19" t="s">
        <v>11</v>
      </c>
      <c r="Q1658" s="19" t="s">
        <v>369</v>
      </c>
      <c r="R1658" s="19"/>
      <c r="T1658" s="78"/>
      <c r="U1658">
        <f>$K$1665*$I$1654*$G$1622*$E$1659*$C$1505*$A$1460*$M$1660*$O$1655*Q1659</f>
        <v>0</v>
      </c>
      <c r="W1658" s="42">
        <f>$K$1666+$I$1655+$G$1623+$E$1660+$C$1506+$A$1461+$M$1661+$O$1656+Q1660</f>
        <v>302636.42864820565</v>
      </c>
      <c r="X1658">
        <f>u_Healthy</f>
        <v>0</v>
      </c>
      <c r="Z1658" s="42">
        <f t="shared" si="194"/>
        <v>0</v>
      </c>
      <c r="AA1658" s="6">
        <f t="shared" si="193"/>
        <v>0</v>
      </c>
      <c r="AB1658" s="42">
        <f t="shared" si="196"/>
        <v>0</v>
      </c>
      <c r="AC1658" s="42">
        <f>U1658*(Q1660-c_CSG)</f>
        <v>0</v>
      </c>
    </row>
    <row r="1659" spans="5:29" x14ac:dyDescent="0.3">
      <c r="E1659" s="45">
        <f>LB2term_4</f>
        <v>0.82661996497373025</v>
      </c>
      <c r="M1659" s="19" t="s">
        <v>9</v>
      </c>
      <c r="Q1659" s="45">
        <f>1-Q1650-Q1653-Q1656</f>
        <v>0.60619800000000001</v>
      </c>
      <c r="R1659" s="45"/>
      <c r="T1659" s="78"/>
      <c r="V1659">
        <v>0</v>
      </c>
      <c r="Z1659" s="42">
        <f t="shared" si="194"/>
        <v>0</v>
      </c>
      <c r="AA1659" s="6">
        <f t="shared" si="193"/>
        <v>0</v>
      </c>
      <c r="AB1659" s="42">
        <f t="shared" si="196"/>
        <v>0</v>
      </c>
      <c r="AC1659" s="42">
        <f>U1659*(Q1661-c_CSG)</f>
        <v>0</v>
      </c>
    </row>
    <row r="1660" spans="5:29" x14ac:dyDescent="0.3">
      <c r="E1660" s="46"/>
      <c r="K1660" s="42"/>
      <c r="M1660" s="45">
        <f>S_term_2RDS_4</f>
        <v>0</v>
      </c>
      <c r="Q1660" s="46">
        <f>c_clinic_fu+c_CSG</f>
        <v>14403</v>
      </c>
      <c r="R1660" s="46"/>
      <c r="T1660" s="78"/>
      <c r="Z1660" s="42">
        <f t="shared" si="194"/>
        <v>0</v>
      </c>
      <c r="AA1660" s="6">
        <f t="shared" si="193"/>
        <v>0</v>
      </c>
      <c r="AB1660" s="42">
        <f t="shared" si="196"/>
        <v>0</v>
      </c>
      <c r="AC1660" s="42"/>
    </row>
    <row r="1661" spans="5:29" x14ac:dyDescent="0.3">
      <c r="K1661" s="42"/>
      <c r="M1661" s="46">
        <f>c_RDS</f>
        <v>30595.610148205637</v>
      </c>
      <c r="Q1661" s="42"/>
      <c r="R1661" s="42"/>
      <c r="T1661" s="78"/>
      <c r="Z1661" s="42">
        <f t="shared" si="194"/>
        <v>0</v>
      </c>
      <c r="AA1661" s="6">
        <f t="shared" si="193"/>
        <v>0</v>
      </c>
      <c r="AB1661" s="42">
        <f t="shared" si="196"/>
        <v>0</v>
      </c>
      <c r="AC1661" s="42">
        <f>U1661*(Q1663-c_CSG)</f>
        <v>0</v>
      </c>
    </row>
    <row r="1662" spans="5:29" x14ac:dyDescent="0.3">
      <c r="Q1662" s="19" t="s">
        <v>367</v>
      </c>
      <c r="R1662" s="19"/>
      <c r="T1662" s="78"/>
      <c r="U1662">
        <f>$K$1665*$I$1654*$G$1622*$E$1659*$C$1505*$A$1460*$M$1660*$O$1665*Q1663</f>
        <v>0</v>
      </c>
      <c r="W1662" s="42">
        <f>$K$1666+$I$1655+$G$1623+$E$1660+$C$1506+$A$1461+$M$1661+$O$1666+Q1664</f>
        <v>339826.67915060563</v>
      </c>
      <c r="X1662">
        <f>u_ChronicResp</f>
        <v>0.53465956747782661</v>
      </c>
      <c r="Z1662" s="42">
        <f t="shared" si="194"/>
        <v>0</v>
      </c>
      <c r="AA1662" s="6">
        <f t="shared" si="193"/>
        <v>0</v>
      </c>
      <c r="AB1662" s="42">
        <f t="shared" si="196"/>
        <v>0</v>
      </c>
      <c r="AC1662" s="42">
        <f>U1662*(Q1664-c_CSG)</f>
        <v>0</v>
      </c>
    </row>
    <row r="1663" spans="5:29" x14ac:dyDescent="0.3">
      <c r="Q1663" s="45">
        <f>RDS2CLD_4-(RDS2CLD_4*noHypo2CI_4)</f>
        <v>0.34905610687022898</v>
      </c>
      <c r="R1663" s="45"/>
      <c r="T1663" s="78"/>
      <c r="V1663">
        <v>0</v>
      </c>
      <c r="Z1663" s="42">
        <f t="shared" si="194"/>
        <v>0</v>
      </c>
      <c r="AA1663" s="6">
        <f t="shared" si="193"/>
        <v>0</v>
      </c>
      <c r="AB1663" s="42">
        <f t="shared" si="196"/>
        <v>0</v>
      </c>
      <c r="AC1663" s="42"/>
    </row>
    <row r="1664" spans="5:29" x14ac:dyDescent="0.3">
      <c r="K1664" s="19" t="s">
        <v>37</v>
      </c>
      <c r="M1664" s="42"/>
      <c r="O1664" s="19" t="s">
        <v>370</v>
      </c>
      <c r="Q1664" s="46">
        <f>c_lung+c_hosp_fu+c_CSG</f>
        <v>54529.510902399998</v>
      </c>
      <c r="R1664" s="46"/>
      <c r="T1664" s="78"/>
      <c r="Z1664" s="42">
        <f t="shared" si="194"/>
        <v>0</v>
      </c>
      <c r="AA1664" s="6">
        <f t="shared" si="193"/>
        <v>0</v>
      </c>
      <c r="AB1664" s="42">
        <f t="shared" si="196"/>
        <v>0</v>
      </c>
      <c r="AC1664" s="42">
        <f>U1664*(Q1666-c_CSG)</f>
        <v>0</v>
      </c>
    </row>
    <row r="1665" spans="11:29" x14ac:dyDescent="0.3">
      <c r="K1665" s="45">
        <f>AGA_term_2s_4</f>
        <v>0.99376666666666669</v>
      </c>
      <c r="O1665" s="45">
        <f>AGA_term_2normoglycaemia_4</f>
        <v>1</v>
      </c>
      <c r="Q1665" s="19" t="s">
        <v>226</v>
      </c>
      <c r="R1665" s="19"/>
      <c r="T1665" s="78"/>
      <c r="U1665">
        <f>$K$1665*$I$1654*$G$1622*$E$1659*$C$1505*$A$1460*$M$1660*$O$1665*Q1666</f>
        <v>0</v>
      </c>
      <c r="W1665" s="42">
        <f>$K$1666+$I$1655+$G$1623+$E$1660+$C$1506+$A$1461+$M$1661+$O$1666+Q1667</f>
        <v>301063.16824820562</v>
      </c>
      <c r="X1665">
        <f>u_CongnitiveImpairement</f>
        <v>17.270393127285455</v>
      </c>
      <c r="Z1665" s="42">
        <f t="shared" si="194"/>
        <v>0</v>
      </c>
      <c r="AA1665" s="6">
        <f t="shared" si="193"/>
        <v>0</v>
      </c>
      <c r="AB1665" s="42">
        <f t="shared" si="196"/>
        <v>0</v>
      </c>
      <c r="AC1665" s="42">
        <f>U1665*(Q1667-c_CSG)</f>
        <v>0</v>
      </c>
    </row>
    <row r="1666" spans="11:29" x14ac:dyDescent="0.3">
      <c r="K1666" s="46"/>
      <c r="O1666" s="46"/>
      <c r="Q1666" s="45">
        <f>noHypo2CI_4-(RDS2CLD_4*noHypo2CI_4)</f>
        <v>2.1141683406990762E-2</v>
      </c>
      <c r="R1666" s="45"/>
      <c r="T1666" s="78"/>
      <c r="V1666">
        <v>0</v>
      </c>
      <c r="Z1666" s="42">
        <f t="shared" si="194"/>
        <v>0</v>
      </c>
      <c r="AA1666" s="6">
        <f t="shared" si="193"/>
        <v>0</v>
      </c>
      <c r="AB1666" s="42">
        <f t="shared" si="196"/>
        <v>0</v>
      </c>
      <c r="AC1666" s="42"/>
    </row>
    <row r="1667" spans="11:29" x14ac:dyDescent="0.3">
      <c r="Q1667" s="46">
        <f>c_cog+c_hosp_fu+c_CSG</f>
        <v>15766</v>
      </c>
      <c r="R1667" s="46"/>
      <c r="T1667" s="78"/>
      <c r="Z1667" s="42">
        <f t="shared" si="194"/>
        <v>0</v>
      </c>
      <c r="AA1667" s="6">
        <f t="shared" si="193"/>
        <v>0</v>
      </c>
      <c r="AB1667" s="42">
        <f t="shared" si="196"/>
        <v>0</v>
      </c>
      <c r="AC1667" s="42">
        <f>U1667*(Q1669-c_CSG)</f>
        <v>0</v>
      </c>
    </row>
    <row r="1668" spans="11:29" x14ac:dyDescent="0.3">
      <c r="Q1668" s="19" t="s">
        <v>368</v>
      </c>
      <c r="R1668" s="19"/>
      <c r="T1668" s="78"/>
      <c r="U1668">
        <f>$K$1665*$I$1654*$G$1622*$E$1659*$C$1505*$A$1460*$M$1660*$O$1665*Q1669</f>
        <v>0</v>
      </c>
      <c r="W1668" s="42">
        <f>$K$1666+$I$1655+$G$1623+$E$1660+$C$1506+$A$1461+$M$1661+$O$1666+Q1670</f>
        <v>343645.67915060563</v>
      </c>
      <c r="X1668">
        <f>u_ChronicResp+u_CongnitiveImpairement</f>
        <v>17.805052694763283</v>
      </c>
      <c r="Z1668" s="42">
        <f t="shared" si="194"/>
        <v>0</v>
      </c>
      <c r="AA1668" s="6">
        <f t="shared" si="193"/>
        <v>0</v>
      </c>
      <c r="AB1668" s="42">
        <f t="shared" si="196"/>
        <v>0</v>
      </c>
      <c r="AC1668" s="42">
        <f>U1668*(Q1670-c_CSG)</f>
        <v>0</v>
      </c>
    </row>
    <row r="1669" spans="11:29" x14ac:dyDescent="0.3">
      <c r="Q1669" s="45">
        <f>RDS2CLD_4*noHypo2CI_4</f>
        <v>1.1943893129770991E-2</v>
      </c>
      <c r="R1669" s="45"/>
      <c r="T1669" s="78"/>
      <c r="V1669">
        <v>0</v>
      </c>
      <c r="Z1669" s="42">
        <f t="shared" si="194"/>
        <v>0</v>
      </c>
      <c r="AA1669" s="6">
        <f t="shared" si="193"/>
        <v>0</v>
      </c>
      <c r="AB1669" s="42">
        <f t="shared" si="196"/>
        <v>0</v>
      </c>
      <c r="AC1669" s="42"/>
    </row>
    <row r="1670" spans="11:29" x14ac:dyDescent="0.3">
      <c r="Q1670" s="46">
        <f>c_cog+c_lung+c_hosp_fu+c_CSG</f>
        <v>58348.510902399998</v>
      </c>
      <c r="R1670" s="46"/>
      <c r="T1670" s="78"/>
      <c r="Z1670" s="42">
        <f t="shared" si="194"/>
        <v>0</v>
      </c>
      <c r="AA1670" s="6">
        <f t="shared" si="193"/>
        <v>0</v>
      </c>
      <c r="AB1670" s="42">
        <f t="shared" si="196"/>
        <v>0</v>
      </c>
      <c r="AC1670" s="42">
        <f>U1670*(Q1672-c_CSG)</f>
        <v>0</v>
      </c>
    </row>
    <row r="1671" spans="11:29" x14ac:dyDescent="0.3">
      <c r="Q1671" s="19" t="s">
        <v>369</v>
      </c>
      <c r="R1671" s="19"/>
      <c r="T1671" s="78"/>
      <c r="U1671">
        <f>$K$1665*$I$1654*$G$1622*$E$1659*$C$1505*$A$1460*$M$1660*$O$1665*Q1672</f>
        <v>0</v>
      </c>
      <c r="W1671" s="42">
        <f>$K$1666+$I$1655+$G$1623+$E$1660+$C$1506+$A$1461+$M$1661+$O$1666+Q1673</f>
        <v>299700.16824820562</v>
      </c>
      <c r="X1671">
        <f>u_Healthy</f>
        <v>0</v>
      </c>
      <c r="Z1671" s="42">
        <f t="shared" si="194"/>
        <v>0</v>
      </c>
      <c r="AA1671" s="6">
        <f t="shared" si="193"/>
        <v>0</v>
      </c>
      <c r="AB1671" s="42">
        <f t="shared" si="196"/>
        <v>0</v>
      </c>
      <c r="AC1671" s="42">
        <f>U1671*(Q1673-c_CSG)</f>
        <v>0</v>
      </c>
    </row>
    <row r="1672" spans="11:29" x14ac:dyDescent="0.3">
      <c r="Q1672" s="45">
        <f>1-Q1669-Q1666-Q1663</f>
        <v>0.61785831659300938</v>
      </c>
      <c r="R1672" s="45"/>
      <c r="T1672" s="78"/>
      <c r="V1672">
        <v>0</v>
      </c>
      <c r="Z1672" s="42">
        <f t="shared" si="194"/>
        <v>0</v>
      </c>
      <c r="AA1672" s="6">
        <f t="shared" si="193"/>
        <v>0</v>
      </c>
      <c r="AB1672" s="42">
        <f t="shared" si="196"/>
        <v>0</v>
      </c>
      <c r="AC1672" s="42">
        <f>U1672*(Q1674-c_CSG)</f>
        <v>0</v>
      </c>
    </row>
    <row r="1673" spans="11:29" x14ac:dyDescent="0.3">
      <c r="Q1673" s="46">
        <f>c_clinic_fu+c_CSG</f>
        <v>14403</v>
      </c>
      <c r="R1673" s="46"/>
      <c r="T1673" s="78"/>
      <c r="Z1673" s="42">
        <f t="shared" si="194"/>
        <v>0</v>
      </c>
      <c r="AA1673" s="6">
        <f t="shared" si="193"/>
        <v>0</v>
      </c>
      <c r="AB1673" s="42">
        <f t="shared" si="196"/>
        <v>0</v>
      </c>
      <c r="AC1673" s="42"/>
    </row>
    <row r="1674" spans="11:29" x14ac:dyDescent="0.3">
      <c r="Q1674" s="42"/>
      <c r="R1674" s="42"/>
      <c r="T1674" s="78"/>
      <c r="Z1674" s="42">
        <f t="shared" si="194"/>
        <v>0</v>
      </c>
      <c r="AA1674" s="6">
        <f t="shared" si="193"/>
        <v>0</v>
      </c>
      <c r="AB1674" s="42">
        <f t="shared" si="196"/>
        <v>0</v>
      </c>
      <c r="AC1674" s="42">
        <f>U1674*(Q1676-c_CSG)</f>
        <v>0</v>
      </c>
    </row>
    <row r="1675" spans="11:29" x14ac:dyDescent="0.3">
      <c r="Q1675" s="19" t="s">
        <v>367</v>
      </c>
      <c r="R1675" s="19"/>
      <c r="T1675" s="78"/>
      <c r="U1675">
        <f>$K$1665*$I$1654*$G$1622*$E$1659*$C$1505*$A$1460*$M$1680*$O$1678*Q1676</f>
        <v>0</v>
      </c>
      <c r="W1675" s="42">
        <f>$K$1666+$I$1655+$G$1623+$E$1660+$C$1506+$A$1461+$M$1681+$O$1679+Q1677</f>
        <v>312167.32940239995</v>
      </c>
      <c r="X1675">
        <f>u_ChronicResp</f>
        <v>0.53465956747782661</v>
      </c>
      <c r="Z1675" s="42">
        <f t="shared" si="194"/>
        <v>0</v>
      </c>
      <c r="AA1675" s="6">
        <f t="shared" si="193"/>
        <v>0</v>
      </c>
      <c r="AB1675" s="42">
        <f t="shared" si="196"/>
        <v>0</v>
      </c>
      <c r="AC1675" s="42">
        <f>U1675*(Q1677-c_CSG)</f>
        <v>0</v>
      </c>
    </row>
    <row r="1676" spans="11:29" x14ac:dyDescent="0.3">
      <c r="Q1676" s="45">
        <f>RDS2CLD_4-(Hypo2CI_4*RDS2CLD_4)</f>
        <v>0.34246866666666664</v>
      </c>
      <c r="R1676" s="45"/>
      <c r="T1676" s="78"/>
      <c r="V1676">
        <v>0</v>
      </c>
      <c r="Z1676" s="42">
        <f t="shared" si="194"/>
        <v>0</v>
      </c>
      <c r="AA1676" s="6">
        <f t="shared" si="193"/>
        <v>0</v>
      </c>
      <c r="AB1676" s="42">
        <f t="shared" si="196"/>
        <v>0</v>
      </c>
      <c r="AC1676" s="42"/>
    </row>
    <row r="1677" spans="11:29" x14ac:dyDescent="0.3">
      <c r="O1677" s="19" t="s">
        <v>161</v>
      </c>
      <c r="Q1677" s="46">
        <f>c_lung+c_hosp_fu+c_CSG</f>
        <v>54529.510902399998</v>
      </c>
      <c r="R1677" s="46"/>
      <c r="T1677" s="78"/>
      <c r="Z1677" s="42">
        <f t="shared" si="194"/>
        <v>0</v>
      </c>
      <c r="AA1677" s="6">
        <f t="shared" ref="AA1677:AA1740" si="197">U1677*X1677</f>
        <v>0</v>
      </c>
      <c r="AB1677" s="42">
        <f t="shared" si="196"/>
        <v>0</v>
      </c>
      <c r="AC1677" s="42">
        <f>U1677*(Q1679-c_CSG)</f>
        <v>0</v>
      </c>
    </row>
    <row r="1678" spans="11:29" x14ac:dyDescent="0.3">
      <c r="O1678" s="45">
        <f>AGA_term_2hypoglycaemia_4</f>
        <v>0</v>
      </c>
      <c r="Q1678" s="19" t="s">
        <v>226</v>
      </c>
      <c r="R1678" s="19"/>
      <c r="T1678" s="78"/>
      <c r="U1678">
        <f>$K$1665*$I$1654*$G$1622*$E$1659*$C$1505*$A$1460*$M$1680*$O$1678*Q1679</f>
        <v>0</v>
      </c>
      <c r="W1678" s="42">
        <f>$K$1666+$I$1655+$G$1623+$E$1660+$C$1506+$A$1461+$M$1681+$O$1679+Q1680</f>
        <v>273403.81849999994</v>
      </c>
      <c r="X1678">
        <f>u_CongnitiveImpairement</f>
        <v>17.270393127285455</v>
      </c>
      <c r="Z1678" s="42">
        <f t="shared" si="194"/>
        <v>0</v>
      </c>
      <c r="AA1678" s="6">
        <f t="shared" si="197"/>
        <v>0</v>
      </c>
      <c r="AB1678" s="42">
        <f t="shared" ref="AB1678:AB1700" si="198">U1678*c_CSG</f>
        <v>0</v>
      </c>
      <c r="AC1678" s="42">
        <f>U1678*(Q1680-c_CSG)</f>
        <v>0</v>
      </c>
    </row>
    <row r="1679" spans="11:29" x14ac:dyDescent="0.3">
      <c r="M1679" s="19" t="s">
        <v>203</v>
      </c>
      <c r="O1679" s="46">
        <f>c_hypo</f>
        <v>2936.2604000000001</v>
      </c>
      <c r="Q1679" s="45">
        <f>Hypo2CI_4-(Hypo2CI_4*RDS2CLD_4)</f>
        <v>3.2801999999999998E-2</v>
      </c>
      <c r="R1679" s="45"/>
      <c r="T1679" s="78"/>
      <c r="V1679">
        <v>0</v>
      </c>
      <c r="Z1679" s="42">
        <f t="shared" ref="Z1679:Z1742" si="199">U1679*W1679</f>
        <v>0</v>
      </c>
      <c r="AA1679" s="6">
        <f t="shared" si="197"/>
        <v>0</v>
      </c>
      <c r="AB1679" s="42">
        <f t="shared" si="198"/>
        <v>0</v>
      </c>
      <c r="AC1679" s="42"/>
    </row>
    <row r="1680" spans="11:29" x14ac:dyDescent="0.3">
      <c r="M1680" s="45">
        <f>S_term_2noRDS_4</f>
        <v>1</v>
      </c>
      <c r="Q1680" s="46">
        <f>c_cog+c_hosp_fu+c_CSG</f>
        <v>15766</v>
      </c>
      <c r="R1680" s="46"/>
      <c r="T1680" s="78"/>
      <c r="Z1680" s="42">
        <f t="shared" si="199"/>
        <v>0</v>
      </c>
      <c r="AA1680" s="6">
        <f t="shared" si="197"/>
        <v>0</v>
      </c>
      <c r="AB1680" s="42">
        <f t="shared" si="198"/>
        <v>0</v>
      </c>
      <c r="AC1680" s="42">
        <f>U1680*(Q1682-c_CSG)</f>
        <v>0</v>
      </c>
    </row>
    <row r="1681" spans="13:29" x14ac:dyDescent="0.3">
      <c r="M1681" s="46"/>
      <c r="O1681" s="42"/>
      <c r="Q1681" s="19" t="s">
        <v>368</v>
      </c>
      <c r="R1681" s="19"/>
      <c r="T1681" s="78"/>
      <c r="U1681">
        <f>$K$1665*$I$1654*$G$1622*$E$1659*$C$1505*$A$1460*$M$1680*$O$1678*Q1682</f>
        <v>0</v>
      </c>
      <c r="W1681" s="42">
        <f>$K$1666+$I$1655+$G$1623+$E$1660+$C$1506+$A$1461+$M$1681+$O$1679+Q1683</f>
        <v>315986.32940239995</v>
      </c>
      <c r="X1681">
        <f>u_ChronicResp+u_CongnitiveImpairement</f>
        <v>17.805052694763283</v>
      </c>
      <c r="Z1681" s="42">
        <f t="shared" si="199"/>
        <v>0</v>
      </c>
      <c r="AA1681" s="6">
        <f t="shared" si="197"/>
        <v>0</v>
      </c>
      <c r="AB1681" s="42">
        <f t="shared" si="198"/>
        <v>0</v>
      </c>
      <c r="AC1681" s="42">
        <f>U1681*(Q1683-c_CSG)</f>
        <v>0</v>
      </c>
    </row>
    <row r="1682" spans="13:29" x14ac:dyDescent="0.3">
      <c r="M1682" s="42"/>
      <c r="Q1682" s="45">
        <f>Hypo2CI_4*RDS2CLD_4</f>
        <v>1.8531333333333334E-2</v>
      </c>
      <c r="R1682" s="45"/>
      <c r="T1682" s="78"/>
      <c r="V1682">
        <v>0</v>
      </c>
      <c r="Z1682" s="42">
        <f t="shared" si="199"/>
        <v>0</v>
      </c>
      <c r="AA1682" s="6">
        <f t="shared" si="197"/>
        <v>0</v>
      </c>
      <c r="AB1682" s="42">
        <f t="shared" si="198"/>
        <v>0</v>
      </c>
      <c r="AC1682" s="42"/>
    </row>
    <row r="1683" spans="13:29" x14ac:dyDescent="0.3">
      <c r="M1683" s="42"/>
      <c r="Q1683" s="46">
        <f>c_lung+c_cog+c_hosp_fu+c_CSG</f>
        <v>58348.510902399998</v>
      </c>
      <c r="R1683" s="46"/>
      <c r="T1683" s="78"/>
      <c r="Z1683" s="42">
        <f t="shared" si="199"/>
        <v>0</v>
      </c>
      <c r="AA1683" s="6">
        <f t="shared" si="197"/>
        <v>0</v>
      </c>
      <c r="AB1683" s="42">
        <f t="shared" si="198"/>
        <v>0</v>
      </c>
      <c r="AC1683" s="42">
        <f>U1683*(Q1685-c_CSG)</f>
        <v>0</v>
      </c>
    </row>
    <row r="1684" spans="13:29" x14ac:dyDescent="0.3">
      <c r="M1684" s="42"/>
      <c r="Q1684" s="19" t="s">
        <v>369</v>
      </c>
      <c r="R1684" s="19"/>
      <c r="T1684" s="78"/>
      <c r="U1684">
        <f>$K$1665*$I$1654*$G$1622*$E$1659*$C$1505*$A$1460*$M$1680*$O$1678*Q1685</f>
        <v>0</v>
      </c>
      <c r="W1684" s="42">
        <f>$K$1666+$I$1655+$G$1623+$E$1660+$C$1506+$A$1461+$M$1681+$O$1679+Q1686</f>
        <v>272040.81849999994</v>
      </c>
      <c r="X1684">
        <f>u_Healthy</f>
        <v>0</v>
      </c>
      <c r="Z1684" s="42">
        <f t="shared" si="199"/>
        <v>0</v>
      </c>
      <c r="AA1684" s="6">
        <f t="shared" si="197"/>
        <v>0</v>
      </c>
      <c r="AB1684" s="42">
        <f t="shared" si="198"/>
        <v>0</v>
      </c>
      <c r="AC1684" s="42">
        <f>U1684*(Q1686-c_CSG)</f>
        <v>0</v>
      </c>
    </row>
    <row r="1685" spans="13:29" x14ac:dyDescent="0.3">
      <c r="M1685" s="42"/>
      <c r="O1685" s="42"/>
      <c r="Q1685" s="45">
        <f>1-Q1676-Q1679-Q1682</f>
        <v>0.60619800000000001</v>
      </c>
      <c r="R1685" s="45"/>
      <c r="T1685" s="78"/>
      <c r="V1685">
        <v>0</v>
      </c>
      <c r="Z1685" s="42">
        <f t="shared" si="199"/>
        <v>0</v>
      </c>
      <c r="AA1685" s="6">
        <f t="shared" si="197"/>
        <v>0</v>
      </c>
      <c r="AB1685" s="42">
        <f t="shared" si="198"/>
        <v>0</v>
      </c>
      <c r="AC1685" s="42">
        <f>U1685*(Q1687-c_CSG)</f>
        <v>0</v>
      </c>
    </row>
    <row r="1686" spans="13:29" x14ac:dyDescent="0.3">
      <c r="M1686" s="42"/>
      <c r="Q1686" s="46">
        <f>c_clinic_fu+c_CSG</f>
        <v>14403</v>
      </c>
      <c r="R1686" s="46"/>
      <c r="S1686" s="94"/>
      <c r="T1686" s="78"/>
      <c r="Z1686" s="42">
        <f t="shared" si="199"/>
        <v>0</v>
      </c>
      <c r="AA1686" s="6">
        <f t="shared" si="197"/>
        <v>0</v>
      </c>
      <c r="AB1686" s="42">
        <f t="shared" si="198"/>
        <v>0</v>
      </c>
      <c r="AC1686" s="42"/>
    </row>
    <row r="1687" spans="13:29" x14ac:dyDescent="0.3">
      <c r="M1687" s="42"/>
      <c r="Q1687" s="42"/>
      <c r="R1687" s="42"/>
      <c r="T1687" s="78"/>
      <c r="Z1687" s="42">
        <f t="shared" si="199"/>
        <v>0</v>
      </c>
      <c r="AA1687" s="6">
        <f t="shared" si="197"/>
        <v>0</v>
      </c>
      <c r="AB1687" s="42">
        <f t="shared" si="198"/>
        <v>0</v>
      </c>
      <c r="AC1687" s="42">
        <f>U1687*(Q1689-c_CSG)</f>
        <v>0</v>
      </c>
    </row>
    <row r="1688" spans="13:29" x14ac:dyDescent="0.3">
      <c r="M1688" s="42"/>
      <c r="Q1688" s="19" t="s">
        <v>367</v>
      </c>
      <c r="R1688" s="19"/>
      <c r="T1688" s="78"/>
      <c r="U1688">
        <f>$K$1665*$I$1654*$G$1622*$E$1659*$C$1505*$A$1460*$M$1680*$O$1692*Q1689</f>
        <v>0</v>
      </c>
      <c r="W1688" s="42">
        <f>$K$1666+$I$1655+$G$1623+$E$1660+$C$1506+$A$1461+$M$1681+$O$1693+Q1690</f>
        <v>309231.06900239998</v>
      </c>
      <c r="X1688">
        <f>u_ChronicResp</f>
        <v>0.53465956747782661</v>
      </c>
      <c r="Z1688" s="42">
        <f t="shared" si="199"/>
        <v>0</v>
      </c>
      <c r="AA1688" s="6">
        <f t="shared" si="197"/>
        <v>0</v>
      </c>
      <c r="AB1688" s="42">
        <f t="shared" si="198"/>
        <v>0</v>
      </c>
      <c r="AC1688" s="42">
        <f>U1688*(Q1690-c_CSG)</f>
        <v>0</v>
      </c>
    </row>
    <row r="1689" spans="13:29" x14ac:dyDescent="0.3">
      <c r="M1689" s="42"/>
      <c r="Q1689" s="45">
        <f>RDS2CLD_4-(RDS2CLD_4*noHypo2CI_4)</f>
        <v>0.34905610687022898</v>
      </c>
      <c r="R1689" s="45"/>
      <c r="T1689" s="78"/>
      <c r="V1689">
        <v>0</v>
      </c>
      <c r="Z1689" s="42">
        <f t="shared" si="199"/>
        <v>0</v>
      </c>
      <c r="AA1689" s="6">
        <f t="shared" si="197"/>
        <v>0</v>
      </c>
      <c r="AB1689" s="42">
        <f t="shared" si="198"/>
        <v>0</v>
      </c>
      <c r="AC1689" s="42"/>
    </row>
    <row r="1690" spans="13:29" x14ac:dyDescent="0.3">
      <c r="M1690" s="42"/>
      <c r="Q1690" s="46">
        <f>c_lung+c_hosp_fu+c_CSG</f>
        <v>54529.510902399998</v>
      </c>
      <c r="R1690" s="46"/>
      <c r="T1690" s="78"/>
      <c r="Z1690" s="42">
        <f t="shared" si="199"/>
        <v>0</v>
      </c>
      <c r="AA1690" s="6">
        <f t="shared" si="197"/>
        <v>0</v>
      </c>
      <c r="AB1690" s="42">
        <f t="shared" si="198"/>
        <v>0</v>
      </c>
      <c r="AC1690" s="42">
        <f>U1690*(Q1692-c_CSG)</f>
        <v>0</v>
      </c>
    </row>
    <row r="1691" spans="13:29" x14ac:dyDescent="0.3">
      <c r="M1691" s="42"/>
      <c r="O1691" s="19" t="s">
        <v>370</v>
      </c>
      <c r="Q1691" s="19" t="s">
        <v>226</v>
      </c>
      <c r="R1691" s="19"/>
      <c r="T1691" s="78"/>
      <c r="U1691">
        <f>$K$1665*$I$1654*$G$1622*$E$1659*$C$1505*$A$1460*$M$1680*$O$1692*Q1692</f>
        <v>0</v>
      </c>
      <c r="W1691" s="42">
        <f>$K$1666+$I$1655+$G$1623+$E$1660+$C$1506+$A$1461+$M$1681+$O$1693+Q1693</f>
        <v>270467.55809999997</v>
      </c>
      <c r="X1691">
        <f>u_CongnitiveImpairement</f>
        <v>17.270393127285455</v>
      </c>
      <c r="Z1691" s="42">
        <f t="shared" si="199"/>
        <v>0</v>
      </c>
      <c r="AA1691" s="6">
        <f t="shared" si="197"/>
        <v>0</v>
      </c>
      <c r="AB1691" s="42">
        <f t="shared" si="198"/>
        <v>0</v>
      </c>
      <c r="AC1691" s="42">
        <f>U1691*(Q1693-c_CSG)</f>
        <v>0</v>
      </c>
    </row>
    <row r="1692" spans="13:29" x14ac:dyDescent="0.3">
      <c r="M1692" s="42"/>
      <c r="O1692" s="45">
        <f>AGA_term_2normoglycaemia_4</f>
        <v>1</v>
      </c>
      <c r="Q1692" s="45">
        <f>noHypo2CI_4-(RDS2CLD_4*noHypo2CI_4)</f>
        <v>2.1141683406990762E-2</v>
      </c>
      <c r="R1692" s="45"/>
      <c r="T1692" s="78"/>
      <c r="V1692">
        <v>0</v>
      </c>
      <c r="Z1692" s="42">
        <f t="shared" si="199"/>
        <v>0</v>
      </c>
      <c r="AA1692" s="6">
        <f t="shared" si="197"/>
        <v>0</v>
      </c>
      <c r="AB1692" s="42">
        <f t="shared" si="198"/>
        <v>0</v>
      </c>
      <c r="AC1692" s="42"/>
    </row>
    <row r="1693" spans="13:29" x14ac:dyDescent="0.3">
      <c r="M1693" s="42"/>
      <c r="O1693" s="46"/>
      <c r="Q1693" s="46">
        <f>c_cog+c_hosp_fu+c_CSG</f>
        <v>15766</v>
      </c>
      <c r="R1693" s="46"/>
      <c r="T1693" s="78"/>
      <c r="Z1693" s="42">
        <f t="shared" si="199"/>
        <v>0</v>
      </c>
      <c r="AA1693" s="6">
        <f t="shared" si="197"/>
        <v>0</v>
      </c>
      <c r="AB1693" s="42">
        <f t="shared" si="198"/>
        <v>0</v>
      </c>
      <c r="AC1693" s="42">
        <f>U1693*(Q1695-c_CSG)</f>
        <v>0</v>
      </c>
    </row>
    <row r="1694" spans="13:29" x14ac:dyDescent="0.3">
      <c r="M1694" s="42"/>
      <c r="Q1694" s="19" t="s">
        <v>368</v>
      </c>
      <c r="R1694" s="19"/>
      <c r="T1694" s="78"/>
      <c r="U1694">
        <f>$K$1665*$I$1654*$G$1622*$E$1659*$C$1505*$A$1460*$M$1680*$O$1692*Q1695</f>
        <v>0</v>
      </c>
      <c r="W1694" s="42">
        <f>$K$1666+$I$1655+$G$1623+$E$1660+$C$1506+$A$1461+$M$1681+$O$1693+Q1696</f>
        <v>313050.06900239998</v>
      </c>
      <c r="X1694">
        <f>u_ChronicResp+u_CongnitiveImpairement</f>
        <v>17.805052694763283</v>
      </c>
      <c r="Z1694" s="42">
        <f t="shared" si="199"/>
        <v>0</v>
      </c>
      <c r="AA1694" s="6">
        <f t="shared" si="197"/>
        <v>0</v>
      </c>
      <c r="AB1694" s="42">
        <f t="shared" si="198"/>
        <v>0</v>
      </c>
      <c r="AC1694" s="42">
        <f>U1694*(Q1696-c_CSG)</f>
        <v>0</v>
      </c>
    </row>
    <row r="1695" spans="13:29" x14ac:dyDescent="0.3">
      <c r="Q1695" s="45">
        <f>RDS2CLD_4*noHypo2CI_4</f>
        <v>1.1943893129770991E-2</v>
      </c>
      <c r="R1695" s="45"/>
      <c r="T1695" s="78"/>
      <c r="V1695">
        <v>0</v>
      </c>
      <c r="Z1695" s="42">
        <f t="shared" si="199"/>
        <v>0</v>
      </c>
      <c r="AA1695" s="6">
        <f t="shared" si="197"/>
        <v>0</v>
      </c>
      <c r="AB1695" s="42">
        <f t="shared" si="198"/>
        <v>0</v>
      </c>
      <c r="AC1695" s="42"/>
    </row>
    <row r="1696" spans="13:29" x14ac:dyDescent="0.3">
      <c r="Q1696" s="46">
        <f>c_cog+c_lung+c_hosp_fu+c_CSG</f>
        <v>58348.510902399998</v>
      </c>
      <c r="R1696" s="46"/>
      <c r="T1696" s="78"/>
      <c r="Z1696" s="42">
        <f t="shared" si="199"/>
        <v>0</v>
      </c>
      <c r="AA1696" s="6">
        <f t="shared" si="197"/>
        <v>0</v>
      </c>
      <c r="AB1696" s="42">
        <f t="shared" si="198"/>
        <v>0</v>
      </c>
      <c r="AC1696" s="42">
        <f>U1696*(Q1698-c_CSG)</f>
        <v>0</v>
      </c>
    </row>
    <row r="1697" spans="9:29" x14ac:dyDescent="0.3">
      <c r="M1697" s="42"/>
      <c r="Q1697" s="19" t="s">
        <v>369</v>
      </c>
      <c r="R1697" s="19"/>
      <c r="T1697" s="78"/>
      <c r="U1697">
        <f>$K$1665*$I$1654*$G$1622*$E$1659*$C$1505*$A$1460*$M$1680*$O$1692*Q1698</f>
        <v>0</v>
      </c>
      <c r="W1697" s="42">
        <f>$K$1666+$I$1655+$G$1623+$E$1660+$C$1506+$A$1461+$M$1681+$O$1693+Q1699</f>
        <v>269104.55809999997</v>
      </c>
      <c r="X1697">
        <f>u_Healthy</f>
        <v>0</v>
      </c>
      <c r="Z1697" s="42">
        <f t="shared" si="199"/>
        <v>0</v>
      </c>
      <c r="AA1697" s="6">
        <f t="shared" si="197"/>
        <v>0</v>
      </c>
      <c r="AB1697" s="42">
        <f t="shared" si="198"/>
        <v>0</v>
      </c>
      <c r="AC1697" s="42">
        <f>U1697*(Q1699-c_CSG)</f>
        <v>0</v>
      </c>
    </row>
    <row r="1698" spans="9:29" x14ac:dyDescent="0.3">
      <c r="M1698" s="42"/>
      <c r="Q1698" s="45">
        <f>1-Q1695-Q1692-Q1689</f>
        <v>0.61785831659300938</v>
      </c>
      <c r="R1698" s="45"/>
      <c r="T1698" s="78"/>
      <c r="V1698">
        <v>0</v>
      </c>
      <c r="Z1698" s="42">
        <f t="shared" si="199"/>
        <v>0</v>
      </c>
      <c r="AA1698" s="6">
        <f t="shared" si="197"/>
        <v>0</v>
      </c>
      <c r="AB1698" s="42">
        <f t="shared" si="198"/>
        <v>0</v>
      </c>
      <c r="AC1698" s="42">
        <f>U1698*(Q1700-c_CSG)</f>
        <v>0</v>
      </c>
    </row>
    <row r="1699" spans="9:29" x14ac:dyDescent="0.3">
      <c r="M1699" s="42"/>
      <c r="Q1699" s="46">
        <f>c_clinic_fu+c_CSG</f>
        <v>14403</v>
      </c>
      <c r="R1699" s="46"/>
      <c r="T1699" s="78"/>
      <c r="Z1699" s="42">
        <f t="shared" si="199"/>
        <v>0</v>
      </c>
      <c r="AA1699" s="6">
        <f t="shared" si="197"/>
        <v>0</v>
      </c>
      <c r="AB1699" s="42">
        <f t="shared" si="198"/>
        <v>0</v>
      </c>
      <c r="AC1699" s="42">
        <f>U1699*(Q1701-c_CSG)</f>
        <v>0</v>
      </c>
    </row>
    <row r="1700" spans="9:29" x14ac:dyDescent="0.3">
      <c r="M1700" s="42"/>
      <c r="Q1700" s="42"/>
      <c r="R1700" s="42"/>
      <c r="T1700" s="78"/>
      <c r="Z1700" s="42">
        <f t="shared" si="199"/>
        <v>0</v>
      </c>
      <c r="AA1700" s="6">
        <f t="shared" si="197"/>
        <v>0</v>
      </c>
      <c r="AB1700" s="42">
        <f t="shared" si="198"/>
        <v>0</v>
      </c>
      <c r="AC1700" s="42">
        <f>U1700*(Q1702-c_CSG)</f>
        <v>0</v>
      </c>
    </row>
    <row r="1701" spans="9:29" x14ac:dyDescent="0.3">
      <c r="K1701" s="19" t="s">
        <v>165</v>
      </c>
      <c r="L1701" s="19"/>
      <c r="M1701" s="19"/>
      <c r="N1701" s="19"/>
      <c r="O1701" s="19"/>
      <c r="P1701" s="19"/>
      <c r="Q1701" s="19"/>
      <c r="R1701" s="19"/>
      <c r="T1701" s="78"/>
      <c r="U1701">
        <f>$K$1702*$I$1710*$G$1731*$E$1659*$C$1505*$A$1460</f>
        <v>2.2128110844283125E-4</v>
      </c>
      <c r="V1701">
        <v>2.2128110844283128E-4</v>
      </c>
      <c r="W1701" s="42">
        <f>$K$1703+$I$1711+$G$1732+$E$1660+$C$1506+$A$1461</f>
        <v>3047.2</v>
      </c>
      <c r="X1701">
        <f>u_Death</f>
        <v>19.181538114427529</v>
      </c>
      <c r="Z1701" s="42">
        <f t="shared" si="199"/>
        <v>0.67428779364699531</v>
      </c>
      <c r="AA1701" s="6">
        <f t="shared" si="197"/>
        <v>4.2445120155989386E-3</v>
      </c>
      <c r="AB1701" s="42"/>
      <c r="AC1701" s="42"/>
    </row>
    <row r="1702" spans="9:29" x14ac:dyDescent="0.3">
      <c r="K1702" s="45">
        <f>SGA_term_2d_4</f>
        <v>1.3200000000000002E-2</v>
      </c>
      <c r="T1702" s="78"/>
      <c r="Z1702" s="42">
        <f t="shared" si="199"/>
        <v>0</v>
      </c>
      <c r="AA1702" s="6">
        <f t="shared" si="197"/>
        <v>0</v>
      </c>
      <c r="AB1702" s="42">
        <f t="shared" ref="AB1702:AB1733" si="200">U1702*c_CSG</f>
        <v>0</v>
      </c>
      <c r="AC1702" s="42">
        <f>U1702*(Q1704-c_CSG)</f>
        <v>0</v>
      </c>
    </row>
    <row r="1703" spans="9:29" x14ac:dyDescent="0.3">
      <c r="K1703" s="46">
        <f>c_SB</f>
        <v>1792</v>
      </c>
      <c r="T1703" s="78"/>
      <c r="Z1703" s="42">
        <f t="shared" si="199"/>
        <v>0</v>
      </c>
      <c r="AA1703" s="6">
        <f t="shared" si="197"/>
        <v>0</v>
      </c>
      <c r="AB1703" s="42">
        <f t="shared" si="200"/>
        <v>0</v>
      </c>
      <c r="AC1703" s="42"/>
    </row>
    <row r="1704" spans="9:29" x14ac:dyDescent="0.3">
      <c r="T1704" s="78"/>
      <c r="Z1704" s="42">
        <f t="shared" si="199"/>
        <v>0</v>
      </c>
      <c r="AA1704" s="6">
        <f t="shared" si="197"/>
        <v>0</v>
      </c>
      <c r="AB1704" s="42">
        <f t="shared" si="200"/>
        <v>0</v>
      </c>
      <c r="AC1704" s="42">
        <f>U1704*(Q1706-c_CSG)</f>
        <v>0</v>
      </c>
    </row>
    <row r="1705" spans="9:29" x14ac:dyDescent="0.3">
      <c r="Q1705" s="19" t="s">
        <v>367</v>
      </c>
      <c r="R1705" s="19"/>
      <c r="T1705" s="78"/>
      <c r="U1705">
        <f>$K$1721*$I$1710*$G$1731*$E$1659*$C$1505*$A$1460*$M$1716*$O$1711*Q1706</f>
        <v>0</v>
      </c>
      <c r="W1705" s="42">
        <f>$K$1722+$I$1711+$G$1732+$E$1660+$C$1506+$A$1461+$M$1717+$O$1712+Q1707</f>
        <v>89316.581450605634</v>
      </c>
      <c r="X1705">
        <f>u_ChronicResp</f>
        <v>0.53465956747782661</v>
      </c>
      <c r="Z1705" s="42">
        <f t="shared" si="199"/>
        <v>0</v>
      </c>
      <c r="AA1705" s="6">
        <f t="shared" si="197"/>
        <v>0</v>
      </c>
      <c r="AB1705" s="42">
        <f t="shared" si="200"/>
        <v>0</v>
      </c>
      <c r="AC1705" s="42">
        <f>U1705*(Q1707-c_CSG)</f>
        <v>0</v>
      </c>
    </row>
    <row r="1706" spans="9:29" x14ac:dyDescent="0.3">
      <c r="Q1706" s="45">
        <f>RDS2CLD_4-(Hypo2CI_4*RDS2CLD_4)</f>
        <v>0.34246866666666664</v>
      </c>
      <c r="R1706" s="45"/>
      <c r="T1706" s="78"/>
      <c r="V1706">
        <v>0</v>
      </c>
      <c r="Z1706" s="42">
        <f t="shared" si="199"/>
        <v>0</v>
      </c>
      <c r="AA1706" s="6">
        <f t="shared" si="197"/>
        <v>0</v>
      </c>
      <c r="AB1706" s="42">
        <f t="shared" si="200"/>
        <v>0</v>
      </c>
      <c r="AC1706" s="42"/>
    </row>
    <row r="1707" spans="9:29" x14ac:dyDescent="0.3">
      <c r="Q1707" s="46">
        <f>c_lung+c_hosp_fu+c_CSG</f>
        <v>54529.510902399998</v>
      </c>
      <c r="R1707" s="46"/>
      <c r="T1707" s="78"/>
      <c r="Z1707" s="42">
        <f t="shared" si="199"/>
        <v>0</v>
      </c>
      <c r="AA1707" s="6">
        <f t="shared" si="197"/>
        <v>0</v>
      </c>
      <c r="AB1707" s="42">
        <f t="shared" si="200"/>
        <v>0</v>
      </c>
      <c r="AC1707" s="42">
        <f>U1707*(Q1709-c_CSG)</f>
        <v>0</v>
      </c>
    </row>
    <row r="1708" spans="9:29" x14ac:dyDescent="0.3">
      <c r="Q1708" s="19" t="s">
        <v>226</v>
      </c>
      <c r="R1708" s="19"/>
      <c r="T1708" s="78"/>
      <c r="U1708">
        <f>$K$1721*$I$1710*$G$1731*$E$1659*$C$1505*$A$1460*$M$1716*$O$1711*Q1709</f>
        <v>0</v>
      </c>
      <c r="W1708" s="42">
        <f>$K$1722+$I$1711+$G$1732+$E$1660+$C$1506+$A$1461+$M$1717+$O$1712+Q1710</f>
        <v>50553.070548205636</v>
      </c>
      <c r="X1708">
        <f>u_CongnitiveImpairement</f>
        <v>17.270393127285455</v>
      </c>
      <c r="Z1708" s="42">
        <f t="shared" si="199"/>
        <v>0</v>
      </c>
      <c r="AA1708" s="6">
        <f t="shared" si="197"/>
        <v>0</v>
      </c>
      <c r="AB1708" s="42">
        <f t="shared" si="200"/>
        <v>0</v>
      </c>
      <c r="AC1708" s="42">
        <f>U1708*(Q1710-c_CSG)</f>
        <v>0</v>
      </c>
    </row>
    <row r="1709" spans="9:29" x14ac:dyDescent="0.3">
      <c r="I1709" s="19" t="s">
        <v>164</v>
      </c>
      <c r="Q1709" s="45">
        <f>Hypo2CI_4-(Hypo2CI_4*RDS2CLD_4)</f>
        <v>3.2801999999999998E-2</v>
      </c>
      <c r="R1709" s="45"/>
      <c r="T1709" s="78"/>
      <c r="V1709">
        <v>0</v>
      </c>
      <c r="Z1709" s="42">
        <f t="shared" si="199"/>
        <v>0</v>
      </c>
      <c r="AA1709" s="6">
        <f t="shared" si="197"/>
        <v>0</v>
      </c>
      <c r="AB1709" s="42">
        <f t="shared" si="200"/>
        <v>0</v>
      </c>
      <c r="AC1709" s="42"/>
    </row>
    <row r="1710" spans="9:29" x14ac:dyDescent="0.3">
      <c r="I1710" s="45">
        <f>NBW_term_2SGA_4</f>
        <v>0.18995639845107781</v>
      </c>
      <c r="O1710" s="19" t="s">
        <v>161</v>
      </c>
      <c r="Q1710" s="46">
        <f>c_cog+c_hosp_fu+c_CSG</f>
        <v>15766</v>
      </c>
      <c r="R1710" s="46"/>
      <c r="T1710" s="78"/>
      <c r="Z1710" s="42">
        <f t="shared" si="199"/>
        <v>0</v>
      </c>
      <c r="AA1710" s="6">
        <f t="shared" si="197"/>
        <v>0</v>
      </c>
      <c r="AB1710" s="42">
        <f t="shared" si="200"/>
        <v>0</v>
      </c>
      <c r="AC1710" s="42">
        <f>U1710*(Q1712-c_CSG)</f>
        <v>0</v>
      </c>
    </row>
    <row r="1711" spans="9:29" x14ac:dyDescent="0.3">
      <c r="I1711" s="46"/>
      <c r="O1711" s="45">
        <f>SGA_term_2hypoglycaemia_4</f>
        <v>0.26</v>
      </c>
      <c r="Q1711" s="19" t="s">
        <v>368</v>
      </c>
      <c r="R1711" s="19"/>
      <c r="T1711" s="78"/>
      <c r="U1711">
        <f>$K$1721*$I$1710*$G$1731*$E$1659*$C$1505*$A$1460*$M$1716*$O$1711*Q1712</f>
        <v>0</v>
      </c>
      <c r="W1711" s="42">
        <f>$K$1722+$I$1711+$G$1732+$E$1660+$C$1506+$A$1461+$M$1717+$O$1712+Q1713</f>
        <v>93135.581450605634</v>
      </c>
      <c r="X1711">
        <f>u_ChronicResp+u_CongnitiveImpairement</f>
        <v>17.805052694763283</v>
      </c>
      <c r="Z1711" s="42">
        <f t="shared" si="199"/>
        <v>0</v>
      </c>
      <c r="AA1711" s="6">
        <f t="shared" si="197"/>
        <v>0</v>
      </c>
      <c r="AB1711" s="42">
        <f t="shared" si="200"/>
        <v>0</v>
      </c>
      <c r="AC1711" s="42">
        <f>U1711*(Q1713-c_CSG)</f>
        <v>0</v>
      </c>
    </row>
    <row r="1712" spans="9:29" x14ac:dyDescent="0.3">
      <c r="O1712" s="46">
        <f>c_hypo</f>
        <v>2936.2604000000001</v>
      </c>
      <c r="Q1712" s="45">
        <f>Hypo2CI_4*RDS2CLD_4</f>
        <v>1.8531333333333334E-2</v>
      </c>
      <c r="R1712" s="45"/>
      <c r="T1712" s="78"/>
      <c r="V1712">
        <v>0</v>
      </c>
      <c r="Z1712" s="42">
        <f t="shared" si="199"/>
        <v>0</v>
      </c>
      <c r="AA1712" s="6">
        <f t="shared" si="197"/>
        <v>0</v>
      </c>
      <c r="AB1712" s="42">
        <f t="shared" si="200"/>
        <v>0</v>
      </c>
      <c r="AC1712" s="42"/>
    </row>
    <row r="1713" spans="5:29" x14ac:dyDescent="0.3">
      <c r="M1713" s="42"/>
      <c r="Q1713" s="46">
        <f>c_lung+c_cog+c_hosp_fu+c_CSG</f>
        <v>58348.510902399998</v>
      </c>
      <c r="R1713" s="46"/>
      <c r="T1713" s="78"/>
      <c r="Z1713" s="42">
        <f t="shared" si="199"/>
        <v>0</v>
      </c>
      <c r="AA1713" s="6">
        <f t="shared" si="197"/>
        <v>0</v>
      </c>
      <c r="AB1713" s="42">
        <f t="shared" si="200"/>
        <v>0</v>
      </c>
      <c r="AC1713" s="42">
        <f>U1713*(Q1715-c_CSG)</f>
        <v>0</v>
      </c>
    </row>
    <row r="1714" spans="5:29" x14ac:dyDescent="0.3">
      <c r="Q1714" s="19" t="s">
        <v>369</v>
      </c>
      <c r="R1714" s="19"/>
      <c r="T1714" s="78"/>
      <c r="U1714">
        <f>$K$1721*$I$1710*$G$1731*$E$1659*$C$1505*$A$1460*$M$1716*$O$1711*Q1715</f>
        <v>0</v>
      </c>
      <c r="W1714" s="42">
        <f>$K$1722+$I$1711+$G$1732+$E$1660+$C$1506+$A$1461+$M$1717+$O$1712+Q1716</f>
        <v>49190.070548205636</v>
      </c>
      <c r="X1714">
        <f>u_Healthy</f>
        <v>0</v>
      </c>
      <c r="Z1714" s="42">
        <f t="shared" si="199"/>
        <v>0</v>
      </c>
      <c r="AA1714" s="6">
        <f t="shared" si="197"/>
        <v>0</v>
      </c>
      <c r="AB1714" s="42">
        <f t="shared" si="200"/>
        <v>0</v>
      </c>
      <c r="AC1714" s="42">
        <f>U1714*(Q1716-c_CSG)</f>
        <v>0</v>
      </c>
    </row>
    <row r="1715" spans="5:29" x14ac:dyDescent="0.3">
      <c r="E1715" s="42"/>
      <c r="M1715" s="19" t="s">
        <v>9</v>
      </c>
      <c r="Q1715" s="45">
        <f>1-Q1706-Q1709-Q1712</f>
        <v>0.60619800000000001</v>
      </c>
      <c r="R1715" s="45"/>
      <c r="T1715" s="78"/>
      <c r="V1715">
        <v>0</v>
      </c>
      <c r="Z1715" s="42">
        <f t="shared" si="199"/>
        <v>0</v>
      </c>
      <c r="AA1715" s="6">
        <f t="shared" si="197"/>
        <v>0</v>
      </c>
      <c r="AB1715" s="42">
        <f t="shared" si="200"/>
        <v>0</v>
      </c>
      <c r="AC1715" s="42">
        <f>U1715*(Q1717-c_CSG)</f>
        <v>0</v>
      </c>
    </row>
    <row r="1716" spans="5:29" x14ac:dyDescent="0.3">
      <c r="K1716" s="42"/>
      <c r="M1716" s="45">
        <f>S_term_2RDS_4</f>
        <v>0</v>
      </c>
      <c r="Q1716" s="46">
        <f>c_clinic_fu+c_CSG</f>
        <v>14403</v>
      </c>
      <c r="R1716" s="46"/>
      <c r="T1716" s="78"/>
      <c r="Z1716" s="42">
        <f t="shared" si="199"/>
        <v>0</v>
      </c>
      <c r="AA1716" s="6">
        <f t="shared" si="197"/>
        <v>0</v>
      </c>
      <c r="AB1716" s="42">
        <f t="shared" si="200"/>
        <v>0</v>
      </c>
      <c r="AC1716" s="42"/>
    </row>
    <row r="1717" spans="5:29" x14ac:dyDescent="0.3">
      <c r="K1717" s="42"/>
      <c r="M1717" s="46">
        <f>c_RDS</f>
        <v>30595.610148205637</v>
      </c>
      <c r="Q1717" s="42"/>
      <c r="R1717" s="42"/>
      <c r="T1717" s="78"/>
      <c r="Z1717" s="42">
        <f t="shared" si="199"/>
        <v>0</v>
      </c>
      <c r="AA1717" s="6">
        <f t="shared" si="197"/>
        <v>0</v>
      </c>
      <c r="AB1717" s="42">
        <f t="shared" si="200"/>
        <v>0</v>
      </c>
      <c r="AC1717" s="42">
        <f>U1717*(Q1719-c_CSG)</f>
        <v>0</v>
      </c>
    </row>
    <row r="1718" spans="5:29" x14ac:dyDescent="0.3">
      <c r="Q1718" s="19" t="s">
        <v>367</v>
      </c>
      <c r="R1718" s="19"/>
      <c r="T1718" s="78"/>
      <c r="U1718">
        <f>$K$1721*$I$1710*$G$1731*$E$1659*$C$1505*$A$1460*$M$1716*$O$1721*Q1719</f>
        <v>0</v>
      </c>
      <c r="W1718" s="42">
        <f>$K$1722+$I$1711+$G$1732+$E$1660+$C$1506+$A$1461+$M$1717+$O$1722+Q1720</f>
        <v>86380.321050605635</v>
      </c>
      <c r="X1718">
        <f>u_ChronicResp</f>
        <v>0.53465956747782661</v>
      </c>
      <c r="Z1718" s="42">
        <f t="shared" si="199"/>
        <v>0</v>
      </c>
      <c r="AA1718" s="6">
        <f t="shared" si="197"/>
        <v>0</v>
      </c>
      <c r="AB1718" s="42">
        <f t="shared" si="200"/>
        <v>0</v>
      </c>
      <c r="AC1718" s="42">
        <f>U1718*(Q1720-c_CSG)</f>
        <v>0</v>
      </c>
    </row>
    <row r="1719" spans="5:29" x14ac:dyDescent="0.3">
      <c r="Q1719" s="45">
        <f>RDS2CLD_4-(RDS2CLD_4*noHypo2CI_4)</f>
        <v>0.34905610687022898</v>
      </c>
      <c r="R1719" s="45"/>
      <c r="T1719" s="78"/>
      <c r="V1719">
        <v>0</v>
      </c>
      <c r="Z1719" s="42">
        <f t="shared" si="199"/>
        <v>0</v>
      </c>
      <c r="AA1719" s="6">
        <f t="shared" si="197"/>
        <v>0</v>
      </c>
      <c r="AB1719" s="42">
        <f t="shared" si="200"/>
        <v>0</v>
      </c>
      <c r="AC1719" s="42"/>
    </row>
    <row r="1720" spans="5:29" x14ac:dyDescent="0.3">
      <c r="K1720" s="19" t="s">
        <v>37</v>
      </c>
      <c r="M1720" s="42"/>
      <c r="O1720" s="19" t="s">
        <v>370</v>
      </c>
      <c r="Q1720" s="46">
        <f>c_lung+c_hosp_fu+c_CSG</f>
        <v>54529.510902399998</v>
      </c>
      <c r="R1720" s="46"/>
      <c r="T1720" s="78"/>
      <c r="Z1720" s="42">
        <f t="shared" si="199"/>
        <v>0</v>
      </c>
      <c r="AA1720" s="6">
        <f t="shared" si="197"/>
        <v>0</v>
      </c>
      <c r="AB1720" s="42">
        <f t="shared" si="200"/>
        <v>0</v>
      </c>
      <c r="AC1720" s="42">
        <f>U1720*(Q1722-c_CSG)</f>
        <v>0</v>
      </c>
    </row>
    <row r="1721" spans="5:29" x14ac:dyDescent="0.3">
      <c r="K1721" s="45">
        <f>SGA_term_2s_4</f>
        <v>0.98680000000000001</v>
      </c>
      <c r="O1721" s="45">
        <f>SGA_term_2normoglycaemia_4</f>
        <v>0.74</v>
      </c>
      <c r="Q1721" s="19" t="s">
        <v>226</v>
      </c>
      <c r="R1721" s="19"/>
      <c r="T1721" s="78"/>
      <c r="U1721">
        <f>$K$1721*$I$1710*$G$1731*$E$1659*$C$1505*$A$1460*$M$1716*$O$1721*Q1722</f>
        <v>0</v>
      </c>
      <c r="W1721" s="42">
        <f>$K$1722+$I$1711+$G$1732+$E$1660+$C$1506+$A$1461+$M$1717+$O$1722+Q1723</f>
        <v>47616.810148205637</v>
      </c>
      <c r="X1721">
        <f>u_CongnitiveImpairement</f>
        <v>17.270393127285455</v>
      </c>
      <c r="Z1721" s="42">
        <f t="shared" si="199"/>
        <v>0</v>
      </c>
      <c r="AA1721" s="6">
        <f t="shared" si="197"/>
        <v>0</v>
      </c>
      <c r="AB1721" s="42">
        <f t="shared" si="200"/>
        <v>0</v>
      </c>
      <c r="AC1721" s="42">
        <f>U1721*(Q1723-c_CSG)</f>
        <v>0</v>
      </c>
    </row>
    <row r="1722" spans="5:29" x14ac:dyDescent="0.3">
      <c r="K1722" s="46"/>
      <c r="O1722" s="46"/>
      <c r="Q1722" s="45">
        <f>noHypo2CI_4-(RDS2CLD_4*noHypo2CI_4)</f>
        <v>2.1141683406990762E-2</v>
      </c>
      <c r="R1722" s="45"/>
      <c r="T1722" s="78"/>
      <c r="V1722">
        <v>0</v>
      </c>
      <c r="Z1722" s="42">
        <f t="shared" si="199"/>
        <v>0</v>
      </c>
      <c r="AA1722" s="6">
        <f t="shared" si="197"/>
        <v>0</v>
      </c>
      <c r="AB1722" s="42">
        <f t="shared" si="200"/>
        <v>0</v>
      </c>
      <c r="AC1722" s="42"/>
    </row>
    <row r="1723" spans="5:29" x14ac:dyDescent="0.3">
      <c r="Q1723" s="46">
        <f>c_cog+c_hosp_fu+c_CSG</f>
        <v>15766</v>
      </c>
      <c r="R1723" s="46"/>
      <c r="T1723" s="78"/>
      <c r="Z1723" s="42">
        <f t="shared" si="199"/>
        <v>0</v>
      </c>
      <c r="AA1723" s="6">
        <f t="shared" si="197"/>
        <v>0</v>
      </c>
      <c r="AB1723" s="42">
        <f t="shared" si="200"/>
        <v>0</v>
      </c>
      <c r="AC1723" s="42">
        <f>U1723*(Q1725-c_CSG)</f>
        <v>0</v>
      </c>
    </row>
    <row r="1724" spans="5:29" x14ac:dyDescent="0.3">
      <c r="Q1724" s="19" t="s">
        <v>368</v>
      </c>
      <c r="R1724" s="19"/>
      <c r="T1724" s="78"/>
      <c r="U1724">
        <f>$K$1721*$I$1710*$G$1731*$E$1659*$C$1505*$A$1460*$M$1716*$O$1721*Q1725</f>
        <v>0</v>
      </c>
      <c r="W1724" s="42">
        <f>$K$1722+$I$1711+$G$1732+$E$1660+$C$1506+$A$1461+$M$1717+$O$1722+Q1726</f>
        <v>90199.321050605635</v>
      </c>
      <c r="X1724">
        <f>u_ChronicResp+u_CongnitiveImpairement</f>
        <v>17.805052694763283</v>
      </c>
      <c r="Z1724" s="42">
        <f t="shared" si="199"/>
        <v>0</v>
      </c>
      <c r="AA1724" s="6">
        <f t="shared" si="197"/>
        <v>0</v>
      </c>
      <c r="AB1724" s="42">
        <f t="shared" si="200"/>
        <v>0</v>
      </c>
      <c r="AC1724" s="42">
        <f>U1724*(Q1726-c_CSG)</f>
        <v>0</v>
      </c>
    </row>
    <row r="1725" spans="5:29" x14ac:dyDescent="0.3">
      <c r="Q1725" s="45">
        <f>RDS2CLD_4*noHypo2CI_4</f>
        <v>1.1943893129770991E-2</v>
      </c>
      <c r="R1725" s="45"/>
      <c r="T1725" s="78"/>
      <c r="V1725">
        <v>0</v>
      </c>
      <c r="Z1725" s="42">
        <f t="shared" si="199"/>
        <v>0</v>
      </c>
      <c r="AA1725" s="6">
        <f t="shared" si="197"/>
        <v>0</v>
      </c>
      <c r="AB1725" s="42">
        <f t="shared" si="200"/>
        <v>0</v>
      </c>
      <c r="AC1725" s="42"/>
    </row>
    <row r="1726" spans="5:29" x14ac:dyDescent="0.3">
      <c r="Q1726" s="46">
        <f>c_cog+c_lung+c_hosp_fu+c_CSG</f>
        <v>58348.510902399998</v>
      </c>
      <c r="R1726" s="46"/>
      <c r="T1726" s="78"/>
      <c r="Z1726" s="42">
        <f t="shared" si="199"/>
        <v>0</v>
      </c>
      <c r="AA1726" s="6">
        <f t="shared" si="197"/>
        <v>0</v>
      </c>
      <c r="AB1726" s="42">
        <f t="shared" si="200"/>
        <v>0</v>
      </c>
      <c r="AC1726" s="42">
        <f>U1726*(Q1728-c_CSG)</f>
        <v>0</v>
      </c>
    </row>
    <row r="1727" spans="5:29" x14ac:dyDescent="0.3">
      <c r="Q1727" s="19" t="s">
        <v>369</v>
      </c>
      <c r="R1727" s="19"/>
      <c r="T1727" s="78"/>
      <c r="U1727">
        <f>$K$1721*$I$1710*$G$1731*$E$1659*$C$1505*$A$1460*$M$1716*$O$1721*Q1728</f>
        <v>0</v>
      </c>
      <c r="W1727" s="42">
        <f>$K$1722+$I$1711+$G$1732+$E$1660+$C$1506+$A$1461+$M$1717+$O$1722+Q1729</f>
        <v>46253.810148205637</v>
      </c>
      <c r="X1727">
        <f>u_Healthy</f>
        <v>0</v>
      </c>
      <c r="Z1727" s="42">
        <f t="shared" si="199"/>
        <v>0</v>
      </c>
      <c r="AA1727" s="6">
        <f t="shared" si="197"/>
        <v>0</v>
      </c>
      <c r="AB1727" s="42">
        <f t="shared" si="200"/>
        <v>0</v>
      </c>
      <c r="AC1727" s="42">
        <f>U1727*(Q1729-c_CSG)</f>
        <v>0</v>
      </c>
    </row>
    <row r="1728" spans="5:29" x14ac:dyDescent="0.3">
      <c r="Q1728" s="45">
        <f>1-Q1725-Q1722-Q1719</f>
        <v>0.61785831659300938</v>
      </c>
      <c r="R1728" s="45"/>
      <c r="T1728" s="78"/>
      <c r="V1728">
        <v>0</v>
      </c>
      <c r="Z1728" s="42">
        <f t="shared" si="199"/>
        <v>0</v>
      </c>
      <c r="AA1728" s="6">
        <f t="shared" si="197"/>
        <v>0</v>
      </c>
      <c r="AB1728" s="42">
        <f t="shared" si="200"/>
        <v>0</v>
      </c>
      <c r="AC1728" s="42">
        <f>U1728*(Q1730-c_CSG)</f>
        <v>0</v>
      </c>
    </row>
    <row r="1729" spans="1:29" x14ac:dyDescent="0.3">
      <c r="Q1729" s="46">
        <f>c_clinic_fu+c_CSG</f>
        <v>14403</v>
      </c>
      <c r="R1729" s="46"/>
      <c r="T1729" s="78"/>
      <c r="Z1729" s="42">
        <f t="shared" si="199"/>
        <v>0</v>
      </c>
      <c r="AA1729" s="6">
        <f t="shared" si="197"/>
        <v>0</v>
      </c>
      <c r="AB1729" s="42">
        <f t="shared" si="200"/>
        <v>0</v>
      </c>
      <c r="AC1729" s="42"/>
    </row>
    <row r="1730" spans="1:29" x14ac:dyDescent="0.3">
      <c r="G1730" s="19" t="s">
        <v>371</v>
      </c>
      <c r="Q1730" s="42"/>
      <c r="R1730" s="42"/>
      <c r="T1730" s="78"/>
      <c r="Z1730" s="42">
        <f t="shared" si="199"/>
        <v>0</v>
      </c>
      <c r="AA1730" s="6">
        <f t="shared" si="197"/>
        <v>0</v>
      </c>
      <c r="AB1730" s="42">
        <f t="shared" si="200"/>
        <v>0</v>
      </c>
      <c r="AC1730" s="42">
        <f>U1730*(Q1732-c_CSG)</f>
        <v>0</v>
      </c>
    </row>
    <row r="1731" spans="1:29" x14ac:dyDescent="0.3">
      <c r="G1731" s="45">
        <f>Term2NBW_4</f>
        <v>0.65230769230769226</v>
      </c>
      <c r="Q1731" s="19" t="s">
        <v>367</v>
      </c>
      <c r="R1731" s="19"/>
      <c r="T1731" s="78"/>
      <c r="U1731">
        <f>$K$1721*$I$1710*$G$1731*$E$1659*$C$1505*$A$1460*$M$1736*$O$1734*Q1732</f>
        <v>1.4729694475272026E-3</v>
      </c>
      <c r="V1731">
        <v>1.4729694475272028E-3</v>
      </c>
      <c r="W1731" s="42">
        <f>$K$1722+$I$1711+$G$1732+$E$1660+$C$1506+$A$1461+$M$1737+$O$1735+Q1733</f>
        <v>58720.971302399994</v>
      </c>
      <c r="X1731">
        <f>u_ChronicResp</f>
        <v>0.53465956747782661</v>
      </c>
      <c r="Z1731" s="42">
        <f t="shared" si="199"/>
        <v>86.494196657556842</v>
      </c>
      <c r="AA1731" s="6">
        <f t="shared" si="197"/>
        <v>7.8753720772294729E-4</v>
      </c>
      <c r="AB1731" s="42">
        <f t="shared" si="200"/>
        <v>16.261582700700316</v>
      </c>
      <c r="AC1731" s="42">
        <f>U1731*(Q1733-c_CSG)</f>
        <v>64.058720847136371</v>
      </c>
    </row>
    <row r="1732" spans="1:29" x14ac:dyDescent="0.3">
      <c r="G1732" s="46">
        <f>c_NICU_NBW</f>
        <v>1255.2</v>
      </c>
      <c r="Q1732" s="45">
        <f>RDS2CLD_4-(Hypo2CI_4*RDS2CLD_4)</f>
        <v>0.34246866666666664</v>
      </c>
      <c r="R1732" s="45"/>
      <c r="T1732" s="78"/>
      <c r="Z1732" s="42">
        <f t="shared" si="199"/>
        <v>0</v>
      </c>
      <c r="AA1732" s="6">
        <f t="shared" si="197"/>
        <v>0</v>
      </c>
      <c r="AB1732" s="42">
        <f t="shared" si="200"/>
        <v>0</v>
      </c>
      <c r="AC1732" s="42"/>
    </row>
    <row r="1733" spans="1:29" x14ac:dyDescent="0.3">
      <c r="O1733" s="19" t="s">
        <v>161</v>
      </c>
      <c r="Q1733" s="46">
        <f>c_lung+c_hosp_fu+c_CSG</f>
        <v>54529.510902399998</v>
      </c>
      <c r="R1733" s="46"/>
      <c r="T1733" s="78"/>
      <c r="Z1733" s="42">
        <f t="shared" si="199"/>
        <v>0</v>
      </c>
      <c r="AA1733" s="6">
        <f t="shared" si="197"/>
        <v>0</v>
      </c>
      <c r="AB1733" s="42">
        <f t="shared" si="200"/>
        <v>0</v>
      </c>
      <c r="AC1733" s="42">
        <f>U1733*(Q1735-c_CSG)</f>
        <v>0</v>
      </c>
    </row>
    <row r="1734" spans="1:29" x14ac:dyDescent="0.3">
      <c r="O1734" s="45">
        <f>SGA_term_2hypoglycaemia_4</f>
        <v>0.26</v>
      </c>
      <c r="Q1734" s="19" t="s">
        <v>226</v>
      </c>
      <c r="R1734" s="19"/>
      <c r="T1734" s="78"/>
      <c r="U1734">
        <f>$K$1721*$I$1710*$G$1731*$E$1659*$C$1505*$A$1460*$M$1736*$O$1734*Q1735</f>
        <v>1.410825238059364E-4</v>
      </c>
      <c r="V1734">
        <v>1.4108252380593643E-4</v>
      </c>
      <c r="W1734" s="42">
        <f>$K$1722+$I$1711+$G$1732+$E$1660+$C$1506+$A$1461+$M$1737+$O$1735+Q1736</f>
        <v>19957.4604</v>
      </c>
      <c r="X1734">
        <f>u_CongnitiveImpairement</f>
        <v>17.270393127285455</v>
      </c>
      <c r="Z1734" s="42">
        <f t="shared" si="199"/>
        <v>2.8156488819890328</v>
      </c>
      <c r="AA1734" s="6">
        <f t="shared" si="197"/>
        <v>2.4365506495181307E-3</v>
      </c>
      <c r="AB1734" s="42">
        <f t="shared" ref="AB1734:AB1756" si="201">U1734*c_CSG</f>
        <v>1.5575510628175377</v>
      </c>
      <c r="AC1734" s="42">
        <f>U1734*(Q1736-c_CSG)</f>
        <v>0.66675600750685537</v>
      </c>
    </row>
    <row r="1735" spans="1:29" x14ac:dyDescent="0.3">
      <c r="M1735" s="19" t="s">
        <v>203</v>
      </c>
      <c r="O1735" s="46">
        <f>c_hypo</f>
        <v>2936.2604000000001</v>
      </c>
      <c r="Q1735" s="45">
        <f>Hypo2CI_4-(Hypo2CI_4*RDS2CLD_4)</f>
        <v>3.2801999999999998E-2</v>
      </c>
      <c r="R1735" s="45"/>
      <c r="T1735" s="78"/>
      <c r="Z1735" s="42">
        <f t="shared" si="199"/>
        <v>0</v>
      </c>
      <c r="AA1735" s="6">
        <f t="shared" si="197"/>
        <v>0</v>
      </c>
      <c r="AB1735" s="42">
        <f t="shared" si="201"/>
        <v>0</v>
      </c>
      <c r="AC1735" s="42"/>
    </row>
    <row r="1736" spans="1:29" x14ac:dyDescent="0.3">
      <c r="M1736" s="45">
        <f>S_term_2noRDS_4</f>
        <v>1</v>
      </c>
      <c r="Q1736" s="46">
        <f>c_cog+c_hosp_fu+c_CSG</f>
        <v>15766</v>
      </c>
      <c r="R1736" s="46"/>
      <c r="T1736" s="78"/>
      <c r="Z1736" s="42">
        <f t="shared" si="199"/>
        <v>0</v>
      </c>
      <c r="AA1736" s="6">
        <f t="shared" si="197"/>
        <v>0</v>
      </c>
      <c r="AB1736" s="42">
        <f t="shared" si="201"/>
        <v>0</v>
      </c>
      <c r="AC1736" s="42">
        <f>U1736*(Q1738-c_CSG)</f>
        <v>0</v>
      </c>
    </row>
    <row r="1737" spans="1:29" x14ac:dyDescent="0.3">
      <c r="G1737" s="42"/>
      <c r="M1737" s="46"/>
      <c r="O1737" s="42"/>
      <c r="Q1737" s="19" t="s">
        <v>368</v>
      </c>
      <c r="R1737" s="19"/>
      <c r="T1737" s="78"/>
      <c r="U1737">
        <f>$K$1721*$I$1710*$G$1731*$E$1659*$C$1505*$A$1460*$M$1736*$O$1734*Q1738</f>
        <v>7.9703898425575965E-5</v>
      </c>
      <c r="V1737">
        <v>7.9703898425575979E-5</v>
      </c>
      <c r="W1737" s="42">
        <f>$K$1722+$I$1711+$G$1732+$E$1660+$C$1506+$A$1461+$M$1737+$O$1735+Q1739</f>
        <v>62539.971302399994</v>
      </c>
      <c r="X1737">
        <f>u_ChronicResp+u_CongnitiveImpairement</f>
        <v>17.805052694763283</v>
      </c>
      <c r="Z1737" s="42">
        <f t="shared" si="199"/>
        <v>4.9846795202249252</v>
      </c>
      <c r="AA1737" s="6">
        <f t="shared" si="197"/>
        <v>1.4191321114454404E-3</v>
      </c>
      <c r="AB1737" s="42">
        <f t="shared" si="201"/>
        <v>0.87993103861835864</v>
      </c>
      <c r="AC1737" s="42">
        <f>U1737*(Q1739-c_CSG)</f>
        <v>3.7706727476301425</v>
      </c>
    </row>
    <row r="1738" spans="1:29" x14ac:dyDescent="0.3">
      <c r="M1738" s="42"/>
      <c r="Q1738" s="45">
        <f>Hypo2CI_4*RDS2CLD_4</f>
        <v>1.8531333333333334E-2</v>
      </c>
      <c r="R1738" s="45"/>
      <c r="T1738" s="78"/>
      <c r="Z1738" s="42">
        <f t="shared" si="199"/>
        <v>0</v>
      </c>
      <c r="AA1738" s="6">
        <f t="shared" si="197"/>
        <v>0</v>
      </c>
      <c r="AB1738" s="42">
        <f t="shared" si="201"/>
        <v>0</v>
      </c>
      <c r="AC1738" s="42"/>
    </row>
    <row r="1739" spans="1:29" x14ac:dyDescent="0.3">
      <c r="A1739" s="42"/>
      <c r="M1739" s="42"/>
      <c r="Q1739" s="46">
        <f>c_lung+c_cog+c_hosp_fu+c_CSG</f>
        <v>58348.510902399998</v>
      </c>
      <c r="R1739" s="46"/>
      <c r="T1739" s="78"/>
      <c r="Z1739" s="42">
        <f t="shared" si="199"/>
        <v>0</v>
      </c>
      <c r="AA1739" s="6">
        <f t="shared" si="197"/>
        <v>0</v>
      </c>
      <c r="AB1739" s="42">
        <f t="shared" si="201"/>
        <v>0</v>
      </c>
      <c r="AC1739" s="42">
        <f>U1739*(Q1741-c_CSG)</f>
        <v>0</v>
      </c>
    </row>
    <row r="1740" spans="1:29" x14ac:dyDescent="0.3">
      <c r="M1740" s="42"/>
      <c r="Q1740" s="19" t="s">
        <v>369</v>
      </c>
      <c r="R1740" s="19"/>
      <c r="T1740" s="78"/>
      <c r="U1740">
        <f>$K$1721*$I$1710*$G$1731*$E$1659*$C$1505*$A$1460*$M$1736*$O$1734*Q1741</f>
        <v>2.6072783295564609E-3</v>
      </c>
      <c r="V1740">
        <v>2.6072783295564617E-3</v>
      </c>
      <c r="W1740" s="42">
        <f>$K$1722+$I$1711+$G$1732+$E$1660+$C$1506+$A$1461+$M$1737+$O$1735+Q1742</f>
        <v>18594.4604</v>
      </c>
      <c r="X1740">
        <f>u_Healthy</f>
        <v>0</v>
      </c>
      <c r="Z1740" s="42">
        <f t="shared" si="199"/>
        <v>48.480933650715762</v>
      </c>
      <c r="AA1740" s="6">
        <f t="shared" si="197"/>
        <v>0</v>
      </c>
      <c r="AB1740" s="42">
        <f t="shared" si="201"/>
        <v>28.784352758303328</v>
      </c>
      <c r="AC1740" s="42">
        <f>U1740*(Q1742-c_CSG)</f>
        <v>8.7682770222983777</v>
      </c>
    </row>
    <row r="1741" spans="1:29" x14ac:dyDescent="0.3">
      <c r="M1741" s="42"/>
      <c r="O1741" s="42"/>
      <c r="Q1741" s="45">
        <f>1-Q1732-Q1735-Q1738</f>
        <v>0.60619800000000001</v>
      </c>
      <c r="R1741" s="45"/>
      <c r="T1741" s="78"/>
      <c r="Z1741" s="42">
        <f t="shared" si="199"/>
        <v>0</v>
      </c>
      <c r="AA1741" s="6">
        <f t="shared" ref="AA1741:AA1809" si="202">U1741*X1741</f>
        <v>0</v>
      </c>
      <c r="AB1741" s="42">
        <f t="shared" si="201"/>
        <v>0</v>
      </c>
      <c r="AC1741" s="42">
        <f>U1741*(Q1743-c_CSG)</f>
        <v>0</v>
      </c>
    </row>
    <row r="1742" spans="1:29" x14ac:dyDescent="0.3">
      <c r="M1742" s="42"/>
      <c r="Q1742" s="46">
        <f>c_clinic_fu+c_CSG</f>
        <v>14403</v>
      </c>
      <c r="R1742" s="46"/>
      <c r="S1742" s="94"/>
      <c r="T1742" s="78"/>
      <c r="Z1742" s="42">
        <f t="shared" si="199"/>
        <v>0</v>
      </c>
      <c r="AA1742" s="6">
        <f t="shared" si="202"/>
        <v>0</v>
      </c>
      <c r="AB1742" s="42">
        <f t="shared" si="201"/>
        <v>0</v>
      </c>
      <c r="AC1742" s="42"/>
    </row>
    <row r="1743" spans="1:29" x14ac:dyDescent="0.3">
      <c r="M1743" s="42"/>
      <c r="Q1743" s="42"/>
      <c r="R1743" s="42"/>
      <c r="T1743" s="78"/>
      <c r="Z1743" s="42">
        <f t="shared" ref="Z1743:Z1809" si="203">U1743*W1743</f>
        <v>0</v>
      </c>
      <c r="AA1743" s="6">
        <f t="shared" si="202"/>
        <v>0</v>
      </c>
      <c r="AB1743" s="42">
        <f t="shared" si="201"/>
        <v>0</v>
      </c>
      <c r="AC1743" s="42">
        <f>U1743*(Q1745-c_CSG)</f>
        <v>0</v>
      </c>
    </row>
    <row r="1744" spans="1:29" x14ac:dyDescent="0.3">
      <c r="M1744" s="42"/>
      <c r="Q1744" s="19" t="s">
        <v>367</v>
      </c>
      <c r="R1744" s="19"/>
      <c r="T1744" s="78"/>
      <c r="U1744">
        <f>$K$1721*$I$1710*$G$1731*$E$1659*$C$1505*$A$1460*$M$1736*$O$1748*Q1745</f>
        <v>4.2729371819815922E-3</v>
      </c>
      <c r="V1744">
        <v>4.2729371819815939E-3</v>
      </c>
      <c r="W1744" s="42">
        <f>$K$1722+$I$1711+$G$1732+$E$1660+$C$1506+$A$1461+$M$1737+$O$1749+Q1746</f>
        <v>55784.710902399995</v>
      </c>
      <c r="X1744">
        <f>u_ChronicResp</f>
        <v>0.53465956747782661</v>
      </c>
      <c r="Z1744" s="42">
        <f t="shared" si="203"/>
        <v>238.36456540095884</v>
      </c>
      <c r="AA1744" s="6">
        <f t="shared" si="202"/>
        <v>2.2845667455782012E-3</v>
      </c>
      <c r="AB1744" s="42">
        <f t="shared" si="201"/>
        <v>47.173226489076775</v>
      </c>
      <c r="AC1744" s="42">
        <f>U1744*(Q1746-c_CSG)</f>
        <v>185.82794816105877</v>
      </c>
    </row>
    <row r="1745" spans="11:29" x14ac:dyDescent="0.3">
      <c r="M1745" s="42"/>
      <c r="Q1745" s="45">
        <f>RDS2CLD_4-(RDS2CLD_4*noHypo2CI_4)</f>
        <v>0.34905610687022898</v>
      </c>
      <c r="R1745" s="45"/>
      <c r="T1745" s="78"/>
      <c r="Z1745" s="42">
        <f t="shared" si="203"/>
        <v>0</v>
      </c>
      <c r="AA1745" s="6">
        <f t="shared" si="202"/>
        <v>0</v>
      </c>
      <c r="AB1745" s="42">
        <f t="shared" si="201"/>
        <v>0</v>
      </c>
      <c r="AC1745" s="42"/>
    </row>
    <row r="1746" spans="11:29" x14ac:dyDescent="0.3">
      <c r="M1746" s="42"/>
      <c r="Q1746" s="46">
        <f>c_lung+c_hosp_fu+c_CSG</f>
        <v>54529.510902399998</v>
      </c>
      <c r="R1746" s="46"/>
      <c r="T1746" s="78"/>
      <c r="Z1746" s="42">
        <f t="shared" si="203"/>
        <v>0</v>
      </c>
      <c r="AA1746" s="6">
        <f t="shared" si="202"/>
        <v>0</v>
      </c>
      <c r="AB1746" s="42">
        <f t="shared" si="201"/>
        <v>0</v>
      </c>
      <c r="AC1746" s="42">
        <f>U1746*(Q1748-c_CSG)</f>
        <v>0</v>
      </c>
    </row>
    <row r="1747" spans="11:29" x14ac:dyDescent="0.3">
      <c r="M1747" s="42"/>
      <c r="O1747" s="19" t="s">
        <v>370</v>
      </c>
      <c r="Q1747" s="19" t="s">
        <v>226</v>
      </c>
      <c r="R1747" s="19"/>
      <c r="T1747" s="78"/>
      <c r="U1747">
        <f>$K$1721*$I$1710*$G$1731*$E$1659*$C$1505*$A$1460*$M$1736*$O$1748*Q1748</f>
        <v>2.5880390957605949E-4</v>
      </c>
      <c r="V1747">
        <v>2.5880390957605959E-4</v>
      </c>
      <c r="W1747" s="42">
        <f>$K$1722+$I$1711+$G$1732+$E$1660+$C$1506+$A$1461+$M$1737+$O$1749+Q1749</f>
        <v>17021.2</v>
      </c>
      <c r="X1747">
        <f>u_CongnitiveImpairement</f>
        <v>17.270393127285455</v>
      </c>
      <c r="Z1747" s="42">
        <f t="shared" si="203"/>
        <v>4.4051531056760238</v>
      </c>
      <c r="AA1747" s="6">
        <f t="shared" si="202"/>
        <v>4.4696452612569843E-3</v>
      </c>
      <c r="AB1747" s="42">
        <f t="shared" si="201"/>
        <v>2.8571951617196967</v>
      </c>
      <c r="AC1747" s="42">
        <f>U1747*(Q1749-c_CSG)</f>
        <v>1.223107276656457</v>
      </c>
    </row>
    <row r="1748" spans="11:29" x14ac:dyDescent="0.3">
      <c r="M1748" s="42"/>
      <c r="O1748" s="45">
        <f>SGA_term_2normoglycaemia_4</f>
        <v>0.74</v>
      </c>
      <c r="Q1748" s="45">
        <f>noHypo2CI_4-(RDS2CLD_4*noHypo2CI_4)</f>
        <v>2.1141683406990762E-2</v>
      </c>
      <c r="R1748" s="45"/>
      <c r="T1748" s="78"/>
      <c r="Z1748" s="42">
        <f t="shared" si="203"/>
        <v>0</v>
      </c>
      <c r="AA1748" s="6">
        <f t="shared" si="202"/>
        <v>0</v>
      </c>
      <c r="AB1748" s="42">
        <f t="shared" si="201"/>
        <v>0</v>
      </c>
      <c r="AC1748" s="42"/>
    </row>
    <row r="1749" spans="11:29" x14ac:dyDescent="0.3">
      <c r="M1749" s="42"/>
      <c r="O1749" s="46"/>
      <c r="Q1749" s="46">
        <f>c_cog+c_hosp_fu+c_CSG</f>
        <v>15766</v>
      </c>
      <c r="R1749" s="46"/>
      <c r="T1749" s="78"/>
      <c r="Z1749" s="42">
        <f t="shared" si="203"/>
        <v>0</v>
      </c>
      <c r="AA1749" s="6">
        <f t="shared" si="202"/>
        <v>0</v>
      </c>
      <c r="AB1749" s="42">
        <f t="shared" si="201"/>
        <v>0</v>
      </c>
      <c r="AC1749" s="42">
        <f>U1749*(Q1751-c_CSG)</f>
        <v>0</v>
      </c>
    </row>
    <row r="1750" spans="11:29" x14ac:dyDescent="0.3">
      <c r="M1750" s="42"/>
      <c r="Q1750" s="19" t="s">
        <v>368</v>
      </c>
      <c r="R1750" s="19"/>
      <c r="T1750" s="78"/>
      <c r="U1750">
        <f>$K$1721*$I$1710*$G$1731*$E$1659*$C$1505*$A$1460*$M$1736*$O$1748*Q1751</f>
        <v>1.4621003342246865E-4</v>
      </c>
      <c r="V1750">
        <v>1.4621003342246867E-4</v>
      </c>
      <c r="W1750" s="42">
        <f>$K$1722+$I$1711+$G$1732+$E$1660+$C$1506+$A$1461+$M$1737+$O$1749+Q1752</f>
        <v>59603.710902399995</v>
      </c>
      <c r="X1750">
        <f>u_ChronicResp+u_CongnitiveImpairement</f>
        <v>17.805052694763283</v>
      </c>
      <c r="Z1750" s="42">
        <f t="shared" si="203"/>
        <v>8.7146605631430614</v>
      </c>
      <c r="AA1750" s="6">
        <f t="shared" si="202"/>
        <v>2.6032773495901552E-3</v>
      </c>
      <c r="AB1750" s="42">
        <f t="shared" si="201"/>
        <v>1.614158768984054</v>
      </c>
      <c r="AC1750" s="42">
        <f>U1750*(Q1752-c_CSG)</f>
        <v>6.9169789602071257</v>
      </c>
    </row>
    <row r="1751" spans="11:29" x14ac:dyDescent="0.3">
      <c r="M1751" s="42"/>
      <c r="Q1751" s="45">
        <f>RDS2CLD_4*noHypo2CI_4</f>
        <v>1.1943893129770991E-2</v>
      </c>
      <c r="R1751" s="45"/>
      <c r="T1751" s="78"/>
      <c r="Z1751" s="42">
        <f t="shared" si="203"/>
        <v>0</v>
      </c>
      <c r="AA1751" s="6">
        <f t="shared" si="202"/>
        <v>0</v>
      </c>
      <c r="AB1751" s="42">
        <f t="shared" si="201"/>
        <v>0</v>
      </c>
      <c r="AC1751" s="42"/>
    </row>
    <row r="1752" spans="11:29" x14ac:dyDescent="0.3">
      <c r="M1752" s="42"/>
      <c r="Q1752" s="46">
        <f>c_cog+c_lung+c_hosp_fu+c_CSG</f>
        <v>58348.510902399998</v>
      </c>
      <c r="R1752" s="46"/>
      <c r="T1752" s="78"/>
      <c r="Z1752" s="42">
        <f t="shared" si="203"/>
        <v>0</v>
      </c>
      <c r="AA1752" s="6">
        <f t="shared" si="202"/>
        <v>0</v>
      </c>
      <c r="AB1752" s="42">
        <f t="shared" si="201"/>
        <v>0</v>
      </c>
      <c r="AC1752" s="42">
        <f>U1752*(Q1754-c_CSG)</f>
        <v>0</v>
      </c>
    </row>
    <row r="1753" spans="11:29" x14ac:dyDescent="0.3">
      <c r="M1753" s="42"/>
      <c r="Q1753" s="19" t="s">
        <v>369</v>
      </c>
      <c r="R1753" s="19"/>
      <c r="T1753" s="78"/>
      <c r="U1753">
        <f>$K$1721*$I$1710*$G$1731*$E$1659*$C$1505*$A$1460*$M$1736*$O$1748*Q1754</f>
        <v>7.5634539038399954E-3</v>
      </c>
      <c r="V1753">
        <v>7.563453903839998E-3</v>
      </c>
      <c r="W1753" s="42">
        <f>$K$1722+$I$1711+$G$1732+$E$1660+$C$1506+$A$1461+$M$1737+$O$1749+Q1755</f>
        <v>15658.2</v>
      </c>
      <c r="X1753">
        <f>u_Healthy</f>
        <v>0</v>
      </c>
      <c r="Z1753" s="42">
        <f t="shared" si="203"/>
        <v>118.43007391710742</v>
      </c>
      <c r="AA1753" s="6">
        <f t="shared" si="202"/>
        <v>0</v>
      </c>
      <c r="AB1753" s="42">
        <f t="shared" si="201"/>
        <v>83.500531098393552</v>
      </c>
      <c r="AC1753" s="42">
        <f>U1753*(Q1755-c_CSG)</f>
        <v>25.435895478613904</v>
      </c>
    </row>
    <row r="1754" spans="11:29" x14ac:dyDescent="0.3">
      <c r="M1754" s="42"/>
      <c r="Q1754" s="45">
        <f>1-Q1751-Q1748-Q1745</f>
        <v>0.61785831659300938</v>
      </c>
      <c r="R1754" s="45"/>
      <c r="T1754" s="78"/>
      <c r="Z1754" s="42">
        <f t="shared" si="203"/>
        <v>0</v>
      </c>
      <c r="AA1754" s="6">
        <f t="shared" si="202"/>
        <v>0</v>
      </c>
      <c r="AB1754" s="42">
        <f t="shared" si="201"/>
        <v>0</v>
      </c>
      <c r="AC1754" s="42">
        <f>U1754*(Q1756-c_CSG)</f>
        <v>0</v>
      </c>
    </row>
    <row r="1755" spans="11:29" x14ac:dyDescent="0.3">
      <c r="M1755" s="42"/>
      <c r="Q1755" s="46">
        <f>c_clinic_fu+c_CSG</f>
        <v>14403</v>
      </c>
      <c r="R1755" s="46"/>
      <c r="T1755" s="78"/>
      <c r="Z1755" s="42">
        <f t="shared" si="203"/>
        <v>0</v>
      </c>
      <c r="AA1755" s="6">
        <f t="shared" si="202"/>
        <v>0</v>
      </c>
      <c r="AB1755" s="42">
        <f t="shared" si="201"/>
        <v>0</v>
      </c>
      <c r="AC1755" s="42">
        <f>U1755*(Q1757-c_CSG)</f>
        <v>0</v>
      </c>
    </row>
    <row r="1756" spans="11:29" x14ac:dyDescent="0.3">
      <c r="M1756" s="42"/>
      <c r="Q1756" s="42"/>
      <c r="R1756" s="42"/>
      <c r="T1756" s="78"/>
      <c r="Z1756" s="42">
        <f t="shared" si="203"/>
        <v>0</v>
      </c>
      <c r="AA1756" s="6">
        <f t="shared" si="202"/>
        <v>0</v>
      </c>
      <c r="AB1756" s="42">
        <f t="shared" si="201"/>
        <v>0</v>
      </c>
      <c r="AC1756" s="42">
        <f>U1756*(Q1758-c_CSG)</f>
        <v>0</v>
      </c>
    </row>
    <row r="1757" spans="11:29" x14ac:dyDescent="0.3">
      <c r="K1757" s="19" t="s">
        <v>165</v>
      </c>
      <c r="L1757" s="19"/>
      <c r="M1757" s="19"/>
      <c r="N1757" s="19"/>
      <c r="O1757" s="19"/>
      <c r="P1757" s="19"/>
      <c r="Q1757" s="19"/>
      <c r="R1757" s="19"/>
      <c r="T1757" s="78"/>
      <c r="U1757">
        <f>$K$1758*$I$1766*$G$1731*$E$1659*$C$1505*$A$1460</f>
        <v>4.4560004697704594E-4</v>
      </c>
      <c r="V1757">
        <v>4.4560004697704594E-4</v>
      </c>
      <c r="W1757" s="42">
        <f>$K$1759+$I$1767+$G$1732+$E$1660+$C$1506+$A$1461</f>
        <v>3047.2</v>
      </c>
      <c r="X1757">
        <f>u_Death</f>
        <v>19.181538114427529</v>
      </c>
      <c r="Z1757" s="42">
        <f t="shared" si="203"/>
        <v>1.3578324631484544</v>
      </c>
      <c r="AA1757" s="6">
        <f t="shared" si="202"/>
        <v>8.547294284880904E-3</v>
      </c>
      <c r="AB1757" s="42"/>
      <c r="AC1757" s="42"/>
    </row>
    <row r="1758" spans="11:29" x14ac:dyDescent="0.3">
      <c r="K1758" s="45">
        <f>AGA_term_2d_4</f>
        <v>6.2333333333333338E-3</v>
      </c>
      <c r="T1758" s="78"/>
      <c r="Z1758" s="42">
        <f t="shared" si="203"/>
        <v>0</v>
      </c>
      <c r="AA1758" s="6">
        <f t="shared" si="202"/>
        <v>0</v>
      </c>
      <c r="AB1758" s="42">
        <f t="shared" ref="AB1758:AB1789" si="204">U1758*c_CSG</f>
        <v>0</v>
      </c>
      <c r="AC1758" s="42"/>
    </row>
    <row r="1759" spans="11:29" x14ac:dyDescent="0.3">
      <c r="K1759" s="46">
        <f>c_SB</f>
        <v>1792</v>
      </c>
      <c r="T1759" s="78"/>
      <c r="Z1759" s="42">
        <f t="shared" si="203"/>
        <v>0</v>
      </c>
      <c r="AA1759" s="6">
        <f t="shared" si="202"/>
        <v>0</v>
      </c>
      <c r="AB1759" s="42">
        <f t="shared" si="204"/>
        <v>0</v>
      </c>
      <c r="AC1759" s="42"/>
    </row>
    <row r="1760" spans="11:29" x14ac:dyDescent="0.3">
      <c r="T1760" s="78"/>
      <c r="Z1760" s="42">
        <f t="shared" si="203"/>
        <v>0</v>
      </c>
      <c r="AA1760" s="6">
        <f t="shared" si="202"/>
        <v>0</v>
      </c>
      <c r="AB1760" s="42">
        <f t="shared" si="204"/>
        <v>0</v>
      </c>
      <c r="AC1760" s="42">
        <f>U1760*(Q1762-c_CSG)</f>
        <v>0</v>
      </c>
    </row>
    <row r="1761" spans="9:29" x14ac:dyDescent="0.3">
      <c r="Q1761" s="19" t="s">
        <v>367</v>
      </c>
      <c r="R1761" s="19"/>
      <c r="T1761" s="78"/>
      <c r="U1761">
        <f>$K$1777*$I$1766*$G$1731*$E$1659*$C$1505*$A$1460*$M$1772*$O$1767*Q1762</f>
        <v>0</v>
      </c>
      <c r="W1761" s="42">
        <f>$K$1778+$I$1767+$G$1732+$E$1660+$C$1506+$A$1461+$M$1773+$O$1768+Q1763</f>
        <v>89316.581450605634</v>
      </c>
      <c r="X1761">
        <f>u_ChronicResp</f>
        <v>0.53465956747782661</v>
      </c>
      <c r="Z1761" s="42">
        <f t="shared" si="203"/>
        <v>0</v>
      </c>
      <c r="AA1761" s="6">
        <f t="shared" si="202"/>
        <v>0</v>
      </c>
      <c r="AB1761" s="42">
        <f t="shared" si="204"/>
        <v>0</v>
      </c>
      <c r="AC1761" s="42">
        <f>U1761*(Q1763-c_CSG)</f>
        <v>0</v>
      </c>
    </row>
    <row r="1762" spans="9:29" x14ac:dyDescent="0.3">
      <c r="Q1762" s="45">
        <f>RDS2CLD_4-(Hypo2CI_4*RDS2CLD_4)</f>
        <v>0.34246866666666664</v>
      </c>
      <c r="R1762" s="45"/>
      <c r="T1762" s="78"/>
      <c r="V1762">
        <v>0</v>
      </c>
      <c r="Z1762" s="42">
        <f t="shared" si="203"/>
        <v>0</v>
      </c>
      <c r="AA1762" s="6">
        <f t="shared" si="202"/>
        <v>0</v>
      </c>
      <c r="AB1762" s="42">
        <f t="shared" si="204"/>
        <v>0</v>
      </c>
      <c r="AC1762" s="42"/>
    </row>
    <row r="1763" spans="9:29" x14ac:dyDescent="0.3">
      <c r="Q1763" s="46">
        <f>c_lung+c_hosp_fu+c_CSG</f>
        <v>54529.510902399998</v>
      </c>
      <c r="R1763" s="46"/>
      <c r="T1763" s="78"/>
      <c r="Z1763" s="42">
        <f t="shared" si="203"/>
        <v>0</v>
      </c>
      <c r="AA1763" s="6">
        <f t="shared" si="202"/>
        <v>0</v>
      </c>
      <c r="AB1763" s="42">
        <f t="shared" si="204"/>
        <v>0</v>
      </c>
      <c r="AC1763" s="42">
        <f>U1763*(Q1765-c_CSG)</f>
        <v>0</v>
      </c>
    </row>
    <row r="1764" spans="9:29" x14ac:dyDescent="0.3">
      <c r="Q1764" s="19" t="s">
        <v>226</v>
      </c>
      <c r="R1764" s="19"/>
      <c r="T1764" s="78"/>
      <c r="U1764">
        <f>$K$1777*$I$1766*$G$1731*$E$1659*$C$1505*$A$1460*$M$1772*$O$1767*Q1765</f>
        <v>0</v>
      </c>
      <c r="W1764" s="42">
        <f>$K$1778+$I$1767+$G$1732+$E$1660+$C$1506+$A$1461+$M$1773+$O$1768+Q1766</f>
        <v>50553.070548205636</v>
      </c>
      <c r="X1764">
        <f>u_CongnitiveImpairement</f>
        <v>17.270393127285455</v>
      </c>
      <c r="Z1764" s="42">
        <f t="shared" si="203"/>
        <v>0</v>
      </c>
      <c r="AA1764" s="6">
        <f t="shared" si="202"/>
        <v>0</v>
      </c>
      <c r="AB1764" s="42">
        <f t="shared" si="204"/>
        <v>0</v>
      </c>
      <c r="AC1764" s="42">
        <f>U1764*(Q1766-c_CSG)</f>
        <v>0</v>
      </c>
    </row>
    <row r="1765" spans="9:29" x14ac:dyDescent="0.3">
      <c r="I1765" s="19" t="s">
        <v>424</v>
      </c>
      <c r="Q1765" s="45">
        <f>Hypo2CI_4-(Hypo2CI_4*RDS2CLD_4)</f>
        <v>3.2801999999999998E-2</v>
      </c>
      <c r="R1765" s="45"/>
      <c r="T1765" s="78"/>
      <c r="V1765">
        <v>0</v>
      </c>
      <c r="Z1765" s="42">
        <f t="shared" si="203"/>
        <v>0</v>
      </c>
      <c r="AA1765" s="6">
        <f t="shared" si="202"/>
        <v>0</v>
      </c>
      <c r="AB1765" s="42">
        <f t="shared" si="204"/>
        <v>0</v>
      </c>
      <c r="AC1765" s="42"/>
    </row>
    <row r="1766" spans="9:29" x14ac:dyDescent="0.3">
      <c r="I1766" s="45">
        <f>NBW_term_2AGA_4</f>
        <v>0.81004360154892219</v>
      </c>
      <c r="O1766" s="19" t="s">
        <v>161</v>
      </c>
      <c r="Q1766" s="46">
        <f>c_cog+c_hosp_fu+c_CSG</f>
        <v>15766</v>
      </c>
      <c r="R1766" s="46"/>
      <c r="T1766" s="78"/>
      <c r="Z1766" s="42">
        <f t="shared" si="203"/>
        <v>0</v>
      </c>
      <c r="AA1766" s="6">
        <f t="shared" si="202"/>
        <v>0</v>
      </c>
      <c r="AB1766" s="42">
        <f t="shared" si="204"/>
        <v>0</v>
      </c>
      <c r="AC1766" s="42">
        <f>U1766*(Q1768-c_CSG)</f>
        <v>0</v>
      </c>
    </row>
    <row r="1767" spans="9:29" x14ac:dyDescent="0.3">
      <c r="I1767" s="46"/>
      <c r="O1767" s="45">
        <f>AGA_term_2hypoglycaemia_4</f>
        <v>0</v>
      </c>
      <c r="Q1767" s="19" t="s">
        <v>368</v>
      </c>
      <c r="R1767" s="19"/>
      <c r="T1767" s="78"/>
      <c r="U1767">
        <f>$K$1777*$I$1766*$G$1731*$E$1659*$C$1505*$A$1460*$M$1772*$O$1767*Q1768</f>
        <v>0</v>
      </c>
      <c r="W1767" s="42">
        <f>$K$1778+$I$1767+$G$1732+$E$1660+$C$1506+$A$1461+$M$1773+$O$1768+Q1769</f>
        <v>93135.581450605634</v>
      </c>
      <c r="X1767">
        <f>u_ChronicResp+u_CongnitiveImpairement</f>
        <v>17.805052694763283</v>
      </c>
      <c r="Z1767" s="42">
        <f t="shared" si="203"/>
        <v>0</v>
      </c>
      <c r="AA1767" s="6">
        <f t="shared" si="202"/>
        <v>0</v>
      </c>
      <c r="AB1767" s="42">
        <f t="shared" si="204"/>
        <v>0</v>
      </c>
      <c r="AC1767" s="42">
        <f>U1767*(Q1769-c_CSG)</f>
        <v>0</v>
      </c>
    </row>
    <row r="1768" spans="9:29" x14ac:dyDescent="0.3">
      <c r="O1768" s="46">
        <f>c_hypo</f>
        <v>2936.2604000000001</v>
      </c>
      <c r="Q1768" s="45">
        <f>Hypo2CI_4*RDS2CLD_4</f>
        <v>1.8531333333333334E-2</v>
      </c>
      <c r="R1768" s="45"/>
      <c r="T1768" s="78"/>
      <c r="V1768">
        <v>0</v>
      </c>
      <c r="Z1768" s="42">
        <f t="shared" si="203"/>
        <v>0</v>
      </c>
      <c r="AA1768" s="6">
        <f t="shared" si="202"/>
        <v>0</v>
      </c>
      <c r="AB1768" s="42">
        <f t="shared" si="204"/>
        <v>0</v>
      </c>
      <c r="AC1768" s="42"/>
    </row>
    <row r="1769" spans="9:29" x14ac:dyDescent="0.3">
      <c r="M1769" s="42"/>
      <c r="Q1769" s="46">
        <f>c_lung+c_cog+c_hosp_fu+c_CSG</f>
        <v>58348.510902399998</v>
      </c>
      <c r="R1769" s="46"/>
      <c r="T1769" s="78"/>
      <c r="Z1769" s="42">
        <f t="shared" si="203"/>
        <v>0</v>
      </c>
      <c r="AA1769" s="6">
        <f t="shared" si="202"/>
        <v>0</v>
      </c>
      <c r="AB1769" s="42">
        <f t="shared" si="204"/>
        <v>0</v>
      </c>
      <c r="AC1769" s="42">
        <f>U1769*(Q1771-c_CSG)</f>
        <v>0</v>
      </c>
    </row>
    <row r="1770" spans="9:29" x14ac:dyDescent="0.3">
      <c r="Q1770" s="19" t="s">
        <v>369</v>
      </c>
      <c r="R1770" s="19"/>
      <c r="T1770" s="78"/>
      <c r="U1770">
        <f>$K$1777*$I$1766*$G$1731*$E$1659*$C$1505*$A$1460*$M$1772*$O$1767*Q1771</f>
        <v>0</v>
      </c>
      <c r="W1770" s="42">
        <f>$K$1778+$I$1767+$G$1732+$E$1660+$C$1506+$A$1461+$M$1773+$O$1768+Q1772</f>
        <v>49190.070548205636</v>
      </c>
      <c r="X1770">
        <f>u_Healthy</f>
        <v>0</v>
      </c>
      <c r="Z1770" s="42">
        <f t="shared" si="203"/>
        <v>0</v>
      </c>
      <c r="AA1770" s="6">
        <f t="shared" si="202"/>
        <v>0</v>
      </c>
      <c r="AB1770" s="42">
        <f t="shared" si="204"/>
        <v>0</v>
      </c>
      <c r="AC1770" s="42">
        <f>U1770*(Q1772-c_CSG)</f>
        <v>0</v>
      </c>
    </row>
    <row r="1771" spans="9:29" x14ac:dyDescent="0.3">
      <c r="M1771" s="19" t="s">
        <v>9</v>
      </c>
      <c r="Q1771" s="45">
        <f>1-Q1762-Q1765-Q1768</f>
        <v>0.60619800000000001</v>
      </c>
      <c r="R1771" s="45"/>
      <c r="T1771" s="78"/>
      <c r="V1771">
        <v>0</v>
      </c>
      <c r="Z1771" s="42">
        <f t="shared" si="203"/>
        <v>0</v>
      </c>
      <c r="AA1771" s="6">
        <f t="shared" si="202"/>
        <v>0</v>
      </c>
      <c r="AB1771" s="42">
        <f t="shared" si="204"/>
        <v>0</v>
      </c>
      <c r="AC1771" s="42">
        <f>U1771*(Q1773-c_CSG)</f>
        <v>0</v>
      </c>
    </row>
    <row r="1772" spans="9:29" x14ac:dyDescent="0.3">
      <c r="K1772" s="42"/>
      <c r="M1772" s="45">
        <f>S_term_2RDS_4</f>
        <v>0</v>
      </c>
      <c r="Q1772" s="46">
        <f>c_clinic_fu+c_CSG</f>
        <v>14403</v>
      </c>
      <c r="R1772" s="46"/>
      <c r="T1772" s="78"/>
      <c r="Z1772" s="42">
        <f t="shared" si="203"/>
        <v>0</v>
      </c>
      <c r="AA1772" s="6">
        <f t="shared" si="202"/>
        <v>0</v>
      </c>
      <c r="AB1772" s="42">
        <f t="shared" si="204"/>
        <v>0</v>
      </c>
      <c r="AC1772" s="42"/>
    </row>
    <row r="1773" spans="9:29" x14ac:dyDescent="0.3">
      <c r="K1773" s="42"/>
      <c r="M1773" s="46">
        <f>c_RDS</f>
        <v>30595.610148205637</v>
      </c>
      <c r="Q1773" s="42"/>
      <c r="R1773" s="42"/>
      <c r="T1773" s="78"/>
      <c r="Z1773" s="42">
        <f t="shared" si="203"/>
        <v>0</v>
      </c>
      <c r="AA1773" s="6">
        <f t="shared" si="202"/>
        <v>0</v>
      </c>
      <c r="AB1773" s="42">
        <f t="shared" si="204"/>
        <v>0</v>
      </c>
      <c r="AC1773" s="42">
        <f>U1773*(Q1775-c_CSG)</f>
        <v>0</v>
      </c>
    </row>
    <row r="1774" spans="9:29" x14ac:dyDescent="0.3">
      <c r="Q1774" s="19" t="s">
        <v>367</v>
      </c>
      <c r="R1774" s="19"/>
      <c r="T1774" s="78"/>
      <c r="U1774">
        <f>$K$1777*$I$1766*$G$1731*$E$1659*$C$1505*$A$1460*$M$1772*$O$1777*Q1775</f>
        <v>0</v>
      </c>
      <c r="W1774" s="42">
        <f>$K$1778+$I$1767+$G$1732+$E$1660+$C$1506+$A$1461+$M$1773+$O$1778+Q1776</f>
        <v>86380.321050605635</v>
      </c>
      <c r="X1774">
        <f>u_ChronicResp</f>
        <v>0.53465956747782661</v>
      </c>
      <c r="Z1774" s="42">
        <f t="shared" si="203"/>
        <v>0</v>
      </c>
      <c r="AA1774" s="6">
        <f t="shared" si="202"/>
        <v>0</v>
      </c>
      <c r="AB1774" s="42">
        <f t="shared" si="204"/>
        <v>0</v>
      </c>
      <c r="AC1774" s="42">
        <f>U1774*(Q1776-c_CSG)</f>
        <v>0</v>
      </c>
    </row>
    <row r="1775" spans="9:29" x14ac:dyDescent="0.3">
      <c r="Q1775" s="45">
        <f>RDS2CLD_4-(RDS2CLD_4*noHypo2CI_4)</f>
        <v>0.34905610687022898</v>
      </c>
      <c r="R1775" s="45"/>
      <c r="T1775" s="78"/>
      <c r="V1775">
        <v>0</v>
      </c>
      <c r="Z1775" s="42">
        <f t="shared" si="203"/>
        <v>0</v>
      </c>
      <c r="AA1775" s="6">
        <f t="shared" si="202"/>
        <v>0</v>
      </c>
      <c r="AB1775" s="42">
        <f t="shared" si="204"/>
        <v>0</v>
      </c>
      <c r="AC1775" s="42"/>
    </row>
    <row r="1776" spans="9:29" x14ac:dyDescent="0.3">
      <c r="K1776" s="19" t="s">
        <v>37</v>
      </c>
      <c r="M1776" s="42"/>
      <c r="O1776" s="19" t="s">
        <v>370</v>
      </c>
      <c r="Q1776" s="46">
        <f>c_lung+c_hosp_fu+c_CSG</f>
        <v>54529.510902399998</v>
      </c>
      <c r="R1776" s="46"/>
      <c r="T1776" s="78"/>
      <c r="Z1776" s="42">
        <f t="shared" si="203"/>
        <v>0</v>
      </c>
      <c r="AA1776" s="6">
        <f t="shared" si="202"/>
        <v>0</v>
      </c>
      <c r="AB1776" s="42">
        <f t="shared" si="204"/>
        <v>0</v>
      </c>
      <c r="AC1776" s="42">
        <f>U1776*(Q1778-c_CSG)</f>
        <v>0</v>
      </c>
    </row>
    <row r="1777" spans="3:29" x14ac:dyDescent="0.3">
      <c r="K1777" s="45">
        <f>AGA_term_2s_4</f>
        <v>0.99376666666666669</v>
      </c>
      <c r="O1777" s="45">
        <f>AGA_term_2normoglycaemia_4</f>
        <v>1</v>
      </c>
      <c r="Q1777" s="19" t="s">
        <v>226</v>
      </c>
      <c r="R1777" s="19"/>
      <c r="T1777" s="78"/>
      <c r="U1777">
        <f>$K$1777*$I$1766*$G$1731*$E$1659*$C$1505*$A$1460*$M$1772*$O$1777*Q1778</f>
        <v>0</v>
      </c>
      <c r="W1777" s="42">
        <f>$K$1778+$I$1767+$G$1732+$E$1660+$C$1506+$A$1461+$M$1773+$O$1778+Q1779</f>
        <v>47616.810148205637</v>
      </c>
      <c r="X1777">
        <f>u_CongnitiveImpairement</f>
        <v>17.270393127285455</v>
      </c>
      <c r="Z1777" s="42">
        <f t="shared" si="203"/>
        <v>0</v>
      </c>
      <c r="AA1777" s="6">
        <f t="shared" si="202"/>
        <v>0</v>
      </c>
      <c r="AB1777" s="42">
        <f t="shared" si="204"/>
        <v>0</v>
      </c>
      <c r="AC1777" s="42">
        <f>U1777*(Q1779-c_CSG)</f>
        <v>0</v>
      </c>
    </row>
    <row r="1778" spans="3:29" x14ac:dyDescent="0.3">
      <c r="K1778" s="46"/>
      <c r="O1778" s="46"/>
      <c r="Q1778" s="45">
        <f>noHypo2CI_4-(RDS2CLD_4*noHypo2CI_4)</f>
        <v>2.1141683406990762E-2</v>
      </c>
      <c r="R1778" s="45"/>
      <c r="T1778" s="78"/>
      <c r="V1778">
        <v>0</v>
      </c>
      <c r="Z1778" s="42">
        <f t="shared" si="203"/>
        <v>0</v>
      </c>
      <c r="AA1778" s="6">
        <f t="shared" si="202"/>
        <v>0</v>
      </c>
      <c r="AB1778" s="42">
        <f t="shared" si="204"/>
        <v>0</v>
      </c>
      <c r="AC1778" s="42"/>
    </row>
    <row r="1779" spans="3:29" x14ac:dyDescent="0.3">
      <c r="Q1779" s="46">
        <f>c_cog+c_hosp_fu+c_CSG</f>
        <v>15766</v>
      </c>
      <c r="R1779" s="46"/>
      <c r="T1779" s="78"/>
      <c r="Z1779" s="42">
        <f t="shared" si="203"/>
        <v>0</v>
      </c>
      <c r="AA1779" s="6">
        <f t="shared" si="202"/>
        <v>0</v>
      </c>
      <c r="AB1779" s="42">
        <f t="shared" si="204"/>
        <v>0</v>
      </c>
      <c r="AC1779" s="42">
        <f>U1779*(Q1781-c_CSG)</f>
        <v>0</v>
      </c>
    </row>
    <row r="1780" spans="3:29" x14ac:dyDescent="0.3">
      <c r="Q1780" s="19" t="s">
        <v>368</v>
      </c>
      <c r="R1780" s="19"/>
      <c r="T1780" s="78"/>
      <c r="U1780">
        <f>$K$1777*$I$1766*$G$1731*$E$1659*$C$1505*$A$1460*$M$1772*$O$1777*Q1781</f>
        <v>0</v>
      </c>
      <c r="W1780" s="42">
        <f>$K$1778+$I$1767+$G$1732+$E$1660+$C$1506+$A$1461+$M$1773+$O$1778+Q1782</f>
        <v>90199.321050605635</v>
      </c>
      <c r="X1780">
        <f>u_ChronicResp+u_CongnitiveImpairement</f>
        <v>17.805052694763283</v>
      </c>
      <c r="Z1780" s="42">
        <f t="shared" si="203"/>
        <v>0</v>
      </c>
      <c r="AA1780" s="6">
        <f t="shared" si="202"/>
        <v>0</v>
      </c>
      <c r="AB1780" s="42">
        <f t="shared" si="204"/>
        <v>0</v>
      </c>
      <c r="AC1780" s="42">
        <f>U1780*(Q1782-c_CSG)</f>
        <v>0</v>
      </c>
    </row>
    <row r="1781" spans="3:29" x14ac:dyDescent="0.3">
      <c r="Q1781" s="45">
        <f>RDS2CLD_4*noHypo2CI_4</f>
        <v>1.1943893129770991E-2</v>
      </c>
      <c r="R1781" s="45"/>
      <c r="T1781" s="78"/>
      <c r="V1781">
        <v>0</v>
      </c>
      <c r="Z1781" s="42">
        <f t="shared" si="203"/>
        <v>0</v>
      </c>
      <c r="AA1781" s="6">
        <f t="shared" si="202"/>
        <v>0</v>
      </c>
      <c r="AB1781" s="42">
        <f t="shared" si="204"/>
        <v>0</v>
      </c>
      <c r="AC1781" s="42"/>
    </row>
    <row r="1782" spans="3:29" x14ac:dyDescent="0.3">
      <c r="Q1782" s="46">
        <f>c_cog+c_lung+c_hosp_fu+c_CSG</f>
        <v>58348.510902399998</v>
      </c>
      <c r="R1782" s="46"/>
      <c r="T1782" s="78"/>
      <c r="Z1782" s="42">
        <f t="shared" si="203"/>
        <v>0</v>
      </c>
      <c r="AA1782" s="6">
        <f t="shared" si="202"/>
        <v>0</v>
      </c>
      <c r="AB1782" s="42">
        <f t="shared" si="204"/>
        <v>0</v>
      </c>
      <c r="AC1782" s="42">
        <f>U1782*(Q1784-c_CSG)</f>
        <v>0</v>
      </c>
    </row>
    <row r="1783" spans="3:29" x14ac:dyDescent="0.3">
      <c r="Q1783" s="19" t="s">
        <v>369</v>
      </c>
      <c r="R1783" s="19"/>
      <c r="T1783" s="78"/>
      <c r="U1783">
        <f>$K$1777*$I$1766*$G$1731*$E$1659*$C$1505*$A$1460*$M$1772*$O$1777*Q1784</f>
        <v>0</v>
      </c>
      <c r="W1783" s="42">
        <f>$K$1778+$I$1767+$G$1732+$E$1660+$C$1506+$A$1461+$M$1773+$O$1778+Q1785</f>
        <v>46253.810148205637</v>
      </c>
      <c r="X1783">
        <f>u_Healthy</f>
        <v>0</v>
      </c>
      <c r="Z1783" s="42">
        <f t="shared" si="203"/>
        <v>0</v>
      </c>
      <c r="AA1783" s="6">
        <f t="shared" si="202"/>
        <v>0</v>
      </c>
      <c r="AB1783" s="42">
        <f t="shared" si="204"/>
        <v>0</v>
      </c>
      <c r="AC1783" s="42">
        <f>U1783*(Q1785-c_CSG)</f>
        <v>0</v>
      </c>
    </row>
    <row r="1784" spans="3:29" x14ac:dyDescent="0.3">
      <c r="C1784" s="42"/>
      <c r="Q1784" s="45">
        <f>1-Q1781-Q1778-Q1775</f>
        <v>0.61785831659300938</v>
      </c>
      <c r="R1784" s="45"/>
      <c r="T1784" s="78"/>
      <c r="V1784">
        <v>0</v>
      </c>
      <c r="Z1784" s="42">
        <f t="shared" si="203"/>
        <v>0</v>
      </c>
      <c r="AA1784" s="6">
        <f t="shared" si="202"/>
        <v>0</v>
      </c>
      <c r="AB1784" s="42">
        <f t="shared" si="204"/>
        <v>0</v>
      </c>
      <c r="AC1784" s="42">
        <f>U1784*(Q1786-c_CSG)</f>
        <v>0</v>
      </c>
    </row>
    <row r="1785" spans="3:29" x14ac:dyDescent="0.3">
      <c r="Q1785" s="46">
        <f>c_clinic_fu+c_CSG</f>
        <v>14403</v>
      </c>
      <c r="R1785" s="46"/>
      <c r="T1785" s="78"/>
      <c r="Z1785" s="42">
        <f t="shared" si="203"/>
        <v>0</v>
      </c>
      <c r="AA1785" s="6">
        <f t="shared" si="202"/>
        <v>0</v>
      </c>
      <c r="AB1785" s="42">
        <f t="shared" si="204"/>
        <v>0</v>
      </c>
      <c r="AC1785" s="42"/>
    </row>
    <row r="1786" spans="3:29" x14ac:dyDescent="0.3">
      <c r="Q1786" s="42"/>
      <c r="R1786" s="42"/>
      <c r="T1786" s="78"/>
      <c r="Z1786" s="42">
        <f t="shared" si="203"/>
        <v>0</v>
      </c>
      <c r="AA1786" s="6">
        <f t="shared" si="202"/>
        <v>0</v>
      </c>
      <c r="AB1786" s="42">
        <f t="shared" si="204"/>
        <v>0</v>
      </c>
      <c r="AC1786" s="42">
        <f>U1786*(Q1788-c_CSG)</f>
        <v>0</v>
      </c>
    </row>
    <row r="1787" spans="3:29" x14ac:dyDescent="0.3">
      <c r="Q1787" s="19" t="s">
        <v>367</v>
      </c>
      <c r="R1787" s="19"/>
      <c r="T1787" s="78"/>
      <c r="U1787">
        <f>$K$1777*$I$1766*$G$1731*$E$1659*$C$1505*$A$1460*$M$1792*$O$1790*Q1788</f>
        <v>0</v>
      </c>
      <c r="W1787" s="42">
        <f>$K$1778+$I$1767+$G$1732+$E$1660+$C$1506+$A$1461+$M$1793+$O$1791+Q1789</f>
        <v>58720.971302399994</v>
      </c>
      <c r="X1787">
        <f>u_ChronicResp</f>
        <v>0.53465956747782661</v>
      </c>
      <c r="Z1787" s="42">
        <f t="shared" si="203"/>
        <v>0</v>
      </c>
      <c r="AA1787" s="6">
        <f t="shared" si="202"/>
        <v>0</v>
      </c>
      <c r="AB1787" s="42">
        <f t="shared" si="204"/>
        <v>0</v>
      </c>
      <c r="AC1787" s="42">
        <f>U1787*(Q1789-c_CSG)</f>
        <v>0</v>
      </c>
    </row>
    <row r="1788" spans="3:29" x14ac:dyDescent="0.3">
      <c r="Q1788" s="45">
        <f>RDS2CLD_4-(Hypo2CI_4*RDS2CLD_4)</f>
        <v>0.34246866666666664</v>
      </c>
      <c r="R1788" s="45"/>
      <c r="T1788" s="78"/>
      <c r="V1788">
        <v>0</v>
      </c>
      <c r="Z1788" s="42">
        <f t="shared" si="203"/>
        <v>0</v>
      </c>
      <c r="AA1788" s="6">
        <f t="shared" si="202"/>
        <v>0</v>
      </c>
      <c r="AB1788" s="42">
        <f t="shared" si="204"/>
        <v>0</v>
      </c>
      <c r="AC1788" s="42"/>
    </row>
    <row r="1789" spans="3:29" x14ac:dyDescent="0.3">
      <c r="O1789" s="19" t="s">
        <v>161</v>
      </c>
      <c r="Q1789" s="46">
        <f>c_lung+c_hosp_fu+c_CSG</f>
        <v>54529.510902399998</v>
      </c>
      <c r="R1789" s="46"/>
      <c r="T1789" s="78"/>
      <c r="Z1789" s="42">
        <f t="shared" si="203"/>
        <v>0</v>
      </c>
      <c r="AA1789" s="6">
        <f t="shared" si="202"/>
        <v>0</v>
      </c>
      <c r="AB1789" s="42">
        <f t="shared" si="204"/>
        <v>0</v>
      </c>
      <c r="AC1789" s="42">
        <f>U1789*(Q1791-c_CSG)</f>
        <v>0</v>
      </c>
    </row>
    <row r="1790" spans="3:29" x14ac:dyDescent="0.3">
      <c r="O1790" s="45">
        <f>AGA_term_2hypoglycaemia_4</f>
        <v>0</v>
      </c>
      <c r="Q1790" s="19" t="s">
        <v>226</v>
      </c>
      <c r="R1790" s="19"/>
      <c r="T1790" s="78"/>
      <c r="U1790">
        <f>$K$1777*$I$1766*$G$1731*$E$1659*$C$1505*$A$1460*$M$1792*$O$1790*Q1791</f>
        <v>0</v>
      </c>
      <c r="W1790" s="42">
        <f>$K$1778+$I$1767+$G$1732+$E$1660+$C$1506+$A$1461+$M$1793+$O$1791+Q1792</f>
        <v>19957.4604</v>
      </c>
      <c r="X1790">
        <f>u_CongnitiveImpairement</f>
        <v>17.270393127285455</v>
      </c>
      <c r="Z1790" s="42">
        <f t="shared" si="203"/>
        <v>0</v>
      </c>
      <c r="AA1790" s="6">
        <f t="shared" si="202"/>
        <v>0</v>
      </c>
      <c r="AB1790" s="42">
        <f t="shared" ref="AB1790:AB1810" si="205">U1790*c_CSG</f>
        <v>0</v>
      </c>
      <c r="AC1790" s="42">
        <f>U1790*(Q1792-c_CSG)</f>
        <v>0</v>
      </c>
    </row>
    <row r="1791" spans="3:29" x14ac:dyDescent="0.3">
      <c r="M1791" s="19" t="s">
        <v>203</v>
      </c>
      <c r="O1791" s="46">
        <f>c_hypo</f>
        <v>2936.2604000000001</v>
      </c>
      <c r="Q1791" s="45">
        <f>Hypo2CI_4-(Hypo2CI_4*RDS2CLD_4)</f>
        <v>3.2801999999999998E-2</v>
      </c>
      <c r="R1791" s="45"/>
      <c r="T1791" s="78"/>
      <c r="V1791">
        <v>0</v>
      </c>
      <c r="Z1791" s="42">
        <f t="shared" si="203"/>
        <v>0</v>
      </c>
      <c r="AA1791" s="6">
        <f t="shared" si="202"/>
        <v>0</v>
      </c>
      <c r="AB1791" s="42">
        <f t="shared" si="205"/>
        <v>0</v>
      </c>
      <c r="AC1791" s="42"/>
    </row>
    <row r="1792" spans="3:29" x14ac:dyDescent="0.3">
      <c r="M1792" s="45">
        <f>S_term_2noRDS_4</f>
        <v>1</v>
      </c>
      <c r="Q1792" s="46">
        <f>c_cog+c_hosp_fu+c_CSG</f>
        <v>15766</v>
      </c>
      <c r="R1792" s="46"/>
      <c r="T1792" s="78"/>
      <c r="Z1792" s="42">
        <f t="shared" si="203"/>
        <v>0</v>
      </c>
      <c r="AA1792" s="6">
        <f t="shared" si="202"/>
        <v>0</v>
      </c>
      <c r="AB1792" s="42">
        <f t="shared" si="205"/>
        <v>0</v>
      </c>
      <c r="AC1792" s="42">
        <f>U1792*(Q1794-c_CSG)</f>
        <v>0</v>
      </c>
    </row>
    <row r="1793" spans="7:29" x14ac:dyDescent="0.3">
      <c r="M1793" s="46"/>
      <c r="O1793" s="42"/>
      <c r="Q1793" s="19" t="s">
        <v>368</v>
      </c>
      <c r="R1793" s="19"/>
      <c r="T1793" s="78"/>
      <c r="U1793">
        <f>$K$1777*$I$1766*$G$1731*$E$1659*$C$1505*$A$1460*$M$1792*$O$1790*Q1794</f>
        <v>0</v>
      </c>
      <c r="W1793" s="42">
        <f>$K$1778+$I$1767+$G$1732+$E$1660+$C$1506+$A$1461+$M$1793+$O$1791+Q1795</f>
        <v>62539.971302399994</v>
      </c>
      <c r="X1793">
        <f>u_ChronicResp+u_CongnitiveImpairement</f>
        <v>17.805052694763283</v>
      </c>
      <c r="Z1793" s="42">
        <f t="shared" si="203"/>
        <v>0</v>
      </c>
      <c r="AA1793" s="6">
        <f t="shared" si="202"/>
        <v>0</v>
      </c>
      <c r="AB1793" s="42">
        <f t="shared" si="205"/>
        <v>0</v>
      </c>
      <c r="AC1793" s="42">
        <f>U1793*(Q1795-c_CSG)</f>
        <v>0</v>
      </c>
    </row>
    <row r="1794" spans="7:29" x14ac:dyDescent="0.3">
      <c r="M1794" s="42"/>
      <c r="Q1794" s="45">
        <f>Hypo2CI_4*RDS2CLD_4</f>
        <v>1.8531333333333334E-2</v>
      </c>
      <c r="R1794" s="45"/>
      <c r="T1794" s="78"/>
      <c r="V1794">
        <v>0</v>
      </c>
      <c r="Z1794" s="42">
        <f t="shared" si="203"/>
        <v>0</v>
      </c>
      <c r="AA1794" s="6">
        <f t="shared" si="202"/>
        <v>0</v>
      </c>
      <c r="AB1794" s="42">
        <f t="shared" si="205"/>
        <v>0</v>
      </c>
      <c r="AC1794" s="42"/>
    </row>
    <row r="1795" spans="7:29" x14ac:dyDescent="0.3">
      <c r="M1795" s="42"/>
      <c r="Q1795" s="46">
        <f>c_lung+c_cog+c_hosp_fu+c_CSG</f>
        <v>58348.510902399998</v>
      </c>
      <c r="R1795" s="46"/>
      <c r="T1795" s="78"/>
      <c r="Z1795" s="42">
        <f t="shared" si="203"/>
        <v>0</v>
      </c>
      <c r="AA1795" s="6">
        <f t="shared" si="202"/>
        <v>0</v>
      </c>
      <c r="AB1795" s="42">
        <f t="shared" si="205"/>
        <v>0</v>
      </c>
      <c r="AC1795" s="42">
        <f>U1795*(Q1797-c_CSG)</f>
        <v>0</v>
      </c>
    </row>
    <row r="1796" spans="7:29" x14ac:dyDescent="0.3">
      <c r="M1796" s="42"/>
      <c r="Q1796" s="19" t="s">
        <v>369</v>
      </c>
      <c r="R1796" s="19"/>
      <c r="T1796" s="78"/>
      <c r="U1796">
        <f>$K$1777*$I$1766*$G$1731*$E$1659*$C$1505*$A$1460*$M$1792*$O$1790*Q1797</f>
        <v>0</v>
      </c>
      <c r="W1796" s="42">
        <f>$K$1778+$I$1767+$G$1732+$E$1660+$C$1506+$A$1461+$M$1793+$O$1791+Q1798</f>
        <v>18594.4604</v>
      </c>
      <c r="X1796">
        <f>u_Healthy</f>
        <v>0</v>
      </c>
      <c r="Z1796" s="42">
        <f t="shared" si="203"/>
        <v>0</v>
      </c>
      <c r="AA1796" s="6">
        <f t="shared" si="202"/>
        <v>0</v>
      </c>
      <c r="AB1796" s="42">
        <f t="shared" si="205"/>
        <v>0</v>
      </c>
      <c r="AC1796" s="42">
        <f>U1796*(Q1798-c_CSG)</f>
        <v>0</v>
      </c>
    </row>
    <row r="1797" spans="7:29" x14ac:dyDescent="0.3">
      <c r="M1797" s="42"/>
      <c r="O1797" s="42"/>
      <c r="Q1797" s="45">
        <f>1-Q1788-Q1791-Q1794</f>
        <v>0.60619800000000001</v>
      </c>
      <c r="R1797" s="45"/>
      <c r="T1797" s="78"/>
      <c r="V1797">
        <v>0</v>
      </c>
      <c r="Z1797" s="42">
        <f t="shared" si="203"/>
        <v>0</v>
      </c>
      <c r="AA1797" s="6">
        <f t="shared" si="202"/>
        <v>0</v>
      </c>
      <c r="AB1797" s="42">
        <f t="shared" si="205"/>
        <v>0</v>
      </c>
      <c r="AC1797" s="42">
        <f>U1797*(Q1799-c_CSG)</f>
        <v>0</v>
      </c>
    </row>
    <row r="1798" spans="7:29" x14ac:dyDescent="0.3">
      <c r="M1798" s="42"/>
      <c r="Q1798" s="46">
        <f>c_clinic_fu+c_CSG</f>
        <v>14403</v>
      </c>
      <c r="R1798" s="46"/>
      <c r="S1798" s="94"/>
      <c r="T1798" s="78"/>
      <c r="Z1798" s="42">
        <f t="shared" si="203"/>
        <v>0</v>
      </c>
      <c r="AA1798" s="6">
        <f t="shared" si="202"/>
        <v>0</v>
      </c>
      <c r="AB1798" s="42">
        <f t="shared" si="205"/>
        <v>0</v>
      </c>
      <c r="AC1798" s="42"/>
    </row>
    <row r="1799" spans="7:29" x14ac:dyDescent="0.3">
      <c r="M1799" s="42"/>
      <c r="Q1799" s="42"/>
      <c r="R1799" s="42"/>
      <c r="T1799" s="78"/>
      <c r="Z1799" s="42">
        <f t="shared" si="203"/>
        <v>0</v>
      </c>
      <c r="AA1799" s="6">
        <f t="shared" si="202"/>
        <v>0</v>
      </c>
      <c r="AB1799" s="42">
        <f t="shared" si="205"/>
        <v>0</v>
      </c>
      <c r="AC1799" s="42">
        <f>U1799*(Q1801-c_CSG)</f>
        <v>0</v>
      </c>
    </row>
    <row r="1800" spans="7:29" x14ac:dyDescent="0.3">
      <c r="M1800" s="42"/>
      <c r="Q1800" s="19" t="s">
        <v>367</v>
      </c>
      <c r="R1800" s="19"/>
      <c r="T1800" s="78"/>
      <c r="U1800">
        <f>$K$1777*$I$1766*$G$1731*$E$1659*$C$1505*$A$1460*$M$1792*$O$1804*Q1801</f>
        <v>2.4797308328744445E-2</v>
      </c>
      <c r="V1800">
        <v>2.4797308328744445E-2</v>
      </c>
      <c r="W1800" s="42">
        <f>$K$1778+$I$1767+$G$1732+$E$1660+$C$1506+$A$1461+$M$1793+$O$1805+Q1802</f>
        <v>55784.710902399995</v>
      </c>
      <c r="X1800">
        <f>u_ChronicResp</f>
        <v>0.53465956747782661</v>
      </c>
      <c r="Z1800" s="42">
        <f t="shared" si="203"/>
        <v>1383.3106762766845</v>
      </c>
      <c r="AA1800" s="6">
        <f t="shared" si="202"/>
        <v>1.3258118145660813E-2</v>
      </c>
      <c r="AB1800" s="42">
        <f t="shared" si="205"/>
        <v>273.76228394933867</v>
      </c>
      <c r="AC1800" s="42">
        <f>U1800*(Q1802-c_CSG)</f>
        <v>1078.4228109131059</v>
      </c>
    </row>
    <row r="1801" spans="7:29" x14ac:dyDescent="0.3">
      <c r="M1801" s="42"/>
      <c r="Q1801" s="45">
        <f>RDS2CLD_4-(RDS2CLD_4*noHypo2CI_4)</f>
        <v>0.34905610687022898</v>
      </c>
      <c r="R1801" s="45"/>
      <c r="T1801" s="78"/>
      <c r="Z1801" s="42">
        <f t="shared" si="203"/>
        <v>0</v>
      </c>
      <c r="AA1801" s="6">
        <f t="shared" si="202"/>
        <v>0</v>
      </c>
      <c r="AB1801" s="42">
        <f t="shared" si="205"/>
        <v>0</v>
      </c>
      <c r="AC1801" s="42"/>
    </row>
    <row r="1802" spans="7:29" x14ac:dyDescent="0.3">
      <c r="M1802" s="42"/>
      <c r="Q1802" s="46">
        <f>c_lung+c_hosp_fu+c_CSG</f>
        <v>54529.510902399998</v>
      </c>
      <c r="R1802" s="46"/>
      <c r="T1802" s="78"/>
      <c r="Z1802" s="42">
        <f t="shared" si="203"/>
        <v>0</v>
      </c>
      <c r="AA1802" s="6">
        <f t="shared" si="202"/>
        <v>0</v>
      </c>
      <c r="AB1802" s="42">
        <f t="shared" si="205"/>
        <v>0</v>
      </c>
      <c r="AC1802" s="42">
        <f>U1802*(Q1804-c_CSG)</f>
        <v>0</v>
      </c>
    </row>
    <row r="1803" spans="7:29" x14ac:dyDescent="0.3">
      <c r="M1803" s="42"/>
      <c r="O1803" s="19" t="s">
        <v>370</v>
      </c>
      <c r="Q1803" s="19" t="s">
        <v>226</v>
      </c>
      <c r="R1803" s="19"/>
      <c r="T1803" s="78"/>
      <c r="U1803">
        <f>$K$1777*$I$1766*$G$1731*$E$1659*$C$1505*$A$1460*$M$1792*$O$1804*Q1804</f>
        <v>1.5019271449869143E-3</v>
      </c>
      <c r="V1803">
        <v>1.5019271449869143E-3</v>
      </c>
      <c r="W1803" s="42">
        <f>$K$1778+$I$1767+$G$1732+$E$1660+$C$1506+$A$1461+$M$1793+$O$1805+Q1805</f>
        <v>17021.2</v>
      </c>
      <c r="X1803">
        <f>u_CongnitiveImpairement</f>
        <v>17.270393127285455</v>
      </c>
      <c r="Z1803" s="42">
        <f t="shared" si="203"/>
        <v>25.564602320251268</v>
      </c>
      <c r="AA1803" s="6">
        <f t="shared" si="202"/>
        <v>2.593887224246547E-2</v>
      </c>
      <c r="AB1803" s="42">
        <f t="shared" si="205"/>
        <v>16.581275680655533</v>
      </c>
      <c r="AC1803" s="42">
        <f>U1803*(Q1805-c_CSG)</f>
        <v>7.0981076872081568</v>
      </c>
    </row>
    <row r="1804" spans="7:29" x14ac:dyDescent="0.3">
      <c r="M1804" s="42"/>
      <c r="O1804" s="45">
        <f>AGA_term_2normoglycaemia_4</f>
        <v>1</v>
      </c>
      <c r="Q1804" s="45">
        <f>noHypo2CI_4-(RDS2CLD_4*noHypo2CI_4)</f>
        <v>2.1141683406990762E-2</v>
      </c>
      <c r="R1804" s="45"/>
      <c r="T1804" s="78"/>
      <c r="Z1804" s="42">
        <f t="shared" si="203"/>
        <v>0</v>
      </c>
      <c r="AA1804" s="6">
        <f t="shared" si="202"/>
        <v>0</v>
      </c>
      <c r="AB1804" s="42">
        <f t="shared" si="205"/>
        <v>0</v>
      </c>
      <c r="AC1804" s="42"/>
    </row>
    <row r="1805" spans="7:29" x14ac:dyDescent="0.3">
      <c r="M1805" s="42"/>
      <c r="O1805" s="46"/>
      <c r="Q1805" s="46">
        <f>c_cog+c_hosp_fu+c_CSG</f>
        <v>15766</v>
      </c>
      <c r="R1805" s="46"/>
      <c r="T1805" s="78"/>
      <c r="Z1805" s="42">
        <f t="shared" si="203"/>
        <v>0</v>
      </c>
      <c r="AA1805" s="6">
        <f t="shared" si="202"/>
        <v>0</v>
      </c>
      <c r="AB1805" s="42">
        <f t="shared" si="205"/>
        <v>0</v>
      </c>
      <c r="AC1805" s="42">
        <f>U1805*(Q1807-c_CSG)</f>
        <v>0</v>
      </c>
    </row>
    <row r="1806" spans="7:29" x14ac:dyDescent="0.3">
      <c r="G1806" s="42"/>
      <c r="M1806" s="42"/>
      <c r="Q1806" s="19" t="s">
        <v>368</v>
      </c>
      <c r="R1806" s="19"/>
      <c r="T1806" s="78"/>
      <c r="U1806">
        <f>$K$1777*$I$1766*$G$1731*$E$1659*$C$1505*$A$1460*$M$1792*$O$1804*Q1807</f>
        <v>8.4850657173752111E-4</v>
      </c>
      <c r="V1806">
        <v>8.4850657173752111E-4</v>
      </c>
      <c r="W1806" s="42">
        <f>$K$1778+$I$1767+$G$1732+$E$1660+$C$1506+$A$1461+$M$1793+$O$1805+Q1808</f>
        <v>59603.710902399995</v>
      </c>
      <c r="X1806">
        <f>u_ChronicResp+u_CongnitiveImpairement</f>
        <v>17.805052694763283</v>
      </c>
      <c r="Z1806" s="42">
        <f t="shared" si="203"/>
        <v>50.57414040062973</v>
      </c>
      <c r="AA1806" s="6">
        <f t="shared" si="202"/>
        <v>1.5107704221639505E-2</v>
      </c>
      <c r="AB1806" s="42">
        <f t="shared" si="205"/>
        <v>9.3675125519822338</v>
      </c>
      <c r="AC1806" s="42">
        <f>U1806*(Q1808-c_CSG)</f>
        <v>40.141582399802566</v>
      </c>
    </row>
    <row r="1807" spans="7:29" x14ac:dyDescent="0.3">
      <c r="Q1807" s="45">
        <f>RDS2CLD_4*noHypo2CI_4</f>
        <v>1.1943893129770991E-2</v>
      </c>
      <c r="R1807" s="45"/>
      <c r="T1807" s="78"/>
      <c r="Z1807" s="42">
        <f t="shared" si="203"/>
        <v>0</v>
      </c>
      <c r="AA1807" s="6">
        <f t="shared" si="202"/>
        <v>0</v>
      </c>
      <c r="AB1807" s="42">
        <f t="shared" si="205"/>
        <v>0</v>
      </c>
      <c r="AC1807" s="42"/>
    </row>
    <row r="1808" spans="7:29" x14ac:dyDescent="0.3">
      <c r="Q1808" s="46">
        <f>c_cog+c_lung+c_hosp_fu+c_CSG</f>
        <v>58348.510902399998</v>
      </c>
      <c r="R1808" s="46"/>
      <c r="T1808" s="78"/>
      <c r="Z1808" s="42">
        <f t="shared" si="203"/>
        <v>0</v>
      </c>
      <c r="AA1808" s="6">
        <f t="shared" si="202"/>
        <v>0</v>
      </c>
      <c r="AB1808" s="42">
        <f t="shared" si="205"/>
        <v>0</v>
      </c>
      <c r="AC1808" s="42">
        <f>U1808*(Q1810-c_CSG)</f>
        <v>0</v>
      </c>
    </row>
    <row r="1809" spans="1:29" x14ac:dyDescent="0.3">
      <c r="M1809" s="42"/>
      <c r="Q1809" s="19" t="s">
        <v>369</v>
      </c>
      <c r="R1809" s="19"/>
      <c r="T1809" s="78"/>
      <c r="U1809">
        <f>$K$1777*$I$1766*$G$1731*$E$1659*$C$1505*$A$1460*$M$1792*$O$1804*Q1810</f>
        <v>4.3893296460021346E-2</v>
      </c>
      <c r="V1809">
        <v>4.3893296460021346E-2</v>
      </c>
      <c r="W1809" s="42">
        <f>$K$1778+$I$1767+$G$1732+$E$1660+$C$1506+$A$1461+$M$1793+$O$1805+Q1811</f>
        <v>15658.2</v>
      </c>
      <c r="X1809">
        <f>u_Healthy</f>
        <v>0</v>
      </c>
      <c r="Z1809" s="42">
        <f t="shared" si="203"/>
        <v>687.29001463030625</v>
      </c>
      <c r="AA1809" s="6">
        <f t="shared" si="202"/>
        <v>0</v>
      </c>
      <c r="AB1809" s="42">
        <f t="shared" si="205"/>
        <v>484.58199291863565</v>
      </c>
      <c r="AC1809" s="42">
        <f>U1809*(Q1811-c_CSG)</f>
        <v>147.61315599505178</v>
      </c>
    </row>
    <row r="1810" spans="1:29" x14ac:dyDescent="0.3">
      <c r="M1810" s="42"/>
      <c r="Q1810" s="45">
        <f>1-Q1807-Q1804-Q1801</f>
        <v>0.61785831659300938</v>
      </c>
      <c r="R1810" s="45"/>
      <c r="T1810" s="78"/>
      <c r="AA1810" s="6"/>
      <c r="AB1810" s="42">
        <f t="shared" si="205"/>
        <v>0</v>
      </c>
      <c r="AC1810" s="42">
        <f>U1810*(Q1812-c_CSG)</f>
        <v>0</v>
      </c>
    </row>
    <row r="1811" spans="1:29" x14ac:dyDescent="0.3">
      <c r="M1811" s="42"/>
      <c r="Q1811" s="46">
        <f>c_clinic_fu+c_CSG</f>
        <v>14403</v>
      </c>
      <c r="R1811" s="46"/>
      <c r="T1811" s="78"/>
      <c r="AA1811" s="6"/>
    </row>
    <row r="1812" spans="1:29" x14ac:dyDescent="0.3">
      <c r="A1812" s="81"/>
      <c r="B1812" s="81"/>
      <c r="C1812" s="81"/>
      <c r="D1812" s="81"/>
      <c r="E1812" s="81"/>
      <c r="F1812" s="81"/>
      <c r="G1812" s="81"/>
      <c r="H1812" s="81"/>
      <c r="I1812" s="81"/>
      <c r="J1812" s="81"/>
      <c r="K1812" s="81"/>
      <c r="L1812" s="81"/>
      <c r="M1812" s="83"/>
      <c r="N1812" s="81"/>
      <c r="O1812" s="81"/>
      <c r="P1812" s="81"/>
      <c r="Q1812" s="83"/>
      <c r="R1812" s="83"/>
      <c r="S1812" s="95"/>
      <c r="T1812" s="78"/>
      <c r="AA1812" s="6"/>
    </row>
    <row r="1813" spans="1:29" x14ac:dyDescent="0.3">
      <c r="T1813" s="100"/>
      <c r="U1813" s="98">
        <f>SUM(U909:U1809)</f>
        <v>1.0000000000000002</v>
      </c>
      <c r="V1813" s="98"/>
      <c r="W1813" s="98">
        <f>SUM(W909:W1809)</f>
        <v>48408541.642780259</v>
      </c>
      <c r="X1813" s="98">
        <f>SUM(X909:X1809)</f>
        <v>2624.314430989391</v>
      </c>
      <c r="Y1813" s="98"/>
      <c r="Z1813" s="98">
        <f>SUM(Z909:Z1809)</f>
        <v>122246.46644948148</v>
      </c>
      <c r="AA1813" s="99">
        <f>SUM(AA909:AA1809)</f>
        <v>1.3097645017916142</v>
      </c>
      <c r="AB1813" s="98"/>
      <c r="AC1813" s="20"/>
    </row>
  </sheetData>
  <conditionalFormatting sqref="T1139:T1811">
    <cfRule type="colorScale" priority="1">
      <colorScale>
        <cfvo type="min"/>
        <cfvo type="percentile" val="50"/>
        <cfvo type="max"/>
        <color rgb="FFF8696B"/>
        <color rgb="FFFFEB84"/>
        <color rgb="FF63BE7B"/>
      </colorScale>
    </cfRule>
  </conditionalFormatting>
  <conditionalFormatting sqref="BJ63:BY83">
    <cfRule type="colorScale" priority="9">
      <colorScale>
        <cfvo type="min"/>
        <cfvo type="percentile" val="50"/>
        <cfvo type="max"/>
        <color rgb="FF63BE7B"/>
        <color rgb="FFFFEB84"/>
        <color rgb="FFF8696B"/>
      </colorScale>
    </cfRule>
  </conditionalFormatting>
  <conditionalFormatting sqref="BK530:CQ601">
    <cfRule type="colorScale" priority="6">
      <colorScale>
        <cfvo type="min"/>
        <cfvo type="percentile" val="50"/>
        <cfvo type="max"/>
        <color rgb="FFF8696B"/>
        <color rgb="FFFFEB84"/>
        <color rgb="FF63BE7B"/>
      </colorScale>
    </cfRule>
  </conditionalFormatting>
  <pageMargins left="0.7" right="0.7" top="0.75" bottom="0.75" header="0.3" footer="0.3"/>
  <pageSetup orientation="portrait"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J17"/>
  <sheetViews>
    <sheetView zoomScaleNormal="100" workbookViewId="0">
      <selection activeCell="O21" sqref="O21"/>
    </sheetView>
  </sheetViews>
  <sheetFormatPr defaultRowHeight="14.4" x14ac:dyDescent="0.3"/>
  <cols>
    <col min="1" max="1" width="16.5546875" bestFit="1" customWidth="1"/>
    <col min="2" max="2" width="13" bestFit="1" customWidth="1"/>
    <col min="3" max="3" width="17.21875" bestFit="1" customWidth="1"/>
    <col min="4" max="4" width="17.6640625" customWidth="1"/>
    <col min="5" max="5" width="16" bestFit="1" customWidth="1"/>
    <col min="6" max="6" width="11.33203125" bestFit="1" customWidth="1"/>
    <col min="7" max="7" width="10.5546875" customWidth="1"/>
    <col min="8" max="8" width="15.88671875" bestFit="1" customWidth="1"/>
    <col min="9" max="9" width="14.5546875" bestFit="1" customWidth="1"/>
  </cols>
  <sheetData>
    <row r="1" spans="1:10" x14ac:dyDescent="0.3">
      <c r="A1" s="25"/>
      <c r="B1" s="27"/>
      <c r="C1" s="26"/>
      <c r="D1" s="25"/>
      <c r="E1" s="25"/>
      <c r="F1" s="25"/>
    </row>
    <row r="2" spans="1:10" ht="15" thickBot="1" x14ac:dyDescent="0.35">
      <c r="A2" s="25"/>
      <c r="B2" s="27" t="s">
        <v>210</v>
      </c>
      <c r="C2" s="25"/>
      <c r="D2" s="25"/>
      <c r="F2" s="27" t="s">
        <v>65</v>
      </c>
      <c r="I2" s="25"/>
    </row>
    <row r="3" spans="1:10" ht="15" thickBot="1" x14ac:dyDescent="0.35">
      <c r="A3" s="28" t="s">
        <v>4</v>
      </c>
      <c r="B3" s="33">
        <f>'Decision tree'!Z908</f>
        <v>91072.454422360941</v>
      </c>
      <c r="C3" s="186">
        <f>B3*Total_PSG_uptake</f>
        <v>33206079477.652355</v>
      </c>
      <c r="D3" s="200"/>
      <c r="E3" s="200"/>
      <c r="F3" s="197">
        <f>C3/Parameters!C239</f>
        <v>2244336418.3469539</v>
      </c>
      <c r="G3" s="43">
        <f>'Decision tree'!AA908</f>
        <v>1.1802989639413624</v>
      </c>
      <c r="H3" s="40">
        <f>G3*Total_PSG_uptake</f>
        <v>430350.77348705515</v>
      </c>
    </row>
    <row r="4" spans="1:10" ht="15" thickBot="1" x14ac:dyDescent="0.35">
      <c r="A4" s="28" t="s">
        <v>5</v>
      </c>
      <c r="B4" s="33">
        <f>'Decision tree'!Z1813</f>
        <v>122246.46644948148</v>
      </c>
      <c r="C4" s="186">
        <f>B4*Total_PSG_uptake</f>
        <v>44572487988.058014</v>
      </c>
      <c r="D4" s="200"/>
      <c r="E4" s="200"/>
      <c r="F4" s="197">
        <f>C4/Parameters!C240</f>
        <v>3012570578.0850945</v>
      </c>
      <c r="G4" s="43">
        <f>'Decision tree'!AA1813</f>
        <v>1.3097645017916142</v>
      </c>
      <c r="H4" s="40">
        <f>G4*Total_PSG_uptake</f>
        <v>477555.41913693602</v>
      </c>
    </row>
    <row r="5" spans="1:10" ht="15" thickBot="1" x14ac:dyDescent="0.35">
      <c r="A5" s="30"/>
      <c r="B5" s="25"/>
      <c r="C5" s="186"/>
      <c r="D5" s="200"/>
      <c r="E5" s="200"/>
      <c r="F5" s="25"/>
      <c r="G5" s="31"/>
    </row>
    <row r="6" spans="1:10" ht="15" thickBot="1" x14ac:dyDescent="0.35">
      <c r="A6" s="90" t="s">
        <v>61</v>
      </c>
      <c r="B6" s="91">
        <f>B3-B4</f>
        <v>-31174.012027120538</v>
      </c>
      <c r="C6" s="186">
        <f>B6*Total_PSG_uptake</f>
        <v>-11366408510.405659</v>
      </c>
      <c r="D6" s="186"/>
      <c r="E6" s="186"/>
      <c r="F6" s="92" t="s">
        <v>714</v>
      </c>
      <c r="G6" s="93">
        <f>G4-G3</f>
        <v>0.12946553785025183</v>
      </c>
      <c r="H6" s="40">
        <f>G6*Total_PSG_uptake</f>
        <v>47204.64564988084</v>
      </c>
    </row>
    <row r="7" spans="1:10" x14ac:dyDescent="0.3">
      <c r="A7" s="25"/>
      <c r="B7" s="25"/>
      <c r="C7" s="198">
        <f>C6/Parameters!C239</f>
        <v>-768234159.73814058</v>
      </c>
      <c r="D7" s="198"/>
      <c r="E7" s="198"/>
      <c r="F7" s="25"/>
      <c r="G7" s="25"/>
      <c r="H7" s="25"/>
    </row>
    <row r="8" spans="1:10" ht="15" thickBot="1" x14ac:dyDescent="0.35">
      <c r="A8" s="25"/>
      <c r="B8" s="25"/>
      <c r="C8" s="25"/>
      <c r="D8" s="25"/>
      <c r="E8" s="25"/>
      <c r="F8" s="25"/>
    </row>
    <row r="9" spans="1:10" ht="15" thickBot="1" x14ac:dyDescent="0.35">
      <c r="A9" s="25"/>
      <c r="B9" s="89" t="s">
        <v>272</v>
      </c>
      <c r="C9" s="187">
        <f>(C12*G6)-B6</f>
        <v>36158.435234355231</v>
      </c>
      <c r="D9" s="187">
        <f>(C12*H6)-C6</f>
        <v>13183787367.926071</v>
      </c>
      <c r="E9" s="25"/>
      <c r="G9" s="197">
        <f>C9/Parameters!C239</f>
        <v>2443.8805876351071</v>
      </c>
      <c r="H9" s="197">
        <f>D9/Parameters!C239</f>
        <v>891067376.42702651</v>
      </c>
    </row>
    <row r="10" spans="1:10" ht="15" thickBot="1" x14ac:dyDescent="0.35">
      <c r="A10" s="25"/>
      <c r="B10" s="89" t="s">
        <v>62</v>
      </c>
      <c r="C10" s="187">
        <f>B6/G6</f>
        <v>-240790.03991918225</v>
      </c>
      <c r="D10" s="187">
        <f>C6/H6</f>
        <v>-240790.03991918222</v>
      </c>
      <c r="E10" s="29" t="s">
        <v>217</v>
      </c>
      <c r="F10" s="42">
        <f>C10/14</f>
        <v>-17199.288565655876</v>
      </c>
      <c r="G10" s="197">
        <f>C10/Parameters!C240</f>
        <v>-16274.545633414366</v>
      </c>
      <c r="H10" s="197">
        <f>D10/Parameters!C240</f>
        <v>-16274.545633414364</v>
      </c>
      <c r="J10" s="22"/>
    </row>
    <row r="11" spans="1:10" x14ac:dyDescent="0.3">
      <c r="A11" s="25"/>
      <c r="B11" s="25"/>
      <c r="C11" s="25"/>
      <c r="D11" s="25"/>
    </row>
    <row r="12" spans="1:10" x14ac:dyDescent="0.3">
      <c r="B12" s="67" t="s">
        <v>232</v>
      </c>
      <c r="C12" s="68">
        <f>'Sensitivity analysis'!C20</f>
        <v>38500</v>
      </c>
      <c r="D12" s="25" t="s">
        <v>273</v>
      </c>
    </row>
    <row r="14" spans="1:10" x14ac:dyDescent="0.3">
      <c r="B14" t="s">
        <v>67</v>
      </c>
      <c r="C14" t="s">
        <v>739</v>
      </c>
      <c r="I14" s="21"/>
    </row>
    <row r="15" spans="1:10" x14ac:dyDescent="0.3">
      <c r="A15" t="s">
        <v>232</v>
      </c>
      <c r="B15">
        <v>38500</v>
      </c>
      <c r="C15">
        <v>1</v>
      </c>
      <c r="D15" s="197">
        <f>B15/Parameters!C239</f>
        <v>2602.1425433408804</v>
      </c>
    </row>
    <row r="16" spans="1:10" x14ac:dyDescent="0.3">
      <c r="A16" t="s">
        <v>62</v>
      </c>
      <c r="B16" s="107">
        <f>C10</f>
        <v>-240790.03991918225</v>
      </c>
      <c r="C16">
        <v>1</v>
      </c>
      <c r="D16" s="197">
        <f>B16/Parameters!C240</f>
        <v>-16274.545633414366</v>
      </c>
    </row>
    <row r="17" spans="1:4" x14ac:dyDescent="0.3">
      <c r="A17" t="s">
        <v>740</v>
      </c>
      <c r="B17" s="42">
        <f>B6</f>
        <v>-31174.012027120538</v>
      </c>
      <c r="C17" s="87">
        <f>G6</f>
        <v>0.12946553785025183</v>
      </c>
      <c r="D17" s="197">
        <f>B17/Parameters!C241</f>
        <v>-2106.9928036984579</v>
      </c>
    </row>
  </sheetData>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787EE-8081-4FDB-A0B0-D92CC27AA002}">
  <dimension ref="A1:O19"/>
  <sheetViews>
    <sheetView zoomScaleNormal="100" workbookViewId="0">
      <selection activeCell="H12" sqref="H12"/>
    </sheetView>
  </sheetViews>
  <sheetFormatPr defaultRowHeight="14.4" x14ac:dyDescent="0.3"/>
  <cols>
    <col min="1" max="1" width="16.5546875" bestFit="1" customWidth="1"/>
    <col min="2" max="2" width="13" bestFit="1" customWidth="1"/>
    <col min="3" max="3" width="17.21875" bestFit="1" customWidth="1"/>
    <col min="4" max="4" width="17.6640625" customWidth="1"/>
    <col min="5" max="5" width="16" bestFit="1" customWidth="1"/>
    <col min="6" max="8" width="15.88671875" bestFit="1" customWidth="1"/>
    <col min="9" max="9" width="16" bestFit="1" customWidth="1"/>
    <col min="10" max="10" width="10.77734375" bestFit="1" customWidth="1"/>
    <col min="11" max="15" width="9.5546875" bestFit="1" customWidth="1"/>
  </cols>
  <sheetData>
    <row r="1" spans="1:15" x14ac:dyDescent="0.3">
      <c r="A1" s="25"/>
      <c r="B1" s="27"/>
      <c r="C1" s="26"/>
      <c r="D1" s="25"/>
      <c r="E1" s="25"/>
      <c r="F1" s="25"/>
    </row>
    <row r="2" spans="1:15" ht="15" thickBot="1" x14ac:dyDescent="0.35">
      <c r="A2" s="25"/>
      <c r="B2" s="27" t="s">
        <v>210</v>
      </c>
      <c r="C2" s="25" t="s">
        <v>860</v>
      </c>
      <c r="D2" s="25" t="s">
        <v>856</v>
      </c>
      <c r="E2" s="25" t="s">
        <v>857</v>
      </c>
      <c r="F2" s="25" t="s">
        <v>858</v>
      </c>
      <c r="G2" s="25" t="s">
        <v>859</v>
      </c>
      <c r="J2" s="27" t="s">
        <v>65</v>
      </c>
      <c r="K2" t="s">
        <v>860</v>
      </c>
      <c r="L2" s="25" t="s">
        <v>856</v>
      </c>
      <c r="M2" s="25" t="s">
        <v>857</v>
      </c>
      <c r="N2" s="25" t="s">
        <v>858</v>
      </c>
      <c r="O2" s="25" t="s">
        <v>859</v>
      </c>
    </row>
    <row r="3" spans="1:15" ht="15" thickBot="1" x14ac:dyDescent="0.35">
      <c r="A3" s="28" t="s">
        <v>4</v>
      </c>
      <c r="B3" s="33">
        <f>'Decision tree'!Z908</f>
        <v>91072.454422360941</v>
      </c>
      <c r="C3" s="186">
        <f>$B3*Total_PSG_uptake</f>
        <v>33206079477.652355</v>
      </c>
      <c r="D3" s="186">
        <f>$B3*High_eligible</f>
        <v>60301597114.380798</v>
      </c>
      <c r="E3" s="186">
        <f>$B3*Low_eligible</f>
        <v>20100532371.460266</v>
      </c>
      <c r="F3" s="186">
        <f>$B3*High_uptake</f>
        <v>40201064742.920532</v>
      </c>
      <c r="G3" s="186">
        <f>$B3*Low_uptake</f>
        <v>16603039738.826178</v>
      </c>
      <c r="H3" s="200"/>
      <c r="I3" s="197"/>
      <c r="J3" s="43">
        <f>'Decision tree'!AA908</f>
        <v>1.1802989639413624</v>
      </c>
      <c r="K3" s="40">
        <f>$J3*Total_PSG_uptake</f>
        <v>430350.77348705515</v>
      </c>
      <c r="L3" s="40">
        <f>$J3*High_eligible</f>
        <v>781508.66856002761</v>
      </c>
      <c r="M3" s="40">
        <f>$J3*Low_eligible</f>
        <v>260502.88952000919</v>
      </c>
      <c r="N3" s="40">
        <f>$J3*High_uptake</f>
        <v>521005.77904001839</v>
      </c>
      <c r="O3" s="40">
        <f>$J3*Low_uptake</f>
        <v>215175.38674352758</v>
      </c>
    </row>
    <row r="4" spans="1:15" ht="15" thickBot="1" x14ac:dyDescent="0.35">
      <c r="A4" s="28" t="s">
        <v>5</v>
      </c>
      <c r="B4" s="33">
        <f>'Decision tree'!Z1813</f>
        <v>122246.46644948148</v>
      </c>
      <c r="C4" s="186">
        <f>$B4*Total_PSG_uptake</f>
        <v>44572487988.058014</v>
      </c>
      <c r="D4" s="186">
        <f>$B4*High_eligible</f>
        <v>80942774796.71553</v>
      </c>
      <c r="E4" s="186">
        <f>$B4*Low_eligible</f>
        <v>26980924932.23851</v>
      </c>
      <c r="F4" s="186">
        <f>$B4*High_uptake</f>
        <v>53961849864.47702</v>
      </c>
      <c r="G4" s="186">
        <f>$B4*Low_uptake</f>
        <v>22286243994.029007</v>
      </c>
      <c r="H4" s="200"/>
      <c r="I4" s="197"/>
      <c r="J4" s="43">
        <f>'Decision tree'!AA1813</f>
        <v>1.3097645017916142</v>
      </c>
      <c r="K4" s="40">
        <f>$J4*Total_PSG_uptake</f>
        <v>477555.41913693602</v>
      </c>
      <c r="L4" s="40">
        <f>$J4*High_eligible</f>
        <v>867231.3906845086</v>
      </c>
      <c r="M4" s="40">
        <f>$J4*Low_eligible</f>
        <v>289077.1302281695</v>
      </c>
      <c r="N4" s="40">
        <f>$J4*High_uptake</f>
        <v>578154.26045633899</v>
      </c>
      <c r="O4" s="40">
        <f>$J4*Low_uptake</f>
        <v>238777.70956846801</v>
      </c>
    </row>
    <row r="5" spans="1:15" ht="15" thickBot="1" x14ac:dyDescent="0.35">
      <c r="A5" s="30"/>
      <c r="B5" s="25"/>
      <c r="C5" s="186"/>
      <c r="D5" s="200"/>
      <c r="E5" s="200"/>
      <c r="F5" s="200"/>
      <c r="G5" s="200"/>
      <c r="H5" s="200"/>
      <c r="I5" s="25"/>
      <c r="J5" s="31"/>
    </row>
    <row r="6" spans="1:15" ht="15" thickBot="1" x14ac:dyDescent="0.35">
      <c r="A6" s="90" t="s">
        <v>61</v>
      </c>
      <c r="B6" s="91">
        <f>B3-B4</f>
        <v>-31174.012027120538</v>
      </c>
      <c r="C6" s="186">
        <f>B6*Total_PSG_uptake</f>
        <v>-11366408510.405659</v>
      </c>
      <c r="D6" s="186">
        <f>D3-D4</f>
        <v>-20641177682.334732</v>
      </c>
      <c r="E6" s="186">
        <f t="shared" ref="E6:G6" si="0">E3-E4</f>
        <v>-6880392560.778244</v>
      </c>
      <c r="F6" s="186">
        <f t="shared" si="0"/>
        <v>-13760785121.556488</v>
      </c>
      <c r="G6" s="186">
        <f t="shared" si="0"/>
        <v>-5683204255.2028294</v>
      </c>
      <c r="H6" s="186"/>
      <c r="I6" s="92" t="s">
        <v>714</v>
      </c>
      <c r="J6" s="93">
        <f>J4-J3</f>
        <v>0.12946553785025183</v>
      </c>
      <c r="K6" s="40">
        <f>J6*Total_PSG_uptake</f>
        <v>47204.64564988084</v>
      </c>
      <c r="L6" s="40">
        <f>L4-L3</f>
        <v>85722.722124480992</v>
      </c>
      <c r="M6" s="40">
        <f t="shared" ref="M6:O6" si="1">M4-M3</f>
        <v>28574.240708160301</v>
      </c>
      <c r="N6" s="40">
        <f t="shared" si="1"/>
        <v>57148.481416320603</v>
      </c>
      <c r="O6" s="40">
        <f t="shared" si="1"/>
        <v>23602.322824940435</v>
      </c>
    </row>
    <row r="7" spans="1:15" x14ac:dyDescent="0.3">
      <c r="A7" s="25"/>
      <c r="B7" s="25"/>
      <c r="C7" s="198">
        <f>C6/USD_conversion</f>
        <v>-768234159.73814058</v>
      </c>
      <c r="D7" s="198">
        <f>D6/USD_conversion</f>
        <v>-1395098353.0353642</v>
      </c>
      <c r="E7" s="198">
        <f>E6/USD_conversion</f>
        <v>-465032784.34512138</v>
      </c>
      <c r="F7" s="198">
        <f>F6/USD_conversion</f>
        <v>-930065568.69024277</v>
      </c>
      <c r="G7" s="198">
        <f>G6/USD_conversion</f>
        <v>-384117079.86907029</v>
      </c>
      <c r="H7" s="198"/>
      <c r="I7" s="25"/>
      <c r="J7" s="25"/>
      <c r="K7" s="25"/>
    </row>
    <row r="8" spans="1:15" ht="15" thickBot="1" x14ac:dyDescent="0.35">
      <c r="A8" s="25"/>
      <c r="B8" s="25"/>
      <c r="C8" s="25"/>
      <c r="D8" s="25"/>
      <c r="E8" s="25"/>
      <c r="F8" s="25"/>
    </row>
    <row r="9" spans="1:15" ht="15" thickBot="1" x14ac:dyDescent="0.35">
      <c r="A9" s="89" t="s">
        <v>272</v>
      </c>
      <c r="B9" s="187">
        <f>(C14*J6)-B6</f>
        <v>36158.435234355231</v>
      </c>
      <c r="C9" s="187">
        <f>($C14*K6)-C6</f>
        <v>13183787367.926071</v>
      </c>
      <c r="D9" s="203">
        <f>($C14*L6)-D6</f>
        <v>23941502484.127251</v>
      </c>
      <c r="E9" s="187">
        <f>($C14*M6)-E6</f>
        <v>7980500828.0424156</v>
      </c>
      <c r="F9" s="187">
        <f>($C14*N6)-F6</f>
        <v>15961001656.084831</v>
      </c>
      <c r="G9" s="203">
        <f>($C14*O6)-G6</f>
        <v>6591893683.9630356</v>
      </c>
      <c r="H9" s="25"/>
      <c r="J9" s="197"/>
      <c r="K9" s="197"/>
    </row>
    <row r="10" spans="1:15" ht="15" thickBot="1" x14ac:dyDescent="0.35">
      <c r="A10" s="89"/>
      <c r="B10" s="202">
        <f t="shared" ref="B10:G10" si="2">B9/USD_conversion</f>
        <v>2443.8805876351071</v>
      </c>
      <c r="C10" s="202">
        <f t="shared" si="2"/>
        <v>891067376.42702651</v>
      </c>
      <c r="D10" s="202">
        <f t="shared" si="2"/>
        <v>1618161095.2064648</v>
      </c>
      <c r="E10" s="202">
        <f t="shared" si="2"/>
        <v>539387031.73548818</v>
      </c>
      <c r="F10" s="202">
        <f t="shared" si="2"/>
        <v>1078774063.4709764</v>
      </c>
      <c r="G10" s="202">
        <f t="shared" si="2"/>
        <v>445533688.21351326</v>
      </c>
      <c r="H10" s="25"/>
      <c r="J10" s="197"/>
      <c r="K10" s="197"/>
    </row>
    <row r="11" spans="1:15" ht="15" thickBot="1" x14ac:dyDescent="0.35">
      <c r="A11" s="89" t="s">
        <v>62</v>
      </c>
      <c r="B11" s="187">
        <f>B6/J6</f>
        <v>-240790.03991918225</v>
      </c>
      <c r="C11" s="187">
        <f>C6/K6</f>
        <v>-240790.03991918222</v>
      </c>
      <c r="D11" s="187">
        <f t="shared" ref="D11:G11" si="3">D6/L6</f>
        <v>-240790.03991918211</v>
      </c>
      <c r="E11" s="187">
        <f t="shared" si="3"/>
        <v>-240790.03991918234</v>
      </c>
      <c r="F11" s="187">
        <f t="shared" si="3"/>
        <v>-240790.03991918234</v>
      </c>
      <c r="G11" s="187">
        <f t="shared" si="3"/>
        <v>-240790.03991918208</v>
      </c>
      <c r="H11" s="29"/>
      <c r="I11" s="42">
        <f>B11/14</f>
        <v>-17199.288565655876</v>
      </c>
      <c r="J11" s="197"/>
      <c r="K11" s="197"/>
      <c r="M11" s="22"/>
    </row>
    <row r="12" spans="1:15" x14ac:dyDescent="0.3">
      <c r="A12" s="25"/>
      <c r="B12" s="27"/>
      <c r="C12" s="198">
        <f>B11/USD_conversion</f>
        <v>-16274.545633414366</v>
      </c>
      <c r="D12" s="198"/>
      <c r="E12" s="198"/>
      <c r="F12" s="198"/>
      <c r="G12" s="198"/>
      <c r="H12" s="198"/>
      <c r="I12" s="25"/>
      <c r="J12" s="42"/>
      <c r="K12" s="197"/>
      <c r="L12" s="197"/>
      <c r="N12" s="22"/>
    </row>
    <row r="13" spans="1:15" x14ac:dyDescent="0.3">
      <c r="A13" s="25"/>
      <c r="B13" s="25"/>
      <c r="C13" s="25"/>
      <c r="D13" s="25"/>
    </row>
    <row r="14" spans="1:15" x14ac:dyDescent="0.3">
      <c r="B14" s="67" t="s">
        <v>232</v>
      </c>
      <c r="C14" s="68">
        <f>'Sensitivity analysis'!C20</f>
        <v>38500</v>
      </c>
      <c r="D14" s="25" t="s">
        <v>273</v>
      </c>
    </row>
    <row r="16" spans="1:15" x14ac:dyDescent="0.3">
      <c r="B16" t="s">
        <v>67</v>
      </c>
      <c r="C16" t="s">
        <v>739</v>
      </c>
      <c r="I16" s="21"/>
    </row>
    <row r="17" spans="1:4" x14ac:dyDescent="0.3">
      <c r="A17" t="s">
        <v>232</v>
      </c>
      <c r="B17">
        <v>38500</v>
      </c>
      <c r="C17">
        <v>1</v>
      </c>
      <c r="D17" s="197">
        <f>B17/Parameters!C239</f>
        <v>2602.1425433408804</v>
      </c>
    </row>
    <row r="18" spans="1:4" x14ac:dyDescent="0.3">
      <c r="A18" t="s">
        <v>62</v>
      </c>
      <c r="B18" s="107">
        <f>B11</f>
        <v>-240790.03991918225</v>
      </c>
      <c r="C18">
        <v>1</v>
      </c>
      <c r="D18" s="197">
        <f>B18/Parameters!C240</f>
        <v>-16274.545633414366</v>
      </c>
    </row>
    <row r="19" spans="1:4" x14ac:dyDescent="0.3">
      <c r="A19" t="s">
        <v>740</v>
      </c>
      <c r="B19" s="42">
        <f>B6</f>
        <v>-31174.012027120538</v>
      </c>
      <c r="C19" s="87">
        <f>J6</f>
        <v>0.12946553785025183</v>
      </c>
      <c r="D19" s="197">
        <f>B19/Parameters!C241</f>
        <v>-2106.9928036984579</v>
      </c>
    </row>
  </sheetData>
  <pageMargins left="0.7" right="0.7" top="0.75" bottom="0.75" header="0.3" footer="0.3"/>
  <pageSetup paperSize="9" orientation="portrait"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rgb="FFFF0000"/>
  </sheetPr>
  <dimension ref="A1:BH214"/>
  <sheetViews>
    <sheetView zoomScale="70" zoomScaleNormal="70" workbookViewId="0">
      <selection activeCell="H16" sqref="H16"/>
    </sheetView>
  </sheetViews>
  <sheetFormatPr defaultColWidth="8.77734375" defaultRowHeight="14.4" x14ac:dyDescent="0.3"/>
  <cols>
    <col min="2" max="2" width="23.109375" bestFit="1" customWidth="1"/>
    <col min="3" max="4" width="17.109375" bestFit="1" customWidth="1"/>
    <col min="5" max="5" width="11.77734375" bestFit="1" customWidth="1"/>
    <col min="6" max="8" width="17.109375" bestFit="1" customWidth="1"/>
    <col min="9" max="9" width="11.5546875" bestFit="1" customWidth="1"/>
    <col min="10" max="10" width="18" bestFit="1" customWidth="1"/>
    <col min="11" max="11" width="16.33203125" bestFit="1" customWidth="1"/>
    <col min="12" max="12" width="17.109375" bestFit="1" customWidth="1"/>
    <col min="14" max="14" width="13.6640625" customWidth="1"/>
    <col min="15" max="15" width="13.77734375" bestFit="1" customWidth="1"/>
    <col min="16" max="16" width="17.109375" bestFit="1" customWidth="1"/>
    <col min="18" max="18" width="11.6640625" bestFit="1" customWidth="1"/>
    <col min="19" max="19" width="13.77734375" bestFit="1" customWidth="1"/>
    <col min="20" max="20" width="17.109375" bestFit="1" customWidth="1"/>
    <col min="22" max="22" width="18.44140625" customWidth="1"/>
    <col min="23" max="23" width="13.77734375" bestFit="1" customWidth="1"/>
    <col min="24" max="24" width="17.109375" bestFit="1" customWidth="1"/>
    <col min="25" max="25" width="17.109375" customWidth="1"/>
    <col min="26" max="26" width="13.88671875" customWidth="1"/>
    <col min="27" max="27" width="15.88671875" bestFit="1" customWidth="1"/>
    <col min="28" max="28" width="17.109375" bestFit="1" customWidth="1"/>
    <col min="30" max="30" width="15.88671875" customWidth="1"/>
    <col min="31" max="31" width="15.5546875" customWidth="1"/>
    <col min="32" max="32" width="11.77734375" bestFit="1" customWidth="1"/>
    <col min="34" max="34" width="12.6640625" bestFit="1" customWidth="1"/>
    <col min="35" max="35" width="16" customWidth="1"/>
    <col min="36" max="36" width="11.77734375" bestFit="1" customWidth="1"/>
    <col min="38" max="38" width="14.5546875" bestFit="1" customWidth="1"/>
    <col min="39" max="39" width="17.21875" customWidth="1"/>
    <col min="40" max="40" width="14.77734375" bestFit="1" customWidth="1"/>
    <col min="42" max="42" width="17.21875" bestFit="1" customWidth="1"/>
    <col min="43" max="43" width="15.5546875" customWidth="1"/>
    <col min="44" max="44" width="11.21875" bestFit="1" customWidth="1"/>
    <col min="46" max="46" width="10.44140625" bestFit="1" customWidth="1"/>
    <col min="47" max="47" width="12.21875" bestFit="1" customWidth="1"/>
    <col min="48" max="48" width="10.44140625" bestFit="1" customWidth="1"/>
    <col min="50" max="50" width="11.5546875" bestFit="1" customWidth="1"/>
    <col min="51" max="51" width="12.21875" bestFit="1" customWidth="1"/>
    <col min="52" max="52" width="10.44140625" bestFit="1" customWidth="1"/>
    <col min="54" max="54" width="9.44140625" bestFit="1" customWidth="1"/>
    <col min="55" max="55" width="12.21875" bestFit="1" customWidth="1"/>
    <col min="56" max="56" width="10.44140625" bestFit="1" customWidth="1"/>
    <col min="58" max="58" width="9.44140625" bestFit="1" customWidth="1"/>
    <col min="59" max="59" width="12.21875" bestFit="1" customWidth="1"/>
  </cols>
  <sheetData>
    <row r="1" spans="1:25" ht="15" thickBot="1" x14ac:dyDescent="0.35">
      <c r="A1" s="108"/>
      <c r="B1" s="108"/>
      <c r="C1" s="108"/>
      <c r="D1" s="108"/>
      <c r="E1" s="108"/>
      <c r="F1" s="108"/>
      <c r="G1" s="108"/>
      <c r="H1" s="108"/>
      <c r="I1" s="108"/>
      <c r="J1" s="108"/>
      <c r="K1" s="108"/>
      <c r="L1" s="108"/>
      <c r="M1" s="108"/>
      <c r="N1" s="108"/>
      <c r="O1" s="108"/>
      <c r="P1" s="108"/>
      <c r="Q1" s="108"/>
      <c r="R1" s="108"/>
      <c r="S1" s="108"/>
      <c r="T1" s="108"/>
      <c r="U1" s="108"/>
      <c r="V1" s="108"/>
      <c r="W1" s="108"/>
      <c r="X1" s="108"/>
      <c r="Y1" s="108"/>
    </row>
    <row r="2" spans="1:25" ht="15" thickBot="1" x14ac:dyDescent="0.35">
      <c r="A2" s="108"/>
      <c r="B2" s="206" t="s">
        <v>741</v>
      </c>
      <c r="C2" s="207"/>
      <c r="D2" s="207"/>
      <c r="E2" s="207"/>
      <c r="F2" s="207"/>
      <c r="G2" s="207"/>
      <c r="H2" s="207"/>
      <c r="I2" s="207"/>
      <c r="J2" s="207"/>
      <c r="K2" s="207"/>
      <c r="L2" s="207"/>
      <c r="M2" s="207"/>
      <c r="N2" s="207"/>
      <c r="O2" s="207"/>
      <c r="P2" s="207"/>
      <c r="Q2" s="207"/>
      <c r="R2" s="207"/>
      <c r="S2" s="207"/>
      <c r="T2" s="208"/>
      <c r="U2" s="109"/>
      <c r="V2" s="109"/>
      <c r="W2" s="109"/>
      <c r="X2" s="109"/>
      <c r="Y2" s="109"/>
    </row>
    <row r="3" spans="1:25" ht="15" thickBot="1" x14ac:dyDescent="0.35">
      <c r="A3" s="108"/>
      <c r="B3" s="109"/>
      <c r="C3" s="108"/>
      <c r="D3" s="108"/>
      <c r="E3" s="108"/>
      <c r="F3" s="108"/>
      <c r="G3" s="108"/>
      <c r="H3" s="108"/>
      <c r="I3" s="108"/>
      <c r="J3" s="108"/>
      <c r="K3" s="108"/>
      <c r="L3" s="108"/>
      <c r="M3" s="108"/>
      <c r="N3" s="108"/>
      <c r="O3" s="108"/>
      <c r="P3" s="108"/>
      <c r="Q3" s="108"/>
      <c r="R3" s="108"/>
      <c r="S3" s="108"/>
      <c r="T3" s="108"/>
      <c r="U3" s="108"/>
      <c r="V3" s="108"/>
      <c r="W3" s="108"/>
      <c r="X3" s="108"/>
      <c r="Y3" s="108"/>
    </row>
    <row r="4" spans="1:25" ht="15" thickBot="1" x14ac:dyDescent="0.35">
      <c r="A4" s="108"/>
      <c r="B4" s="110" t="s">
        <v>742</v>
      </c>
      <c r="C4" s="111"/>
      <c r="D4" s="112"/>
      <c r="E4" s="108"/>
      <c r="F4" s="108"/>
      <c r="G4" s="108"/>
      <c r="H4" s="108"/>
      <c r="I4" s="108"/>
      <c r="J4" s="108"/>
      <c r="K4" s="108"/>
      <c r="L4" s="108"/>
      <c r="M4" s="108"/>
      <c r="N4" s="108"/>
      <c r="O4" s="108"/>
      <c r="P4" s="108"/>
      <c r="Q4" s="108"/>
      <c r="R4" s="108"/>
      <c r="S4" s="108"/>
      <c r="T4" s="108"/>
      <c r="U4" s="108"/>
      <c r="V4" s="108"/>
      <c r="W4" s="108"/>
      <c r="X4" s="108"/>
      <c r="Y4" s="108"/>
    </row>
    <row r="5" spans="1:25" x14ac:dyDescent="0.3">
      <c r="A5" s="108"/>
      <c r="B5" s="113" t="s">
        <v>743</v>
      </c>
      <c r="C5" s="114">
        <f>Output!C10</f>
        <v>-240790.03991918225</v>
      </c>
      <c r="D5" s="115" t="s">
        <v>744</v>
      </c>
      <c r="E5" s="108"/>
      <c r="F5" s="108">
        <f>VALUE(C5)</f>
        <v>-240790.03991918225</v>
      </c>
      <c r="G5" s="108"/>
      <c r="H5" s="108"/>
      <c r="I5" s="108"/>
      <c r="J5" s="108"/>
      <c r="K5" s="108"/>
      <c r="L5" s="108"/>
      <c r="M5" s="108"/>
      <c r="N5" s="108"/>
      <c r="O5" s="108"/>
      <c r="P5" s="108"/>
      <c r="Q5" s="108"/>
      <c r="R5" s="108"/>
      <c r="S5" s="108"/>
      <c r="T5" s="108"/>
      <c r="U5" s="108"/>
      <c r="V5" s="108"/>
      <c r="W5" s="108"/>
      <c r="X5" s="108"/>
      <c r="Y5" s="108"/>
    </row>
    <row r="6" spans="1:25" ht="15" thickBot="1" x14ac:dyDescent="0.35">
      <c r="A6" s="108"/>
      <c r="B6" s="116" t="s">
        <v>745</v>
      </c>
      <c r="C6" s="117">
        <f>Output!C9</f>
        <v>36158.435234355231</v>
      </c>
      <c r="D6" s="118"/>
      <c r="E6" s="108"/>
      <c r="F6" s="108"/>
      <c r="G6" s="108"/>
      <c r="H6" s="108"/>
      <c r="I6" s="108"/>
      <c r="J6" s="108"/>
      <c r="K6" s="108"/>
      <c r="L6" s="108"/>
      <c r="M6" s="108"/>
      <c r="N6" s="108"/>
      <c r="O6" s="108"/>
      <c r="P6" s="108"/>
      <c r="Q6" s="108"/>
      <c r="R6" s="108"/>
      <c r="S6" s="108"/>
      <c r="T6" s="108"/>
      <c r="U6" s="108"/>
      <c r="V6" s="108"/>
      <c r="W6" s="108"/>
      <c r="X6" s="108"/>
      <c r="Y6" s="108"/>
    </row>
    <row r="7" spans="1:25" ht="15" thickBot="1" x14ac:dyDescent="0.35">
      <c r="A7" s="108"/>
      <c r="B7" s="108"/>
      <c r="C7" s="108"/>
      <c r="D7" s="108"/>
      <c r="E7" s="108"/>
      <c r="F7" s="108"/>
      <c r="G7" s="108"/>
      <c r="H7" s="108"/>
      <c r="I7" s="108"/>
      <c r="J7" s="108"/>
      <c r="K7" s="108"/>
      <c r="L7" s="108"/>
      <c r="M7" s="108"/>
      <c r="N7" s="108"/>
      <c r="O7" s="108"/>
      <c r="P7" s="108"/>
      <c r="Q7" s="108"/>
      <c r="R7" s="108"/>
      <c r="S7" s="108"/>
      <c r="T7" s="108"/>
      <c r="U7" s="108"/>
      <c r="V7" s="108"/>
      <c r="W7" s="108"/>
      <c r="X7" s="108"/>
      <c r="Y7" s="108"/>
    </row>
    <row r="8" spans="1:25" x14ac:dyDescent="0.3">
      <c r="A8" s="108"/>
      <c r="B8" s="209" t="s">
        <v>746</v>
      </c>
      <c r="C8" s="210"/>
      <c r="D8" s="119"/>
      <c r="E8" s="108"/>
      <c r="F8" s="108"/>
      <c r="G8" s="108"/>
      <c r="H8" s="108"/>
      <c r="I8" s="108"/>
      <c r="J8" s="108"/>
      <c r="K8" s="108"/>
      <c r="L8" s="108"/>
      <c r="M8" s="108"/>
      <c r="N8" s="108"/>
      <c r="O8" s="108"/>
      <c r="P8" s="108"/>
      <c r="Q8" s="108"/>
      <c r="R8" s="108"/>
      <c r="S8" s="108"/>
      <c r="T8" s="108"/>
      <c r="U8" s="108"/>
      <c r="V8" s="108"/>
      <c r="W8" s="108"/>
      <c r="X8" s="108"/>
      <c r="Y8" s="108"/>
    </row>
    <row r="9" spans="1:25" x14ac:dyDescent="0.3">
      <c r="A9" s="108" t="s">
        <v>781</v>
      </c>
      <c r="B9" s="211"/>
      <c r="C9" s="212"/>
      <c r="D9" s="119" t="s">
        <v>747</v>
      </c>
      <c r="E9" s="108" t="s">
        <v>748</v>
      </c>
      <c r="F9" s="108" t="s">
        <v>749</v>
      </c>
      <c r="G9" s="108"/>
      <c r="H9" s="108"/>
      <c r="I9" s="108"/>
      <c r="J9" s="119"/>
      <c r="K9" s="108"/>
      <c r="L9" s="108"/>
      <c r="M9" s="108"/>
      <c r="N9" s="108"/>
      <c r="O9" s="108"/>
      <c r="P9" s="108"/>
      <c r="Q9" s="108"/>
      <c r="R9" s="108"/>
      <c r="S9" s="108"/>
      <c r="T9" s="108"/>
      <c r="U9" s="108"/>
      <c r="V9" s="108"/>
      <c r="W9" s="108"/>
      <c r="X9" s="108"/>
      <c r="Y9" s="108"/>
    </row>
    <row r="10" spans="1:25" x14ac:dyDescent="0.3">
      <c r="A10" s="108">
        <v>2300</v>
      </c>
      <c r="B10" s="120" t="s">
        <v>278</v>
      </c>
      <c r="C10" s="121">
        <v>2300</v>
      </c>
      <c r="D10" s="122">
        <f>A10-(A10/2)</f>
        <v>1150</v>
      </c>
      <c r="E10" s="42">
        <f>A10+(A10/2)</f>
        <v>3450</v>
      </c>
      <c r="F10" s="123">
        <f>(E10-D10)/30</f>
        <v>76.666666666666671</v>
      </c>
      <c r="M10" s="108"/>
      <c r="N10" s="108"/>
      <c r="O10" s="108"/>
      <c r="P10" s="108"/>
      <c r="Q10" s="108"/>
      <c r="R10" s="108"/>
      <c r="S10" s="108"/>
      <c r="T10" s="108"/>
      <c r="U10" s="108"/>
      <c r="V10" s="108"/>
      <c r="W10" s="108"/>
      <c r="X10" s="108"/>
    </row>
    <row r="11" spans="1:25" x14ac:dyDescent="0.3">
      <c r="A11" s="180">
        <v>0.17</v>
      </c>
      <c r="B11" s="120" t="s">
        <v>839</v>
      </c>
      <c r="C11" s="180">
        <v>0.17</v>
      </c>
      <c r="D11" s="192">
        <f t="shared" ref="D11:D14" si="0">A11-(A11/2)</f>
        <v>8.5000000000000006E-2</v>
      </c>
      <c r="E11" s="40">
        <f t="shared" ref="E11:E14" si="1">A11+(A11/2)</f>
        <v>0.255</v>
      </c>
      <c r="F11" s="127">
        <f t="shared" ref="F11:F14" si="2">(E11-D11)/30</f>
        <v>5.6666666666666662E-3</v>
      </c>
      <c r="M11" s="108"/>
      <c r="N11" s="108"/>
      <c r="O11" s="108"/>
      <c r="P11" s="108"/>
      <c r="Q11" s="108"/>
      <c r="R11" s="108"/>
      <c r="S11" s="108"/>
      <c r="T11" s="108"/>
      <c r="U11" s="108"/>
      <c r="V11" s="108"/>
      <c r="W11" s="108"/>
      <c r="X11" s="108"/>
    </row>
    <row r="12" spans="1:25" x14ac:dyDescent="0.3">
      <c r="A12" s="180">
        <v>0.17</v>
      </c>
      <c r="B12" s="120" t="s">
        <v>840</v>
      </c>
      <c r="C12" s="180">
        <v>0.17</v>
      </c>
      <c r="D12" s="192">
        <f t="shared" si="0"/>
        <v>8.5000000000000006E-2</v>
      </c>
      <c r="E12" s="40">
        <f t="shared" si="1"/>
        <v>0.255</v>
      </c>
      <c r="F12" s="127">
        <f t="shared" si="2"/>
        <v>5.6666666666666662E-3</v>
      </c>
      <c r="M12" s="108"/>
      <c r="N12" s="108"/>
      <c r="O12" s="108"/>
      <c r="P12" s="108"/>
      <c r="Q12" s="108"/>
      <c r="R12" s="108"/>
      <c r="S12" s="108"/>
      <c r="T12" s="108"/>
      <c r="U12" s="108"/>
      <c r="V12" s="108"/>
      <c r="W12" s="108"/>
      <c r="X12" s="108"/>
    </row>
    <row r="13" spans="1:25" x14ac:dyDescent="0.3">
      <c r="A13" s="180">
        <v>1</v>
      </c>
      <c r="B13" s="120" t="s">
        <v>841</v>
      </c>
      <c r="C13" s="180">
        <v>1</v>
      </c>
      <c r="D13" s="192">
        <f t="shared" si="0"/>
        <v>0.5</v>
      </c>
      <c r="E13" s="40">
        <f t="shared" si="1"/>
        <v>1.5</v>
      </c>
      <c r="F13" s="127">
        <f t="shared" si="2"/>
        <v>3.3333333333333333E-2</v>
      </c>
      <c r="M13" s="108"/>
      <c r="N13" s="108"/>
      <c r="O13" s="108"/>
      <c r="P13" s="108"/>
      <c r="Q13" s="108"/>
      <c r="R13" s="108"/>
      <c r="S13" s="108"/>
      <c r="T13" s="108"/>
      <c r="U13" s="108"/>
      <c r="V13" s="108"/>
      <c r="W13" s="108"/>
      <c r="X13" s="108"/>
    </row>
    <row r="14" spans="1:25" x14ac:dyDescent="0.3">
      <c r="A14" s="180">
        <v>0.19</v>
      </c>
      <c r="B14" s="120" t="s">
        <v>842</v>
      </c>
      <c r="C14" s="180">
        <v>0.19</v>
      </c>
      <c r="D14" s="192">
        <f t="shared" si="0"/>
        <v>9.5000000000000001E-2</v>
      </c>
      <c r="E14" s="40">
        <f t="shared" si="1"/>
        <v>0.28500000000000003</v>
      </c>
      <c r="F14" s="127">
        <f t="shared" si="2"/>
        <v>6.333333333333334E-3</v>
      </c>
      <c r="M14" s="108"/>
      <c r="N14" s="108"/>
      <c r="O14" s="108"/>
      <c r="P14" s="108"/>
      <c r="Q14" s="108"/>
      <c r="R14" s="108"/>
      <c r="S14" s="108"/>
      <c r="T14" s="108"/>
      <c r="U14" s="108"/>
      <c r="V14" s="108"/>
      <c r="W14" s="108"/>
      <c r="X14" s="108"/>
    </row>
    <row r="15" spans="1:25" x14ac:dyDescent="0.3">
      <c r="A15" s="108">
        <v>0.10100000000000001</v>
      </c>
      <c r="B15" s="120" t="s">
        <v>314</v>
      </c>
      <c r="C15" s="124">
        <v>0.10100000000000001</v>
      </c>
      <c r="D15" s="125">
        <f>A15-(A15/2)</f>
        <v>5.0500000000000003E-2</v>
      </c>
      <c r="E15" s="22">
        <f>A15+(A15/2)</f>
        <v>0.15150000000000002</v>
      </c>
      <c r="F15" s="126">
        <f t="shared" ref="F15:F23" si="3">(E15-D15)/30</f>
        <v>3.3666666666666675E-3</v>
      </c>
      <c r="M15" s="108"/>
      <c r="N15" s="108"/>
      <c r="O15" s="108"/>
      <c r="P15" s="108"/>
      <c r="Q15" s="108"/>
      <c r="R15" s="108"/>
      <c r="S15" s="108"/>
      <c r="T15" s="108"/>
      <c r="U15" s="108"/>
      <c r="V15" s="108"/>
      <c r="W15" s="108"/>
      <c r="X15" s="108"/>
    </row>
    <row r="16" spans="1:25" x14ac:dyDescent="0.3">
      <c r="A16" s="108">
        <v>0.76</v>
      </c>
      <c r="B16" s="120" t="s">
        <v>645</v>
      </c>
      <c r="C16" s="67">
        <v>0.76</v>
      </c>
      <c r="D16">
        <v>0.69</v>
      </c>
      <c r="E16">
        <v>0.84</v>
      </c>
      <c r="F16" s="127">
        <f t="shared" si="3"/>
        <v>5.000000000000001E-3</v>
      </c>
      <c r="M16" s="108"/>
      <c r="N16" s="108"/>
      <c r="O16" s="108"/>
      <c r="P16" s="108"/>
      <c r="Q16" s="108"/>
      <c r="R16" s="108"/>
      <c r="S16" s="108"/>
      <c r="T16" s="108"/>
      <c r="U16" s="108"/>
      <c r="V16" s="108"/>
      <c r="W16" s="108"/>
      <c r="X16" s="108"/>
    </row>
    <row r="17" spans="1:24" x14ac:dyDescent="0.3">
      <c r="A17" s="108">
        <v>0.71</v>
      </c>
      <c r="B17" s="120" t="s">
        <v>315</v>
      </c>
      <c r="C17" s="67">
        <v>0.71</v>
      </c>
      <c r="D17">
        <v>0.63</v>
      </c>
      <c r="E17">
        <v>0.82</v>
      </c>
      <c r="F17" s="127">
        <f t="shared" si="3"/>
        <v>6.3333333333333314E-3</v>
      </c>
      <c r="M17" s="108"/>
      <c r="N17" s="108"/>
      <c r="O17" s="108"/>
      <c r="P17" s="108"/>
      <c r="Q17" s="108"/>
      <c r="R17" s="108"/>
      <c r="S17" s="108"/>
      <c r="T17" s="108"/>
      <c r="U17" s="108"/>
      <c r="V17" s="108"/>
      <c r="W17" s="108"/>
      <c r="X17" s="108"/>
    </row>
    <row r="18" spans="1:24" x14ac:dyDescent="0.3">
      <c r="A18" s="108">
        <v>0.9</v>
      </c>
      <c r="B18" s="120" t="s">
        <v>316</v>
      </c>
      <c r="C18" s="67">
        <v>0.9</v>
      </c>
      <c r="D18">
        <v>0.82</v>
      </c>
      <c r="E18">
        <v>0.99</v>
      </c>
      <c r="F18" s="127">
        <f t="shared" si="3"/>
        <v>5.6666666666666679E-3</v>
      </c>
      <c r="M18" s="108"/>
      <c r="N18" s="108"/>
      <c r="O18" s="108"/>
      <c r="P18" s="108"/>
      <c r="Q18" s="108"/>
      <c r="R18" s="108"/>
      <c r="S18" s="108"/>
      <c r="T18" s="108"/>
      <c r="U18" s="108"/>
      <c r="V18" s="108"/>
      <c r="W18" s="108"/>
      <c r="X18" s="108"/>
    </row>
    <row r="19" spans="1:24" x14ac:dyDescent="0.3">
      <c r="A19" s="108">
        <v>9.2999999999999999E-2</v>
      </c>
      <c r="B19" s="120" t="s">
        <v>674</v>
      </c>
      <c r="C19" s="128">
        <v>9.2999999999999999E-2</v>
      </c>
      <c r="D19" s="125">
        <f>A19-(A19/2)</f>
        <v>4.65E-2</v>
      </c>
      <c r="E19" s="22">
        <f t="shared" ref="E19:E20" si="4">A19+(A19/2)</f>
        <v>0.13950000000000001</v>
      </c>
      <c r="F19" s="126">
        <f t="shared" si="3"/>
        <v>3.1000000000000003E-3</v>
      </c>
      <c r="M19" s="108"/>
      <c r="N19" s="108"/>
      <c r="O19" s="108"/>
      <c r="P19" s="108"/>
      <c r="Q19" s="108"/>
      <c r="R19" s="108"/>
      <c r="S19" s="108"/>
      <c r="T19" s="108"/>
      <c r="U19" s="108"/>
      <c r="V19" s="108"/>
      <c r="W19" s="108"/>
      <c r="X19" s="108"/>
    </row>
    <row r="20" spans="1:24" x14ac:dyDescent="0.3">
      <c r="A20" s="108">
        <v>38500</v>
      </c>
      <c r="B20" s="120" t="s">
        <v>232</v>
      </c>
      <c r="C20" s="121">
        <v>38500</v>
      </c>
      <c r="D20" s="123">
        <f>$A$20-($A$20/2)</f>
        <v>19250</v>
      </c>
      <c r="E20" s="123">
        <f t="shared" si="4"/>
        <v>57750</v>
      </c>
      <c r="F20" s="123">
        <f t="shared" si="3"/>
        <v>1283.3333333333333</v>
      </c>
      <c r="M20" s="108"/>
      <c r="N20" s="108"/>
      <c r="O20" s="108"/>
      <c r="P20" s="108"/>
      <c r="Q20" s="108"/>
      <c r="R20" s="108"/>
      <c r="S20" s="108"/>
      <c r="T20" s="108"/>
      <c r="U20" s="108"/>
      <c r="V20" s="108"/>
      <c r="W20" s="108"/>
      <c r="X20" s="108"/>
    </row>
    <row r="21" spans="1:24" x14ac:dyDescent="0.3">
      <c r="A21" s="108">
        <v>0.13300000000000001</v>
      </c>
      <c r="B21" s="120" t="s">
        <v>750</v>
      </c>
      <c r="C21" s="129">
        <v>0.13300000000000001</v>
      </c>
      <c r="D21">
        <v>8.5999999999999993E-2</v>
      </c>
      <c r="E21" s="108">
        <v>0.192</v>
      </c>
      <c r="F21" s="127">
        <f t="shared" si="3"/>
        <v>3.5333333333333336E-3</v>
      </c>
      <c r="M21" s="108"/>
      <c r="N21" s="108"/>
      <c r="O21" s="108"/>
      <c r="P21" s="108"/>
      <c r="Q21" s="108"/>
      <c r="R21" s="108"/>
      <c r="S21" s="108"/>
      <c r="T21" s="108"/>
      <c r="U21" s="108"/>
      <c r="V21" s="108"/>
      <c r="W21" s="108"/>
      <c r="X21" s="108"/>
    </row>
    <row r="22" spans="1:24" x14ac:dyDescent="0.3">
      <c r="A22" s="108">
        <v>6.0999999999999999E-2</v>
      </c>
      <c r="B22" s="120" t="s">
        <v>751</v>
      </c>
      <c r="C22" s="129">
        <v>6.0999999999999999E-2</v>
      </c>
      <c r="D22">
        <v>0.04</v>
      </c>
      <c r="E22" s="108">
        <v>8.8999999999999996E-2</v>
      </c>
      <c r="F22" s="127">
        <f t="shared" si="3"/>
        <v>1.6333333333333332E-3</v>
      </c>
      <c r="M22" s="108"/>
      <c r="N22" s="108"/>
      <c r="O22" s="108"/>
      <c r="P22" s="108"/>
      <c r="Q22" s="108"/>
      <c r="R22" s="108"/>
      <c r="S22" s="108"/>
      <c r="T22" s="108"/>
      <c r="U22" s="108"/>
      <c r="V22" s="108"/>
      <c r="W22" s="108"/>
      <c r="X22" s="108"/>
    </row>
    <row r="23" spans="1:24" x14ac:dyDescent="0.3">
      <c r="A23" s="108">
        <v>0.83099999999999996</v>
      </c>
      <c r="B23" s="120" t="s">
        <v>202</v>
      </c>
      <c r="C23" s="129">
        <v>0.83099999999999996</v>
      </c>
      <c r="D23">
        <v>0.69</v>
      </c>
      <c r="E23" s="108">
        <v>1</v>
      </c>
      <c r="F23" s="127">
        <f t="shared" si="3"/>
        <v>1.0333333333333335E-2</v>
      </c>
      <c r="M23" s="108"/>
      <c r="N23" s="108"/>
      <c r="O23" s="108"/>
      <c r="P23" s="108"/>
      <c r="Q23" s="108"/>
      <c r="R23" s="108"/>
      <c r="S23" s="108"/>
      <c r="T23" s="108"/>
      <c r="U23" s="108"/>
      <c r="V23" s="108"/>
      <c r="W23" s="108"/>
      <c r="X23" s="108"/>
    </row>
    <row r="24" spans="1:24" x14ac:dyDescent="0.3">
      <c r="A24" s="108">
        <v>0.9835771985977747</v>
      </c>
      <c r="B24" s="120" t="s">
        <v>363</v>
      </c>
      <c r="C24" s="129">
        <v>0.9835771985977747</v>
      </c>
      <c r="D24" s="127">
        <v>0.96715400000000007</v>
      </c>
      <c r="E24" s="127">
        <v>1</v>
      </c>
      <c r="F24" s="127">
        <f>(E24-D24)/30</f>
        <v>1.0948666666666643E-3</v>
      </c>
      <c r="M24" s="108"/>
      <c r="N24" s="108"/>
      <c r="O24" s="108"/>
      <c r="P24" s="108"/>
      <c r="Q24" s="108"/>
      <c r="R24" s="108"/>
      <c r="S24" s="108"/>
      <c r="T24" s="108"/>
      <c r="U24" s="108"/>
      <c r="V24" s="108"/>
      <c r="W24" s="108"/>
      <c r="X24" s="108"/>
    </row>
    <row r="25" spans="1:24" x14ac:dyDescent="0.3">
      <c r="A25" s="108">
        <v>0.96843702579666158</v>
      </c>
      <c r="B25" s="120" t="s">
        <v>364</v>
      </c>
      <c r="C25" s="129">
        <v>0.96843702579666158</v>
      </c>
      <c r="D25" s="127">
        <v>0.93687405159332315</v>
      </c>
      <c r="E25" s="127">
        <v>1</v>
      </c>
      <c r="F25" s="127">
        <f t="shared" ref="F25:F42" si="5">(E25-D25)/30</f>
        <v>2.1041982802225616E-3</v>
      </c>
      <c r="M25" s="108"/>
      <c r="N25" s="108"/>
      <c r="O25" s="108"/>
      <c r="P25" s="108"/>
      <c r="Q25" s="108"/>
      <c r="R25" s="108"/>
      <c r="S25" s="108"/>
      <c r="T25" s="108"/>
      <c r="U25" s="108"/>
      <c r="V25" s="108"/>
      <c r="W25" s="108"/>
      <c r="X25" s="108"/>
    </row>
    <row r="26" spans="1:24" x14ac:dyDescent="0.3">
      <c r="A26" s="108">
        <v>0.82518226002430128</v>
      </c>
      <c r="B26" s="120" t="s">
        <v>752</v>
      </c>
      <c r="C26" s="129">
        <v>0.82518226002430128</v>
      </c>
      <c r="D26" s="127">
        <v>0.65036452004860257</v>
      </c>
      <c r="E26" s="127">
        <v>1</v>
      </c>
      <c r="F26" s="127">
        <f t="shared" si="5"/>
        <v>1.1654515998379914E-2</v>
      </c>
      <c r="G26" s="108"/>
      <c r="H26" s="108"/>
      <c r="I26" s="108"/>
      <c r="J26" s="108"/>
      <c r="K26" s="108"/>
      <c r="L26" s="108"/>
      <c r="M26" s="108"/>
      <c r="N26" s="108"/>
      <c r="O26" s="108"/>
      <c r="P26" s="108"/>
      <c r="Q26" s="108"/>
      <c r="R26" s="108"/>
      <c r="S26" s="108"/>
      <c r="T26" s="108"/>
      <c r="U26" s="108"/>
      <c r="V26" s="108"/>
      <c r="W26" s="108"/>
      <c r="X26" s="108"/>
    </row>
    <row r="27" spans="1:24" x14ac:dyDescent="0.3">
      <c r="A27" s="108">
        <v>0.82661996497373025</v>
      </c>
      <c r="B27" s="120" t="s">
        <v>753</v>
      </c>
      <c r="C27" s="129">
        <v>0.82661996497373025</v>
      </c>
      <c r="D27" s="127">
        <v>0.6532399299474605</v>
      </c>
      <c r="E27" s="127">
        <v>1</v>
      </c>
      <c r="F27" s="127">
        <f t="shared" si="5"/>
        <v>1.1558669001751317E-2</v>
      </c>
      <c r="G27" s="108"/>
      <c r="H27" s="108"/>
      <c r="I27" s="108"/>
      <c r="J27" s="108"/>
      <c r="K27" s="108"/>
      <c r="L27" s="108"/>
      <c r="M27" s="108"/>
      <c r="N27" s="108"/>
      <c r="O27" s="108"/>
      <c r="P27" s="108"/>
      <c r="Q27" s="108"/>
      <c r="R27" s="108"/>
      <c r="S27" s="108"/>
      <c r="T27" s="108"/>
      <c r="U27" s="108"/>
      <c r="V27" s="108"/>
      <c r="W27" s="108"/>
      <c r="X27" s="108"/>
    </row>
    <row r="28" spans="1:24" x14ac:dyDescent="0.3">
      <c r="A28" s="108">
        <v>0.68135593220338986</v>
      </c>
      <c r="B28" s="120" t="s">
        <v>754</v>
      </c>
      <c r="C28" s="129">
        <v>0.68135593220338986</v>
      </c>
      <c r="D28" s="127">
        <v>0.36271186440677972</v>
      </c>
      <c r="E28" s="127">
        <v>1</v>
      </c>
      <c r="F28" s="127">
        <f t="shared" si="5"/>
        <v>2.1242937853107342E-2</v>
      </c>
      <c r="G28" s="108"/>
      <c r="H28" s="108"/>
      <c r="I28" s="108"/>
      <c r="J28" s="108"/>
      <c r="K28" s="108"/>
      <c r="L28" s="108"/>
      <c r="M28" s="108"/>
      <c r="N28" s="108"/>
      <c r="O28" s="108"/>
      <c r="P28" s="108"/>
      <c r="Q28" s="108"/>
      <c r="R28" s="108"/>
      <c r="S28" s="108"/>
      <c r="T28" s="108"/>
      <c r="U28" s="108"/>
      <c r="V28" s="108"/>
      <c r="W28" s="108"/>
      <c r="X28" s="108"/>
    </row>
    <row r="29" spans="1:24" x14ac:dyDescent="0.3">
      <c r="A29" s="108">
        <v>0.34769230769230769</v>
      </c>
      <c r="B29" s="120" t="s">
        <v>755</v>
      </c>
      <c r="C29" s="129">
        <v>0.34769230769230769</v>
      </c>
      <c r="D29" s="127">
        <v>0.17384615384615384</v>
      </c>
      <c r="E29" s="127">
        <v>0.52153846153846151</v>
      </c>
      <c r="F29" s="127">
        <f t="shared" si="5"/>
        <v>1.1589743589743589E-2</v>
      </c>
      <c r="G29" s="108"/>
      <c r="H29" s="108"/>
      <c r="I29" s="108"/>
      <c r="J29" s="108"/>
      <c r="K29" s="108"/>
      <c r="L29" s="108"/>
      <c r="M29" s="108"/>
      <c r="N29" s="108"/>
      <c r="O29" s="108"/>
      <c r="P29" s="108"/>
      <c r="Q29" s="108"/>
      <c r="R29" s="108"/>
      <c r="S29" s="108"/>
      <c r="T29" s="108"/>
      <c r="U29" s="108"/>
      <c r="V29" s="108"/>
      <c r="W29" s="108"/>
      <c r="X29" s="108"/>
    </row>
    <row r="30" spans="1:24" x14ac:dyDescent="0.3">
      <c r="A30" s="108">
        <v>0.44409547738693467</v>
      </c>
      <c r="B30" s="120" t="s">
        <v>756</v>
      </c>
      <c r="C30" s="129">
        <v>0.44409547738693467</v>
      </c>
      <c r="D30" s="127">
        <v>0.22204773869346733</v>
      </c>
      <c r="E30" s="127">
        <v>0.66614321608040195</v>
      </c>
      <c r="F30" s="127">
        <f t="shared" si="5"/>
        <v>1.4803182579564486E-2</v>
      </c>
      <c r="G30" s="108"/>
      <c r="H30" s="108"/>
      <c r="I30" s="108"/>
      <c r="J30" s="108"/>
      <c r="K30" s="108"/>
      <c r="L30" s="108"/>
      <c r="M30" s="108"/>
      <c r="N30" s="108"/>
      <c r="O30" s="108"/>
      <c r="P30" s="108"/>
      <c r="Q30" s="108"/>
      <c r="R30" s="108"/>
      <c r="S30" s="108"/>
      <c r="T30" s="108"/>
      <c r="U30" s="108"/>
      <c r="V30" s="108"/>
      <c r="W30" s="108"/>
      <c r="X30" s="108"/>
    </row>
    <row r="31" spans="1:24" x14ac:dyDescent="0.3">
      <c r="A31" s="108">
        <v>0.81004360154892219</v>
      </c>
      <c r="B31" s="120" t="s">
        <v>757</v>
      </c>
      <c r="C31" s="129">
        <v>0.81004360154892219</v>
      </c>
      <c r="D31" s="127">
        <v>0.62008720309784437</v>
      </c>
      <c r="E31" s="127">
        <v>1</v>
      </c>
      <c r="F31" s="127">
        <f t="shared" si="5"/>
        <v>1.266375989673852E-2</v>
      </c>
      <c r="G31" s="108"/>
      <c r="H31" s="108"/>
      <c r="I31" s="108"/>
      <c r="J31" s="108"/>
      <c r="K31" s="108"/>
      <c r="L31" s="108"/>
      <c r="M31" s="108"/>
      <c r="N31" s="108"/>
      <c r="O31" s="108"/>
      <c r="P31" s="108"/>
      <c r="Q31" s="108"/>
      <c r="R31" s="108"/>
      <c r="S31" s="108"/>
      <c r="T31" s="108"/>
      <c r="U31" s="108"/>
      <c r="V31" s="108"/>
      <c r="W31" s="108"/>
      <c r="X31" s="108"/>
    </row>
    <row r="32" spans="1:24" x14ac:dyDescent="0.3">
      <c r="A32" s="108">
        <v>8.4066666666666665E-2</v>
      </c>
      <c r="B32" s="120" t="s">
        <v>758</v>
      </c>
      <c r="C32" s="129">
        <v>8.4066666666666665E-2</v>
      </c>
      <c r="D32" s="127">
        <v>4.2033333333333332E-2</v>
      </c>
      <c r="E32" s="127">
        <v>0.12609999999999999</v>
      </c>
      <c r="F32" s="127">
        <f t="shared" si="5"/>
        <v>2.8022222222222216E-3</v>
      </c>
      <c r="G32" s="108"/>
      <c r="H32" s="108"/>
      <c r="I32" s="108"/>
      <c r="J32" s="108"/>
      <c r="K32" s="108"/>
      <c r="L32" s="108"/>
      <c r="M32" s="108"/>
      <c r="N32" s="108"/>
      <c r="O32" s="108"/>
      <c r="P32" s="108"/>
      <c r="Q32" s="108"/>
      <c r="R32" s="108"/>
      <c r="S32" s="108"/>
      <c r="T32" s="108"/>
      <c r="U32" s="108"/>
      <c r="V32" s="108"/>
      <c r="W32" s="108"/>
      <c r="X32" s="108"/>
    </row>
    <row r="33" spans="1:24" x14ac:dyDescent="0.3">
      <c r="A33" s="108">
        <v>1.3200000000000002E-2</v>
      </c>
      <c r="B33" s="120" t="s">
        <v>759</v>
      </c>
      <c r="C33" s="129">
        <v>1.3200000000000002E-2</v>
      </c>
      <c r="D33" s="127">
        <v>6.6000000000000008E-3</v>
      </c>
      <c r="E33" s="127">
        <v>1.9800000000000002E-2</v>
      </c>
      <c r="F33" s="127">
        <f t="shared" si="5"/>
        <v>4.4000000000000002E-4</v>
      </c>
      <c r="G33" s="108"/>
      <c r="H33" s="108"/>
      <c r="I33" s="108"/>
      <c r="J33" s="108"/>
      <c r="K33" s="108"/>
      <c r="L33" s="108"/>
      <c r="M33" s="108"/>
      <c r="N33" s="108"/>
      <c r="O33" s="108"/>
      <c r="P33" s="108"/>
      <c r="Q33" s="108"/>
      <c r="R33" s="108"/>
      <c r="S33" s="108"/>
      <c r="T33" s="108"/>
      <c r="U33" s="108"/>
      <c r="V33" s="108"/>
      <c r="W33" s="108"/>
      <c r="X33" s="108"/>
    </row>
    <row r="34" spans="1:24" x14ac:dyDescent="0.3">
      <c r="A34" s="108">
        <v>3.5174999999999998E-2</v>
      </c>
      <c r="B34" s="120" t="s">
        <v>760</v>
      </c>
      <c r="C34" s="129">
        <v>3.5174999999999998E-2</v>
      </c>
      <c r="D34" s="127">
        <v>1.7587499999999999E-2</v>
      </c>
      <c r="E34" s="127">
        <v>5.2762499999999997E-2</v>
      </c>
      <c r="F34" s="127">
        <f t="shared" si="5"/>
        <v>1.1724999999999999E-3</v>
      </c>
      <c r="G34" s="108"/>
      <c r="H34" s="108"/>
      <c r="I34" s="108"/>
      <c r="J34" s="108"/>
      <c r="K34" s="108"/>
      <c r="L34" s="108"/>
      <c r="M34" s="108"/>
      <c r="N34" s="108"/>
      <c r="O34" s="108"/>
      <c r="P34" s="108"/>
      <c r="Q34" s="108"/>
      <c r="R34" s="108"/>
      <c r="S34" s="108"/>
      <c r="T34" s="108"/>
      <c r="U34" s="108"/>
      <c r="V34" s="108"/>
      <c r="W34" s="108"/>
      <c r="X34" s="108"/>
    </row>
    <row r="35" spans="1:24" x14ac:dyDescent="0.3">
      <c r="A35" s="108">
        <v>6.2333333333333338E-3</v>
      </c>
      <c r="B35" s="120" t="s">
        <v>761</v>
      </c>
      <c r="C35" s="129">
        <v>6.2333333333333338E-3</v>
      </c>
      <c r="D35" s="127">
        <v>3.1166666666666669E-3</v>
      </c>
      <c r="E35" s="127">
        <v>9.3500000000000007E-3</v>
      </c>
      <c r="F35" s="127">
        <f t="shared" si="5"/>
        <v>2.0777777777777778E-4</v>
      </c>
      <c r="G35" s="108"/>
      <c r="H35" s="108"/>
      <c r="I35" s="108"/>
      <c r="J35" s="108"/>
      <c r="K35" s="108"/>
      <c r="L35" s="108"/>
      <c r="M35" s="108"/>
      <c r="N35" s="108"/>
      <c r="O35" s="108"/>
      <c r="P35" s="108"/>
      <c r="Q35" s="108"/>
      <c r="R35" s="108"/>
      <c r="S35" s="108"/>
      <c r="T35" s="108"/>
      <c r="U35" s="108"/>
      <c r="V35" s="108"/>
      <c r="W35" s="108"/>
      <c r="X35" s="108"/>
    </row>
    <row r="36" spans="1:24" x14ac:dyDescent="0.3">
      <c r="A36" s="108">
        <v>0.45</v>
      </c>
      <c r="B36" s="120" t="s">
        <v>762</v>
      </c>
      <c r="C36" s="129">
        <v>0.45</v>
      </c>
      <c r="D36" s="127">
        <v>0.22500000000000001</v>
      </c>
      <c r="E36" s="127">
        <v>0.67500000000000004</v>
      </c>
      <c r="F36" s="127">
        <f t="shared" si="5"/>
        <v>1.5000000000000003E-2</v>
      </c>
      <c r="G36" s="108"/>
      <c r="H36" s="108"/>
      <c r="I36" s="108"/>
      <c r="J36" s="108"/>
      <c r="K36" s="108"/>
      <c r="L36" s="108"/>
      <c r="M36" s="108"/>
      <c r="N36" s="108"/>
      <c r="O36" s="108"/>
      <c r="P36" s="108"/>
      <c r="Q36" s="108"/>
      <c r="R36" s="108"/>
      <c r="S36" s="108"/>
      <c r="T36" s="108"/>
      <c r="U36" s="108"/>
      <c r="V36" s="108"/>
      <c r="W36" s="108"/>
      <c r="X36" s="108"/>
    </row>
    <row r="37" spans="1:24" x14ac:dyDescent="0.3">
      <c r="A37" s="108">
        <v>0.2155</v>
      </c>
      <c r="B37" s="120" t="s">
        <v>763</v>
      </c>
      <c r="C37" s="129">
        <v>0.2155</v>
      </c>
      <c r="D37" s="127">
        <v>0.10775</v>
      </c>
      <c r="E37" s="127">
        <v>0.32324999999999998</v>
      </c>
      <c r="F37" s="127">
        <f t="shared" si="5"/>
        <v>7.1833333333333324E-3</v>
      </c>
      <c r="G37" s="108"/>
      <c r="H37" s="108"/>
      <c r="I37" s="108"/>
      <c r="J37" s="108"/>
      <c r="K37" s="108"/>
      <c r="L37" s="108"/>
      <c r="M37" s="108"/>
      <c r="N37" s="108"/>
      <c r="O37" s="108"/>
      <c r="P37" s="108"/>
      <c r="Q37" s="108"/>
      <c r="R37" s="108"/>
      <c r="S37" s="108"/>
      <c r="T37" s="108"/>
      <c r="U37" s="108"/>
      <c r="V37" s="108"/>
      <c r="W37" s="108"/>
      <c r="X37" s="108"/>
    </row>
    <row r="38" spans="1:24" x14ac:dyDescent="0.3">
      <c r="A38" s="108">
        <v>0.26</v>
      </c>
      <c r="B38" s="120" t="s">
        <v>764</v>
      </c>
      <c r="C38" s="129">
        <v>0.26</v>
      </c>
      <c r="D38" s="127">
        <v>0.13</v>
      </c>
      <c r="E38" s="127">
        <v>0.39</v>
      </c>
      <c r="F38" s="127">
        <f t="shared" si="5"/>
        <v>8.6666666666666663E-3</v>
      </c>
      <c r="G38" s="108"/>
      <c r="H38" s="108"/>
      <c r="I38" s="108"/>
      <c r="J38" s="108"/>
      <c r="K38" s="108"/>
      <c r="L38" s="108"/>
      <c r="M38" s="108"/>
      <c r="N38" s="108"/>
      <c r="O38" s="108"/>
      <c r="P38" s="108"/>
      <c r="Q38" s="108"/>
      <c r="R38" s="108"/>
      <c r="S38" s="108"/>
      <c r="T38" s="108"/>
      <c r="U38" s="108"/>
      <c r="V38" s="108"/>
      <c r="W38" s="108"/>
      <c r="X38" s="108"/>
    </row>
    <row r="39" spans="1:24" x14ac:dyDescent="0.3">
      <c r="A39" s="108">
        <v>0.15</v>
      </c>
      <c r="B39" s="120" t="s">
        <v>782</v>
      </c>
      <c r="C39" s="180">
        <v>0.15</v>
      </c>
      <c r="D39" s="127">
        <v>7.4999999999999997E-2</v>
      </c>
      <c r="E39" s="127">
        <v>0.22499999999999998</v>
      </c>
      <c r="F39" s="127">
        <f t="shared" si="5"/>
        <v>4.9999999999999992E-3</v>
      </c>
      <c r="G39" s="108"/>
      <c r="H39" s="108"/>
      <c r="I39" s="108"/>
      <c r="J39" s="108"/>
      <c r="K39" s="108"/>
      <c r="L39" s="108"/>
      <c r="M39" s="108"/>
      <c r="N39" s="108"/>
      <c r="O39" s="108"/>
      <c r="P39" s="108"/>
      <c r="Q39" s="108"/>
      <c r="R39" s="108"/>
      <c r="S39" s="108"/>
      <c r="T39" s="108"/>
      <c r="U39" s="108"/>
      <c r="V39" s="108"/>
      <c r="W39" s="108"/>
      <c r="X39" s="108"/>
    </row>
    <row r="40" spans="1:24" x14ac:dyDescent="0.3">
      <c r="A40" s="108">
        <v>0.36099999999999999</v>
      </c>
      <c r="B40" s="120" t="s">
        <v>765</v>
      </c>
      <c r="C40" s="129">
        <v>0.36099999999999999</v>
      </c>
      <c r="D40" s="127">
        <v>0.18049999999999999</v>
      </c>
      <c r="E40" s="127">
        <v>0.54149999999999998</v>
      </c>
      <c r="F40" s="127">
        <f t="shared" si="5"/>
        <v>1.2033333333333333E-2</v>
      </c>
      <c r="G40" s="108"/>
      <c r="H40" s="108"/>
      <c r="I40" s="108"/>
      <c r="J40" s="108"/>
      <c r="K40" s="108"/>
      <c r="L40" s="108"/>
      <c r="M40" s="108"/>
      <c r="N40" s="108"/>
      <c r="O40" s="108"/>
      <c r="P40" s="108"/>
      <c r="Q40" s="108"/>
      <c r="R40" s="108"/>
      <c r="S40" s="108"/>
      <c r="T40" s="108"/>
      <c r="U40" s="108"/>
      <c r="V40" s="108"/>
      <c r="W40" s="108"/>
      <c r="X40" s="108"/>
    </row>
    <row r="41" spans="1:24" x14ac:dyDescent="0.3">
      <c r="A41" s="108">
        <v>5.1333333333333335E-2</v>
      </c>
      <c r="B41" s="120" t="s">
        <v>786</v>
      </c>
      <c r="C41" s="129">
        <v>5.1333333333333335E-2</v>
      </c>
      <c r="D41" s="127">
        <v>2.5666666666666667E-2</v>
      </c>
      <c r="E41" s="127">
        <v>7.6999999999999999E-2</v>
      </c>
      <c r="F41" s="127">
        <f t="shared" si="5"/>
        <v>1.7111111111111109E-3</v>
      </c>
      <c r="G41" s="108"/>
      <c r="H41" s="108"/>
      <c r="I41" s="108"/>
      <c r="J41" s="108"/>
      <c r="K41" s="108"/>
      <c r="L41" s="108"/>
      <c r="M41" s="108"/>
      <c r="N41" s="108"/>
      <c r="O41" s="108"/>
      <c r="P41" s="108"/>
      <c r="Q41" s="108"/>
      <c r="R41" s="108"/>
      <c r="S41" s="108"/>
      <c r="T41" s="108"/>
      <c r="U41" s="108"/>
      <c r="V41" s="108"/>
      <c r="W41" s="108"/>
      <c r="X41" s="108"/>
    </row>
    <row r="42" spans="1:24" x14ac:dyDescent="0.3">
      <c r="A42" s="108">
        <v>3.3085576536761752E-2</v>
      </c>
      <c r="B42" s="120" t="s">
        <v>785</v>
      </c>
      <c r="C42" s="129">
        <v>3.3085576536761752E-2</v>
      </c>
      <c r="D42" s="127">
        <v>1.6542788268380876E-2</v>
      </c>
      <c r="E42" s="127">
        <v>4.9628364805142627E-2</v>
      </c>
      <c r="F42" s="127">
        <f t="shared" si="5"/>
        <v>1.1028525512253918E-3</v>
      </c>
      <c r="G42" s="108"/>
      <c r="H42" s="108"/>
      <c r="I42" s="108"/>
      <c r="J42" s="108"/>
      <c r="K42" s="108"/>
      <c r="L42" s="108"/>
      <c r="M42" s="108"/>
      <c r="N42" s="108"/>
      <c r="O42" s="108"/>
      <c r="P42" s="108"/>
      <c r="Q42" s="108"/>
      <c r="R42" s="108"/>
      <c r="S42" s="108"/>
      <c r="T42" s="108"/>
      <c r="U42" s="108"/>
      <c r="V42" s="108"/>
      <c r="W42" s="108"/>
      <c r="X42" s="108"/>
    </row>
    <row r="43" spans="1:24" x14ac:dyDescent="0.3">
      <c r="A43" s="108">
        <v>11040</v>
      </c>
      <c r="B43" s="120" t="s">
        <v>738</v>
      </c>
      <c r="C43" s="121">
        <v>11040</v>
      </c>
      <c r="D43" s="122">
        <f t="shared" ref="D43:D54" si="6">A43-(A43/2)</f>
        <v>5520</v>
      </c>
      <c r="E43" s="42">
        <f>C43</f>
        <v>11040</v>
      </c>
      <c r="F43" s="123">
        <f t="shared" ref="F43:F54" si="7">(E43-D43)/30</f>
        <v>184</v>
      </c>
      <c r="G43" s="108"/>
      <c r="H43" s="108"/>
      <c r="I43" s="108"/>
      <c r="J43" s="108"/>
      <c r="K43" s="108"/>
      <c r="L43" s="108"/>
      <c r="M43" s="108"/>
      <c r="N43" s="108"/>
      <c r="O43" s="108"/>
      <c r="P43" s="108"/>
      <c r="Q43" s="108"/>
      <c r="R43" s="108"/>
      <c r="S43" s="108"/>
      <c r="T43" s="108"/>
      <c r="U43" s="108"/>
      <c r="V43" s="108"/>
      <c r="W43" s="108"/>
      <c r="X43" s="108"/>
    </row>
    <row r="44" spans="1:24" x14ac:dyDescent="0.3">
      <c r="A44" s="108">
        <v>177</v>
      </c>
      <c r="B44" s="120" t="s">
        <v>279</v>
      </c>
      <c r="C44" s="121">
        <v>177</v>
      </c>
      <c r="D44" s="122">
        <f t="shared" si="6"/>
        <v>88.5</v>
      </c>
      <c r="E44" s="42">
        <f t="shared" ref="E44:E54" si="8">A44+(A44/2)</f>
        <v>265.5</v>
      </c>
      <c r="F44" s="123">
        <f t="shared" si="7"/>
        <v>5.9</v>
      </c>
      <c r="G44" s="108"/>
      <c r="H44" s="108"/>
      <c r="I44" s="108"/>
      <c r="J44" s="108"/>
      <c r="K44" s="108"/>
      <c r="L44" s="108"/>
      <c r="M44" s="108"/>
      <c r="N44" s="108"/>
      <c r="O44" s="108"/>
      <c r="P44" s="108"/>
      <c r="Q44" s="108"/>
      <c r="R44" s="108"/>
      <c r="S44" s="108"/>
      <c r="T44" s="108"/>
      <c r="U44" s="108"/>
      <c r="V44" s="108"/>
      <c r="W44" s="108"/>
      <c r="X44" s="108"/>
    </row>
    <row r="45" spans="1:24" x14ac:dyDescent="0.3">
      <c r="A45" s="108">
        <v>577.9017081081081</v>
      </c>
      <c r="B45" s="120" t="s">
        <v>280</v>
      </c>
      <c r="C45" s="121">
        <v>577.9017081081081</v>
      </c>
      <c r="D45" s="122">
        <f t="shared" si="6"/>
        <v>288.95085405405405</v>
      </c>
      <c r="E45" s="42">
        <f t="shared" si="8"/>
        <v>866.85256216216214</v>
      </c>
      <c r="F45" s="123">
        <f t="shared" si="7"/>
        <v>19.263390270270271</v>
      </c>
      <c r="G45" s="108"/>
      <c r="H45" s="108"/>
      <c r="I45" s="108"/>
      <c r="J45" s="108"/>
      <c r="K45" s="108"/>
      <c r="L45" s="108"/>
      <c r="M45" s="108"/>
      <c r="N45" s="108"/>
      <c r="O45" s="108"/>
      <c r="P45" s="108"/>
      <c r="Q45" s="108"/>
      <c r="R45" s="108"/>
      <c r="S45" s="108"/>
      <c r="T45" s="108"/>
      <c r="U45" s="108"/>
      <c r="V45" s="108"/>
      <c r="W45" s="108"/>
      <c r="X45" s="108"/>
    </row>
    <row r="46" spans="1:24" x14ac:dyDescent="0.3">
      <c r="A46" s="108">
        <v>198651.76559999998</v>
      </c>
      <c r="B46" s="120" t="s">
        <v>281</v>
      </c>
      <c r="C46" s="121">
        <f>Cost!C33*Cost!C30*(Cost!D24+Cost!D27)+Cost!C34*Cost!C31*(Cost!D25+Cost!D28)</f>
        <v>254701.55809999997</v>
      </c>
      <c r="D46" s="122">
        <f t="shared" si="6"/>
        <v>99325.882799999992</v>
      </c>
      <c r="E46" s="42">
        <f t="shared" si="8"/>
        <v>297977.64839999995</v>
      </c>
      <c r="F46" s="123">
        <f t="shared" si="7"/>
        <v>6621.7255199999981</v>
      </c>
      <c r="G46" s="108"/>
      <c r="H46" s="108"/>
      <c r="I46" s="108"/>
      <c r="J46" s="108"/>
      <c r="K46" s="108"/>
      <c r="L46" s="108"/>
      <c r="M46" s="108"/>
      <c r="N46" s="108"/>
      <c r="O46" s="108"/>
      <c r="P46" s="108"/>
      <c r="Q46" s="108"/>
      <c r="R46" s="108"/>
      <c r="S46" s="108"/>
      <c r="T46" s="108"/>
      <c r="U46" s="108"/>
      <c r="V46" s="108"/>
      <c r="W46" s="108"/>
      <c r="X46" s="108"/>
    </row>
    <row r="47" spans="1:24" x14ac:dyDescent="0.3">
      <c r="A47" s="108">
        <v>3098.88</v>
      </c>
      <c r="B47" s="120" t="s">
        <v>729</v>
      </c>
      <c r="C47" s="121">
        <f>(Cost!D26+Cost!D29)*Cost!C32</f>
        <v>1255.2</v>
      </c>
      <c r="D47" s="122">
        <f t="shared" si="6"/>
        <v>1549.44</v>
      </c>
      <c r="E47" s="42">
        <f t="shared" si="8"/>
        <v>4648.32</v>
      </c>
      <c r="F47" s="123">
        <f t="shared" si="7"/>
        <v>103.29599999999999</v>
      </c>
      <c r="G47" s="108"/>
      <c r="H47" s="108"/>
      <c r="I47" s="108"/>
      <c r="J47" s="108"/>
      <c r="K47" s="108"/>
      <c r="L47" s="108"/>
      <c r="M47" s="108"/>
      <c r="N47" s="108"/>
      <c r="O47" s="108"/>
      <c r="P47" s="108"/>
      <c r="Q47" s="108"/>
      <c r="R47" s="108"/>
      <c r="S47" s="108"/>
      <c r="T47" s="108"/>
      <c r="U47" s="108"/>
      <c r="V47" s="108"/>
      <c r="W47" s="108"/>
      <c r="X47" s="108"/>
    </row>
    <row r="48" spans="1:24" x14ac:dyDescent="0.3">
      <c r="A48" s="108">
        <v>1792</v>
      </c>
      <c r="B48" s="120" t="s">
        <v>339</v>
      </c>
      <c r="C48" s="121">
        <v>1792</v>
      </c>
      <c r="D48" s="122">
        <f t="shared" si="6"/>
        <v>896</v>
      </c>
      <c r="E48" s="42">
        <f t="shared" si="8"/>
        <v>2688</v>
      </c>
      <c r="F48" s="123">
        <f t="shared" si="7"/>
        <v>59.733333333333334</v>
      </c>
      <c r="G48" s="108"/>
      <c r="H48" s="108"/>
      <c r="I48" s="108"/>
      <c r="J48" s="108"/>
      <c r="K48" s="108"/>
      <c r="L48" s="108"/>
      <c r="M48" s="108"/>
      <c r="N48" s="108"/>
      <c r="O48" s="108"/>
      <c r="P48" s="108"/>
      <c r="Q48" s="108"/>
      <c r="R48" s="108"/>
      <c r="S48" s="108"/>
      <c r="T48" s="108"/>
      <c r="U48" s="108"/>
      <c r="V48" s="108"/>
      <c r="W48" s="108"/>
      <c r="X48" s="108"/>
    </row>
    <row r="49" spans="1:53" x14ac:dyDescent="0.3">
      <c r="A49" s="108">
        <v>30595.610148205637</v>
      </c>
      <c r="B49" s="120" t="s">
        <v>282</v>
      </c>
      <c r="C49" s="121">
        <v>30595.610148205637</v>
      </c>
      <c r="D49" s="122">
        <f t="shared" si="6"/>
        <v>15297.805074102818</v>
      </c>
      <c r="E49" s="42">
        <f t="shared" si="8"/>
        <v>45893.415222308453</v>
      </c>
      <c r="F49" s="123">
        <f t="shared" si="7"/>
        <v>1019.8536716068544</v>
      </c>
      <c r="G49" s="108"/>
      <c r="H49" s="108"/>
      <c r="I49" s="108"/>
      <c r="J49" s="108"/>
      <c r="K49" s="108"/>
      <c r="L49" s="108"/>
      <c r="M49" s="108"/>
      <c r="N49" s="108"/>
      <c r="O49" s="108"/>
      <c r="P49" s="108"/>
      <c r="Q49" s="108"/>
      <c r="R49" s="108"/>
      <c r="S49" s="108"/>
      <c r="T49" s="108"/>
      <c r="U49" s="108"/>
      <c r="V49" s="108"/>
      <c r="W49" s="108"/>
      <c r="X49" s="108"/>
    </row>
    <row r="50" spans="1:53" x14ac:dyDescent="0.3">
      <c r="A50" s="108">
        <v>2936.2604000000001</v>
      </c>
      <c r="B50" s="120" t="s">
        <v>283</v>
      </c>
      <c r="C50" s="121">
        <v>2936.2604000000001</v>
      </c>
      <c r="D50" s="122">
        <f t="shared" si="6"/>
        <v>1468.1302000000001</v>
      </c>
      <c r="E50" s="42">
        <f t="shared" si="8"/>
        <v>4404.3906000000006</v>
      </c>
      <c r="F50" s="123">
        <f t="shared" si="7"/>
        <v>97.875346666666687</v>
      </c>
      <c r="G50" s="108"/>
      <c r="H50" s="108"/>
      <c r="I50" s="108"/>
      <c r="J50" s="108"/>
      <c r="K50" s="108"/>
      <c r="L50" s="108"/>
      <c r="M50" s="108"/>
      <c r="N50" s="108"/>
      <c r="O50" s="108"/>
      <c r="P50" s="108"/>
      <c r="Q50" s="108"/>
      <c r="R50" s="108"/>
      <c r="S50" s="108"/>
      <c r="T50" s="108"/>
      <c r="U50" s="108"/>
      <c r="V50" s="108"/>
      <c r="W50" s="108"/>
      <c r="X50" s="108"/>
    </row>
    <row r="51" spans="1:53" x14ac:dyDescent="0.3">
      <c r="A51" s="108">
        <v>42582.510902399998</v>
      </c>
      <c r="B51" s="120" t="s">
        <v>284</v>
      </c>
      <c r="C51" s="121">
        <v>42582.510902399998</v>
      </c>
      <c r="D51" s="122">
        <f t="shared" si="6"/>
        <v>21291.255451199999</v>
      </c>
      <c r="E51" s="42">
        <f t="shared" si="8"/>
        <v>63873.766353599996</v>
      </c>
      <c r="F51" s="123">
        <f t="shared" si="7"/>
        <v>1419.4170300799999</v>
      </c>
      <c r="G51" s="108"/>
      <c r="H51" s="108"/>
      <c r="I51" s="108"/>
      <c r="J51" s="108"/>
      <c r="K51" s="108"/>
      <c r="L51" s="108"/>
      <c r="M51" s="108"/>
      <c r="N51" s="108"/>
      <c r="O51" s="108"/>
      <c r="P51" s="108"/>
      <c r="Q51" s="108"/>
      <c r="R51" s="108"/>
      <c r="S51" s="108"/>
      <c r="T51" s="108"/>
      <c r="U51" s="108"/>
      <c r="V51" s="108"/>
      <c r="W51" s="108"/>
      <c r="X51" s="108"/>
    </row>
    <row r="52" spans="1:53" x14ac:dyDescent="0.3">
      <c r="A52" s="108">
        <v>3819</v>
      </c>
      <c r="B52" s="120" t="s">
        <v>285</v>
      </c>
      <c r="C52" s="121">
        <v>3819</v>
      </c>
      <c r="D52" s="122">
        <f t="shared" si="6"/>
        <v>1909.5</v>
      </c>
      <c r="E52" s="42">
        <f t="shared" si="8"/>
        <v>5728.5</v>
      </c>
      <c r="F52" s="123">
        <f t="shared" si="7"/>
        <v>127.3</v>
      </c>
      <c r="G52" s="108"/>
      <c r="H52" s="108"/>
      <c r="I52" s="108"/>
      <c r="J52" s="108"/>
      <c r="K52" s="108"/>
      <c r="L52" s="108"/>
      <c r="M52" s="108"/>
      <c r="N52" s="108"/>
      <c r="O52" s="108"/>
      <c r="P52" s="108"/>
      <c r="Q52" s="108"/>
      <c r="R52" s="108"/>
      <c r="S52" s="108"/>
      <c r="T52" s="108"/>
      <c r="U52" s="108"/>
      <c r="V52" s="108"/>
      <c r="W52" s="108"/>
      <c r="X52" s="108"/>
    </row>
    <row r="53" spans="1:53" x14ac:dyDescent="0.3">
      <c r="A53" s="108">
        <v>907</v>
      </c>
      <c r="B53" s="120" t="s">
        <v>286</v>
      </c>
      <c r="C53" s="121">
        <v>907</v>
      </c>
      <c r="D53" s="122">
        <f t="shared" si="6"/>
        <v>453.5</v>
      </c>
      <c r="E53" s="42">
        <f t="shared" si="8"/>
        <v>1360.5</v>
      </c>
      <c r="F53" s="123">
        <f t="shared" si="7"/>
        <v>30.233333333333334</v>
      </c>
      <c r="G53" s="108"/>
      <c r="H53" s="108"/>
      <c r="I53" s="108"/>
      <c r="J53" s="108"/>
      <c r="K53" s="108"/>
      <c r="L53" s="108"/>
      <c r="M53" s="108"/>
      <c r="N53" s="108"/>
      <c r="O53" s="108"/>
      <c r="P53" s="108"/>
      <c r="Q53" s="108"/>
      <c r="R53" s="108"/>
      <c r="S53" s="108"/>
      <c r="T53" s="108"/>
      <c r="U53" s="108"/>
      <c r="V53" s="108"/>
      <c r="W53" s="108"/>
      <c r="X53" s="108"/>
    </row>
    <row r="54" spans="1:53" x14ac:dyDescent="0.3">
      <c r="A54" s="108">
        <v>3363</v>
      </c>
      <c r="B54" s="120" t="s">
        <v>287</v>
      </c>
      <c r="C54" s="121">
        <v>3363</v>
      </c>
      <c r="D54" s="122">
        <f t="shared" si="6"/>
        <v>1681.5</v>
      </c>
      <c r="E54" s="42">
        <f t="shared" si="8"/>
        <v>5044.5</v>
      </c>
      <c r="F54" s="123">
        <f t="shared" si="7"/>
        <v>112.1</v>
      </c>
      <c r="G54" s="108"/>
      <c r="H54" s="108"/>
      <c r="I54" s="108"/>
      <c r="J54" s="108"/>
      <c r="K54" s="108"/>
      <c r="L54" s="108"/>
      <c r="M54" s="108"/>
      <c r="N54" s="108"/>
      <c r="O54" s="108"/>
      <c r="P54" s="108"/>
      <c r="Q54" s="108"/>
      <c r="R54" s="108"/>
      <c r="S54" s="108"/>
      <c r="T54" s="108"/>
      <c r="U54" s="108"/>
      <c r="V54" s="108"/>
      <c r="W54" s="108"/>
      <c r="X54" s="108"/>
    </row>
    <row r="55" spans="1:53" x14ac:dyDescent="0.3">
      <c r="A55" s="108"/>
      <c r="B55" s="199"/>
      <c r="C55" s="123"/>
      <c r="D55" s="122"/>
      <c r="E55" s="42"/>
      <c r="F55" s="123"/>
      <c r="G55" s="108"/>
      <c r="H55" s="108"/>
      <c r="I55" s="108"/>
      <c r="J55" s="108"/>
      <c r="K55" s="108"/>
      <c r="L55" s="108"/>
      <c r="M55" s="108"/>
      <c r="N55" s="108"/>
      <c r="O55" s="108"/>
      <c r="P55" s="108"/>
      <c r="Q55" s="108"/>
      <c r="R55" s="108"/>
      <c r="S55" s="108"/>
      <c r="T55" s="108"/>
      <c r="U55" s="108"/>
      <c r="V55" s="108"/>
      <c r="W55" s="108"/>
      <c r="X55" s="108"/>
    </row>
    <row r="56" spans="1:53" ht="15" thickBot="1" x14ac:dyDescent="0.35">
      <c r="A56" s="108"/>
      <c r="D56" s="108"/>
      <c r="E56" s="108"/>
      <c r="F56" s="108"/>
      <c r="G56" s="130"/>
      <c r="H56" s="108"/>
      <c r="I56" s="108"/>
      <c r="J56" s="108"/>
      <c r="K56" s="108"/>
      <c r="L56" s="108"/>
      <c r="M56" s="108"/>
      <c r="N56" s="108"/>
      <c r="O56" s="108"/>
      <c r="P56" s="108"/>
      <c r="Q56" s="108"/>
      <c r="R56" s="108"/>
      <c r="S56" s="108"/>
      <c r="T56" s="108"/>
      <c r="U56" s="108"/>
      <c r="V56" s="108"/>
      <c r="W56" s="108"/>
      <c r="X56" s="108"/>
      <c r="Y56" s="108"/>
    </row>
    <row r="57" spans="1:53" ht="15" thickBot="1" x14ac:dyDescent="0.35">
      <c r="A57" s="108"/>
      <c r="B57" s="206" t="s">
        <v>766</v>
      </c>
      <c r="C57" s="207"/>
      <c r="D57" s="207"/>
      <c r="E57" s="207"/>
      <c r="F57" s="207"/>
      <c r="G57" s="207"/>
      <c r="H57" s="207"/>
      <c r="I57" s="207"/>
      <c r="J57" s="207"/>
      <c r="K57" s="207"/>
      <c r="L57" s="207"/>
      <c r="M57" s="207"/>
      <c r="N57" s="207"/>
      <c r="O57" s="207"/>
      <c r="P57" s="207"/>
      <c r="Q57" s="207"/>
      <c r="R57" s="207"/>
      <c r="S57" s="207"/>
      <c r="T57" s="207"/>
      <c r="U57" s="207"/>
      <c r="V57" s="207"/>
      <c r="W57" s="207"/>
      <c r="X57" s="208"/>
      <c r="Y57" s="131"/>
    </row>
    <row r="58" spans="1:53" ht="15" thickBot="1" x14ac:dyDescent="0.35">
      <c r="A58" s="108"/>
      <c r="B58" s="108"/>
      <c r="C58" s="108"/>
      <c r="D58" s="108"/>
      <c r="E58" s="108"/>
      <c r="F58" s="108"/>
      <c r="G58" s="108"/>
      <c r="H58" s="108"/>
      <c r="I58" s="108"/>
      <c r="J58" s="108"/>
      <c r="K58" s="108"/>
      <c r="L58" s="108"/>
      <c r="M58" s="108"/>
      <c r="N58" s="108"/>
      <c r="O58" s="108"/>
      <c r="P58" s="108"/>
    </row>
    <row r="59" spans="1:53" ht="15" thickBot="1" x14ac:dyDescent="0.35">
      <c r="A59" s="108"/>
      <c r="B59" s="123"/>
      <c r="C59" s="132" t="s">
        <v>62</v>
      </c>
      <c r="D59" s="133" t="s">
        <v>272</v>
      </c>
      <c r="E59" s="123"/>
      <c r="F59" s="123"/>
      <c r="G59" s="132" t="s">
        <v>62</v>
      </c>
      <c r="H59" s="133" t="s">
        <v>272</v>
      </c>
      <c r="I59" s="123"/>
      <c r="J59" s="123"/>
      <c r="K59" s="132" t="s">
        <v>62</v>
      </c>
      <c r="L59" s="133" t="s">
        <v>767</v>
      </c>
      <c r="M59" s="123"/>
      <c r="N59" s="123"/>
      <c r="O59" s="132" t="s">
        <v>62</v>
      </c>
      <c r="P59" s="133" t="s">
        <v>767</v>
      </c>
      <c r="Q59" s="42"/>
      <c r="R59" s="123"/>
      <c r="S59" s="132" t="s">
        <v>62</v>
      </c>
      <c r="T59" s="133" t="s">
        <v>767</v>
      </c>
      <c r="V59" s="123"/>
      <c r="W59" s="132" t="s">
        <v>62</v>
      </c>
      <c r="X59" s="133" t="s">
        <v>767</v>
      </c>
      <c r="Y59" s="131"/>
      <c r="Z59" s="123"/>
      <c r="AA59" s="132" t="s">
        <v>62</v>
      </c>
      <c r="AB59" s="133" t="s">
        <v>767</v>
      </c>
      <c r="AC59" s="131"/>
      <c r="AD59" s="123"/>
      <c r="AE59" s="132" t="s">
        <v>62</v>
      </c>
      <c r="AF59" s="133" t="s">
        <v>767</v>
      </c>
      <c r="AG59" s="131"/>
      <c r="AH59" s="123"/>
      <c r="AI59" s="132" t="s">
        <v>62</v>
      </c>
      <c r="AJ59" s="133" t="s">
        <v>767</v>
      </c>
      <c r="AL59" s="123"/>
      <c r="AM59" s="132" t="s">
        <v>62</v>
      </c>
      <c r="AN59" s="133" t="s">
        <v>272</v>
      </c>
      <c r="AO59" s="123"/>
      <c r="AP59" s="123"/>
      <c r="AQ59" s="132" t="s">
        <v>62</v>
      </c>
      <c r="AR59" s="133" t="s">
        <v>272</v>
      </c>
      <c r="AS59" s="123"/>
      <c r="AT59" s="123"/>
      <c r="AU59" s="132" t="s">
        <v>62</v>
      </c>
      <c r="AV59" s="133" t="s">
        <v>272</v>
      </c>
      <c r="AW59" s="123"/>
      <c r="AX59" s="123"/>
      <c r="AY59" s="132" t="s">
        <v>62</v>
      </c>
      <c r="AZ59" s="133" t="s">
        <v>272</v>
      </c>
      <c r="BA59" s="123"/>
    </row>
    <row r="60" spans="1:53" ht="15" thickBot="1" x14ac:dyDescent="0.35">
      <c r="A60" s="108"/>
      <c r="B60" s="134" t="str">
        <f>B10</f>
        <v>c_grant</v>
      </c>
      <c r="C60" s="135">
        <f>$C$5</f>
        <v>-240790.03991918225</v>
      </c>
      <c r="D60" s="136">
        <f>$C$6</f>
        <v>36158.435234355231</v>
      </c>
      <c r="E60" s="123"/>
      <c r="F60" s="134" t="str">
        <f>B15</f>
        <v xml:space="preserve">e_ANC </v>
      </c>
      <c r="G60" s="135">
        <f>$C$5</f>
        <v>-240790.03991918225</v>
      </c>
      <c r="H60" s="136">
        <f>$C$6</f>
        <v>36158.435234355231</v>
      </c>
      <c r="I60" s="123"/>
      <c r="J60" s="134" t="str">
        <f>B16</f>
        <v>e_preterm</v>
      </c>
      <c r="K60" s="135">
        <f>$C$5</f>
        <v>-240790.03991918225</v>
      </c>
      <c r="L60" s="136">
        <f>$C$6</f>
        <v>36158.435234355231</v>
      </c>
      <c r="M60" s="123"/>
      <c r="N60" s="134" t="str">
        <f>B17</f>
        <v>e_LBW</v>
      </c>
      <c r="O60" s="135">
        <f>$C$5</f>
        <v>-240790.03991918225</v>
      </c>
      <c r="P60" s="136">
        <f>$C$6</f>
        <v>36158.435234355231</v>
      </c>
      <c r="Q60" s="42"/>
      <c r="R60" s="134" t="str">
        <f>B18</f>
        <v>e_SGA</v>
      </c>
      <c r="S60" s="135">
        <f>$C$5</f>
        <v>-240790.03991918225</v>
      </c>
      <c r="T60" s="136">
        <f>$C$6</f>
        <v>36158.435234355231</v>
      </c>
      <c r="V60" s="134" t="str">
        <f>B19</f>
        <v>e_mortality</v>
      </c>
      <c r="W60" s="135">
        <f>$C$5</f>
        <v>-240790.03991918225</v>
      </c>
      <c r="X60" s="136">
        <f>$C$6</f>
        <v>36158.435234355231</v>
      </c>
      <c r="Y60" s="131"/>
      <c r="Z60" s="134" t="str">
        <f>B20</f>
        <v>Threshold</v>
      </c>
      <c r="AA60" s="135">
        <f>C5</f>
        <v>-240790.03991918225</v>
      </c>
      <c r="AB60" s="136">
        <f>$C$6</f>
        <v>36158.435234355231</v>
      </c>
      <c r="AC60" s="131"/>
      <c r="AD60" s="134" t="str">
        <f>B21</f>
        <v>dw_CLD</v>
      </c>
      <c r="AE60" s="135">
        <f>C5</f>
        <v>-240790.03991918225</v>
      </c>
      <c r="AF60" s="136">
        <f>C6</f>
        <v>36158.435234355231</v>
      </c>
      <c r="AG60" s="131"/>
      <c r="AH60" s="134" t="str">
        <f>B22</f>
        <v>dw_motor</v>
      </c>
      <c r="AI60" s="135">
        <f>C5</f>
        <v>-240790.03991918225</v>
      </c>
      <c r="AJ60" s="136">
        <f>C6</f>
        <v>36158.435234355231</v>
      </c>
      <c r="AL60" s="134" t="str">
        <f>B43</f>
        <v>c_CSG</v>
      </c>
      <c r="AM60" s="135">
        <f>$C$5</f>
        <v>-240790.03991918225</v>
      </c>
      <c r="AN60" s="136">
        <f>$C$6</f>
        <v>36158.435234355231</v>
      </c>
      <c r="AO60" s="123"/>
      <c r="AP60" s="134" t="str">
        <f>B44</f>
        <v>c_ANC</v>
      </c>
      <c r="AQ60" s="135">
        <f>$C$5</f>
        <v>-240790.03991918225</v>
      </c>
      <c r="AR60" s="136">
        <f>$C$6</f>
        <v>36158.435234355231</v>
      </c>
      <c r="AS60" s="123"/>
      <c r="AT60" s="134" t="str">
        <f>B45</f>
        <v>c_prem</v>
      </c>
      <c r="AU60" s="135">
        <f>$C$5</f>
        <v>-240790.03991918225</v>
      </c>
      <c r="AV60" s="136">
        <f>$C$6</f>
        <v>36158.435234355231</v>
      </c>
      <c r="AW60" s="123"/>
      <c r="AX60" s="134" t="str">
        <f>B46</f>
        <v>c_LBW</v>
      </c>
      <c r="AY60" s="135">
        <f>$C$5</f>
        <v>-240790.03991918225</v>
      </c>
      <c r="AZ60" s="136">
        <f>$C$6</f>
        <v>36158.435234355231</v>
      </c>
      <c r="BA60" s="123"/>
    </row>
    <row r="61" spans="1:53" x14ac:dyDescent="0.3">
      <c r="A61" s="108"/>
      <c r="B61" s="137">
        <f>D10</f>
        <v>1150</v>
      </c>
      <c r="C61" s="138">
        <f t="dataTable" ref="C61:D91" dt2D="0" dtr="0" r1="C10"/>
        <v>-249672.71262958451</v>
      </c>
      <c r="D61" s="139">
        <v>37308.435234355216</v>
      </c>
      <c r="E61" s="123"/>
      <c r="F61" s="140">
        <f>D15</f>
        <v>5.0500000000000003E-2</v>
      </c>
      <c r="G61" s="138">
        <f t="dataTable" ref="G61:H91" dt2D="0" dtr="0" r1="C15" ca="1"/>
        <v>-277644.07474450354</v>
      </c>
      <c r="H61" s="139">
        <v>34947.055673458271</v>
      </c>
      <c r="I61" s="123"/>
      <c r="J61" s="141">
        <f>D16</f>
        <v>0.69</v>
      </c>
      <c r="K61" s="138">
        <f t="dataTable" ref="K61:L91" dt2D="0" dtr="0" r1="C16" ca="1"/>
        <v>-232947.95305592759</v>
      </c>
      <c r="L61" s="139">
        <v>37436.502366306653</v>
      </c>
      <c r="M61" s="123"/>
      <c r="N61" s="141">
        <f>D17</f>
        <v>0.63</v>
      </c>
      <c r="O61" s="138">
        <f t="dataTable" ref="O61:P91" dt2D="0" dtr="0" r1="C17" ca="1"/>
        <v>-288221.23031509353</v>
      </c>
      <c r="P61" s="139">
        <v>44197.104095223527</v>
      </c>
      <c r="Q61" s="42"/>
      <c r="R61" s="141">
        <f>D18</f>
        <v>0.82</v>
      </c>
      <c r="S61" s="138">
        <f t="dataTable" ref="S61:T91" dt2D="0" dtr="0" r1="C18" ca="1"/>
        <v>-228294.10601718677</v>
      </c>
      <c r="T61" s="139">
        <v>36448.687458326043</v>
      </c>
      <c r="V61" s="141">
        <f>D19</f>
        <v>4.65E-2</v>
      </c>
      <c r="W61" s="138">
        <f t="dataTable" ref="W61:X91" dt2D="0" dtr="0" r1="C19" ca="1"/>
        <v>-264099.00219339295</v>
      </c>
      <c r="X61" s="139">
        <v>35734.730543923462</v>
      </c>
      <c r="Y61" s="131"/>
      <c r="Z61" s="137">
        <f>D20</f>
        <v>19250</v>
      </c>
      <c r="AA61" s="138">
        <f t="dataTable" ref="AA61:AB91" dt2D="0" dtr="0" r1="C20" ca="1"/>
        <v>-240790.03991918225</v>
      </c>
      <c r="AB61" s="139">
        <v>33666.223630737884</v>
      </c>
      <c r="AC61" s="131"/>
      <c r="AD61" s="142">
        <f>D21</f>
        <v>8.5999999999999993E-2</v>
      </c>
      <c r="AE61" s="138">
        <f t="dataTable" ref="AE61:AF91" dt2D="0" dtr="0" r1="C21" ca="1"/>
        <v>-252641.29999125088</v>
      </c>
      <c r="AF61" s="139">
        <v>35924.618769112858</v>
      </c>
      <c r="AG61" s="131"/>
      <c r="AH61" s="143">
        <f>D22</f>
        <v>0.04</v>
      </c>
      <c r="AI61" s="138">
        <f t="dataTable" ref="AI61:AJ91" dt2D="0" dtr="0" r1="C22" ca="1"/>
        <v>-241001.13417427562</v>
      </c>
      <c r="AJ61" s="139">
        <v>36154.069349905738</v>
      </c>
      <c r="AL61" s="137">
        <f>D43</f>
        <v>5520</v>
      </c>
      <c r="AM61" s="138">
        <f t="dataTable" ref="AM61:AN91" dt2D="0" dtr="0" r1="C43" ca="1"/>
        <v>-241026.77317156637</v>
      </c>
      <c r="AN61" s="139">
        <v>36189.084032202183</v>
      </c>
      <c r="AO61" s="123"/>
      <c r="AP61" s="137">
        <f>D44</f>
        <v>88.5</v>
      </c>
      <c r="AQ61" s="138">
        <f t="dataTable" ref="AQ61:AR91" dt2D="0" dtr="0" r1="C44" ca="1"/>
        <v>-240847.4134382155</v>
      </c>
      <c r="AR61" s="139">
        <v>36165.863127855235</v>
      </c>
      <c r="AS61" s="123"/>
      <c r="AT61" s="137">
        <f>D45</f>
        <v>288.95085405405405</v>
      </c>
      <c r="AU61" s="138">
        <f t="dataTable" ref="AU61:AV91" dt2D="0" dtr="0" r1="C45" ca="1"/>
        <v>-240698.87732824715</v>
      </c>
      <c r="AV61" s="139">
        <v>36146.632820487997</v>
      </c>
      <c r="AW61" s="123"/>
      <c r="AX61" s="137">
        <f>D46</f>
        <v>99325.882799999992</v>
      </c>
      <c r="AY61" s="138">
        <f t="dataTable" ref="AY61:AZ91" dt2D="0" dtr="0" r1="C46" ca="1"/>
        <v>-90951.817145484267</v>
      </c>
      <c r="AZ61" s="139">
        <v>16759.549132432574</v>
      </c>
      <c r="BA61" s="123"/>
    </row>
    <row r="62" spans="1:53" x14ac:dyDescent="0.3">
      <c r="A62" s="108"/>
      <c r="B62" s="137">
        <f>B61+$F$10</f>
        <v>1226.6666666666667</v>
      </c>
      <c r="C62" s="144">
        <v>-249080.53444889133</v>
      </c>
      <c r="D62" s="139">
        <v>37231.768567688589</v>
      </c>
      <c r="E62" s="123"/>
      <c r="F62" s="140">
        <f>F61+$F$15</f>
        <v>5.3866666666666674E-2</v>
      </c>
      <c r="G62" s="144">
        <v>-274798.99836274912</v>
      </c>
      <c r="H62" s="139">
        <v>35027.814310851332</v>
      </c>
      <c r="I62" s="123"/>
      <c r="J62" s="141">
        <f>J61+$F$16</f>
        <v>0.69499999999999995</v>
      </c>
      <c r="K62" s="144">
        <v>-233476.09858153667</v>
      </c>
      <c r="L62" s="139">
        <v>37345.211856881586</v>
      </c>
      <c r="M62" s="123"/>
      <c r="N62" s="141">
        <f>N61+$F$17</f>
        <v>0.63633333333333331</v>
      </c>
      <c r="O62" s="144">
        <v>-284615.25227267324</v>
      </c>
      <c r="P62" s="139">
        <v>43560.70947707157</v>
      </c>
      <c r="Q62" s="42"/>
      <c r="R62" s="141">
        <f>R61+$F$18</f>
        <v>0.82566666666666666</v>
      </c>
      <c r="S62" s="144">
        <v>-229136.02110114903</v>
      </c>
      <c r="T62" s="139">
        <v>36428.127925794739</v>
      </c>
      <c r="V62" s="141">
        <f>V61+$F$19</f>
        <v>4.9599999999999998E-2</v>
      </c>
      <c r="W62" s="144">
        <v>-262406.28870729526</v>
      </c>
      <c r="X62" s="139">
        <v>35762.977523285655</v>
      </c>
      <c r="Y62" s="131"/>
      <c r="Z62" s="137">
        <f>Z61+$F$20</f>
        <v>20533.333333333332</v>
      </c>
      <c r="AA62" s="144">
        <v>-240790.03991918225</v>
      </c>
      <c r="AB62" s="139">
        <v>33832.371070979039</v>
      </c>
      <c r="AC62" s="131"/>
      <c r="AD62" s="142">
        <f>AD61+$F$21</f>
        <v>8.9533333333333326E-2</v>
      </c>
      <c r="AE62" s="144">
        <v>-251709.94950616863</v>
      </c>
      <c r="AF62" s="139">
        <v>35942.196460826155</v>
      </c>
      <c r="AG62" s="131"/>
      <c r="AH62" s="141">
        <f>AH61+$F$22</f>
        <v>4.1633333333333335E-2</v>
      </c>
      <c r="AI62" s="144">
        <v>-240984.70245900669</v>
      </c>
      <c r="AJ62" s="139">
        <v>36154.408918696274</v>
      </c>
      <c r="AL62" s="137">
        <f t="shared" ref="AL62:AL91" si="9">AL61+$F$43</f>
        <v>5704</v>
      </c>
      <c r="AM62" s="144">
        <v>-241026.77317156637</v>
      </c>
      <c r="AN62" s="139">
        <v>36189.084032202183</v>
      </c>
      <c r="AO62" s="123"/>
      <c r="AP62" s="137">
        <f t="shared" ref="AP62:AP91" si="10">AP61+$F$44</f>
        <v>94.4</v>
      </c>
      <c r="AQ62" s="144">
        <v>-240843.58853694657</v>
      </c>
      <c r="AR62" s="139">
        <v>36165.367934955226</v>
      </c>
      <c r="AS62" s="123"/>
      <c r="AT62" s="137">
        <f t="shared" ref="AT62:AT91" si="11">AT61+$F$45</f>
        <v>308.21424432432434</v>
      </c>
      <c r="AU62" s="144">
        <v>-240704.95483430946</v>
      </c>
      <c r="AV62" s="139">
        <v>36147.419648079143</v>
      </c>
      <c r="AW62" s="123"/>
      <c r="AX62" s="137">
        <f t="shared" ref="AX62:AX91" si="12">AX61+$F$46</f>
        <v>105947.60831999998</v>
      </c>
      <c r="AY62" s="144">
        <v>-97337.55018700652</v>
      </c>
      <c r="AZ62" s="139">
        <v>17586.281495221378</v>
      </c>
      <c r="BA62" s="123"/>
    </row>
    <row r="63" spans="1:53" x14ac:dyDescent="0.3">
      <c r="A63" s="108"/>
      <c r="B63" s="137">
        <f t="shared" ref="B63:B91" si="13">B62+$F$10</f>
        <v>1303.3333333333335</v>
      </c>
      <c r="C63" s="144">
        <v>-248488.35626819791</v>
      </c>
      <c r="D63" s="139">
        <v>37155.101901021932</v>
      </c>
      <c r="E63" s="123"/>
      <c r="F63" s="140">
        <f t="shared" ref="F63:F91" si="14">F62+$F$15</f>
        <v>5.7233333333333344E-2</v>
      </c>
      <c r="G63" s="144">
        <v>-272017.4138538526</v>
      </c>
      <c r="H63" s="139">
        <v>35108.572948244531</v>
      </c>
      <c r="I63" s="123"/>
      <c r="J63" s="141">
        <f t="shared" ref="J63:J91" si="15">J62+$F$16</f>
        <v>0.7</v>
      </c>
      <c r="K63" s="144">
        <v>-234008.90691476641</v>
      </c>
      <c r="L63" s="139">
        <v>37253.921347456439</v>
      </c>
      <c r="M63" s="123"/>
      <c r="N63" s="141">
        <f t="shared" ref="N63:N91" si="16">N62+$F$17</f>
        <v>0.64266666666666661</v>
      </c>
      <c r="O63" s="144">
        <v>-280984.58812060393</v>
      </c>
      <c r="P63" s="139">
        <v>42924.31485891941</v>
      </c>
      <c r="Q63" s="42"/>
      <c r="R63" s="141">
        <f t="shared" ref="R63:R91" si="17">R62+$F$18</f>
        <v>0.83133333333333337</v>
      </c>
      <c r="S63" s="144">
        <v>-229984.2265444613</v>
      </c>
      <c r="T63" s="139">
        <v>36407.5683932635</v>
      </c>
      <c r="V63" s="141">
        <f t="shared" ref="V63:V91" si="18">V62+$F$19</f>
        <v>5.2699999999999997E-2</v>
      </c>
      <c r="W63" s="144">
        <v>-260735.03509950818</v>
      </c>
      <c r="X63" s="139">
        <v>35791.224502647747</v>
      </c>
      <c r="Y63" s="131"/>
      <c r="Z63" s="137">
        <f t="shared" ref="Z63:Z91" si="19">Z62+$F$20</f>
        <v>21816.666666666664</v>
      </c>
      <c r="AA63" s="144">
        <v>-240790.03991918225</v>
      </c>
      <c r="AB63" s="139">
        <v>33998.518511220202</v>
      </c>
      <c r="AC63" s="131"/>
      <c r="AD63" s="142">
        <f t="shared" ref="AD63:AD91" si="20">AD62+$F$21</f>
        <v>9.3066666666666659E-2</v>
      </c>
      <c r="AE63" s="144">
        <v>-250785.44056117182</v>
      </c>
      <c r="AF63" s="139">
        <v>35959.774152539409</v>
      </c>
      <c r="AG63" s="131"/>
      <c r="AH63" s="141">
        <f t="shared" ref="AH63:AH91" si="21">AH62+$F$22</f>
        <v>4.3266666666666669E-2</v>
      </c>
      <c r="AI63" s="144">
        <v>-240968.27298425179</v>
      </c>
      <c r="AJ63" s="139">
        <v>36154.748487486744</v>
      </c>
      <c r="AL63" s="137">
        <f t="shared" si="9"/>
        <v>5888</v>
      </c>
      <c r="AM63" s="144">
        <v>-241026.77317156637</v>
      </c>
      <c r="AN63" s="139">
        <v>36189.084032202183</v>
      </c>
      <c r="AO63" s="123"/>
      <c r="AP63" s="137">
        <f t="shared" si="10"/>
        <v>100.30000000000001</v>
      </c>
      <c r="AQ63" s="144">
        <v>-240839.76363567772</v>
      </c>
      <c r="AR63" s="139">
        <v>36164.872742055231</v>
      </c>
      <c r="AS63" s="123"/>
      <c r="AT63" s="137">
        <f t="shared" si="11"/>
        <v>327.47763459459463</v>
      </c>
      <c r="AU63" s="144">
        <v>-240711.03234037178</v>
      </c>
      <c r="AV63" s="139">
        <v>36148.206475670289</v>
      </c>
      <c r="AW63" s="123"/>
      <c r="AX63" s="137">
        <f t="shared" si="12"/>
        <v>112569.33383999998</v>
      </c>
      <c r="AY63" s="144">
        <v>-103723.28322852879</v>
      </c>
      <c r="AZ63" s="139">
        <v>18413.013858010181</v>
      </c>
      <c r="BA63" s="123"/>
    </row>
    <row r="64" spans="1:53" x14ac:dyDescent="0.3">
      <c r="A64" s="108"/>
      <c r="B64" s="137">
        <f t="shared" si="13"/>
        <v>1380.0000000000002</v>
      </c>
      <c r="C64" s="144">
        <v>-247896.17808750371</v>
      </c>
      <c r="D64" s="139">
        <v>37078.435234355173</v>
      </c>
      <c r="E64" s="123"/>
      <c r="F64" s="140">
        <f t="shared" si="14"/>
        <v>6.0600000000000015E-2</v>
      </c>
      <c r="G64" s="144">
        <v>-269297.21930597728</v>
      </c>
      <c r="H64" s="139">
        <v>35189.331585637636</v>
      </c>
      <c r="I64" s="123"/>
      <c r="J64" s="141">
        <f t="shared" si="15"/>
        <v>0.70499999999999996</v>
      </c>
      <c r="K64" s="144">
        <v>-234546.44007879458</v>
      </c>
      <c r="L64" s="139">
        <v>37162.630838031233</v>
      </c>
      <c r="M64" s="123"/>
      <c r="N64" s="141">
        <f t="shared" si="16"/>
        <v>0.64899999999999991</v>
      </c>
      <c r="O64" s="144">
        <v>-277328.98349080409</v>
      </c>
      <c r="P64" s="139">
        <v>42287.920240767424</v>
      </c>
      <c r="Q64" s="42"/>
      <c r="R64" s="141">
        <f t="shared" si="17"/>
        <v>0.83700000000000008</v>
      </c>
      <c r="S64" s="144">
        <v>-230838.79310899871</v>
      </c>
      <c r="T64" s="139">
        <v>36387.00886073224</v>
      </c>
      <c r="V64" s="141">
        <f t="shared" si="18"/>
        <v>5.5799999999999995E-2</v>
      </c>
      <c r="W64" s="144">
        <v>-259084.83584464321</v>
      </c>
      <c r="X64" s="139">
        <v>35819.47148200986</v>
      </c>
      <c r="Y64" s="131"/>
      <c r="Z64" s="137">
        <f t="shared" si="19"/>
        <v>23099.999999999996</v>
      </c>
      <c r="AA64" s="144">
        <v>-240790.03991918225</v>
      </c>
      <c r="AB64" s="139">
        <v>34164.665951461357</v>
      </c>
      <c r="AC64" s="131"/>
      <c r="AD64" s="142">
        <f t="shared" si="20"/>
        <v>9.6599999999999991E-2</v>
      </c>
      <c r="AE64" s="144">
        <v>-249867.69804696736</v>
      </c>
      <c r="AF64" s="139">
        <v>35977.351844252647</v>
      </c>
      <c r="AG64" s="131"/>
      <c r="AH64" s="141">
        <f t="shared" si="21"/>
        <v>4.4900000000000002E-2</v>
      </c>
      <c r="AI64" s="144">
        <v>-240951.84574954689</v>
      </c>
      <c r="AJ64" s="139">
        <v>36155.08805627728</v>
      </c>
      <c r="AL64" s="137">
        <f t="shared" si="9"/>
        <v>6072</v>
      </c>
      <c r="AM64" s="144">
        <v>-241026.77317156637</v>
      </c>
      <c r="AN64" s="139">
        <v>36189.084032202183</v>
      </c>
      <c r="AO64" s="123"/>
      <c r="AP64" s="137">
        <f t="shared" si="10"/>
        <v>106.20000000000002</v>
      </c>
      <c r="AQ64" s="144">
        <v>-240835.93873440888</v>
      </c>
      <c r="AR64" s="139">
        <v>36164.377549155237</v>
      </c>
      <c r="AS64" s="123"/>
      <c r="AT64" s="137">
        <f t="shared" si="11"/>
        <v>346.74102486486493</v>
      </c>
      <c r="AU64" s="144">
        <v>-240717.109846434</v>
      </c>
      <c r="AV64" s="139">
        <v>36148.993303261421</v>
      </c>
      <c r="AW64" s="123"/>
      <c r="AX64" s="137">
        <f t="shared" si="12"/>
        <v>119191.05935999997</v>
      </c>
      <c r="AY64" s="144">
        <v>-110109.01627005116</v>
      </c>
      <c r="AZ64" s="139">
        <v>19239.746220798999</v>
      </c>
      <c r="BA64" s="123"/>
    </row>
    <row r="65" spans="1:53" x14ac:dyDescent="0.3">
      <c r="A65" s="108"/>
      <c r="B65" s="137">
        <f t="shared" si="13"/>
        <v>1456.666666666667</v>
      </c>
      <c r="C65" s="144">
        <v>-247303.99990681073</v>
      </c>
      <c r="D65" s="139">
        <v>37001.768567688574</v>
      </c>
      <c r="E65" s="123"/>
      <c r="F65" s="140">
        <f t="shared" si="14"/>
        <v>6.3966666666666686E-2</v>
      </c>
      <c r="G65" s="144">
        <v>-266636.40457361826</v>
      </c>
      <c r="H65" s="139">
        <v>35270.090223030733</v>
      </c>
      <c r="I65" s="123"/>
      <c r="J65" s="141">
        <f t="shared" si="15"/>
        <v>0.71</v>
      </c>
      <c r="K65" s="144">
        <v>-235088.76120171114</v>
      </c>
      <c r="L65" s="139">
        <v>37071.340328606217</v>
      </c>
      <c r="M65" s="123"/>
      <c r="N65" s="141">
        <f t="shared" si="16"/>
        <v>0.65533333333333321</v>
      </c>
      <c r="O65" s="144">
        <v>-273648.18050844892</v>
      </c>
      <c r="P65" s="139">
        <v>41651.525622615241</v>
      </c>
      <c r="Q65" s="42"/>
      <c r="R65" s="141">
        <f t="shared" si="17"/>
        <v>0.84266666666666679</v>
      </c>
      <c r="S65" s="144">
        <v>-231699.79262199008</v>
      </c>
      <c r="T65" s="139">
        <v>36366.449328201008</v>
      </c>
      <c r="V65" s="141">
        <f t="shared" si="18"/>
        <v>5.8899999999999994E-2</v>
      </c>
      <c r="W65" s="144">
        <v>-257455.29557091399</v>
      </c>
      <c r="X65" s="139">
        <v>35847.718461371966</v>
      </c>
      <c r="Y65" s="131"/>
      <c r="Z65" s="137">
        <f t="shared" si="19"/>
        <v>24383.333333333328</v>
      </c>
      <c r="AA65" s="144">
        <v>-240790.03991918225</v>
      </c>
      <c r="AB65" s="139">
        <v>34330.813391702512</v>
      </c>
      <c r="AC65" s="131"/>
      <c r="AD65" s="142">
        <f t="shared" si="20"/>
        <v>0.10013333333333332</v>
      </c>
      <c r="AE65" s="144">
        <v>-248956.64794969649</v>
      </c>
      <c r="AF65" s="139">
        <v>35994.929535965894</v>
      </c>
      <c r="AG65" s="131"/>
      <c r="AH65" s="141">
        <f t="shared" si="21"/>
        <v>4.6533333333333336E-2</v>
      </c>
      <c r="AI65" s="144">
        <v>-240935.42075443509</v>
      </c>
      <c r="AJ65" s="139">
        <v>36155.427625067845</v>
      </c>
      <c r="AL65" s="137">
        <f t="shared" si="9"/>
        <v>6256</v>
      </c>
      <c r="AM65" s="144">
        <v>-241026.77317156637</v>
      </c>
      <c r="AN65" s="139">
        <v>36189.084032202183</v>
      </c>
      <c r="AO65" s="123"/>
      <c r="AP65" s="137">
        <f t="shared" si="10"/>
        <v>112.10000000000002</v>
      </c>
      <c r="AQ65" s="144">
        <v>-240832.11383314038</v>
      </c>
      <c r="AR65" s="139">
        <v>36163.882356255286</v>
      </c>
      <c r="AS65" s="123"/>
      <c r="AT65" s="137">
        <f t="shared" si="11"/>
        <v>366.00441513513522</v>
      </c>
      <c r="AU65" s="144">
        <v>-240723.18735249643</v>
      </c>
      <c r="AV65" s="139">
        <v>36149.780130852581</v>
      </c>
      <c r="AW65" s="123"/>
      <c r="AX65" s="137">
        <f t="shared" si="12"/>
        <v>125812.78487999996</v>
      </c>
      <c r="AY65" s="144">
        <v>-116494.74931157347</v>
      </c>
      <c r="AZ65" s="139">
        <v>20066.47858358781</v>
      </c>
      <c r="BA65" s="123"/>
    </row>
    <row r="66" spans="1:53" x14ac:dyDescent="0.3">
      <c r="A66" s="108"/>
      <c r="B66" s="137">
        <f t="shared" si="13"/>
        <v>1533.3333333333337</v>
      </c>
      <c r="C66" s="144">
        <v>-246711.82172611731</v>
      </c>
      <c r="D66" s="139">
        <v>36925.101901021917</v>
      </c>
      <c r="E66" s="123"/>
      <c r="F66" s="140">
        <f t="shared" si="14"/>
        <v>6.7333333333333356E-2</v>
      </c>
      <c r="G66" s="144">
        <v>-264033.04632370215</v>
      </c>
      <c r="H66" s="139">
        <v>35350.848860423896</v>
      </c>
      <c r="I66" s="123"/>
      <c r="J66" s="141">
        <f t="shared" si="15"/>
        <v>0.71499999999999997</v>
      </c>
      <c r="K66" s="144">
        <v>-235635.93454124194</v>
      </c>
      <c r="L66" s="139">
        <v>36980.049819181098</v>
      </c>
      <c r="M66" s="123"/>
      <c r="N66" s="141">
        <f t="shared" si="16"/>
        <v>0.66166666666666651</v>
      </c>
      <c r="O66" s="144">
        <v>-269941.91773130296</v>
      </c>
      <c r="P66" s="139">
        <v>41015.131004463212</v>
      </c>
      <c r="Q66" s="42"/>
      <c r="R66" s="141">
        <f t="shared" si="17"/>
        <v>0.84833333333333349</v>
      </c>
      <c r="S66" s="144">
        <v>-232567.29799613749</v>
      </c>
      <c r="T66" s="139">
        <v>36345.889795669711</v>
      </c>
      <c r="V66" s="141">
        <f t="shared" si="18"/>
        <v>6.1999999999999993E-2</v>
      </c>
      <c r="W66" s="144">
        <v>-255846.02874434527</v>
      </c>
      <c r="X66" s="139">
        <v>35875.965440734042</v>
      </c>
      <c r="Y66" s="131"/>
      <c r="Z66" s="137">
        <f t="shared" si="19"/>
        <v>25666.666666666661</v>
      </c>
      <c r="AA66" s="144">
        <v>-240790.03991918225</v>
      </c>
      <c r="AB66" s="139">
        <v>34496.960831943667</v>
      </c>
      <c r="AC66" s="131"/>
      <c r="AD66" s="142">
        <f t="shared" si="20"/>
        <v>0.10366666666666666</v>
      </c>
      <c r="AE66" s="144">
        <v>-248052.21733103675</v>
      </c>
      <c r="AF66" s="139">
        <v>36012.50722767914</v>
      </c>
      <c r="AG66" s="131"/>
      <c r="AH66" s="141">
        <f t="shared" si="21"/>
        <v>4.816666666666667E-2</v>
      </c>
      <c r="AI66" s="144">
        <v>-240918.99799846471</v>
      </c>
      <c r="AJ66" s="139">
        <v>36155.767193858323</v>
      </c>
      <c r="AL66" s="137">
        <f t="shared" si="9"/>
        <v>6440</v>
      </c>
      <c r="AM66" s="144">
        <v>-241026.77317156637</v>
      </c>
      <c r="AN66" s="139">
        <v>36189.084032202183</v>
      </c>
      <c r="AO66" s="123"/>
      <c r="AP66" s="137">
        <f t="shared" si="10"/>
        <v>118.00000000000003</v>
      </c>
      <c r="AQ66" s="144">
        <v>-240828.28893187075</v>
      </c>
      <c r="AR66" s="139">
        <v>36163.38716335519</v>
      </c>
      <c r="AS66" s="123"/>
      <c r="AT66" s="137">
        <f t="shared" si="11"/>
        <v>385.26780540540551</v>
      </c>
      <c r="AU66" s="144">
        <v>-240729.26485855941</v>
      </c>
      <c r="AV66" s="139">
        <v>36150.566958443815</v>
      </c>
      <c r="AW66" s="123"/>
      <c r="AX66" s="137">
        <f t="shared" si="12"/>
        <v>132434.51039999997</v>
      </c>
      <c r="AY66" s="144">
        <v>-122880.48235309556</v>
      </c>
      <c r="AZ66" s="139">
        <v>20893.210946376592</v>
      </c>
      <c r="BA66" s="123"/>
    </row>
    <row r="67" spans="1:53" x14ac:dyDescent="0.3">
      <c r="A67" s="108"/>
      <c r="B67" s="137">
        <f t="shared" si="13"/>
        <v>1610.0000000000005</v>
      </c>
      <c r="C67" s="144">
        <v>-246119.64354542346</v>
      </c>
      <c r="D67" s="139">
        <v>36848.435234355202</v>
      </c>
      <c r="E67" s="123"/>
      <c r="F67" s="140">
        <f t="shared" si="14"/>
        <v>7.0700000000000027E-2</v>
      </c>
      <c r="G67" s="144">
        <v>-261485.30339915364</v>
      </c>
      <c r="H67" s="139">
        <v>35431.607497816964</v>
      </c>
      <c r="I67" s="123"/>
      <c r="J67" s="141">
        <f t="shared" si="15"/>
        <v>0.72</v>
      </c>
      <c r="K67" s="144">
        <v>-236188.02551011974</v>
      </c>
      <c r="L67" s="139">
        <v>36888.759309756046</v>
      </c>
      <c r="M67" s="123"/>
      <c r="N67" s="141">
        <f t="shared" si="16"/>
        <v>0.66799999999999982</v>
      </c>
      <c r="O67" s="144">
        <v>-266209.93008785066</v>
      </c>
      <c r="P67" s="139">
        <v>40378.736386311139</v>
      </c>
      <c r="Q67" s="42"/>
      <c r="R67" s="141">
        <f t="shared" si="17"/>
        <v>0.8540000000000002</v>
      </c>
      <c r="S67" s="144">
        <v>-233441.38325021139</v>
      </c>
      <c r="T67" s="139">
        <v>36325.330263138458</v>
      </c>
      <c r="V67" s="141">
        <f t="shared" si="18"/>
        <v>6.5099999999999991E-2</v>
      </c>
      <c r="W67" s="144">
        <v>-254256.65936466676</v>
      </c>
      <c r="X67" s="139">
        <v>35904.212420096272</v>
      </c>
      <c r="Y67" s="131"/>
      <c r="Z67" s="137">
        <f t="shared" si="19"/>
        <v>26949.999999999993</v>
      </c>
      <c r="AA67" s="144">
        <v>-240790.03991918225</v>
      </c>
      <c r="AB67" s="139">
        <v>34663.108272184822</v>
      </c>
      <c r="AC67" s="131"/>
      <c r="AD67" s="142">
        <f t="shared" si="20"/>
        <v>0.10719999999999999</v>
      </c>
      <c r="AE67" s="144">
        <v>-247154.33430873242</v>
      </c>
      <c r="AF67" s="139">
        <v>36030.08491939243</v>
      </c>
      <c r="AG67" s="131"/>
      <c r="AH67" s="141">
        <f t="shared" si="21"/>
        <v>4.9800000000000004E-2</v>
      </c>
      <c r="AI67" s="144">
        <v>-240902.57748116957</v>
      </c>
      <c r="AJ67" s="139">
        <v>36156.106762648866</v>
      </c>
      <c r="AL67" s="137">
        <f t="shared" si="9"/>
        <v>6624</v>
      </c>
      <c r="AM67" s="144">
        <v>-241026.77317156637</v>
      </c>
      <c r="AN67" s="139">
        <v>36189.084032202183</v>
      </c>
      <c r="AO67" s="123"/>
      <c r="AP67" s="137">
        <f t="shared" si="10"/>
        <v>123.90000000000003</v>
      </c>
      <c r="AQ67" s="144">
        <v>-240824.4640306019</v>
      </c>
      <c r="AR67" s="139">
        <v>36162.891970455195</v>
      </c>
      <c r="AS67" s="123"/>
      <c r="AT67" s="137">
        <f t="shared" si="11"/>
        <v>404.5311956756758</v>
      </c>
      <c r="AU67" s="144">
        <v>-240735.34236462082</v>
      </c>
      <c r="AV67" s="139">
        <v>36151.353786034844</v>
      </c>
      <c r="AW67" s="123"/>
      <c r="AX67" s="137">
        <f t="shared" si="12"/>
        <v>139056.23591999998</v>
      </c>
      <c r="AY67" s="144">
        <v>-129266.21539461848</v>
      </c>
      <c r="AZ67" s="139">
        <v>21719.943309165483</v>
      </c>
      <c r="BA67" s="123"/>
    </row>
    <row r="68" spans="1:53" x14ac:dyDescent="0.3">
      <c r="A68" s="108"/>
      <c r="B68" s="137">
        <f t="shared" si="13"/>
        <v>1686.6666666666672</v>
      </c>
      <c r="C68" s="144">
        <v>-245527.46536473048</v>
      </c>
      <c r="D68" s="139">
        <v>36771.768567688603</v>
      </c>
      <c r="E68" s="123"/>
      <c r="F68" s="140">
        <f t="shared" si="14"/>
        <v>7.4066666666666697E-2</v>
      </c>
      <c r="G68" s="144">
        <v>-258991.41247649616</v>
      </c>
      <c r="H68" s="139">
        <v>35512.366135210221</v>
      </c>
      <c r="I68" s="123"/>
      <c r="J68" s="141">
        <f t="shared" si="15"/>
        <v>0.72499999999999998</v>
      </c>
      <c r="K68" s="144">
        <v>-236745.10070215529</v>
      </c>
      <c r="L68" s="139">
        <v>36797.468800330855</v>
      </c>
      <c r="M68" s="123"/>
      <c r="N68" s="141">
        <f t="shared" si="16"/>
        <v>0.67433333333333312</v>
      </c>
      <c r="O68" s="144">
        <v>-262451.94881406688</v>
      </c>
      <c r="P68" s="139">
        <v>39742.341768159022</v>
      </c>
      <c r="Q68" s="42"/>
      <c r="R68" s="141">
        <f t="shared" si="17"/>
        <v>0.85966666666666691</v>
      </c>
      <c r="S68" s="144">
        <v>-234322.12353009282</v>
      </c>
      <c r="T68" s="139">
        <v>36304.77073060719</v>
      </c>
      <c r="V68" s="141">
        <f t="shared" si="18"/>
        <v>6.8199999999999997E-2</v>
      </c>
      <c r="W68" s="144">
        <v>-252686.82067244576</v>
      </c>
      <c r="X68" s="139">
        <v>35932.459399458261</v>
      </c>
      <c r="Y68" s="131"/>
      <c r="Z68" s="137">
        <f t="shared" si="19"/>
        <v>28233.333333333325</v>
      </c>
      <c r="AA68" s="144">
        <v>-240790.03991918225</v>
      </c>
      <c r="AB68" s="139">
        <v>34829.255712425977</v>
      </c>
      <c r="AC68" s="131"/>
      <c r="AD68" s="142">
        <f t="shared" si="20"/>
        <v>0.11073333333333332</v>
      </c>
      <c r="AE68" s="144">
        <v>-246262.92803755865</v>
      </c>
      <c r="AF68" s="139">
        <v>36047.66261110569</v>
      </c>
      <c r="AG68" s="131"/>
      <c r="AH68" s="141">
        <f t="shared" si="21"/>
        <v>5.1433333333333338E-2</v>
      </c>
      <c r="AI68" s="144">
        <v>-240886.15920209858</v>
      </c>
      <c r="AJ68" s="139">
        <v>36156.446331439358</v>
      </c>
      <c r="AL68" s="137">
        <f t="shared" si="9"/>
        <v>6808</v>
      </c>
      <c r="AM68" s="144">
        <v>-241026.77317156637</v>
      </c>
      <c r="AN68" s="139">
        <v>36189.084032202183</v>
      </c>
      <c r="AO68" s="123"/>
      <c r="AP68" s="137">
        <f t="shared" si="10"/>
        <v>129.80000000000004</v>
      </c>
      <c r="AQ68" s="144">
        <v>-240820.63912933329</v>
      </c>
      <c r="AR68" s="139">
        <v>36162.39677755523</v>
      </c>
      <c r="AS68" s="123"/>
      <c r="AT68" s="137">
        <f t="shared" si="11"/>
        <v>423.7945859459461</v>
      </c>
      <c r="AU68" s="144">
        <v>-240741.4198706836</v>
      </c>
      <c r="AV68" s="139">
        <v>36152.140613626048</v>
      </c>
      <c r="AW68" s="123"/>
      <c r="AX68" s="137">
        <f t="shared" si="12"/>
        <v>145677.96143999998</v>
      </c>
      <c r="AY68" s="144">
        <v>-135651.94843614069</v>
      </c>
      <c r="AZ68" s="139">
        <v>22546.675671954279</v>
      </c>
      <c r="BA68" s="123"/>
    </row>
    <row r="69" spans="1:53" x14ac:dyDescent="0.3">
      <c r="A69" s="108"/>
      <c r="B69" s="137">
        <f t="shared" si="13"/>
        <v>1763.3333333333339</v>
      </c>
      <c r="C69" s="144">
        <v>-244935.28718403718</v>
      </c>
      <c r="D69" s="139">
        <v>36695.101901021961</v>
      </c>
      <c r="E69" s="123"/>
      <c r="F69" s="140">
        <f t="shared" si="14"/>
        <v>7.7433333333333368E-2</v>
      </c>
      <c r="G69" s="144">
        <v>-256549.68399591479</v>
      </c>
      <c r="H69" s="139">
        <v>35593.124772603333</v>
      </c>
      <c r="I69" s="123"/>
      <c r="J69" s="141">
        <f t="shared" si="15"/>
        <v>0.73</v>
      </c>
      <c r="K69" s="144">
        <v>-237307.22791902788</v>
      </c>
      <c r="L69" s="139">
        <v>36706.17829090586</v>
      </c>
      <c r="M69" s="123"/>
      <c r="N69" s="141">
        <f t="shared" si="16"/>
        <v>0.68066666666666642</v>
      </c>
      <c r="O69" s="144">
        <v>-258667.70138891877</v>
      </c>
      <c r="P69" s="139">
        <v>39105.947150006941</v>
      </c>
      <c r="Q69" s="42"/>
      <c r="R69" s="141">
        <f t="shared" si="17"/>
        <v>0.86533333333333362</v>
      </c>
      <c r="S69" s="144">
        <v>-235209.59513030807</v>
      </c>
      <c r="T69" s="139">
        <v>36284.211198075995</v>
      </c>
      <c r="V69" s="141">
        <f t="shared" si="18"/>
        <v>7.1300000000000002E-2</v>
      </c>
      <c r="W69" s="144">
        <v>-251136.1548669051</v>
      </c>
      <c r="X69" s="139">
        <v>35960.706378820396</v>
      </c>
      <c r="Y69" s="131"/>
      <c r="Z69" s="137">
        <f t="shared" si="19"/>
        <v>29516.666666666657</v>
      </c>
      <c r="AA69" s="144">
        <v>-240790.03991918225</v>
      </c>
      <c r="AB69" s="139">
        <v>34995.403152667139</v>
      </c>
      <c r="AC69" s="131"/>
      <c r="AD69" s="142">
        <f t="shared" si="20"/>
        <v>0.11426666666666666</v>
      </c>
      <c r="AE69" s="144">
        <v>-245377.92869067623</v>
      </c>
      <c r="AF69" s="139">
        <v>36065.240302818936</v>
      </c>
      <c r="AG69" s="131"/>
      <c r="AH69" s="141">
        <f t="shared" si="21"/>
        <v>5.3066666666666672E-2</v>
      </c>
      <c r="AI69" s="144">
        <v>-240869.74316079001</v>
      </c>
      <c r="AJ69" s="139">
        <v>36156.785900229872</v>
      </c>
      <c r="AL69" s="137">
        <f t="shared" si="9"/>
        <v>6992</v>
      </c>
      <c r="AM69" s="144">
        <v>-241026.77317156637</v>
      </c>
      <c r="AN69" s="139">
        <v>36189.084032202183</v>
      </c>
      <c r="AO69" s="123"/>
      <c r="AP69" s="137">
        <f t="shared" si="10"/>
        <v>135.70000000000005</v>
      </c>
      <c r="AQ69" s="144">
        <v>-240816.814228064</v>
      </c>
      <c r="AR69" s="139">
        <v>36161.901584655177</v>
      </c>
      <c r="AS69" s="123"/>
      <c r="AT69" s="137">
        <f t="shared" si="11"/>
        <v>443.05797621621639</v>
      </c>
      <c r="AU69" s="144">
        <v>-240747.49737674568</v>
      </c>
      <c r="AV69" s="139">
        <v>36152.927441217165</v>
      </c>
      <c r="AW69" s="123"/>
      <c r="AX69" s="137">
        <f t="shared" si="12"/>
        <v>152299.68695999999</v>
      </c>
      <c r="AY69" s="144">
        <v>-142037.6814776625</v>
      </c>
      <c r="AZ69" s="139">
        <v>23373.408034743024</v>
      </c>
      <c r="BA69" s="123"/>
    </row>
    <row r="70" spans="1:53" x14ac:dyDescent="0.3">
      <c r="A70" s="108"/>
      <c r="B70" s="137">
        <f t="shared" si="13"/>
        <v>1840.0000000000007</v>
      </c>
      <c r="C70" s="144">
        <v>-244343.10900334263</v>
      </c>
      <c r="D70" s="139">
        <v>36618.435234355158</v>
      </c>
      <c r="E70" s="123"/>
      <c r="F70" s="140">
        <f t="shared" si="14"/>
        <v>8.0800000000000038E-2</v>
      </c>
      <c r="G70" s="144">
        <v>-254158.49834405034</v>
      </c>
      <c r="H70" s="139">
        <v>35673.883409996444</v>
      </c>
      <c r="I70" s="123"/>
      <c r="J70" s="141">
        <f t="shared" si="15"/>
        <v>0.73499999999999999</v>
      </c>
      <c r="K70" s="144">
        <v>-237874.4761977625</v>
      </c>
      <c r="L70" s="139">
        <v>36614.887781480604</v>
      </c>
      <c r="M70" s="123"/>
      <c r="N70" s="141">
        <f t="shared" si="16"/>
        <v>0.68699999999999972</v>
      </c>
      <c r="O70" s="144">
        <v>-254856.91146847929</v>
      </c>
      <c r="P70" s="139">
        <v>38469.552531854861</v>
      </c>
      <c r="Q70" s="42"/>
      <c r="R70" s="141">
        <f t="shared" si="17"/>
        <v>0.87100000000000033</v>
      </c>
      <c r="S70" s="144">
        <v>-236103.87551607165</v>
      </c>
      <c r="T70" s="139">
        <v>36263.651665544661</v>
      </c>
      <c r="V70" s="141">
        <f t="shared" si="18"/>
        <v>7.4400000000000008E-2</v>
      </c>
      <c r="W70" s="144">
        <v>-249604.31283408194</v>
      </c>
      <c r="X70" s="139">
        <v>35988.953358182516</v>
      </c>
      <c r="Y70" s="131"/>
      <c r="Z70" s="137">
        <f t="shared" si="19"/>
        <v>30799.999999999989</v>
      </c>
      <c r="AA70" s="144">
        <v>-240790.03991918225</v>
      </c>
      <c r="AB70" s="139">
        <v>35161.550592908294</v>
      </c>
      <c r="AC70" s="131"/>
      <c r="AD70" s="142">
        <f t="shared" si="20"/>
        <v>0.11779999999999999</v>
      </c>
      <c r="AE70" s="144">
        <v>-244499.26744140373</v>
      </c>
      <c r="AF70" s="139">
        <v>36082.81799453219</v>
      </c>
      <c r="AG70" s="131"/>
      <c r="AH70" s="141">
        <f t="shared" si="21"/>
        <v>5.4700000000000006E-2</v>
      </c>
      <c r="AI70" s="144">
        <v>-240853.32935678601</v>
      </c>
      <c r="AJ70" s="139">
        <v>36157.125469020422</v>
      </c>
      <c r="AL70" s="137">
        <f t="shared" si="9"/>
        <v>7176</v>
      </c>
      <c r="AM70" s="144">
        <v>-241026.77317156637</v>
      </c>
      <c r="AN70" s="139">
        <v>36189.084032202183</v>
      </c>
      <c r="AO70" s="123"/>
      <c r="AP70" s="137">
        <f t="shared" si="10"/>
        <v>141.60000000000005</v>
      </c>
      <c r="AQ70" s="144">
        <v>-240812.9893267955</v>
      </c>
      <c r="AR70" s="139">
        <v>36161.406391755227</v>
      </c>
      <c r="AS70" s="123"/>
      <c r="AT70" s="137">
        <f t="shared" si="11"/>
        <v>462.32136648648668</v>
      </c>
      <c r="AU70" s="144">
        <v>-240753.5748828089</v>
      </c>
      <c r="AV70" s="139">
        <v>36153.714268808428</v>
      </c>
      <c r="AW70" s="123"/>
      <c r="AX70" s="137">
        <f t="shared" si="12"/>
        <v>158921.41248</v>
      </c>
      <c r="AY70" s="144">
        <v>-148423.41451918482</v>
      </c>
      <c r="AZ70" s="139">
        <v>24200.140397531835</v>
      </c>
      <c r="BA70" s="123"/>
    </row>
    <row r="71" spans="1:53" x14ac:dyDescent="0.3">
      <c r="A71" s="108"/>
      <c r="B71" s="137">
        <f t="shared" si="13"/>
        <v>1916.6666666666674</v>
      </c>
      <c r="C71" s="144">
        <v>-243750.93082264921</v>
      </c>
      <c r="D71" s="139">
        <v>36541.768567688501</v>
      </c>
      <c r="E71" s="123"/>
      <c r="F71" s="140">
        <f t="shared" si="14"/>
        <v>8.4166666666666709E-2</v>
      </c>
      <c r="G71" s="144">
        <v>-251816.30227142034</v>
      </c>
      <c r="H71" s="139">
        <v>35754.642047389621</v>
      </c>
      <c r="I71" s="123"/>
      <c r="J71" s="141">
        <f t="shared" si="15"/>
        <v>0.74</v>
      </c>
      <c r="K71" s="144">
        <v>-238446.91583903661</v>
      </c>
      <c r="L71" s="139">
        <v>36523.597272055631</v>
      </c>
      <c r="M71" s="123"/>
      <c r="N71" s="141">
        <f t="shared" si="16"/>
        <v>0.69333333333333302</v>
      </c>
      <c r="O71" s="144">
        <v>-251019.29881865607</v>
      </c>
      <c r="P71" s="139">
        <v>37833.157913702831</v>
      </c>
      <c r="Q71" s="42"/>
      <c r="R71" s="141">
        <f t="shared" si="17"/>
        <v>0.87666666666666704</v>
      </c>
      <c r="S71" s="144">
        <v>-237005.04334581568</v>
      </c>
      <c r="T71" s="139">
        <v>36243.092133013459</v>
      </c>
      <c r="V71" s="141">
        <f t="shared" si="18"/>
        <v>7.7500000000000013E-2</v>
      </c>
      <c r="W71" s="144">
        <v>-248090.9538847743</v>
      </c>
      <c r="X71" s="139">
        <v>36017.200337544637</v>
      </c>
      <c r="Y71" s="131"/>
      <c r="Z71" s="137">
        <f t="shared" si="19"/>
        <v>32083.333333333321</v>
      </c>
      <c r="AA71" s="144">
        <v>-240790.03991918225</v>
      </c>
      <c r="AB71" s="139">
        <v>35327.698033149449</v>
      </c>
      <c r="AC71" s="131"/>
      <c r="AD71" s="142">
        <f t="shared" si="20"/>
        <v>0.12133333333333332</v>
      </c>
      <c r="AE71" s="144">
        <v>-243626.8764453762</v>
      </c>
      <c r="AF71" s="139">
        <v>36100.395686245429</v>
      </c>
      <c r="AG71" s="131"/>
      <c r="AH71" s="141">
        <f t="shared" si="21"/>
        <v>5.6333333333333339E-2</v>
      </c>
      <c r="AI71" s="144">
        <v>-240836.91778963333</v>
      </c>
      <c r="AJ71" s="139">
        <v>36157.465037810922</v>
      </c>
      <c r="AL71" s="137">
        <f t="shared" si="9"/>
        <v>7360</v>
      </c>
      <c r="AM71" s="144">
        <v>-241026.77317156637</v>
      </c>
      <c r="AN71" s="139">
        <v>36189.084032202183</v>
      </c>
      <c r="AO71" s="123"/>
      <c r="AP71" s="137">
        <f t="shared" si="10"/>
        <v>147.50000000000006</v>
      </c>
      <c r="AQ71" s="144">
        <v>-240809.16442552643</v>
      </c>
      <c r="AR71" s="139">
        <v>36160.911198855203</v>
      </c>
      <c r="AS71" s="123"/>
      <c r="AT71" s="137">
        <f t="shared" si="11"/>
        <v>481.58475675675697</v>
      </c>
      <c r="AU71" s="144">
        <v>-240759.6523888701</v>
      </c>
      <c r="AV71" s="139">
        <v>36154.501096399428</v>
      </c>
      <c r="AW71" s="123"/>
      <c r="AX71" s="137">
        <f t="shared" si="12"/>
        <v>165543.13800000001</v>
      </c>
      <c r="AY71" s="144">
        <v>-154809.14756070706</v>
      </c>
      <c r="AZ71" s="139">
        <v>25026.872760320639</v>
      </c>
      <c r="BA71" s="123"/>
    </row>
    <row r="72" spans="1:53" x14ac:dyDescent="0.3">
      <c r="A72" s="108"/>
      <c r="B72" s="137">
        <f t="shared" si="13"/>
        <v>1993.3333333333342</v>
      </c>
      <c r="C72" s="144">
        <v>-243158.7526419558</v>
      </c>
      <c r="D72" s="139">
        <v>36465.101901021844</v>
      </c>
      <c r="E72" s="123"/>
      <c r="F72" s="140">
        <f t="shared" si="14"/>
        <v>8.753333333333338E-2</v>
      </c>
      <c r="G72" s="144">
        <v>-249521.60552781334</v>
      </c>
      <c r="H72" s="139">
        <v>35835.400684782682</v>
      </c>
      <c r="I72" s="123"/>
      <c r="J72" s="141">
        <f t="shared" si="15"/>
        <v>0.745</v>
      </c>
      <c r="K72" s="144">
        <v>-239024.61843619298</v>
      </c>
      <c r="L72" s="139">
        <v>36432.30676263044</v>
      </c>
      <c r="M72" s="123"/>
      <c r="N72" s="141">
        <f t="shared" si="16"/>
        <v>0.69966666666666633</v>
      </c>
      <c r="O72" s="144">
        <v>-247154.57924649777</v>
      </c>
      <c r="P72" s="139">
        <v>37196.763295550729</v>
      </c>
      <c r="Q72" s="42"/>
      <c r="R72" s="141">
        <f t="shared" si="17"/>
        <v>0.88233333333333375</v>
      </c>
      <c r="S72" s="144">
        <v>-237913.17849425477</v>
      </c>
      <c r="T72" s="139">
        <v>36222.532600482213</v>
      </c>
      <c r="V72" s="141">
        <f t="shared" si="18"/>
        <v>8.0600000000000019E-2</v>
      </c>
      <c r="W72" s="144">
        <v>-246595.74550192856</v>
      </c>
      <c r="X72" s="139">
        <v>36045.447316906844</v>
      </c>
      <c r="Y72" s="131"/>
      <c r="Z72" s="137">
        <f t="shared" si="19"/>
        <v>33366.666666666657</v>
      </c>
      <c r="AA72" s="144">
        <v>-240790.03991918225</v>
      </c>
      <c r="AB72" s="139">
        <v>35493.845473390604</v>
      </c>
      <c r="AC72" s="131"/>
      <c r="AD72" s="142">
        <f t="shared" si="20"/>
        <v>0.12486666666666665</v>
      </c>
      <c r="AE72" s="144">
        <v>-242760.68882307637</v>
      </c>
      <c r="AF72" s="139">
        <v>36117.973377958704</v>
      </c>
      <c r="AG72" s="131"/>
      <c r="AH72" s="141">
        <f t="shared" si="21"/>
        <v>5.7966666666666673E-2</v>
      </c>
      <c r="AI72" s="144">
        <v>-240820.50845886939</v>
      </c>
      <c r="AJ72" s="139">
        <v>36157.804606601479</v>
      </c>
      <c r="AL72" s="137">
        <f t="shared" si="9"/>
        <v>7544</v>
      </c>
      <c r="AM72" s="144">
        <v>-241026.77317156637</v>
      </c>
      <c r="AN72" s="139">
        <v>36189.084032202183</v>
      </c>
      <c r="AO72" s="123"/>
      <c r="AP72" s="137">
        <f t="shared" si="10"/>
        <v>153.40000000000006</v>
      </c>
      <c r="AQ72" s="144">
        <v>-240805.33952425738</v>
      </c>
      <c r="AR72" s="139">
        <v>36160.41600595518</v>
      </c>
      <c r="AS72" s="123"/>
      <c r="AT72" s="137">
        <f t="shared" si="11"/>
        <v>500.84814702702727</v>
      </c>
      <c r="AU72" s="144">
        <v>-240765.72989493253</v>
      </c>
      <c r="AV72" s="139">
        <v>36155.287923990589</v>
      </c>
      <c r="AW72" s="123"/>
      <c r="AX72" s="137">
        <f t="shared" si="12"/>
        <v>172164.86352000001</v>
      </c>
      <c r="AY72" s="144">
        <v>-161194.88060222927</v>
      </c>
      <c r="AZ72" s="139">
        <v>25853.605123109435</v>
      </c>
      <c r="BA72" s="123"/>
    </row>
    <row r="73" spans="1:53" x14ac:dyDescent="0.3">
      <c r="A73" s="108"/>
      <c r="B73" s="137">
        <f t="shared" si="13"/>
        <v>2070.0000000000009</v>
      </c>
      <c r="C73" s="144">
        <v>-242566.57446126317</v>
      </c>
      <c r="D73" s="139">
        <v>36388.435234355289</v>
      </c>
      <c r="E73" s="123"/>
      <c r="F73" s="140">
        <f t="shared" si="14"/>
        <v>9.090000000000005E-2</v>
      </c>
      <c r="G73" s="144">
        <v>-247272.97770028404</v>
      </c>
      <c r="H73" s="139">
        <v>35916.15932217583</v>
      </c>
      <c r="I73" s="123"/>
      <c r="J73" s="141">
        <f t="shared" si="15"/>
        <v>0.75</v>
      </c>
      <c r="K73" s="144">
        <v>-239607.65690509535</v>
      </c>
      <c r="L73" s="139">
        <v>36341.016253205438</v>
      </c>
      <c r="M73" s="123"/>
      <c r="N73" s="141">
        <f t="shared" si="16"/>
        <v>0.70599999999999963</v>
      </c>
      <c r="O73" s="144">
        <v>-243262.46453004112</v>
      </c>
      <c r="P73" s="139">
        <v>36560.368677398663</v>
      </c>
      <c r="Q73" s="42"/>
      <c r="R73" s="141">
        <f t="shared" si="17"/>
        <v>0.88800000000000046</v>
      </c>
      <c r="S73" s="144">
        <v>-238828.36207599621</v>
      </c>
      <c r="T73" s="139">
        <v>36201.973067950843</v>
      </c>
      <c r="V73" s="141">
        <f t="shared" si="18"/>
        <v>8.3700000000000024E-2</v>
      </c>
      <c r="W73" s="144">
        <v>-245118.36309707965</v>
      </c>
      <c r="X73" s="139">
        <v>36073.694296268863</v>
      </c>
      <c r="Y73" s="131"/>
      <c r="Z73" s="137">
        <f t="shared" si="19"/>
        <v>34649.999999999993</v>
      </c>
      <c r="AA73" s="144">
        <v>-240790.03991918225</v>
      </c>
      <c r="AB73" s="139">
        <v>35659.992913631766</v>
      </c>
      <c r="AC73" s="131"/>
      <c r="AD73" s="142">
        <f t="shared" si="20"/>
        <v>0.12839999999999999</v>
      </c>
      <c r="AE73" s="144">
        <v>-241900.6386427526</v>
      </c>
      <c r="AF73" s="139">
        <v>36135.551069671965</v>
      </c>
      <c r="AG73" s="131"/>
      <c r="AH73" s="141">
        <f t="shared" si="21"/>
        <v>5.9600000000000007E-2</v>
      </c>
      <c r="AI73" s="144">
        <v>-240804.10136404409</v>
      </c>
      <c r="AJ73" s="139">
        <v>36158.14417539195</v>
      </c>
      <c r="AL73" s="137">
        <f t="shared" si="9"/>
        <v>7728</v>
      </c>
      <c r="AM73" s="144">
        <v>-241026.77317156637</v>
      </c>
      <c r="AN73" s="139">
        <v>36189.084032202183</v>
      </c>
      <c r="AO73" s="123"/>
      <c r="AP73" s="137">
        <f t="shared" si="10"/>
        <v>159.30000000000007</v>
      </c>
      <c r="AQ73" s="144">
        <v>-240801.51462298864</v>
      </c>
      <c r="AR73" s="139">
        <v>36159.9208130552</v>
      </c>
      <c r="AS73" s="123"/>
      <c r="AT73" s="137">
        <f t="shared" si="11"/>
        <v>520.11153729729756</v>
      </c>
      <c r="AU73" s="144">
        <v>-240771.80740099505</v>
      </c>
      <c r="AV73" s="139">
        <v>36156.074751581764</v>
      </c>
      <c r="AW73" s="123"/>
      <c r="AX73" s="137">
        <f t="shared" si="12"/>
        <v>178786.58904000002</v>
      </c>
      <c r="AY73" s="144">
        <v>-167580.6136437516</v>
      </c>
      <c r="AZ73" s="139">
        <v>26680.337485898246</v>
      </c>
      <c r="BA73" s="123"/>
    </row>
    <row r="74" spans="1:53" x14ac:dyDescent="0.3">
      <c r="A74" s="108"/>
      <c r="B74" s="137">
        <f t="shared" si="13"/>
        <v>2146.6666666666674</v>
      </c>
      <c r="C74" s="144">
        <v>-241974.39628056908</v>
      </c>
      <c r="D74" s="139">
        <v>36311.768567688545</v>
      </c>
      <c r="E74" s="123"/>
      <c r="F74" s="140">
        <f t="shared" si="14"/>
        <v>9.4266666666666721E-2</v>
      </c>
      <c r="G74" s="144">
        <v>-245069.04523976779</v>
      </c>
      <c r="H74" s="139">
        <v>35996.917959568957</v>
      </c>
      <c r="I74" s="123"/>
      <c r="J74" s="141">
        <f t="shared" si="15"/>
        <v>0.755</v>
      </c>
      <c r="K74" s="144">
        <v>-240196.1055148204</v>
      </c>
      <c r="L74" s="139">
        <v>36249.725743780305</v>
      </c>
      <c r="M74" s="123"/>
      <c r="N74" s="141">
        <f t="shared" si="16"/>
        <v>0.71233333333333293</v>
      </c>
      <c r="O74" s="144">
        <v>-239342.66234664695</v>
      </c>
      <c r="P74" s="139">
        <v>35923.974059246546</v>
      </c>
      <c r="Q74" s="42"/>
      <c r="R74" s="141">
        <f t="shared" si="17"/>
        <v>0.89366666666666716</v>
      </c>
      <c r="S74" s="144">
        <v>-239750.67646967529</v>
      </c>
      <c r="T74" s="139">
        <v>36181.413535419655</v>
      </c>
      <c r="V74" s="141">
        <f t="shared" si="18"/>
        <v>8.680000000000003E-2</v>
      </c>
      <c r="W74" s="144">
        <v>-243658.4897754261</v>
      </c>
      <c r="X74" s="139">
        <v>36101.94127563099</v>
      </c>
      <c r="Y74" s="131"/>
      <c r="Z74" s="137">
        <f t="shared" si="19"/>
        <v>35933.333333333328</v>
      </c>
      <c r="AA74" s="144">
        <v>-240790.03991918225</v>
      </c>
      <c r="AB74" s="139">
        <v>35826.140353872921</v>
      </c>
      <c r="AC74" s="131"/>
      <c r="AD74" s="142">
        <f t="shared" si="20"/>
        <v>0.13193333333333332</v>
      </c>
      <c r="AE74" s="144">
        <v>-241046.66090368116</v>
      </c>
      <c r="AF74" s="139">
        <v>36153.128761385211</v>
      </c>
      <c r="AG74" s="131"/>
      <c r="AH74" s="141">
        <f t="shared" si="21"/>
        <v>6.1233333333333341E-2</v>
      </c>
      <c r="AI74" s="144">
        <v>-240787.69650469473</v>
      </c>
      <c r="AJ74" s="139">
        <v>36158.483744182457</v>
      </c>
      <c r="AL74" s="137">
        <f t="shared" si="9"/>
        <v>7912</v>
      </c>
      <c r="AM74" s="144">
        <v>-241026.77317156637</v>
      </c>
      <c r="AN74" s="139">
        <v>36189.084032202183</v>
      </c>
      <c r="AO74" s="123"/>
      <c r="AP74" s="137">
        <f t="shared" si="10"/>
        <v>165.20000000000007</v>
      </c>
      <c r="AQ74" s="144">
        <v>-240797.68972171991</v>
      </c>
      <c r="AR74" s="139">
        <v>36159.42562015522</v>
      </c>
      <c r="AS74" s="123"/>
      <c r="AT74" s="137">
        <f t="shared" si="11"/>
        <v>539.37492756756785</v>
      </c>
      <c r="AU74" s="144">
        <v>-240777.88490705716</v>
      </c>
      <c r="AV74" s="139">
        <v>36156.861579172881</v>
      </c>
      <c r="AW74" s="123"/>
      <c r="AX74" s="137">
        <f t="shared" si="12"/>
        <v>185408.31456000003</v>
      </c>
      <c r="AY74" s="144">
        <v>-173966.34668527401</v>
      </c>
      <c r="AZ74" s="139">
        <v>27507.069848687071</v>
      </c>
      <c r="BA74" s="123"/>
    </row>
    <row r="75" spans="1:53" x14ac:dyDescent="0.3">
      <c r="A75" s="108"/>
      <c r="B75" s="137">
        <f t="shared" si="13"/>
        <v>2223.3333333333339</v>
      </c>
      <c r="C75" s="144">
        <v>-241382.21809987575</v>
      </c>
      <c r="D75" s="139">
        <v>36235.101901021902</v>
      </c>
      <c r="E75" s="123"/>
      <c r="F75" s="140">
        <f t="shared" si="14"/>
        <v>9.7633333333333391E-2</v>
      </c>
      <c r="G75" s="144">
        <v>-242908.4886631839</v>
      </c>
      <c r="H75" s="139">
        <v>36077.676596962148</v>
      </c>
      <c r="I75" s="123"/>
      <c r="J75" s="141">
        <f t="shared" si="15"/>
        <v>0.76</v>
      </c>
      <c r="K75" s="144">
        <v>-240790.03991918225</v>
      </c>
      <c r="L75" s="139">
        <v>36158.435234355231</v>
      </c>
      <c r="M75" s="123"/>
      <c r="N75" s="141">
        <f t="shared" si="16"/>
        <v>0.71866666666666623</v>
      </c>
      <c r="O75" s="144">
        <v>-235394.87619982727</v>
      </c>
      <c r="P75" s="139">
        <v>35287.579441094458</v>
      </c>
      <c r="Q75" s="42"/>
      <c r="R75" s="141">
        <f t="shared" si="17"/>
        <v>0.89933333333333387</v>
      </c>
      <c r="S75" s="144">
        <v>-240680.20534269066</v>
      </c>
      <c r="T75" s="139">
        <v>36160.854002888387</v>
      </c>
      <c r="V75" s="141">
        <f t="shared" si="18"/>
        <v>8.9900000000000035E-2</v>
      </c>
      <c r="W75" s="144">
        <v>-242215.8161092349</v>
      </c>
      <c r="X75" s="139">
        <v>36130.188254993045</v>
      </c>
      <c r="Y75" s="131"/>
      <c r="Z75" s="137">
        <f t="shared" si="19"/>
        <v>37216.666666666664</v>
      </c>
      <c r="AA75" s="144">
        <v>-240790.03991918225</v>
      </c>
      <c r="AB75" s="139">
        <v>35992.287794114076</v>
      </c>
      <c r="AC75" s="131"/>
      <c r="AD75" s="142">
        <f t="shared" si="20"/>
        <v>0.13546666666666665</v>
      </c>
      <c r="AE75" s="144">
        <v>-240198.69151979242</v>
      </c>
      <c r="AF75" s="139">
        <v>36170.706453098472</v>
      </c>
      <c r="AG75" s="131"/>
      <c r="AH75" s="141">
        <f t="shared" si="21"/>
        <v>6.2866666666666668E-2</v>
      </c>
      <c r="AI75" s="144">
        <v>-240771.29388036279</v>
      </c>
      <c r="AJ75" s="139">
        <v>36158.823312973036</v>
      </c>
      <c r="AL75" s="137">
        <f t="shared" si="9"/>
        <v>8096</v>
      </c>
      <c r="AM75" s="144">
        <v>-241026.77317156637</v>
      </c>
      <c r="AN75" s="139">
        <v>36189.084032202183</v>
      </c>
      <c r="AO75" s="123"/>
      <c r="AP75" s="137">
        <f t="shared" si="10"/>
        <v>171.10000000000008</v>
      </c>
      <c r="AQ75" s="144">
        <v>-240793.86482045107</v>
      </c>
      <c r="AR75" s="139">
        <v>36158.930427255225</v>
      </c>
      <c r="AS75" s="123"/>
      <c r="AT75" s="137">
        <f t="shared" si="11"/>
        <v>558.63831783783814</v>
      </c>
      <c r="AU75" s="144">
        <v>-240783.96241311959</v>
      </c>
      <c r="AV75" s="139">
        <v>36157.648406764041</v>
      </c>
      <c r="AW75" s="123"/>
      <c r="AX75" s="137">
        <f t="shared" si="12"/>
        <v>192030.04008000004</v>
      </c>
      <c r="AY75" s="144">
        <v>-180352.07972679532</v>
      </c>
      <c r="AZ75" s="139">
        <v>28333.802211475751</v>
      </c>
      <c r="BA75" s="123"/>
    </row>
    <row r="76" spans="1:53" x14ac:dyDescent="0.3">
      <c r="A76" s="108"/>
      <c r="B76" s="137">
        <f t="shared" si="13"/>
        <v>2300.0000000000005</v>
      </c>
      <c r="C76" s="144">
        <v>-240790.03991918225</v>
      </c>
      <c r="D76" s="139">
        <v>36158.435234355231</v>
      </c>
      <c r="E76" s="123"/>
      <c r="F76" s="140">
        <f t="shared" si="14"/>
        <v>0.10100000000000006</v>
      </c>
      <c r="G76" s="144">
        <v>-240790.03991918225</v>
      </c>
      <c r="H76" s="139">
        <v>36158.435234355231</v>
      </c>
      <c r="I76" s="123"/>
      <c r="J76" s="141">
        <f t="shared" si="15"/>
        <v>0.76500000000000001</v>
      </c>
      <c r="K76" s="144">
        <v>-241389.53718916269</v>
      </c>
      <c r="L76" s="139">
        <v>36067.144724930062</v>
      </c>
      <c r="M76" s="123"/>
      <c r="N76" s="141">
        <f t="shared" si="16"/>
        <v>0.72499999999999953</v>
      </c>
      <c r="O76" s="144">
        <v>-231418.80534447357</v>
      </c>
      <c r="P76" s="139">
        <v>34651.184822942494</v>
      </c>
      <c r="Q76" s="42"/>
      <c r="R76" s="141">
        <f t="shared" si="17"/>
        <v>0.90500000000000058</v>
      </c>
      <c r="S76" s="144">
        <v>-241617.03367649394</v>
      </c>
      <c r="T76" s="139">
        <v>36140.294470356952</v>
      </c>
      <c r="V76" s="141">
        <f t="shared" si="18"/>
        <v>9.3000000000000041E-2</v>
      </c>
      <c r="W76" s="144">
        <v>-240790.03991918225</v>
      </c>
      <c r="X76" s="139">
        <v>36158.435234355231</v>
      </c>
      <c r="Y76" s="131"/>
      <c r="Z76" s="137">
        <f t="shared" si="19"/>
        <v>38500</v>
      </c>
      <c r="AA76" s="144">
        <v>-240790.03991918225</v>
      </c>
      <c r="AB76" s="139">
        <v>36158.435234355231</v>
      </c>
      <c r="AC76" s="131"/>
      <c r="AD76" s="142">
        <f t="shared" si="20"/>
        <v>0.13899999999999998</v>
      </c>
      <c r="AE76" s="144">
        <v>-239356.66730364185</v>
      </c>
      <c r="AF76" s="139">
        <v>36188.28414481174</v>
      </c>
      <c r="AG76" s="131"/>
      <c r="AH76" s="141">
        <f t="shared" si="21"/>
        <v>6.4500000000000002E-2</v>
      </c>
      <c r="AI76" s="144">
        <v>-240754.89349059813</v>
      </c>
      <c r="AJ76" s="139">
        <v>36159.162881763543</v>
      </c>
      <c r="AL76" s="137">
        <f t="shared" si="9"/>
        <v>8280</v>
      </c>
      <c r="AM76" s="144">
        <v>-241026.77317156637</v>
      </c>
      <c r="AN76" s="139">
        <v>36189.084032202183</v>
      </c>
      <c r="AO76" s="123"/>
      <c r="AP76" s="137">
        <f t="shared" si="10"/>
        <v>177.00000000000009</v>
      </c>
      <c r="AQ76" s="144">
        <v>-240790.03991918225</v>
      </c>
      <c r="AR76" s="139">
        <v>36158.435234355231</v>
      </c>
      <c r="AS76" s="123"/>
      <c r="AT76" s="137">
        <f t="shared" si="11"/>
        <v>577.90170810810844</v>
      </c>
      <c r="AU76" s="144">
        <v>-240790.03991918225</v>
      </c>
      <c r="AV76" s="139">
        <v>36158.435234355231</v>
      </c>
      <c r="AW76" s="123"/>
      <c r="AX76" s="137">
        <f t="shared" si="12"/>
        <v>198651.76560000004</v>
      </c>
      <c r="AY76" s="144">
        <v>-186737.81276831773</v>
      </c>
      <c r="AZ76" s="139">
        <v>29160.534574264577</v>
      </c>
      <c r="BA76" s="123"/>
    </row>
    <row r="77" spans="1:53" x14ac:dyDescent="0.3">
      <c r="A77" s="108"/>
      <c r="B77" s="137">
        <f t="shared" si="13"/>
        <v>2376.666666666667</v>
      </c>
      <c r="C77" s="144">
        <v>-240197.86173848849</v>
      </c>
      <c r="D77" s="139">
        <v>36081.76856768853</v>
      </c>
      <c r="E77" s="123"/>
      <c r="F77" s="140">
        <f t="shared" si="14"/>
        <v>0.10436666666666673</v>
      </c>
      <c r="G77" s="144">
        <v>-238712.47990639278</v>
      </c>
      <c r="H77" s="139">
        <v>36239.193871748343</v>
      </c>
      <c r="I77" s="123"/>
      <c r="J77" s="141">
        <f t="shared" si="15"/>
        <v>0.77</v>
      </c>
      <c r="K77" s="144">
        <v>-241994.67584624593</v>
      </c>
      <c r="L77" s="139">
        <v>35975.854215505016</v>
      </c>
      <c r="M77" s="123"/>
      <c r="N77" s="141">
        <f t="shared" si="16"/>
        <v>0.73133333333333284</v>
      </c>
      <c r="O77" s="144">
        <v>-227414.14471048521</v>
      </c>
      <c r="P77" s="139">
        <v>34014.790204790334</v>
      </c>
      <c r="Q77" s="42"/>
      <c r="R77" s="141">
        <f t="shared" si="17"/>
        <v>0.91066666666666729</v>
      </c>
      <c r="S77" s="144">
        <v>-242561.2477924914</v>
      </c>
      <c r="T77" s="139">
        <v>36119.73493782575</v>
      </c>
      <c r="V77" s="141">
        <f t="shared" si="18"/>
        <v>9.6100000000000046E-2</v>
      </c>
      <c r="W77" s="144">
        <v>-239380.86606335067</v>
      </c>
      <c r="X77" s="139">
        <v>36186.682213717388</v>
      </c>
      <c r="Y77" s="131"/>
      <c r="Z77" s="137">
        <f t="shared" si="19"/>
        <v>39783.333333333336</v>
      </c>
      <c r="AA77" s="144">
        <v>-240790.03991918225</v>
      </c>
      <c r="AB77" s="139">
        <v>36324.582674596393</v>
      </c>
      <c r="AC77" s="131"/>
      <c r="AD77" s="142">
        <f t="shared" si="20"/>
        <v>0.14253333333333332</v>
      </c>
      <c r="AE77" s="144">
        <v>-238520.52595071186</v>
      </c>
      <c r="AF77" s="139">
        <v>36205.861836524993</v>
      </c>
      <c r="AG77" s="131"/>
      <c r="AH77" s="141">
        <f t="shared" si="21"/>
        <v>6.6133333333333336E-2</v>
      </c>
      <c r="AI77" s="144">
        <v>-240738.49533494213</v>
      </c>
      <c r="AJ77" s="139">
        <v>36159.50245055402</v>
      </c>
      <c r="AL77" s="137">
        <f t="shared" si="9"/>
        <v>8464</v>
      </c>
      <c r="AM77" s="144">
        <v>-241026.77317156637</v>
      </c>
      <c r="AN77" s="139">
        <v>36189.084032202183</v>
      </c>
      <c r="AO77" s="123"/>
      <c r="AP77" s="137">
        <f t="shared" si="10"/>
        <v>182.90000000000009</v>
      </c>
      <c r="AQ77" s="144">
        <v>-240786.21501791317</v>
      </c>
      <c r="AR77" s="139">
        <v>36157.940041455207</v>
      </c>
      <c r="AS77" s="123"/>
      <c r="AT77" s="137">
        <f t="shared" si="11"/>
        <v>597.16509837837873</v>
      </c>
      <c r="AU77" s="144">
        <v>-240796.11742524445</v>
      </c>
      <c r="AV77" s="139">
        <v>36159.222061946362</v>
      </c>
      <c r="AW77" s="123"/>
      <c r="AX77" s="137">
        <f t="shared" si="12"/>
        <v>205273.49112000005</v>
      </c>
      <c r="AY77" s="144">
        <v>-193123.54580983994</v>
      </c>
      <c r="AZ77" s="139">
        <v>29987.266937053373</v>
      </c>
      <c r="BA77" s="123"/>
    </row>
    <row r="78" spans="1:53" x14ac:dyDescent="0.3">
      <c r="A78" s="108"/>
      <c r="B78" s="137">
        <f t="shared" si="13"/>
        <v>2453.3333333333335</v>
      </c>
      <c r="C78" s="144">
        <v>-239605.68355779519</v>
      </c>
      <c r="D78" s="139">
        <v>36005.101901021888</v>
      </c>
      <c r="E78" s="123"/>
      <c r="F78" s="140">
        <f t="shared" si="14"/>
        <v>0.1077333333333334</v>
      </c>
      <c r="G78" s="144">
        <v>-236674.63613400375</v>
      </c>
      <c r="H78" s="139">
        <v>36319.952509141447</v>
      </c>
      <c r="I78" s="123"/>
      <c r="J78" s="141">
        <f t="shared" si="15"/>
        <v>0.77500000000000002</v>
      </c>
      <c r="K78" s="144">
        <v>-242605.53589671999</v>
      </c>
      <c r="L78" s="139">
        <v>35884.563706079934</v>
      </c>
      <c r="M78" s="123"/>
      <c r="N78" s="141">
        <f t="shared" si="16"/>
        <v>0.73766666666666614</v>
      </c>
      <c r="O78" s="144">
        <v>-223380.58482474272</v>
      </c>
      <c r="P78" s="139">
        <v>33378.395586638289</v>
      </c>
      <c r="Q78" s="42"/>
      <c r="R78" s="141">
        <f t="shared" si="17"/>
        <v>0.916333333333334</v>
      </c>
      <c r="S78" s="144">
        <v>-243512.93537856382</v>
      </c>
      <c r="T78" s="139">
        <v>36099.175405294496</v>
      </c>
      <c r="V78" s="141">
        <f t="shared" si="18"/>
        <v>9.9200000000000052E-2</v>
      </c>
      <c r="W78" s="144">
        <v>-237988.00623354517</v>
      </c>
      <c r="X78" s="139">
        <v>36214.929193079392</v>
      </c>
      <c r="Y78" s="131"/>
      <c r="Z78" s="137">
        <f t="shared" si="19"/>
        <v>41066.666666666672</v>
      </c>
      <c r="AA78" s="144">
        <v>-240790.03991918225</v>
      </c>
      <c r="AB78" s="139">
        <v>36490.730114837548</v>
      </c>
      <c r="AC78" s="131"/>
      <c r="AD78" s="142">
        <f t="shared" si="20"/>
        <v>0.14606666666666665</v>
      </c>
      <c r="AE78" s="144">
        <v>-237690.20602404588</v>
      </c>
      <c r="AF78" s="139">
        <v>36223.439528238203</v>
      </c>
      <c r="AG78" s="131"/>
      <c r="AH78" s="141">
        <f t="shared" si="21"/>
        <v>6.7766666666666669E-2</v>
      </c>
      <c r="AI78" s="144">
        <v>-240722.0994129329</v>
      </c>
      <c r="AJ78" s="139">
        <v>36159.842019344593</v>
      </c>
      <c r="AL78" s="137">
        <f t="shared" si="9"/>
        <v>8648</v>
      </c>
      <c r="AM78" s="144">
        <v>-241026.77317156637</v>
      </c>
      <c r="AN78" s="139">
        <v>36189.084032202183</v>
      </c>
      <c r="AO78" s="123"/>
      <c r="AP78" s="137">
        <f t="shared" si="10"/>
        <v>188.8000000000001</v>
      </c>
      <c r="AQ78" s="144">
        <v>-240782.39011664421</v>
      </c>
      <c r="AR78" s="139">
        <v>36157.444848555198</v>
      </c>
      <c r="AS78" s="123"/>
      <c r="AT78" s="137">
        <f t="shared" si="11"/>
        <v>616.42848864864902</v>
      </c>
      <c r="AU78" s="144">
        <v>-240802.19493130653</v>
      </c>
      <c r="AV78" s="139">
        <v>36160.008889537479</v>
      </c>
      <c r="AW78" s="123"/>
      <c r="AX78" s="137">
        <f t="shared" si="12"/>
        <v>211895.21664000006</v>
      </c>
      <c r="AY78" s="144">
        <v>-199509.27885136227</v>
      </c>
      <c r="AZ78" s="139">
        <v>30813.999299842184</v>
      </c>
      <c r="BA78" s="123"/>
    </row>
    <row r="79" spans="1:53" x14ac:dyDescent="0.3">
      <c r="A79" s="108"/>
      <c r="B79" s="137">
        <f t="shared" si="13"/>
        <v>2530</v>
      </c>
      <c r="C79" s="144">
        <v>-239013.50537710197</v>
      </c>
      <c r="D79" s="139">
        <v>35928.43523435526</v>
      </c>
      <c r="E79" s="123"/>
      <c r="F79" s="140">
        <f t="shared" si="14"/>
        <v>0.11110000000000007</v>
      </c>
      <c r="G79" s="144">
        <v>-234675.38051525882</v>
      </c>
      <c r="H79" s="139">
        <v>36400.711146534653</v>
      </c>
      <c r="I79" s="123"/>
      <c r="J79" s="141">
        <f t="shared" si="15"/>
        <v>0.78</v>
      </c>
      <c r="K79" s="144">
        <v>-243222.19886690442</v>
      </c>
      <c r="L79" s="139">
        <v>35793.273196654744</v>
      </c>
      <c r="M79" s="123"/>
      <c r="N79" s="141">
        <f t="shared" si="16"/>
        <v>0.74399999999999944</v>
      </c>
      <c r="O79" s="144">
        <v>-219317.81173138582</v>
      </c>
      <c r="P79" s="139">
        <v>32742.000968486122</v>
      </c>
      <c r="Q79" s="42"/>
      <c r="R79" s="141">
        <f t="shared" si="17"/>
        <v>0.92200000000000071</v>
      </c>
      <c r="S79" s="144">
        <v>-244472.18551620984</v>
      </c>
      <c r="T79" s="139">
        <v>36078.615872763286</v>
      </c>
      <c r="V79" s="141">
        <f t="shared" si="18"/>
        <v>0.10230000000000006</v>
      </c>
      <c r="W79" s="144">
        <v>-236611.17875865073</v>
      </c>
      <c r="X79" s="139">
        <v>36243.176172441643</v>
      </c>
      <c r="Y79" s="131"/>
      <c r="Z79" s="137">
        <f t="shared" si="19"/>
        <v>42350.000000000007</v>
      </c>
      <c r="AA79" s="144">
        <v>-240790.03991918225</v>
      </c>
      <c r="AB79" s="139">
        <v>36656.877555078703</v>
      </c>
      <c r="AC79" s="131"/>
      <c r="AD79" s="142">
        <f t="shared" si="20"/>
        <v>0.14959999999999998</v>
      </c>
      <c r="AE79" s="144">
        <v>-236865.6469391899</v>
      </c>
      <c r="AF79" s="139">
        <v>36241.0172199515</v>
      </c>
      <c r="AG79" s="131"/>
      <c r="AH79" s="141">
        <f t="shared" si="21"/>
        <v>6.9400000000000003E-2</v>
      </c>
      <c r="AI79" s="144">
        <v>-240705.70572412157</v>
      </c>
      <c r="AJ79" s="139">
        <v>36160.181588135092</v>
      </c>
      <c r="AL79" s="137">
        <f t="shared" si="9"/>
        <v>8832</v>
      </c>
      <c r="AM79" s="144">
        <v>-241026.77317156637</v>
      </c>
      <c r="AN79" s="139">
        <v>36189.084032202183</v>
      </c>
      <c r="AO79" s="123"/>
      <c r="AP79" s="137">
        <f t="shared" si="10"/>
        <v>194.7000000000001</v>
      </c>
      <c r="AQ79" s="144">
        <v>-240778.56521537559</v>
      </c>
      <c r="AR79" s="139">
        <v>36156.949655655233</v>
      </c>
      <c r="AS79" s="123"/>
      <c r="AT79" s="137">
        <f t="shared" si="11"/>
        <v>635.69187891891931</v>
      </c>
      <c r="AU79" s="144">
        <v>-240808.27243736896</v>
      </c>
      <c r="AV79" s="139">
        <v>36160.79571712864</v>
      </c>
      <c r="AW79" s="123"/>
      <c r="AX79" s="137">
        <f t="shared" si="12"/>
        <v>218516.94216000006</v>
      </c>
      <c r="AY79" s="144">
        <v>-205895.0118928848</v>
      </c>
      <c r="AZ79" s="139">
        <v>31640.731662631024</v>
      </c>
      <c r="BA79" s="123"/>
    </row>
    <row r="80" spans="1:53" x14ac:dyDescent="0.3">
      <c r="A80" s="108"/>
      <c r="B80" s="137">
        <f t="shared" si="13"/>
        <v>2606.6666666666665</v>
      </c>
      <c r="C80" s="144">
        <v>-238421.32719640766</v>
      </c>
      <c r="D80" s="139">
        <v>35851.768567688487</v>
      </c>
      <c r="E80" s="123"/>
      <c r="F80" s="140">
        <f t="shared" si="14"/>
        <v>0.11446666666666674</v>
      </c>
      <c r="G80" s="144">
        <v>-232713.62728509287</v>
      </c>
      <c r="H80" s="139">
        <v>36481.469783927714</v>
      </c>
      <c r="I80" s="123"/>
      <c r="J80" s="141">
        <f t="shared" si="15"/>
        <v>0.78500000000000003</v>
      </c>
      <c r="K80" s="144">
        <v>-243844.74783946996</v>
      </c>
      <c r="L80" s="139">
        <v>35701.98268722972</v>
      </c>
      <c r="M80" s="123"/>
      <c r="N80" s="141">
        <f t="shared" si="16"/>
        <v>0.75033333333333274</v>
      </c>
      <c r="O80" s="144">
        <v>-215225.5069103534</v>
      </c>
      <c r="P80" s="139">
        <v>32105.606350334114</v>
      </c>
      <c r="Q80" s="42"/>
      <c r="R80" s="141">
        <f t="shared" si="17"/>
        <v>0.92766666666666742</v>
      </c>
      <c r="S80" s="144">
        <v>-245439.08870833361</v>
      </c>
      <c r="T80" s="139">
        <v>36058.056340232004</v>
      </c>
      <c r="V80" s="141">
        <f t="shared" si="18"/>
        <v>0.10540000000000006</v>
      </c>
      <c r="W80" s="144">
        <v>-235250.10841473195</v>
      </c>
      <c r="X80" s="139">
        <v>36271.42315180372</v>
      </c>
      <c r="Y80" s="131"/>
      <c r="Z80" s="137">
        <f t="shared" si="19"/>
        <v>43633.333333333343</v>
      </c>
      <c r="AA80" s="144">
        <v>-240790.03991918225</v>
      </c>
      <c r="AB80" s="139">
        <v>36823.024995319858</v>
      </c>
      <c r="AC80" s="131"/>
      <c r="AD80" s="142">
        <f t="shared" si="20"/>
        <v>0.15313333333333332</v>
      </c>
      <c r="AE80" s="144">
        <v>-236046.78894947824</v>
      </c>
      <c r="AF80" s="139">
        <v>36258.594911664768</v>
      </c>
      <c r="AG80" s="131"/>
      <c r="AH80" s="141">
        <f t="shared" si="21"/>
        <v>7.1033333333333337E-2</v>
      </c>
      <c r="AI80" s="144">
        <v>-240689.31426804775</v>
      </c>
      <c r="AJ80" s="139">
        <v>36160.521156925606</v>
      </c>
      <c r="AL80" s="137">
        <f t="shared" si="9"/>
        <v>9016</v>
      </c>
      <c r="AM80" s="144">
        <v>-241026.77317156637</v>
      </c>
      <c r="AN80" s="139">
        <v>36189.084032202183</v>
      </c>
      <c r="AO80" s="123"/>
      <c r="AP80" s="137">
        <f t="shared" si="10"/>
        <v>200.60000000000011</v>
      </c>
      <c r="AQ80" s="144">
        <v>-240774.74031410678</v>
      </c>
      <c r="AR80" s="139">
        <v>36156.454462755239</v>
      </c>
      <c r="AS80" s="123"/>
      <c r="AT80" s="137">
        <f t="shared" si="11"/>
        <v>654.95526918918961</v>
      </c>
      <c r="AU80" s="144">
        <v>-240814.34994343173</v>
      </c>
      <c r="AV80" s="139">
        <v>36161.582544719844</v>
      </c>
      <c r="AW80" s="123"/>
      <c r="AX80" s="137">
        <f t="shared" si="12"/>
        <v>225138.66768000007</v>
      </c>
      <c r="AY80" s="144">
        <v>-212280.74493440677</v>
      </c>
      <c r="AZ80" s="139">
        <v>32467.464025419791</v>
      </c>
      <c r="BA80" s="123"/>
    </row>
    <row r="81" spans="1:53" x14ac:dyDescent="0.3">
      <c r="A81" s="108"/>
      <c r="B81" s="137">
        <f t="shared" si="13"/>
        <v>2683.333333333333</v>
      </c>
      <c r="C81" s="144">
        <v>-237829.14901571482</v>
      </c>
      <c r="D81" s="139">
        <v>35775.101901021902</v>
      </c>
      <c r="E81" s="123"/>
      <c r="F81" s="140">
        <f t="shared" si="14"/>
        <v>0.11783333333333341</v>
      </c>
      <c r="G81" s="144">
        <v>-230788.33103389322</v>
      </c>
      <c r="H81" s="139">
        <v>36562.22842132087</v>
      </c>
      <c r="I81" s="123"/>
      <c r="J81" s="141">
        <f t="shared" si="15"/>
        <v>0.79</v>
      </c>
      <c r="K81" s="144">
        <v>-244473.26749070681</v>
      </c>
      <c r="L81" s="139">
        <v>35610.692177804674</v>
      </c>
      <c r="M81" s="123"/>
      <c r="N81" s="141">
        <f t="shared" si="16"/>
        <v>0.75666666666666604</v>
      </c>
      <c r="O81" s="144">
        <v>-211103.34719413781</v>
      </c>
      <c r="P81" s="139">
        <v>31469.211732181993</v>
      </c>
      <c r="Q81" s="42"/>
      <c r="R81" s="141">
        <f t="shared" si="17"/>
        <v>0.93333333333333413</v>
      </c>
      <c r="S81" s="144">
        <v>-246413.73690773014</v>
      </c>
      <c r="T81" s="139">
        <v>36037.496807700714</v>
      </c>
      <c r="V81" s="141">
        <f t="shared" si="18"/>
        <v>0.10850000000000007</v>
      </c>
      <c r="W81" s="144">
        <v>-233904.52624162706</v>
      </c>
      <c r="X81" s="139">
        <v>36299.670131165803</v>
      </c>
      <c r="Y81" s="131"/>
      <c r="Z81" s="137">
        <f t="shared" si="19"/>
        <v>44916.666666666679</v>
      </c>
      <c r="AA81" s="144">
        <v>-240790.03991918225</v>
      </c>
      <c r="AB81" s="139">
        <v>36989.17243556102</v>
      </c>
      <c r="AC81" s="131"/>
      <c r="AD81" s="142">
        <f t="shared" si="20"/>
        <v>0.15666666666666665</v>
      </c>
      <c r="AE81" s="144">
        <v>-235233.57313158302</v>
      </c>
      <c r="AF81" s="139">
        <v>36276.172603378007</v>
      </c>
      <c r="AG81" s="131"/>
      <c r="AH81" s="141">
        <f t="shared" si="21"/>
        <v>7.2666666666666671E-2</v>
      </c>
      <c r="AI81" s="144">
        <v>-240672.92504425452</v>
      </c>
      <c r="AJ81" s="139">
        <v>36160.860725716149</v>
      </c>
      <c r="AL81" s="137">
        <f t="shared" si="9"/>
        <v>9200</v>
      </c>
      <c r="AM81" s="144">
        <v>-241026.77317156637</v>
      </c>
      <c r="AN81" s="139">
        <v>36189.084032202183</v>
      </c>
      <c r="AO81" s="123"/>
      <c r="AP81" s="137">
        <f t="shared" si="10"/>
        <v>206.50000000000011</v>
      </c>
      <c r="AQ81" s="144">
        <v>-240770.91541283758</v>
      </c>
      <c r="AR81" s="139">
        <v>36155.959269855201</v>
      </c>
      <c r="AS81" s="123"/>
      <c r="AT81" s="137">
        <f t="shared" si="11"/>
        <v>674.2186594594599</v>
      </c>
      <c r="AU81" s="144">
        <v>-240820.42744949381</v>
      </c>
      <c r="AV81" s="139">
        <v>36162.369372310961</v>
      </c>
      <c r="AW81" s="123"/>
      <c r="AX81" s="137">
        <f t="shared" si="12"/>
        <v>231760.39320000008</v>
      </c>
      <c r="AY81" s="144">
        <v>-218666.4779759293</v>
      </c>
      <c r="AZ81" s="139">
        <v>33294.196388208627</v>
      </c>
      <c r="BA81" s="123"/>
    </row>
    <row r="82" spans="1:53" x14ac:dyDescent="0.3">
      <c r="A82" s="108"/>
      <c r="B82" s="137">
        <f t="shared" si="13"/>
        <v>2759.9999999999995</v>
      </c>
      <c r="C82" s="144">
        <v>-237236.97083502039</v>
      </c>
      <c r="D82" s="139">
        <v>35698.435234355115</v>
      </c>
      <c r="E82" s="123"/>
      <c r="F82" s="140">
        <f t="shared" si="14"/>
        <v>0.12120000000000009</v>
      </c>
      <c r="G82" s="144">
        <v>-228898.48484985362</v>
      </c>
      <c r="H82" s="139">
        <v>36642.98705871401</v>
      </c>
      <c r="I82" s="123"/>
      <c r="J82" s="141">
        <f t="shared" si="15"/>
        <v>0.79500000000000004</v>
      </c>
      <c r="K82" s="144">
        <v>-245107.84412895507</v>
      </c>
      <c r="L82" s="139">
        <v>35519.401668379469</v>
      </c>
      <c r="M82" s="123"/>
      <c r="N82" s="141">
        <f t="shared" si="16"/>
        <v>0.76299999999999935</v>
      </c>
      <c r="O82" s="144">
        <v>-206951.0046827099</v>
      </c>
      <c r="P82" s="139">
        <v>30832.817114029833</v>
      </c>
      <c r="Q82" s="42"/>
      <c r="R82" s="141">
        <f t="shared" si="17"/>
        <v>0.93900000000000083</v>
      </c>
      <c r="S82" s="144">
        <v>-247396.22354620977</v>
      </c>
      <c r="T82" s="139">
        <v>36016.937275169483</v>
      </c>
      <c r="V82" s="141">
        <f t="shared" si="18"/>
        <v>0.11160000000000007</v>
      </c>
      <c r="W82" s="144">
        <v>-232574.16936575033</v>
      </c>
      <c r="X82" s="139">
        <v>36327.917110527866</v>
      </c>
      <c r="Y82" s="131"/>
      <c r="Z82" s="137">
        <f t="shared" si="19"/>
        <v>46200.000000000015</v>
      </c>
      <c r="AA82" s="144">
        <v>-240790.03991918225</v>
      </c>
      <c r="AB82" s="139">
        <v>37155.319875802175</v>
      </c>
      <c r="AC82" s="131"/>
      <c r="AD82" s="142">
        <f t="shared" si="20"/>
        <v>0.16019999999999998</v>
      </c>
      <c r="AE82" s="144">
        <v>-234425.94137138492</v>
      </c>
      <c r="AF82" s="139">
        <v>36293.75029509126</v>
      </c>
      <c r="AG82" s="131"/>
      <c r="AH82" s="141">
        <f t="shared" si="21"/>
        <v>7.4300000000000005E-2</v>
      </c>
      <c r="AI82" s="144">
        <v>-240656.53805229085</v>
      </c>
      <c r="AJ82" s="139">
        <v>36161.200294506634</v>
      </c>
      <c r="AL82" s="137">
        <f t="shared" si="9"/>
        <v>9384</v>
      </c>
      <c r="AM82" s="144">
        <v>-241026.77317156637</v>
      </c>
      <c r="AN82" s="139">
        <v>36189.084032202183</v>
      </c>
      <c r="AO82" s="123"/>
      <c r="AP82" s="137">
        <f t="shared" si="10"/>
        <v>212.40000000000012</v>
      </c>
      <c r="AQ82" s="144">
        <v>-240767.09051156885</v>
      </c>
      <c r="AR82" s="139">
        <v>36155.464076955221</v>
      </c>
      <c r="AS82" s="123"/>
      <c r="AT82" s="137">
        <f t="shared" si="11"/>
        <v>693.48204972973019</v>
      </c>
      <c r="AU82" s="144">
        <v>-240826.50495555569</v>
      </c>
      <c r="AV82" s="139">
        <v>36163.156199902049</v>
      </c>
      <c r="AW82" s="123"/>
      <c r="AX82" s="137">
        <f t="shared" si="12"/>
        <v>238382.11872000009</v>
      </c>
      <c r="AY82" s="144">
        <v>-225052.21101745206</v>
      </c>
      <c r="AZ82" s="139">
        <v>34120.928750997497</v>
      </c>
      <c r="BA82" s="123"/>
    </row>
    <row r="83" spans="1:53" x14ac:dyDescent="0.3">
      <c r="A83" s="108"/>
      <c r="B83" s="137">
        <f t="shared" si="13"/>
        <v>2836.6666666666661</v>
      </c>
      <c r="C83" s="144">
        <v>-236644.79265432741</v>
      </c>
      <c r="D83" s="139">
        <v>35621.768567688516</v>
      </c>
      <c r="E83" s="123"/>
      <c r="F83" s="140">
        <f t="shared" si="14"/>
        <v>0.12456666666666676</v>
      </c>
      <c r="G83" s="144">
        <v>-227043.11856300544</v>
      </c>
      <c r="H83" s="139">
        <v>36723.745696107093</v>
      </c>
      <c r="I83" s="123"/>
      <c r="J83" s="141">
        <f t="shared" si="15"/>
        <v>0.8</v>
      </c>
      <c r="K83" s="144">
        <v>-245748.56573409686</v>
      </c>
      <c r="L83" s="139">
        <v>35428.111158954453</v>
      </c>
      <c r="M83" s="123"/>
      <c r="N83" s="141">
        <f t="shared" si="16"/>
        <v>0.76933333333333265</v>
      </c>
      <c r="O83" s="144">
        <v>-202768.14665658228</v>
      </c>
      <c r="P83" s="139">
        <v>30196.422495877843</v>
      </c>
      <c r="Q83" s="42"/>
      <c r="R83" s="141">
        <f t="shared" si="17"/>
        <v>0.94466666666666754</v>
      </c>
      <c r="S83" s="144">
        <v>-248386.6435644764</v>
      </c>
      <c r="T83" s="139">
        <v>35996.377742638208</v>
      </c>
      <c r="V83" s="141">
        <f t="shared" si="18"/>
        <v>0.11470000000000008</v>
      </c>
      <c r="W83" s="144">
        <v>-231258.78082889604</v>
      </c>
      <c r="X83" s="139">
        <v>36356.164089889993</v>
      </c>
      <c r="Y83" s="131"/>
      <c r="Z83" s="137">
        <f t="shared" si="19"/>
        <v>47483.33333333335</v>
      </c>
      <c r="AA83" s="144">
        <v>-240790.03991918225</v>
      </c>
      <c r="AB83" s="139">
        <v>37321.46731604333</v>
      </c>
      <c r="AC83" s="131"/>
      <c r="AD83" s="142">
        <f t="shared" si="20"/>
        <v>0.16373333333333331</v>
      </c>
      <c r="AE83" s="144">
        <v>-233623.83635013379</v>
      </c>
      <c r="AF83" s="139">
        <v>36311.327986804521</v>
      </c>
      <c r="AG83" s="131"/>
      <c r="AH83" s="141">
        <f t="shared" si="21"/>
        <v>7.5933333333333339E-2</v>
      </c>
      <c r="AI83" s="144">
        <v>-240640.15329169433</v>
      </c>
      <c r="AJ83" s="139">
        <v>36161.539863297185</v>
      </c>
      <c r="AL83" s="137">
        <f t="shared" si="9"/>
        <v>9568</v>
      </c>
      <c r="AM83" s="144">
        <v>-241026.77317156637</v>
      </c>
      <c r="AN83" s="139">
        <v>36189.084032202183</v>
      </c>
      <c r="AO83" s="123"/>
      <c r="AP83" s="137">
        <f t="shared" si="10"/>
        <v>218.30000000000013</v>
      </c>
      <c r="AQ83" s="144">
        <v>-240763.26561030015</v>
      </c>
      <c r="AR83" s="139">
        <v>36154.968884055241</v>
      </c>
      <c r="AS83" s="123"/>
      <c r="AT83" s="137">
        <f t="shared" si="11"/>
        <v>712.74544000000049</v>
      </c>
      <c r="AU83" s="144">
        <v>-240832.58246161835</v>
      </c>
      <c r="AV83" s="139">
        <v>36163.943027493238</v>
      </c>
      <c r="AW83" s="123"/>
      <c r="AX83" s="137">
        <f t="shared" si="12"/>
        <v>245003.84424000009</v>
      </c>
      <c r="AY83" s="144">
        <v>-231437.94405897392</v>
      </c>
      <c r="AZ83" s="139">
        <v>34947.661113786249</v>
      </c>
      <c r="BA83" s="123"/>
    </row>
    <row r="84" spans="1:53" x14ac:dyDescent="0.3">
      <c r="A84" s="108"/>
      <c r="B84" s="137">
        <f t="shared" si="13"/>
        <v>2913.3333333333326</v>
      </c>
      <c r="C84" s="144">
        <v>-236052.61447363411</v>
      </c>
      <c r="D84" s="139">
        <v>35545.101901021873</v>
      </c>
      <c r="E84" s="123"/>
      <c r="F84" s="140">
        <f t="shared" si="14"/>
        <v>0.12793333333333343</v>
      </c>
      <c r="G84" s="144">
        <v>-225221.29708450835</v>
      </c>
      <c r="H84" s="139">
        <v>36804.504333500263</v>
      </c>
      <c r="I84" s="123"/>
      <c r="J84" s="141">
        <f t="shared" si="15"/>
        <v>0.80500000000000005</v>
      </c>
      <c r="K84" s="144">
        <v>-246395.52199822007</v>
      </c>
      <c r="L84" s="139">
        <v>35336.820649529313</v>
      </c>
      <c r="M84" s="123"/>
      <c r="N84" s="141">
        <f t="shared" si="16"/>
        <v>0.77566666666666595</v>
      </c>
      <c r="O84" s="144">
        <v>-198554.43548791713</v>
      </c>
      <c r="P84" s="139">
        <v>29560.027877725825</v>
      </c>
      <c r="Q84" s="42"/>
      <c r="R84" s="141">
        <f t="shared" si="17"/>
        <v>0.95033333333333425</v>
      </c>
      <c r="S84" s="144">
        <v>-249385.09344270156</v>
      </c>
      <c r="T84" s="139">
        <v>35975.818210106983</v>
      </c>
      <c r="V84" s="141">
        <f t="shared" si="18"/>
        <v>0.11780000000000009</v>
      </c>
      <c r="W84" s="144">
        <v>-229958.10942277612</v>
      </c>
      <c r="X84" s="139">
        <v>36384.411069252084</v>
      </c>
      <c r="Y84" s="131"/>
      <c r="Z84" s="137">
        <f t="shared" si="19"/>
        <v>48766.666666666686</v>
      </c>
      <c r="AA84" s="144">
        <v>-240790.03991918225</v>
      </c>
      <c r="AB84" s="139">
        <v>37487.614756284485</v>
      </c>
      <c r="AC84" s="131"/>
      <c r="AD84" s="142">
        <f t="shared" si="20"/>
        <v>0.16726666666666665</v>
      </c>
      <c r="AE84" s="144">
        <v>-232827.2015308855</v>
      </c>
      <c r="AF84" s="139">
        <v>36328.905678517753</v>
      </c>
      <c r="AG84" s="131"/>
      <c r="AH84" s="141">
        <f t="shared" si="21"/>
        <v>7.7566666666666673E-2</v>
      </c>
      <c r="AI84" s="144">
        <v>-240623.77076201621</v>
      </c>
      <c r="AJ84" s="139">
        <v>36161.879432087655</v>
      </c>
      <c r="AL84" s="137">
        <f t="shared" si="9"/>
        <v>9752</v>
      </c>
      <c r="AM84" s="144">
        <v>-241026.77317156637</v>
      </c>
      <c r="AN84" s="139">
        <v>36189.084032202183</v>
      </c>
      <c r="AO84" s="123"/>
      <c r="AP84" s="137">
        <f t="shared" si="10"/>
        <v>224.20000000000013</v>
      </c>
      <c r="AQ84" s="144">
        <v>-240759.44070903107</v>
      </c>
      <c r="AR84" s="139">
        <v>36154.473691155217</v>
      </c>
      <c r="AS84" s="123"/>
      <c r="AT84" s="137">
        <f t="shared" si="11"/>
        <v>732.00883027027078</v>
      </c>
      <c r="AU84" s="144">
        <v>-240838.65996768099</v>
      </c>
      <c r="AV84" s="139">
        <v>36164.729855084428</v>
      </c>
      <c r="AW84" s="123"/>
      <c r="AX84" s="137">
        <f t="shared" si="12"/>
        <v>251625.5697600001</v>
      </c>
      <c r="AY84" s="144">
        <v>-237823.67710049578</v>
      </c>
      <c r="AZ84" s="139">
        <v>35774.393476575002</v>
      </c>
      <c r="BA84" s="123"/>
    </row>
    <row r="85" spans="1:53" x14ac:dyDescent="0.3">
      <c r="A85" s="108"/>
      <c r="B85" s="137">
        <f t="shared" si="13"/>
        <v>2989.9999999999991</v>
      </c>
      <c r="C85" s="144">
        <v>-235460.43629294136</v>
      </c>
      <c r="D85" s="139">
        <v>35468.435234355304</v>
      </c>
      <c r="E85" s="123"/>
      <c r="F85" s="140">
        <f t="shared" si="14"/>
        <v>0.13130000000000008</v>
      </c>
      <c r="G85" s="144">
        <v>-223432.11883518839</v>
      </c>
      <c r="H85" s="139">
        <v>36885.262970893426</v>
      </c>
      <c r="I85" s="123"/>
      <c r="J85" s="141">
        <f t="shared" si="15"/>
        <v>0.81</v>
      </c>
      <c r="K85" s="144">
        <v>-247048.80436747705</v>
      </c>
      <c r="L85" s="139">
        <v>35245.530140104245</v>
      </c>
      <c r="M85" s="123"/>
      <c r="N85" s="141">
        <f t="shared" si="16"/>
        <v>0.78199999999999925</v>
      </c>
      <c r="O85" s="144">
        <v>-194309.52854969827</v>
      </c>
      <c r="P85" s="139">
        <v>28923.633259573686</v>
      </c>
      <c r="Q85" s="42"/>
      <c r="R85" s="141">
        <f t="shared" si="17"/>
        <v>0.95600000000000096</v>
      </c>
      <c r="S85" s="144">
        <v>-250391.67123185581</v>
      </c>
      <c r="T85" s="139">
        <v>35955.258677575664</v>
      </c>
      <c r="V85" s="141">
        <f t="shared" si="18"/>
        <v>0.12090000000000009</v>
      </c>
      <c r="W85" s="144">
        <v>-228671.90952908166</v>
      </c>
      <c r="X85" s="139">
        <v>36412.658048614365</v>
      </c>
      <c r="Y85" s="131"/>
      <c r="Z85" s="137">
        <f t="shared" si="19"/>
        <v>50050.000000000022</v>
      </c>
      <c r="AA85" s="144">
        <v>-240790.03991918225</v>
      </c>
      <c r="AB85" s="139">
        <v>37653.762196525648</v>
      </c>
      <c r="AC85" s="131"/>
      <c r="AD85" s="142">
        <f t="shared" si="20"/>
        <v>0.17079999999999998</v>
      </c>
      <c r="AE85" s="144">
        <v>-232035.98114521216</v>
      </c>
      <c r="AF85" s="139">
        <v>36346.48337023105</v>
      </c>
      <c r="AG85" s="131"/>
      <c r="AH85" s="141">
        <f t="shared" si="21"/>
        <v>7.9200000000000007E-2</v>
      </c>
      <c r="AI85" s="144">
        <v>-240607.39046279428</v>
      </c>
      <c r="AJ85" s="139">
        <v>36162.219000878191</v>
      </c>
      <c r="AL85" s="137">
        <f t="shared" si="9"/>
        <v>9936</v>
      </c>
      <c r="AM85" s="144">
        <v>-241026.77317156637</v>
      </c>
      <c r="AN85" s="139">
        <v>36189.084032202183</v>
      </c>
      <c r="AO85" s="123"/>
      <c r="AP85" s="137">
        <f t="shared" si="10"/>
        <v>230.10000000000014</v>
      </c>
      <c r="AQ85" s="144">
        <v>-240755.61580776222</v>
      </c>
      <c r="AR85" s="139">
        <v>36153.978498255223</v>
      </c>
      <c r="AS85" s="123"/>
      <c r="AT85" s="137">
        <f t="shared" si="11"/>
        <v>751.27222054054107</v>
      </c>
      <c r="AU85" s="144">
        <v>-240844.73747374333</v>
      </c>
      <c r="AV85" s="139">
        <v>36165.516682675574</v>
      </c>
      <c r="AW85" s="123"/>
      <c r="AX85" s="137">
        <f t="shared" si="12"/>
        <v>258247.29528000011</v>
      </c>
      <c r="AY85" s="144">
        <v>-244209.41014201855</v>
      </c>
      <c r="AZ85" s="139">
        <v>36601.125839363871</v>
      </c>
      <c r="BA85" s="123"/>
    </row>
    <row r="86" spans="1:53" x14ac:dyDescent="0.3">
      <c r="A86" s="108"/>
      <c r="B86" s="137">
        <f t="shared" si="13"/>
        <v>3066.6666666666656</v>
      </c>
      <c r="C86" s="144">
        <v>-234868.25811224728</v>
      </c>
      <c r="D86" s="139">
        <v>35391.768567688559</v>
      </c>
      <c r="E86" s="123"/>
      <c r="F86" s="140">
        <f t="shared" si="14"/>
        <v>0.13466666666666674</v>
      </c>
      <c r="G86" s="144">
        <v>-221674.71425781632</v>
      </c>
      <c r="H86" s="139">
        <v>36966.021608286595</v>
      </c>
      <c r="I86" s="123"/>
      <c r="J86" s="141">
        <f t="shared" si="15"/>
        <v>0.81500000000000006</v>
      </c>
      <c r="K86" s="144">
        <v>-247708.50608517686</v>
      </c>
      <c r="L86" s="139">
        <v>35154.239630679171</v>
      </c>
      <c r="M86" s="123"/>
      <c r="N86" s="141">
        <f t="shared" si="16"/>
        <v>0.78833333333333255</v>
      </c>
      <c r="O86" s="144">
        <v>-190033.07812285676</v>
      </c>
      <c r="P86" s="139">
        <v>28287.238641421602</v>
      </c>
      <c r="Q86" s="42"/>
      <c r="R86" s="141">
        <f t="shared" si="17"/>
        <v>0.96166666666666767</v>
      </c>
      <c r="S86" s="144">
        <v>-251406.4765858101</v>
      </c>
      <c r="T86" s="139">
        <v>35934.699145044411</v>
      </c>
      <c r="V86" s="141">
        <f t="shared" si="18"/>
        <v>0.1240000000000001</v>
      </c>
      <c r="W86" s="144">
        <v>-227399.94096486087</v>
      </c>
      <c r="X86" s="139">
        <v>36440.90502797634</v>
      </c>
      <c r="Y86" s="131"/>
      <c r="Z86" s="137">
        <f t="shared" si="19"/>
        <v>51333.333333333358</v>
      </c>
      <c r="AA86" s="144">
        <v>-240790.03991918225</v>
      </c>
      <c r="AB86" s="139">
        <v>37819.909636766803</v>
      </c>
      <c r="AC86" s="131"/>
      <c r="AD86" s="142">
        <f t="shared" si="20"/>
        <v>0.17433333333333331</v>
      </c>
      <c r="AE86" s="144">
        <v>-231250.12018020186</v>
      </c>
      <c r="AF86" s="139">
        <v>36364.061061944325</v>
      </c>
      <c r="AG86" s="131"/>
      <c r="AH86" s="141">
        <f t="shared" si="21"/>
        <v>8.083333333333334E-2</v>
      </c>
      <c r="AI86" s="144">
        <v>-240591.01239357638</v>
      </c>
      <c r="AJ86" s="139">
        <v>36162.558569668712</v>
      </c>
      <c r="AL86" s="137">
        <f t="shared" si="9"/>
        <v>10120</v>
      </c>
      <c r="AM86" s="144">
        <v>-241026.77317156637</v>
      </c>
      <c r="AN86" s="139">
        <v>36189.084032202183</v>
      </c>
      <c r="AO86" s="123"/>
      <c r="AP86" s="137">
        <f t="shared" si="10"/>
        <v>236.00000000000014</v>
      </c>
      <c r="AQ86" s="144">
        <v>-240751.79090649349</v>
      </c>
      <c r="AR86" s="139">
        <v>36153.483305355243</v>
      </c>
      <c r="AS86" s="123"/>
      <c r="AT86" s="137">
        <f t="shared" si="11"/>
        <v>770.53561081081136</v>
      </c>
      <c r="AU86" s="144">
        <v>-240850.81497980552</v>
      </c>
      <c r="AV86" s="139">
        <v>36166.303510266705</v>
      </c>
      <c r="AW86" s="123"/>
      <c r="AX86" s="137">
        <f t="shared" si="12"/>
        <v>264869.02080000011</v>
      </c>
      <c r="AY86" s="144">
        <v>-250595.14318354052</v>
      </c>
      <c r="AZ86" s="139">
        <v>37427.858202152638</v>
      </c>
      <c r="BA86" s="123"/>
    </row>
    <row r="87" spans="1:53" x14ac:dyDescent="0.3">
      <c r="A87" s="108"/>
      <c r="B87" s="137">
        <f t="shared" si="13"/>
        <v>3143.3333333333321</v>
      </c>
      <c r="C87" s="144">
        <v>-234276.07993155386</v>
      </c>
      <c r="D87" s="139">
        <v>35315.101901021902</v>
      </c>
      <c r="E87" s="123"/>
      <c r="F87" s="140">
        <f t="shared" si="14"/>
        <v>0.1380333333333334</v>
      </c>
      <c r="G87" s="144">
        <v>-219948.24440793786</v>
      </c>
      <c r="H87" s="139">
        <v>37046.780245679707</v>
      </c>
      <c r="I87" s="123"/>
      <c r="J87" s="141">
        <f t="shared" si="15"/>
        <v>0.82000000000000006</v>
      </c>
      <c r="K87" s="144">
        <v>-248374.7222361523</v>
      </c>
      <c r="L87" s="139">
        <v>35062.949121254045</v>
      </c>
      <c r="M87" s="123"/>
      <c r="N87" s="141">
        <f t="shared" si="16"/>
        <v>0.79466666666666586</v>
      </c>
      <c r="O87" s="144">
        <v>-185724.73130131341</v>
      </c>
      <c r="P87" s="139">
        <v>27650.844023269547</v>
      </c>
      <c r="Q87" s="42"/>
      <c r="R87" s="141">
        <f t="shared" si="17"/>
        <v>0.96733333333333438</v>
      </c>
      <c r="S87" s="144">
        <v>-252429.61079421523</v>
      </c>
      <c r="T87" s="139">
        <v>35914.139612513165</v>
      </c>
      <c r="V87" s="141">
        <f t="shared" si="18"/>
        <v>0.1271000000000001</v>
      </c>
      <c r="W87" s="144">
        <v>-226141.96883298326</v>
      </c>
      <c r="X87" s="139">
        <v>36469.15200733854</v>
      </c>
      <c r="Y87" s="131"/>
      <c r="Z87" s="137">
        <f t="shared" si="19"/>
        <v>52616.666666666693</v>
      </c>
      <c r="AA87" s="144">
        <v>-240790.03991918225</v>
      </c>
      <c r="AB87" s="139">
        <v>37986.057077007958</v>
      </c>
      <c r="AC87" s="131"/>
      <c r="AD87" s="142">
        <f t="shared" si="20"/>
        <v>0.17786666666666665</v>
      </c>
      <c r="AE87" s="144">
        <v>-230469.56436569663</v>
      </c>
      <c r="AF87" s="139">
        <v>36381.638753657535</v>
      </c>
      <c r="AG87" s="131"/>
      <c r="AH87" s="141">
        <f t="shared" si="21"/>
        <v>8.2466666666666674E-2</v>
      </c>
      <c r="AI87" s="144">
        <v>-240574.63655390797</v>
      </c>
      <c r="AJ87" s="139">
        <v>36162.898138459212</v>
      </c>
      <c r="AL87" s="137">
        <f t="shared" si="9"/>
        <v>10304</v>
      </c>
      <c r="AM87" s="144">
        <v>-241026.77317156637</v>
      </c>
      <c r="AN87" s="139">
        <v>36189.084032202183</v>
      </c>
      <c r="AO87" s="123"/>
      <c r="AP87" s="137">
        <f t="shared" si="10"/>
        <v>241.90000000000015</v>
      </c>
      <c r="AQ87" s="144">
        <v>-240747.96600522468</v>
      </c>
      <c r="AR87" s="139">
        <v>36152.988112455248</v>
      </c>
      <c r="AS87" s="123"/>
      <c r="AT87" s="137">
        <f t="shared" si="11"/>
        <v>789.79900108108166</v>
      </c>
      <c r="AU87" s="144">
        <v>-240856.89248586737</v>
      </c>
      <c r="AV87" s="139">
        <v>36167.090337857793</v>
      </c>
      <c r="AW87" s="123"/>
      <c r="AX87" s="137">
        <f t="shared" si="12"/>
        <v>271490.74632000009</v>
      </c>
      <c r="AY87" s="144">
        <v>-256980.8762250625</v>
      </c>
      <c r="AZ87" s="139">
        <v>38254.590564941405</v>
      </c>
      <c r="BA87" s="123"/>
    </row>
    <row r="88" spans="1:53" x14ac:dyDescent="0.3">
      <c r="A88" s="108"/>
      <c r="B88" s="137">
        <f t="shared" si="13"/>
        <v>3219.9999999999986</v>
      </c>
      <c r="C88" s="144">
        <v>-233683.90175085998</v>
      </c>
      <c r="D88" s="139">
        <v>35238.435234355187</v>
      </c>
      <c r="E88" s="123"/>
      <c r="F88" s="140">
        <f t="shared" si="14"/>
        <v>0.14140000000000005</v>
      </c>
      <c r="G88" s="144">
        <v>-218251.89961847206</v>
      </c>
      <c r="H88" s="139">
        <v>37127.538883072855</v>
      </c>
      <c r="I88" s="123"/>
      <c r="J88" s="141">
        <f t="shared" si="15"/>
        <v>0.82500000000000007</v>
      </c>
      <c r="K88" s="144">
        <v>-249047.54979244134</v>
      </c>
      <c r="L88" s="139">
        <v>34971.658611828949</v>
      </c>
      <c r="M88" s="123"/>
      <c r="N88" s="141">
        <f t="shared" si="16"/>
        <v>0.80099999999999916</v>
      </c>
      <c r="O88" s="144">
        <v>-181384.12989490468</v>
      </c>
      <c r="P88" s="139">
        <v>27014.449405117433</v>
      </c>
      <c r="Q88" s="42"/>
      <c r="R88" s="141">
        <f t="shared" si="17"/>
        <v>0.97300000000000109</v>
      </c>
      <c r="S88" s="144">
        <v>-253461.17681621772</v>
      </c>
      <c r="T88" s="139">
        <v>35893.580079981919</v>
      </c>
      <c r="V88" s="141">
        <f t="shared" si="18"/>
        <v>0.13020000000000009</v>
      </c>
      <c r="W88" s="144">
        <v>-224897.7633775392</v>
      </c>
      <c r="X88" s="139">
        <v>36497.398986700588</v>
      </c>
      <c r="Y88" s="131"/>
      <c r="Z88" s="137">
        <f t="shared" si="19"/>
        <v>53900.000000000029</v>
      </c>
      <c r="AA88" s="144">
        <v>-240790.03991918225</v>
      </c>
      <c r="AB88" s="139">
        <v>38152.204517249113</v>
      </c>
      <c r="AC88" s="131"/>
      <c r="AD88" s="142">
        <f t="shared" si="20"/>
        <v>0.18139999999999998</v>
      </c>
      <c r="AE88" s="144">
        <v>-229694.26016179653</v>
      </c>
      <c r="AF88" s="139">
        <v>36399.216445370781</v>
      </c>
      <c r="AG88" s="131"/>
      <c r="AH88" s="141">
        <f t="shared" si="21"/>
        <v>8.4100000000000008E-2</v>
      </c>
      <c r="AI88" s="144">
        <v>-240558.26294333258</v>
      </c>
      <c r="AJ88" s="139">
        <v>36163.237707249711</v>
      </c>
      <c r="AL88" s="137">
        <f t="shared" si="9"/>
        <v>10488</v>
      </c>
      <c r="AM88" s="144">
        <v>-241026.77317156637</v>
      </c>
      <c r="AN88" s="139">
        <v>36189.084032202183</v>
      </c>
      <c r="AO88" s="123"/>
      <c r="AP88" s="137">
        <f t="shared" si="10"/>
        <v>247.80000000000015</v>
      </c>
      <c r="AQ88" s="144">
        <v>-240744.1411039556</v>
      </c>
      <c r="AR88" s="139">
        <v>36152.492919555225</v>
      </c>
      <c r="AS88" s="123"/>
      <c r="AT88" s="137">
        <f t="shared" si="11"/>
        <v>809.06239135135195</v>
      </c>
      <c r="AU88" s="144">
        <v>-240862.96999193003</v>
      </c>
      <c r="AV88" s="139">
        <v>36167.877165448983</v>
      </c>
      <c r="AW88" s="123"/>
      <c r="AX88" s="137">
        <f t="shared" si="12"/>
        <v>278112.47184000007</v>
      </c>
      <c r="AY88" s="144">
        <v>-263366.60926658526</v>
      </c>
      <c r="AZ88" s="139">
        <v>39081.322927730274</v>
      </c>
      <c r="BA88" s="123"/>
    </row>
    <row r="89" spans="1:53" x14ac:dyDescent="0.3">
      <c r="A89" s="108"/>
      <c r="B89" s="137">
        <f t="shared" si="13"/>
        <v>3296.6666666666652</v>
      </c>
      <c r="C89" s="144">
        <v>-233091.72357016633</v>
      </c>
      <c r="D89" s="139">
        <v>35161.768567688501</v>
      </c>
      <c r="E89" s="123"/>
      <c r="F89" s="140">
        <f t="shared" si="14"/>
        <v>0.14476666666666671</v>
      </c>
      <c r="G89" s="144">
        <v>-216584.89823361344</v>
      </c>
      <c r="H89" s="139">
        <v>37208.297520466025</v>
      </c>
      <c r="I89" s="123"/>
      <c r="J89" s="141">
        <f t="shared" si="15"/>
        <v>0.83000000000000007</v>
      </c>
      <c r="K89" s="144">
        <v>-249727.08766033902</v>
      </c>
      <c r="L89" s="139">
        <v>34880.368102403867</v>
      </c>
      <c r="M89" s="123"/>
      <c r="N89" s="141">
        <f t="shared" si="16"/>
        <v>0.80733333333333246</v>
      </c>
      <c r="O89" s="144">
        <v>-177010.91033010557</v>
      </c>
      <c r="P89" s="139">
        <v>26378.054786965422</v>
      </c>
      <c r="Q89" s="42"/>
      <c r="R89" s="141">
        <f t="shared" si="17"/>
        <v>0.97866666666666779</v>
      </c>
      <c r="S89" s="144">
        <v>-254501.27931499176</v>
      </c>
      <c r="T89" s="139">
        <v>35873.020547450622</v>
      </c>
      <c r="V89" s="141">
        <f t="shared" si="18"/>
        <v>0.13330000000000009</v>
      </c>
      <c r="W89" s="144">
        <v>-223667.09984393883</v>
      </c>
      <c r="X89" s="139">
        <v>36525.645966062686</v>
      </c>
      <c r="Y89" s="131"/>
      <c r="Z89" s="137">
        <f t="shared" si="19"/>
        <v>55183.333333333365</v>
      </c>
      <c r="AA89" s="144">
        <v>-240790.03991918225</v>
      </c>
      <c r="AB89" s="139">
        <v>38318.351957490275</v>
      </c>
      <c r="AC89" s="131"/>
      <c r="AD89" s="142">
        <f t="shared" si="20"/>
        <v>0.18493333333333331</v>
      </c>
      <c r="AE89" s="144">
        <v>-228924.15474662781</v>
      </c>
      <c r="AF89" s="139">
        <v>36416.794137084056</v>
      </c>
      <c r="AG89" s="131"/>
      <c r="AH89" s="141">
        <f t="shared" si="21"/>
        <v>8.5733333333333342E-2</v>
      </c>
      <c r="AI89" s="144">
        <v>-240541.89156139179</v>
      </c>
      <c r="AJ89" s="139">
        <v>36163.577276040276</v>
      </c>
      <c r="AL89" s="137">
        <f t="shared" si="9"/>
        <v>10672</v>
      </c>
      <c r="AM89" s="144">
        <v>-241026.77317156637</v>
      </c>
      <c r="AN89" s="139">
        <v>36189.084032202183</v>
      </c>
      <c r="AO89" s="123"/>
      <c r="AP89" s="137">
        <f t="shared" si="10"/>
        <v>253.70000000000016</v>
      </c>
      <c r="AQ89" s="144">
        <v>-240740.31620268663</v>
      </c>
      <c r="AR89" s="139">
        <v>36151.997726655216</v>
      </c>
      <c r="AS89" s="123"/>
      <c r="AT89" s="137">
        <f t="shared" si="11"/>
        <v>828.32578162162224</v>
      </c>
      <c r="AU89" s="144">
        <v>-240869.04749799269</v>
      </c>
      <c r="AV89" s="139">
        <v>36168.663993040172</v>
      </c>
      <c r="AW89" s="123"/>
      <c r="AX89" s="137">
        <f t="shared" si="12"/>
        <v>284734.19736000005</v>
      </c>
      <c r="AY89" s="144">
        <v>-269752.34230810759</v>
      </c>
      <c r="AZ89" s="139">
        <v>39908.055290519085</v>
      </c>
      <c r="BA89" s="123"/>
    </row>
    <row r="90" spans="1:53" x14ac:dyDescent="0.3">
      <c r="A90" s="108"/>
      <c r="B90" s="137">
        <f t="shared" si="13"/>
        <v>3373.3333333333317</v>
      </c>
      <c r="C90" s="144">
        <v>-232499.54538947326</v>
      </c>
      <c r="D90" s="139">
        <v>35085.101901021888</v>
      </c>
      <c r="E90" s="123"/>
      <c r="F90" s="140">
        <f t="shared" si="14"/>
        <v>0.14813333333333337</v>
      </c>
      <c r="G90" s="144">
        <v>-214946.48540786727</v>
      </c>
      <c r="H90" s="139">
        <v>37289.056157859042</v>
      </c>
      <c r="I90" s="123"/>
      <c r="J90" s="141">
        <f t="shared" si="15"/>
        <v>0.83500000000000008</v>
      </c>
      <c r="K90" s="144">
        <v>-250413.43672888493</v>
      </c>
      <c r="L90" s="139">
        <v>34789.077592978749</v>
      </c>
      <c r="M90" s="123"/>
      <c r="N90" s="141">
        <f t="shared" si="16"/>
        <v>0.81366666666666576</v>
      </c>
      <c r="O90" s="144">
        <v>-172604.70354852543</v>
      </c>
      <c r="P90" s="139">
        <v>25741.660168813371</v>
      </c>
      <c r="Q90" s="42"/>
      <c r="R90" s="141">
        <f t="shared" si="17"/>
        <v>0.9843333333333345</v>
      </c>
      <c r="S90" s="144">
        <v>-255550.02469313127</v>
      </c>
      <c r="T90" s="139">
        <v>35852.46101491939</v>
      </c>
      <c r="V90" s="141">
        <f t="shared" si="18"/>
        <v>0.13640000000000008</v>
      </c>
      <c r="W90" s="144">
        <v>-222449.75834357357</v>
      </c>
      <c r="X90" s="139">
        <v>36553.892945424843</v>
      </c>
      <c r="Y90" s="131"/>
      <c r="Z90" s="137">
        <f t="shared" si="19"/>
        <v>56466.666666666701</v>
      </c>
      <c r="AA90" s="144">
        <v>-240790.03991918225</v>
      </c>
      <c r="AB90" s="139">
        <v>38484.49939773143</v>
      </c>
      <c r="AC90" s="131"/>
      <c r="AD90" s="142">
        <f t="shared" si="20"/>
        <v>0.18846666666666664</v>
      </c>
      <c r="AE90" s="144">
        <v>-228159.19600434491</v>
      </c>
      <c r="AF90" s="139">
        <v>36434.371828797281</v>
      </c>
      <c r="AG90" s="131"/>
      <c r="AH90" s="141">
        <f t="shared" si="21"/>
        <v>8.7366666666666676E-2</v>
      </c>
      <c r="AI90" s="144">
        <v>-240525.52240763765</v>
      </c>
      <c r="AJ90" s="139">
        <v>36163.916844830768</v>
      </c>
      <c r="AL90" s="137">
        <f t="shared" si="9"/>
        <v>10856</v>
      </c>
      <c r="AM90" s="144">
        <v>-241026.77317156637</v>
      </c>
      <c r="AN90" s="139">
        <v>36189.084032202183</v>
      </c>
      <c r="AO90" s="123"/>
      <c r="AP90" s="137">
        <f t="shared" si="10"/>
        <v>259.60000000000014</v>
      </c>
      <c r="AQ90" s="144">
        <v>-240736.49130141782</v>
      </c>
      <c r="AR90" s="139">
        <v>36151.502533755222</v>
      </c>
      <c r="AS90" s="123"/>
      <c r="AT90" s="137">
        <f t="shared" si="11"/>
        <v>847.58917189189253</v>
      </c>
      <c r="AU90" s="144">
        <v>-240875.12500405457</v>
      </c>
      <c r="AV90" s="139">
        <v>36169.45082063126</v>
      </c>
      <c r="AW90" s="123"/>
      <c r="AX90" s="137">
        <f t="shared" si="12"/>
        <v>291355.92288000003</v>
      </c>
      <c r="AY90" s="144">
        <v>-276138.07534962945</v>
      </c>
      <c r="AZ90" s="139">
        <v>40734.787653307838</v>
      </c>
      <c r="BA90" s="123"/>
    </row>
    <row r="91" spans="1:53" ht="15" thickBot="1" x14ac:dyDescent="0.35">
      <c r="A91" s="108"/>
      <c r="B91" s="137">
        <f t="shared" si="13"/>
        <v>3449.9999999999982</v>
      </c>
      <c r="C91" s="145">
        <v>-231907.36720877906</v>
      </c>
      <c r="D91" s="146">
        <v>35008.435234355129</v>
      </c>
      <c r="E91" s="123"/>
      <c r="F91" s="140">
        <f t="shared" si="14"/>
        <v>0.15150000000000002</v>
      </c>
      <c r="G91" s="145">
        <v>-213335.93196634873</v>
      </c>
      <c r="H91" s="146">
        <v>37369.814795252161</v>
      </c>
      <c r="I91" s="123"/>
      <c r="J91" s="141">
        <f t="shared" si="15"/>
        <v>0.84000000000000008</v>
      </c>
      <c r="K91" s="145">
        <v>-251106.69991977856</v>
      </c>
      <c r="L91" s="146">
        <v>34697.787083553631</v>
      </c>
      <c r="M91" s="123"/>
      <c r="N91" s="141">
        <f t="shared" si="16"/>
        <v>0.81999999999999906</v>
      </c>
      <c r="O91" s="145">
        <v>-168165.1349030727</v>
      </c>
      <c r="P91" s="146">
        <v>25105.26555066129</v>
      </c>
      <c r="Q91" s="42"/>
      <c r="R91" s="141">
        <f t="shared" si="17"/>
        <v>0.99000000000000121</v>
      </c>
      <c r="S91" s="145">
        <v>-256607.52112894881</v>
      </c>
      <c r="T91" s="146">
        <v>35831.901482388013</v>
      </c>
      <c r="V91" s="141">
        <f t="shared" si="18"/>
        <v>0.13950000000000007</v>
      </c>
      <c r="W91" s="145">
        <v>-221245.52372281995</v>
      </c>
      <c r="X91" s="146">
        <v>36582.139924786883</v>
      </c>
      <c r="Y91" s="131"/>
      <c r="Z91" s="137">
        <f t="shared" si="19"/>
        <v>57750.000000000036</v>
      </c>
      <c r="AA91" s="145">
        <v>-240790.03991918225</v>
      </c>
      <c r="AB91" s="146">
        <v>38650.646837972585</v>
      </c>
      <c r="AC91" s="131"/>
      <c r="AD91" s="142">
        <f t="shared" si="20"/>
        <v>0.19199999999999998</v>
      </c>
      <c r="AE91" s="145">
        <v>-227399.33251336243</v>
      </c>
      <c r="AF91" s="146">
        <v>36451.949520510563</v>
      </c>
      <c r="AG91" s="131"/>
      <c r="AH91" s="141">
        <f t="shared" si="21"/>
        <v>8.900000000000001E-2</v>
      </c>
      <c r="AI91" s="145">
        <v>-240509.15548160829</v>
      </c>
      <c r="AJ91" s="146">
        <v>36164.256413621326</v>
      </c>
      <c r="AL91" s="137">
        <f t="shared" si="9"/>
        <v>11040</v>
      </c>
      <c r="AM91" s="145">
        <v>-241026.77317156637</v>
      </c>
      <c r="AN91" s="146">
        <v>36189.084032202183</v>
      </c>
      <c r="AO91" s="123"/>
      <c r="AP91" s="137">
        <f t="shared" si="10"/>
        <v>265.50000000000011</v>
      </c>
      <c r="AQ91" s="145">
        <v>-240732.66640014885</v>
      </c>
      <c r="AR91" s="146">
        <v>36151.007340855213</v>
      </c>
      <c r="AS91" s="123"/>
      <c r="AT91" s="137">
        <f t="shared" si="11"/>
        <v>866.85256216216283</v>
      </c>
      <c r="AU91" s="145">
        <v>-240881.202510117</v>
      </c>
      <c r="AV91" s="146">
        <v>36170.237648222421</v>
      </c>
      <c r="AW91" s="123"/>
      <c r="AX91" s="137">
        <f t="shared" si="12"/>
        <v>297977.64840000001</v>
      </c>
      <c r="AY91" s="145">
        <v>-282523.80839115108</v>
      </c>
      <c r="AZ91" s="146">
        <v>41561.520016096561</v>
      </c>
      <c r="BA91" s="123"/>
    </row>
    <row r="92" spans="1:53" ht="15" thickBot="1" x14ac:dyDescent="0.35">
      <c r="A92" s="108"/>
      <c r="B92" s="108"/>
      <c r="C92" s="108"/>
      <c r="D92" s="108"/>
      <c r="E92" s="108"/>
      <c r="F92" s="108"/>
      <c r="G92" s="108"/>
      <c r="H92" s="108"/>
      <c r="I92" s="108"/>
      <c r="J92" s="108"/>
      <c r="K92" s="108"/>
      <c r="L92" s="108"/>
      <c r="M92" s="108"/>
      <c r="N92" s="108"/>
      <c r="O92" s="108"/>
      <c r="P92" s="108"/>
    </row>
    <row r="93" spans="1:53" ht="15" thickBot="1" x14ac:dyDescent="0.35">
      <c r="A93" s="108"/>
      <c r="B93" s="123"/>
      <c r="C93" s="132" t="s">
        <v>62</v>
      </c>
      <c r="D93" s="133" t="s">
        <v>272</v>
      </c>
      <c r="E93" s="123"/>
      <c r="F93" s="123"/>
      <c r="G93" s="132" t="s">
        <v>62</v>
      </c>
      <c r="H93" s="133" t="s">
        <v>272</v>
      </c>
      <c r="I93" s="123"/>
      <c r="J93" s="123"/>
      <c r="K93" s="132" t="s">
        <v>62</v>
      </c>
      <c r="L93" s="133" t="s">
        <v>767</v>
      </c>
      <c r="M93" s="123"/>
      <c r="N93" s="123"/>
      <c r="O93" s="132" t="s">
        <v>62</v>
      </c>
      <c r="P93" s="133" t="s">
        <v>767</v>
      </c>
      <c r="Q93" s="123"/>
      <c r="R93" s="123"/>
      <c r="S93" s="132" t="s">
        <v>62</v>
      </c>
      <c r="T93" s="133" t="s">
        <v>767</v>
      </c>
      <c r="U93" s="123"/>
      <c r="V93" s="123"/>
      <c r="W93" s="132" t="s">
        <v>62</v>
      </c>
      <c r="X93" s="133" t="s">
        <v>767</v>
      </c>
      <c r="Y93" s="123"/>
      <c r="Z93" s="123"/>
      <c r="AA93" s="132" t="s">
        <v>62</v>
      </c>
      <c r="AB93" s="133" t="s">
        <v>767</v>
      </c>
      <c r="AC93" s="123"/>
      <c r="AD93" s="123"/>
      <c r="AE93" s="132" t="s">
        <v>62</v>
      </c>
      <c r="AF93" s="133" t="s">
        <v>767</v>
      </c>
      <c r="AG93" s="123"/>
      <c r="AH93" s="123"/>
      <c r="AI93" s="132" t="s">
        <v>62</v>
      </c>
      <c r="AJ93" s="133" t="s">
        <v>767</v>
      </c>
      <c r="AK93" s="123"/>
      <c r="AL93" s="123"/>
      <c r="AM93" s="132" t="s">
        <v>62</v>
      </c>
      <c r="AN93" s="133" t="s">
        <v>272</v>
      </c>
      <c r="AO93" s="123"/>
      <c r="AP93" s="123"/>
      <c r="AQ93" s="132" t="s">
        <v>62</v>
      </c>
      <c r="AR93" s="133" t="s">
        <v>272</v>
      </c>
      <c r="AS93" s="123"/>
      <c r="AT93" s="123"/>
      <c r="AU93" s="132" t="s">
        <v>62</v>
      </c>
      <c r="AV93" s="133" t="s">
        <v>272</v>
      </c>
      <c r="AW93" s="123"/>
      <c r="AX93" s="123"/>
      <c r="AY93" s="132" t="s">
        <v>62</v>
      </c>
      <c r="AZ93" s="133" t="s">
        <v>272</v>
      </c>
    </row>
    <row r="94" spans="1:53" ht="15" thickBot="1" x14ac:dyDescent="0.35">
      <c r="A94" s="108"/>
      <c r="B94" s="134" t="s">
        <v>202</v>
      </c>
      <c r="C94" s="135">
        <f>$C$5</f>
        <v>-240790.03991918225</v>
      </c>
      <c r="D94" s="136">
        <f>$C$6</f>
        <v>36158.435234355231</v>
      </c>
      <c r="E94" s="123"/>
      <c r="F94" s="134" t="str">
        <f>B24</f>
        <v>Live birth with ANC</v>
      </c>
      <c r="G94" s="135">
        <f>$C$5</f>
        <v>-240790.03991918225</v>
      </c>
      <c r="H94" s="136">
        <f>$C$6</f>
        <v>36158.435234355231</v>
      </c>
      <c r="I94" s="123"/>
      <c r="J94" s="134" t="str">
        <f>B25</f>
        <v>Live birth no ANC</v>
      </c>
      <c r="K94" s="135">
        <f>$C$5</f>
        <v>-240790.03991918225</v>
      </c>
      <c r="L94" s="136">
        <f>$C$6</f>
        <v>36158.435234355231</v>
      </c>
      <c r="M94" s="123"/>
      <c r="N94" s="134" t="str">
        <f>B26</f>
        <v>Term with ANC</v>
      </c>
      <c r="O94" s="135">
        <f>$C$5</f>
        <v>-240790.03991918225</v>
      </c>
      <c r="P94" s="136">
        <f>$C$6</f>
        <v>36158.435234355231</v>
      </c>
      <c r="Q94" s="123"/>
      <c r="R94" s="134" t="str">
        <f>B27</f>
        <v>Term no ANC</v>
      </c>
      <c r="S94" s="135">
        <f>$C$5</f>
        <v>-240790.03991918225</v>
      </c>
      <c r="T94" s="136">
        <f>$C$6</f>
        <v>36158.435234355231</v>
      </c>
      <c r="U94" s="123"/>
      <c r="V94" s="134" t="str">
        <f>B28</f>
        <v>LBW prem</v>
      </c>
      <c r="W94" s="135">
        <f>$C$5</f>
        <v>-240790.03991918225</v>
      </c>
      <c r="X94" s="136">
        <f>$C$6</f>
        <v>36158.435234355231</v>
      </c>
      <c r="Y94" s="123"/>
      <c r="Z94" s="134" t="str">
        <f>B29</f>
        <v>LBW term</v>
      </c>
      <c r="AA94" s="135">
        <f>$C$5</f>
        <v>-240790.03991918225</v>
      </c>
      <c r="AB94" s="136">
        <f>$C$6</f>
        <v>36158.435234355231</v>
      </c>
      <c r="AC94" s="123"/>
      <c r="AD94" s="134" t="str">
        <f>B30</f>
        <v>SGA preterm lbw</v>
      </c>
      <c r="AE94" s="135">
        <f>$C$5</f>
        <v>-240790.03991918225</v>
      </c>
      <c r="AF94" s="136">
        <f>$C$6</f>
        <v>36158.435234355231</v>
      </c>
      <c r="AG94" s="123"/>
      <c r="AH94" s="134" t="str">
        <f>B31</f>
        <v>AGA term nbw</v>
      </c>
      <c r="AI94" s="135">
        <f>$C$5</f>
        <v>-240790.03991918225</v>
      </c>
      <c r="AJ94" s="136">
        <f>$C$6</f>
        <v>36158.435234355231</v>
      </c>
      <c r="AK94" s="123"/>
      <c r="AL94" s="134" t="str">
        <f>B47</f>
        <v>c_NICU_NBW</v>
      </c>
      <c r="AM94" s="135">
        <f>$C$5</f>
        <v>-240790.03991918225</v>
      </c>
      <c r="AN94" s="136">
        <f>$C$6</f>
        <v>36158.435234355231</v>
      </c>
      <c r="AO94" s="123"/>
      <c r="AP94" s="134" t="str">
        <f>B48</f>
        <v>c_SB</v>
      </c>
      <c r="AQ94" s="135">
        <f>$C$5</f>
        <v>-240790.03991918225</v>
      </c>
      <c r="AR94" s="136">
        <f>$C$6</f>
        <v>36158.435234355231</v>
      </c>
      <c r="AS94" s="123"/>
      <c r="AT94" s="134" t="str">
        <f>B49</f>
        <v>c_RDS</v>
      </c>
      <c r="AU94" s="135">
        <f>$C$5</f>
        <v>-240790.03991918225</v>
      </c>
      <c r="AV94" s="136">
        <f>$C$6</f>
        <v>36158.435234355231</v>
      </c>
      <c r="AW94" s="123"/>
      <c r="AX94" s="134" t="str">
        <f>B50</f>
        <v>c_hypo</v>
      </c>
      <c r="AY94" s="135">
        <f>$C$5</f>
        <v>-240790.03991918225</v>
      </c>
      <c r="AZ94" s="136">
        <f>$C$6</f>
        <v>36158.435234355231</v>
      </c>
    </row>
    <row r="95" spans="1:53" x14ac:dyDescent="0.3">
      <c r="A95" s="108"/>
      <c r="B95" s="137">
        <f>D23</f>
        <v>0.69</v>
      </c>
      <c r="C95" s="138">
        <f t="dataTable" ref="C95:D125" dt2D="0" dtr="0" r1="C23" ca="1"/>
        <v>-252739.02798609648</v>
      </c>
      <c r="D95" s="139">
        <v>35593.264516045994</v>
      </c>
      <c r="E95" s="123"/>
      <c r="F95" s="137">
        <f>D24</f>
        <v>0.96715400000000007</v>
      </c>
      <c r="G95" s="138">
        <f t="dataTable" ref="G95:H125" dt2D="0" dtr="0" r1="C24" ca="1"/>
        <v>-299722.23099884705</v>
      </c>
      <c r="H95" s="139">
        <v>34802.806837220167</v>
      </c>
      <c r="I95" s="123"/>
      <c r="J95" s="137">
        <f>D25</f>
        <v>0.93687405159332315</v>
      </c>
      <c r="K95" s="138">
        <f t="dataTable" ref="K95:L125" dt2D="0" dtr="0" r1="C25" ca="1"/>
        <v>-243363.82954335347</v>
      </c>
      <c r="L95" s="139">
        <v>35595.66349230746</v>
      </c>
      <c r="M95" s="123"/>
      <c r="N95" s="137">
        <f>D26</f>
        <v>0.65036452004860257</v>
      </c>
      <c r="O95" s="138">
        <f t="dataTable" ref="O95:P125" dt2D="0" dtr="0" r1="C26" ca="1"/>
        <v>-954323.32032763807</v>
      </c>
      <c r="P95" s="139">
        <v>16936.22825962519</v>
      </c>
      <c r="Q95" s="123"/>
      <c r="R95" s="137">
        <f>D27</f>
        <v>0.6532399299474605</v>
      </c>
      <c r="S95" s="138">
        <f t="dataTable" ref="S95:T125" dt2D="0" dtr="0" r1="C27" ca="1"/>
        <v>-273434.38044743403</v>
      </c>
      <c r="T95" s="139">
        <v>31729.202190471973</v>
      </c>
      <c r="U95" s="123"/>
      <c r="V95" s="137">
        <f>D28</f>
        <v>0.36271186440677972</v>
      </c>
      <c r="W95" s="138">
        <f t="dataTable" ref="W95:X125" dt2D="0" dtr="0" r1="C28" ca="1"/>
        <v>-212292.18812313635</v>
      </c>
      <c r="X95" s="139">
        <v>29347.255018886386</v>
      </c>
      <c r="Y95" s="123"/>
      <c r="Z95" s="137">
        <f>D29</f>
        <v>0.17384615384615384</v>
      </c>
      <c r="AA95" s="138">
        <f t="dataTable" ref="AA95:AB125" dt2D="0" dtr="0" r1="C29" ca="1"/>
        <v>-183280.19016067553</v>
      </c>
      <c r="AB95" s="139">
        <v>26768.623433254281</v>
      </c>
      <c r="AC95" s="123"/>
      <c r="AD95" s="137">
        <f>D30</f>
        <v>0.22204773869346733</v>
      </c>
      <c r="AE95" s="138">
        <f t="dataTable" ref="AE95:AF125" dt2D="0" dtr="0" r1="C30" ca="1"/>
        <v>-268571.58363006753</v>
      </c>
      <c r="AF95" s="139">
        <v>35668.667291226149</v>
      </c>
      <c r="AG95" s="123"/>
      <c r="AH95" s="137">
        <f>D31</f>
        <v>0.62008720309784437</v>
      </c>
      <c r="AI95" s="138">
        <f t="dataTable" ref="AI95:AJ125" dt2D="0" dtr="0" r1="C31" ca="1"/>
        <v>-241975.22258393143</v>
      </c>
      <c r="AJ95" s="139">
        <v>36124.6332152873</v>
      </c>
      <c r="AK95" s="123"/>
      <c r="AL95" s="137">
        <f>D47</f>
        <v>1549.44</v>
      </c>
      <c r="AM95" s="138">
        <f t="dataTable" ref="AM95:AN125" dt2D="0" dtr="0" r1="C47" ca="1"/>
        <v>-240503.39835045193</v>
      </c>
      <c r="AN95" s="139">
        <v>36121.325029489322</v>
      </c>
      <c r="AO95" s="123"/>
      <c r="AP95" s="137">
        <f>D48</f>
        <v>896</v>
      </c>
      <c r="AQ95" s="138">
        <f t="dataTable" ref="AQ95:AR125" dt2D="0" dtr="0" r1="C48" ca="1"/>
        <v>-240751.61365212855</v>
      </c>
      <c r="AR95" s="139">
        <v>36153.460357023549</v>
      </c>
      <c r="AS95" s="123"/>
      <c r="AT95" s="137">
        <f>D49</f>
        <v>15297.805074102818</v>
      </c>
      <c r="AU95" s="138">
        <f t="dataTable" ref="AU95:AV125" dt2D="0" dtr="0" r1="C49" ca="1"/>
        <v>-238792.51123504271</v>
      </c>
      <c r="AV95" s="139">
        <v>35899.8241088918</v>
      </c>
      <c r="AW95" s="123"/>
      <c r="AX95" s="137">
        <f>D50</f>
        <v>1468.1302000000001</v>
      </c>
      <c r="AY95" s="138">
        <f t="dataTable" ref="AY95:AZ125" dt2D="0" dtr="0" r1="C50" ca="1"/>
        <v>-240467.97693830656</v>
      </c>
      <c r="AZ95" s="139">
        <v>36116.739177314506</v>
      </c>
    </row>
    <row r="96" spans="1:53" x14ac:dyDescent="0.3">
      <c r="A96" s="108"/>
      <c r="B96" s="137">
        <f>B95+$F$23</f>
        <v>0.70033333333333325</v>
      </c>
      <c r="C96" s="144">
        <v>-251815.38576115962</v>
      </c>
      <c r="D96" s="139">
        <v>35634.683646702251</v>
      </c>
      <c r="E96" s="123"/>
      <c r="F96" s="137">
        <f>F95+$F$24</f>
        <v>0.96824886666666676</v>
      </c>
      <c r="G96" s="144">
        <v>-294862.78445005085</v>
      </c>
      <c r="H96" s="139">
        <v>34893.180970832094</v>
      </c>
      <c r="I96" s="123"/>
      <c r="J96" s="137">
        <f>J95+$F$25</f>
        <v>0.93897824987354572</v>
      </c>
      <c r="K96" s="144">
        <v>-243188.21921716072</v>
      </c>
      <c r="L96" s="139">
        <v>35633.181608443832</v>
      </c>
      <c r="M96" s="123"/>
      <c r="N96" s="137">
        <f>N95+$F$26</f>
        <v>0.66201903604698253</v>
      </c>
      <c r="O96" s="144">
        <v>-703491.62896273378</v>
      </c>
      <c r="P96" s="139">
        <v>18217.708724607201</v>
      </c>
      <c r="Q96" s="123"/>
      <c r="R96" s="137">
        <f>R95+$F$27</f>
        <v>0.66479859894921178</v>
      </c>
      <c r="S96" s="144">
        <v>-270713.88712328608</v>
      </c>
      <c r="T96" s="139">
        <v>32024.484393397517</v>
      </c>
      <c r="U96" s="123"/>
      <c r="V96" s="137">
        <f>V95+$F$28</f>
        <v>0.38395480225988704</v>
      </c>
      <c r="W96" s="144">
        <v>-214379.33341218033</v>
      </c>
      <c r="X96" s="139">
        <v>29801.333699917621</v>
      </c>
      <c r="Y96" s="123"/>
      <c r="Z96" s="137">
        <f>Z95+$F$29</f>
        <v>0.18543589743589745</v>
      </c>
      <c r="AA96" s="144">
        <v>-187372.83464041576</v>
      </c>
      <c r="AB96" s="139">
        <v>27394.610886660994</v>
      </c>
      <c r="AC96" s="123"/>
      <c r="AD96" s="137">
        <f>AD95+$F$30</f>
        <v>0.23685092127303181</v>
      </c>
      <c r="AE96" s="144">
        <v>-266522.93473011279</v>
      </c>
      <c r="AF96" s="139">
        <v>35701.318487434699</v>
      </c>
      <c r="AG96" s="123"/>
      <c r="AH96" s="137">
        <f>AH95+$F$31</f>
        <v>0.63275096299458289</v>
      </c>
      <c r="AI96" s="144">
        <v>-241895.82830248337</v>
      </c>
      <c r="AJ96" s="139">
        <v>36126.886683225152</v>
      </c>
      <c r="AK96" s="123"/>
      <c r="AL96" s="137">
        <f t="shared" ref="AL96:AL125" si="22">AL95+$F$47</f>
        <v>1652.7360000000001</v>
      </c>
      <c r="AM96" s="144">
        <v>-240402.76985845983</v>
      </c>
      <c r="AN96" s="139">
        <v>36108.297107650505</v>
      </c>
      <c r="AO96" s="123"/>
      <c r="AP96" s="137">
        <f t="shared" ref="AP96:AP125" si="23">AP95+$F$48</f>
        <v>955.73333333333335</v>
      </c>
      <c r="AQ96" s="144">
        <v>-240754.17540326569</v>
      </c>
      <c r="AR96" s="139">
        <v>36153.792015512357</v>
      </c>
      <c r="AS96" s="123"/>
      <c r="AT96" s="137">
        <f t="shared" ref="AT96:AT125" si="24">AT95+$F$49</f>
        <v>16317.658745709672</v>
      </c>
      <c r="AU96" s="144">
        <v>-238925.67981398568</v>
      </c>
      <c r="AV96" s="139">
        <v>35917.064850589406</v>
      </c>
      <c r="AW96" s="123"/>
      <c r="AX96" s="137">
        <f t="shared" ref="AX96:AX125" si="25">AX95+$F$50</f>
        <v>1566.0055466666668</v>
      </c>
      <c r="AY96" s="144">
        <v>-240489.44780369886</v>
      </c>
      <c r="AZ96" s="139">
        <v>36119.518914450629</v>
      </c>
    </row>
    <row r="97" spans="1:52" x14ac:dyDescent="0.3">
      <c r="A97" s="108"/>
      <c r="B97" s="137">
        <f t="shared" ref="B97:B125" si="26">B96+$F$23</f>
        <v>0.71066666666666656</v>
      </c>
      <c r="C97" s="144">
        <v>-250899.70790866215</v>
      </c>
      <c r="D97" s="139">
        <v>35676.102777358516</v>
      </c>
      <c r="E97" s="123"/>
      <c r="F97" s="137">
        <f t="shared" ref="F97:F125" si="27">F96+$F$24</f>
        <v>0.96934373333333346</v>
      </c>
      <c r="G97" s="144">
        <v>-290165.04947060993</v>
      </c>
      <c r="H97" s="139">
        <v>34983.555104444014</v>
      </c>
      <c r="I97" s="123"/>
      <c r="J97" s="137">
        <f t="shared" ref="J97:J125" si="28">J96+$F$25</f>
        <v>0.94108244815376829</v>
      </c>
      <c r="K97" s="144">
        <v>-243013.19629800771</v>
      </c>
      <c r="L97" s="139">
        <v>35670.699724580321</v>
      </c>
      <c r="M97" s="123"/>
      <c r="N97" s="137">
        <f t="shared" ref="N97:N125" si="29">N96+$F$26</f>
        <v>0.6736735520453625</v>
      </c>
      <c r="O97" s="144">
        <v>-569970.47127631016</v>
      </c>
      <c r="P97" s="139">
        <v>19499.189189589182</v>
      </c>
      <c r="Q97" s="123"/>
      <c r="R97" s="137">
        <f t="shared" ref="R97:R125" si="30">R96+$F$27</f>
        <v>0.67635726795096307</v>
      </c>
      <c r="S97" s="144">
        <v>-268088.87239124079</v>
      </c>
      <c r="T97" s="139">
        <v>32319.766596323123</v>
      </c>
      <c r="U97" s="123"/>
      <c r="V97" s="137">
        <f t="shared" ref="V97:V125" si="31">V96+$F$28</f>
        <v>0.40519774011299436</v>
      </c>
      <c r="W97" s="144">
        <v>-216437.29115756383</v>
      </c>
      <c r="X97" s="139">
        <v>30255.412380948834</v>
      </c>
      <c r="Y97" s="123"/>
      <c r="Z97" s="137">
        <f t="shared" ref="Z97:Z125" si="32">Z96+$F$29</f>
        <v>0.19702564102564105</v>
      </c>
      <c r="AA97" s="144">
        <v>-191426.22481671415</v>
      </c>
      <c r="AB97" s="139">
        <v>28020.598340067751</v>
      </c>
      <c r="AC97" s="123"/>
      <c r="AD97" s="137">
        <f t="shared" ref="AD97:AD125" si="33">AD96+$F$30</f>
        <v>0.25165410385259629</v>
      </c>
      <c r="AE97" s="144">
        <v>-264505.10983088269</v>
      </c>
      <c r="AF97" s="139">
        <v>35733.969683643314</v>
      </c>
      <c r="AG97" s="123"/>
      <c r="AH97" s="137">
        <f t="shared" ref="AH97:AH125" si="34">AH96+$F$31</f>
        <v>0.6454147228913214</v>
      </c>
      <c r="AI97" s="144">
        <v>-241816.48885233069</v>
      </c>
      <c r="AJ97" s="139">
        <v>36129.14015116301</v>
      </c>
      <c r="AK97" s="123"/>
      <c r="AL97" s="137">
        <f t="shared" si="22"/>
        <v>1756.0320000000002</v>
      </c>
      <c r="AM97" s="144">
        <v>-240302.14136646796</v>
      </c>
      <c r="AN97" s="139">
        <v>36095.269185811718</v>
      </c>
      <c r="AO97" s="123"/>
      <c r="AP97" s="137">
        <f t="shared" si="23"/>
        <v>1015.4666666666667</v>
      </c>
      <c r="AQ97" s="144">
        <v>-240756.73715440216</v>
      </c>
      <c r="AR97" s="139">
        <v>36154.123674001079</v>
      </c>
      <c r="AS97" s="123"/>
      <c r="AT97" s="137">
        <f t="shared" si="24"/>
        <v>17337.512417316528</v>
      </c>
      <c r="AU97" s="144">
        <v>-239058.84839292796</v>
      </c>
      <c r="AV97" s="139">
        <v>35934.305592286924</v>
      </c>
      <c r="AW97" s="123"/>
      <c r="AX97" s="137">
        <f t="shared" si="25"/>
        <v>1663.8808933333335</v>
      </c>
      <c r="AY97" s="144">
        <v>-240510.91866909023</v>
      </c>
      <c r="AZ97" s="139">
        <v>36122.298651586636</v>
      </c>
    </row>
    <row r="98" spans="1:52" x14ac:dyDescent="0.3">
      <c r="A98" s="108"/>
      <c r="B98" s="137">
        <f t="shared" si="26"/>
        <v>0.72099999999999986</v>
      </c>
      <c r="C98" s="144">
        <v>-249991.89185816498</v>
      </c>
      <c r="D98" s="139">
        <v>35717.521908014714</v>
      </c>
      <c r="E98" s="123"/>
      <c r="F98" s="137">
        <f t="shared" si="27"/>
        <v>0.97043860000000015</v>
      </c>
      <c r="G98" s="144">
        <v>-285621.08607126155</v>
      </c>
      <c r="H98" s="139">
        <v>35073.929238055833</v>
      </c>
      <c r="I98" s="123"/>
      <c r="J98" s="137">
        <f t="shared" si="28"/>
        <v>0.94318664643399086</v>
      </c>
      <c r="K98" s="144">
        <v>-242838.75784355303</v>
      </c>
      <c r="L98" s="139">
        <v>35708.21784071697</v>
      </c>
      <c r="M98" s="123"/>
      <c r="N98" s="137">
        <f t="shared" si="29"/>
        <v>0.68532806804374247</v>
      </c>
      <c r="O98" s="144">
        <v>-487060.29363393516</v>
      </c>
      <c r="P98" s="139">
        <v>20780.669654571197</v>
      </c>
      <c r="Q98" s="123"/>
      <c r="R98" s="137">
        <f t="shared" si="30"/>
        <v>0.68791593695271436</v>
      </c>
      <c r="S98" s="144">
        <v>-265554.39654998027</v>
      </c>
      <c r="T98" s="139">
        <v>32615.048799248623</v>
      </c>
      <c r="U98" s="123"/>
      <c r="V98" s="137">
        <f t="shared" si="31"/>
        <v>0.42644067796610169</v>
      </c>
      <c r="W98" s="144">
        <v>-218466.66936485795</v>
      </c>
      <c r="X98" s="139">
        <v>30709.491061980178</v>
      </c>
      <c r="Y98" s="123"/>
      <c r="Z98" s="137">
        <f t="shared" si="32"/>
        <v>0.20861538461538465</v>
      </c>
      <c r="AA98" s="144">
        <v>-195440.92275130254</v>
      </c>
      <c r="AB98" s="139">
        <v>28646.585793474522</v>
      </c>
      <c r="AC98" s="123"/>
      <c r="AD98" s="137">
        <f t="shared" si="33"/>
        <v>0.26645728643216077</v>
      </c>
      <c r="AE98" s="144">
        <v>-262517.41845928202</v>
      </c>
      <c r="AF98" s="139">
        <v>35766.620879851864</v>
      </c>
      <c r="AG98" s="123"/>
      <c r="AH98" s="137">
        <f t="shared" si="34"/>
        <v>0.65807848278805992</v>
      </c>
      <c r="AI98" s="144">
        <v>-241737.20417669218</v>
      </c>
      <c r="AJ98" s="139">
        <v>36131.393619100869</v>
      </c>
      <c r="AK98" s="123"/>
      <c r="AL98" s="137">
        <f t="shared" si="22"/>
        <v>1859.3280000000002</v>
      </c>
      <c r="AM98" s="144">
        <v>-240201.51287447676</v>
      </c>
      <c r="AN98" s="139">
        <v>36082.241263973017</v>
      </c>
      <c r="AO98" s="123"/>
      <c r="AP98" s="137">
        <f t="shared" si="23"/>
        <v>1075.2</v>
      </c>
      <c r="AQ98" s="144">
        <v>-240759.29890553953</v>
      </c>
      <c r="AR98" s="139">
        <v>36154.455332489917</v>
      </c>
      <c r="AS98" s="123"/>
      <c r="AT98" s="137">
        <f t="shared" si="24"/>
        <v>18357.366088923383</v>
      </c>
      <c r="AU98" s="144">
        <v>-239192.0169718705</v>
      </c>
      <c r="AV98" s="139">
        <v>35951.546333984472</v>
      </c>
      <c r="AW98" s="123"/>
      <c r="AX98" s="137">
        <f t="shared" si="25"/>
        <v>1761.7562400000002</v>
      </c>
      <c r="AY98" s="144">
        <v>-240532.38953448209</v>
      </c>
      <c r="AZ98" s="139">
        <v>36125.078388722701</v>
      </c>
    </row>
    <row r="99" spans="1:52" x14ac:dyDescent="0.3">
      <c r="A99" s="108"/>
      <c r="B99" s="137">
        <f t="shared" si="26"/>
        <v>0.73133333333333317</v>
      </c>
      <c r="C99" s="144">
        <v>-249091.83679299525</v>
      </c>
      <c r="D99" s="139">
        <v>35758.941038671066</v>
      </c>
      <c r="E99" s="123"/>
      <c r="F99" s="137">
        <f t="shared" si="27"/>
        <v>0.97153346666666685</v>
      </c>
      <c r="G99" s="144">
        <v>-281223.46569380671</v>
      </c>
      <c r="H99" s="139">
        <v>35164.303371667746</v>
      </c>
      <c r="I99" s="123"/>
      <c r="J99" s="137">
        <f t="shared" si="28"/>
        <v>0.94529084471421343</v>
      </c>
      <c r="K99" s="144">
        <v>-242664.90093106535</v>
      </c>
      <c r="L99" s="139">
        <v>35745.735956853387</v>
      </c>
      <c r="M99" s="123"/>
      <c r="N99" s="137">
        <f t="shared" si="29"/>
        <v>0.69698258404212243</v>
      </c>
      <c r="O99" s="144">
        <v>-430569.89760030824</v>
      </c>
      <c r="P99" s="139">
        <v>22062.150119553222</v>
      </c>
      <c r="Q99" s="123"/>
      <c r="R99" s="137">
        <f t="shared" si="30"/>
        <v>0.69947460595446564</v>
      </c>
      <c r="S99" s="144">
        <v>-263105.85487008281</v>
      </c>
      <c r="T99" s="139">
        <v>32910.331002174178</v>
      </c>
      <c r="U99" s="123"/>
      <c r="V99" s="137">
        <f t="shared" si="31"/>
        <v>0.44768361581920901</v>
      </c>
      <c r="W99" s="144">
        <v>-220468.05926893876</v>
      </c>
      <c r="X99" s="139">
        <v>31163.569743011325</v>
      </c>
      <c r="Y99" s="123"/>
      <c r="Z99" s="137">
        <f t="shared" si="32"/>
        <v>0.22020512820512825</v>
      </c>
      <c r="AA99" s="144">
        <v>-199417.47982639313</v>
      </c>
      <c r="AB99" s="139">
        <v>29272.573246881188</v>
      </c>
      <c r="AC99" s="123"/>
      <c r="AD99" s="137">
        <f t="shared" si="33"/>
        <v>0.28126046901172524</v>
      </c>
      <c r="AE99" s="144">
        <v>-260559.19061195271</v>
      </c>
      <c r="AF99" s="139">
        <v>35799.272076060537</v>
      </c>
      <c r="AG99" s="123"/>
      <c r="AH99" s="137">
        <f t="shared" si="34"/>
        <v>0.67074224268479843</v>
      </c>
      <c r="AI99" s="144">
        <v>-241657.97421886693</v>
      </c>
      <c r="AJ99" s="139">
        <v>36133.647087038764</v>
      </c>
      <c r="AK99" s="123"/>
      <c r="AL99" s="137">
        <f t="shared" si="22"/>
        <v>1962.6240000000003</v>
      </c>
      <c r="AM99" s="144">
        <v>-240100.88438248532</v>
      </c>
      <c r="AN99" s="139">
        <v>36069.213342134288</v>
      </c>
      <c r="AO99" s="123"/>
      <c r="AP99" s="137">
        <f t="shared" si="23"/>
        <v>1134.9333333333334</v>
      </c>
      <c r="AQ99" s="144">
        <v>-240761.86065667635</v>
      </c>
      <c r="AR99" s="139">
        <v>36154.786990978682</v>
      </c>
      <c r="AS99" s="123"/>
      <c r="AT99" s="137">
        <f t="shared" si="24"/>
        <v>19377.219760530239</v>
      </c>
      <c r="AU99" s="144">
        <v>-239325.18555081292</v>
      </c>
      <c r="AV99" s="139">
        <v>35968.787075682005</v>
      </c>
      <c r="AW99" s="123"/>
      <c r="AX99" s="137">
        <f t="shared" si="25"/>
        <v>1859.6315866666669</v>
      </c>
      <c r="AY99" s="144">
        <v>-240553.86039987358</v>
      </c>
      <c r="AZ99" s="139">
        <v>36127.858125858722</v>
      </c>
    </row>
    <row r="100" spans="1:52" x14ac:dyDescent="0.3">
      <c r="A100" s="108"/>
      <c r="B100" s="137">
        <f t="shared" si="26"/>
        <v>0.74166666666666647</v>
      </c>
      <c r="C100" s="144">
        <v>-248199.44361292123</v>
      </c>
      <c r="D100" s="139">
        <v>35800.360169327025</v>
      </c>
      <c r="E100" s="123"/>
      <c r="F100" s="137">
        <f t="shared" si="27"/>
        <v>0.97262833333333354</v>
      </c>
      <c r="G100" s="144">
        <v>-276965.23068577552</v>
      </c>
      <c r="H100" s="139">
        <v>35254.677505279644</v>
      </c>
      <c r="I100" s="123"/>
      <c r="J100" s="137">
        <f t="shared" si="28"/>
        <v>0.947395042994436</v>
      </c>
      <c r="K100" s="144">
        <v>-242491.62265727151</v>
      </c>
      <c r="L100" s="139">
        <v>35783.254072990021</v>
      </c>
      <c r="M100" s="123"/>
      <c r="N100" s="137">
        <f t="shared" si="29"/>
        <v>0.7086371000405024</v>
      </c>
      <c r="O100" s="144">
        <v>-389606.58087818773</v>
      </c>
      <c r="P100" s="139">
        <v>23343.630584535247</v>
      </c>
      <c r="Q100" s="123"/>
      <c r="R100" s="137">
        <f t="shared" si="30"/>
        <v>0.71103327495621693</v>
      </c>
      <c r="S100" s="144">
        <v>-260738.94967339578</v>
      </c>
      <c r="T100" s="139">
        <v>33205.613205099726</v>
      </c>
      <c r="U100" s="123"/>
      <c r="V100" s="137">
        <f t="shared" si="31"/>
        <v>0.46892655367231634</v>
      </c>
      <c r="W100" s="144">
        <v>-222442.03590824935</v>
      </c>
      <c r="X100" s="139">
        <v>31617.648424042694</v>
      </c>
      <c r="Y100" s="123"/>
      <c r="Z100" s="137">
        <f t="shared" si="32"/>
        <v>0.23179487179487185</v>
      </c>
      <c r="AA100" s="144">
        <v>-203356.43699713019</v>
      </c>
      <c r="AB100" s="139">
        <v>29898.560700287875</v>
      </c>
      <c r="AC100" s="123"/>
      <c r="AD100" s="137">
        <f t="shared" si="33"/>
        <v>0.29606365159128972</v>
      </c>
      <c r="AE100" s="144">
        <v>-258629.77600231502</v>
      </c>
      <c r="AF100" s="139">
        <v>35831.923272269065</v>
      </c>
      <c r="AG100" s="123"/>
      <c r="AH100" s="137">
        <f t="shared" si="34"/>
        <v>0.68340600258153694</v>
      </c>
      <c r="AI100" s="144">
        <v>-241578.79892222624</v>
      </c>
      <c r="AJ100" s="139">
        <v>36135.900554976593</v>
      </c>
      <c r="AK100" s="123"/>
      <c r="AL100" s="137">
        <f t="shared" si="22"/>
        <v>2065.92</v>
      </c>
      <c r="AM100" s="144">
        <v>-240000.25589049357</v>
      </c>
      <c r="AN100" s="139">
        <v>36056.185420295515</v>
      </c>
      <c r="AO100" s="123"/>
      <c r="AP100" s="137">
        <f t="shared" si="23"/>
        <v>1194.6666666666667</v>
      </c>
      <c r="AQ100" s="144">
        <v>-240764.42240781337</v>
      </c>
      <c r="AR100" s="139">
        <v>36155.118649467477</v>
      </c>
      <c r="AS100" s="123"/>
      <c r="AT100" s="137">
        <f t="shared" si="24"/>
        <v>20397.073432137095</v>
      </c>
      <c r="AU100" s="144">
        <v>-239458.35412975543</v>
      </c>
      <c r="AV100" s="139">
        <v>35986.027817379552</v>
      </c>
      <c r="AW100" s="123"/>
      <c r="AX100" s="137">
        <f t="shared" si="25"/>
        <v>1957.5069333333336</v>
      </c>
      <c r="AY100" s="144">
        <v>-240575.33126526521</v>
      </c>
      <c r="AZ100" s="139">
        <v>36130.637862994758</v>
      </c>
    </row>
    <row r="101" spans="1:52" x14ac:dyDescent="0.3">
      <c r="A101" s="108"/>
      <c r="B101" s="137">
        <f t="shared" si="26"/>
        <v>0.75199999999999978</v>
      </c>
      <c r="C101" s="144">
        <v>-247314.61489777165</v>
      </c>
      <c r="D101" s="139">
        <v>35841.779299983456</v>
      </c>
      <c r="E101" s="123"/>
      <c r="F101" s="137">
        <f t="shared" si="27"/>
        <v>0.97372320000000023</v>
      </c>
      <c r="G101" s="144">
        <v>-272839.85756843095</v>
      </c>
      <c r="H101" s="139">
        <v>35345.051638891564</v>
      </c>
      <c r="I101" s="123"/>
      <c r="J101" s="137">
        <f t="shared" si="28"/>
        <v>0.94949924127465857</v>
      </c>
      <c r="K101" s="144">
        <v>-242318.92013819329</v>
      </c>
      <c r="L101" s="139">
        <v>35820.772189126612</v>
      </c>
      <c r="M101" s="123"/>
      <c r="N101" s="137">
        <f t="shared" si="29"/>
        <v>0.72029161603888237</v>
      </c>
      <c r="O101" s="144">
        <v>-358542.12343655486</v>
      </c>
      <c r="P101" s="139">
        <v>24625.111049517229</v>
      </c>
      <c r="Q101" s="123"/>
      <c r="R101" s="137">
        <f t="shared" si="30"/>
        <v>0.72259194395796822</v>
      </c>
      <c r="S101" s="144">
        <v>-258449.66515931071</v>
      </c>
      <c r="T101" s="139">
        <v>33500.895408025281</v>
      </c>
      <c r="U101" s="123"/>
      <c r="V101" s="137">
        <f t="shared" si="31"/>
        <v>0.49016949152542366</v>
      </c>
      <c r="W101" s="144">
        <v>-224389.1586756653</v>
      </c>
      <c r="X101" s="139">
        <v>32071.727105073889</v>
      </c>
      <c r="Y101" s="123"/>
      <c r="Z101" s="137">
        <f t="shared" si="32"/>
        <v>0.24338461538461545</v>
      </c>
      <c r="AA101" s="144">
        <v>-207258.32503690539</v>
      </c>
      <c r="AB101" s="139">
        <v>30524.548153694624</v>
      </c>
      <c r="AC101" s="123"/>
      <c r="AD101" s="137">
        <f t="shared" si="33"/>
        <v>0.3108668341708542</v>
      </c>
      <c r="AE101" s="144">
        <v>-256728.54334057547</v>
      </c>
      <c r="AF101" s="139">
        <v>35864.574468477775</v>
      </c>
      <c r="AG101" s="123"/>
      <c r="AH101" s="137">
        <f t="shared" si="34"/>
        <v>0.69606976247827546</v>
      </c>
      <c r="AI101" s="144">
        <v>-241499.67823022447</v>
      </c>
      <c r="AJ101" s="139">
        <v>36138.154022914423</v>
      </c>
      <c r="AK101" s="123"/>
      <c r="AL101" s="137">
        <f t="shared" si="22"/>
        <v>2169.2159999999999</v>
      </c>
      <c r="AM101" s="144">
        <v>-239899.62739850284</v>
      </c>
      <c r="AN101" s="139">
        <v>36043.157498456872</v>
      </c>
      <c r="AO101" s="123"/>
      <c r="AP101" s="137">
        <f t="shared" si="23"/>
        <v>1254.4000000000001</v>
      </c>
      <c r="AQ101" s="144">
        <v>-240766.98415894972</v>
      </c>
      <c r="AR101" s="139">
        <v>36155.450307956184</v>
      </c>
      <c r="AS101" s="123"/>
      <c r="AT101" s="137">
        <f t="shared" si="24"/>
        <v>21416.92710374395</v>
      </c>
      <c r="AU101" s="144">
        <v>-239591.52270869829</v>
      </c>
      <c r="AV101" s="139">
        <v>36003.268559077143</v>
      </c>
      <c r="AW101" s="123"/>
      <c r="AX101" s="137">
        <f t="shared" si="25"/>
        <v>2055.3822800000003</v>
      </c>
      <c r="AY101" s="144">
        <v>-240596.80213065681</v>
      </c>
      <c r="AZ101" s="139">
        <v>36133.417600130793</v>
      </c>
    </row>
    <row r="102" spans="1:52" x14ac:dyDescent="0.3">
      <c r="A102" s="108"/>
      <c r="B102" s="137">
        <f t="shared" si="26"/>
        <v>0.76233333333333309</v>
      </c>
      <c r="C102" s="144">
        <v>-246437.25487199932</v>
      </c>
      <c r="D102" s="139">
        <v>35883.198430639561</v>
      </c>
      <c r="E102" s="123"/>
      <c r="F102" s="137">
        <f t="shared" si="27"/>
        <v>0.97481806666666693</v>
      </c>
      <c r="G102" s="144">
        <v>-268841.22369014856</v>
      </c>
      <c r="H102" s="139">
        <v>35435.425772503455</v>
      </c>
      <c r="I102" s="123"/>
      <c r="J102" s="137">
        <f t="shared" si="28"/>
        <v>0.95160343955488114</v>
      </c>
      <c r="K102" s="144">
        <v>-242146.7905089861</v>
      </c>
      <c r="L102" s="139">
        <v>35858.290305263065</v>
      </c>
      <c r="M102" s="123"/>
      <c r="N102" s="137">
        <f t="shared" si="29"/>
        <v>0.73194613203726233</v>
      </c>
      <c r="O102" s="144">
        <v>-334175.21116925153</v>
      </c>
      <c r="P102" s="139">
        <v>25906.591514499254</v>
      </c>
      <c r="Q102" s="123"/>
      <c r="R102" s="137">
        <f t="shared" si="30"/>
        <v>0.73415061295971951</v>
      </c>
      <c r="S102" s="144">
        <v>-256234.24466773801</v>
      </c>
      <c r="T102" s="139">
        <v>33796.177610950785</v>
      </c>
      <c r="U102" s="123"/>
      <c r="V102" s="137">
        <f t="shared" si="31"/>
        <v>0.51141242937853104</v>
      </c>
      <c r="W102" s="144">
        <v>-226309.97184696997</v>
      </c>
      <c r="X102" s="139">
        <v>32525.8057861052</v>
      </c>
      <c r="Y102" s="123"/>
      <c r="Z102" s="137">
        <f t="shared" si="32"/>
        <v>0.25497435897435905</v>
      </c>
      <c r="AA102" s="144">
        <v>-211123.66477579257</v>
      </c>
      <c r="AB102" s="139">
        <v>31150.535607101432</v>
      </c>
      <c r="AC102" s="123"/>
      <c r="AD102" s="137">
        <f t="shared" si="33"/>
        <v>0.32567001675041868</v>
      </c>
      <c r="AE102" s="144">
        <v>-254854.87964508147</v>
      </c>
      <c r="AF102" s="139">
        <v>35897.225664686397</v>
      </c>
      <c r="AG102" s="123"/>
      <c r="AH102" s="137">
        <f t="shared" si="34"/>
        <v>0.70873352237501397</v>
      </c>
      <c r="AI102" s="144">
        <v>-241420.61208639285</v>
      </c>
      <c r="AJ102" s="139">
        <v>36140.407490852369</v>
      </c>
      <c r="AK102" s="123"/>
      <c r="AL102" s="137">
        <f t="shared" si="22"/>
        <v>2272.5119999999997</v>
      </c>
      <c r="AM102" s="144">
        <v>-239798.99890651027</v>
      </c>
      <c r="AN102" s="139">
        <v>36030.129576617997</v>
      </c>
      <c r="AO102" s="123"/>
      <c r="AP102" s="137">
        <f t="shared" si="23"/>
        <v>1314.1333333333334</v>
      </c>
      <c r="AQ102" s="144">
        <v>-240769.54591008689</v>
      </c>
      <c r="AR102" s="139">
        <v>36155.781966444993</v>
      </c>
      <c r="AS102" s="123"/>
      <c r="AT102" s="137">
        <f t="shared" si="24"/>
        <v>22436.780775350806</v>
      </c>
      <c r="AU102" s="144">
        <v>-239724.69128764104</v>
      </c>
      <c r="AV102" s="139">
        <v>36020.50930077472</v>
      </c>
      <c r="AW102" s="123"/>
      <c r="AX102" s="137">
        <f t="shared" si="25"/>
        <v>2153.257626666667</v>
      </c>
      <c r="AY102" s="144">
        <v>-240618.27299604853</v>
      </c>
      <c r="AZ102" s="139">
        <v>36136.197337266844</v>
      </c>
    </row>
    <row r="103" spans="1:52" x14ac:dyDescent="0.3">
      <c r="A103" s="108"/>
      <c r="B103" s="137">
        <f t="shared" si="26"/>
        <v>0.77266666666666639</v>
      </c>
      <c r="C103" s="144">
        <v>-245567.26937010678</v>
      </c>
      <c r="D103" s="139">
        <v>35924.61756129589</v>
      </c>
      <c r="E103" s="123"/>
      <c r="F103" s="137">
        <f t="shared" si="27"/>
        <v>0.97591293333333362</v>
      </c>
      <c r="G103" s="144">
        <v>-264963.57690676796</v>
      </c>
      <c r="H103" s="139">
        <v>35525.799906115353</v>
      </c>
      <c r="I103" s="123"/>
      <c r="J103" s="137">
        <f t="shared" si="28"/>
        <v>0.95370763783510371</v>
      </c>
      <c r="K103" s="144">
        <v>-241975.23092377721</v>
      </c>
      <c r="L103" s="139">
        <v>35895.808421399466</v>
      </c>
      <c r="M103" s="123"/>
      <c r="N103" s="137">
        <f t="shared" si="29"/>
        <v>0.7436006480356423</v>
      </c>
      <c r="O103" s="144">
        <v>-314550.61735135288</v>
      </c>
      <c r="P103" s="139">
        <v>27188.071979481283</v>
      </c>
      <c r="Q103" s="123"/>
      <c r="R103" s="137">
        <f t="shared" si="30"/>
        <v>0.74570928196147079</v>
      </c>
      <c r="S103" s="144">
        <v>-254089.17010797211</v>
      </c>
      <c r="T103" s="139">
        <v>34091.459813876412</v>
      </c>
      <c r="U103" s="123"/>
      <c r="V103" s="137">
        <f t="shared" si="31"/>
        <v>0.53265536723163842</v>
      </c>
      <c r="W103" s="144">
        <v>-228205.00508811395</v>
      </c>
      <c r="X103" s="139">
        <v>32979.884467136493</v>
      </c>
      <c r="Y103" s="123"/>
      <c r="Z103" s="137">
        <f t="shared" si="32"/>
        <v>0.26656410256410262</v>
      </c>
      <c r="AA103" s="144">
        <v>-214952.96733230076</v>
      </c>
      <c r="AB103" s="139">
        <v>31776.523060508123</v>
      </c>
      <c r="AC103" s="123"/>
      <c r="AD103" s="137">
        <f t="shared" si="33"/>
        <v>0.34047319932998316</v>
      </c>
      <c r="AE103" s="144">
        <v>-253008.18958337026</v>
      </c>
      <c r="AF103" s="139">
        <v>35929.87686089499</v>
      </c>
      <c r="AG103" s="123"/>
      <c r="AH103" s="137">
        <f t="shared" si="34"/>
        <v>0.72139728227175248</v>
      </c>
      <c r="AI103" s="144">
        <v>-241341.60043433894</v>
      </c>
      <c r="AJ103" s="139">
        <v>36142.660958790213</v>
      </c>
      <c r="AK103" s="123"/>
      <c r="AL103" s="137">
        <f t="shared" si="22"/>
        <v>2375.8079999999995</v>
      </c>
      <c r="AM103" s="144">
        <v>-239698.37041451895</v>
      </c>
      <c r="AN103" s="139">
        <v>36017.101654779282</v>
      </c>
      <c r="AO103" s="123"/>
      <c r="AP103" s="137">
        <f t="shared" si="23"/>
        <v>1373.8666666666668</v>
      </c>
      <c r="AQ103" s="144">
        <v>-240772.10766122403</v>
      </c>
      <c r="AR103" s="139">
        <v>36156.113624933801</v>
      </c>
      <c r="AS103" s="123"/>
      <c r="AT103" s="137">
        <f t="shared" si="24"/>
        <v>23456.634446957662</v>
      </c>
      <c r="AU103" s="144">
        <v>-239857.85986658334</v>
      </c>
      <c r="AV103" s="139">
        <v>36037.750042472238</v>
      </c>
      <c r="AW103" s="123"/>
      <c r="AX103" s="137">
        <f t="shared" si="25"/>
        <v>2251.1329733333337</v>
      </c>
      <c r="AY103" s="144">
        <v>-240639.74386144028</v>
      </c>
      <c r="AZ103" s="139">
        <v>36138.977074402894</v>
      </c>
    </row>
    <row r="104" spans="1:52" x14ac:dyDescent="0.3">
      <c r="A104" s="108"/>
      <c r="B104" s="137">
        <f t="shared" si="26"/>
        <v>0.7829999999999997</v>
      </c>
      <c r="C104" s="144">
        <v>-244704.56580296269</v>
      </c>
      <c r="D104" s="139">
        <v>35966.036691952046</v>
      </c>
      <c r="E104" s="123"/>
      <c r="F104" s="137">
        <f t="shared" si="27"/>
        <v>0.97700780000000031</v>
      </c>
      <c r="G104" s="144">
        <v>-261201.50797305247</v>
      </c>
      <c r="H104" s="139">
        <v>35616.174039727193</v>
      </c>
      <c r="I104" s="123"/>
      <c r="J104" s="137">
        <f t="shared" si="28"/>
        <v>0.95581183611532627</v>
      </c>
      <c r="K104" s="144">
        <v>-241804.23855551585</v>
      </c>
      <c r="L104" s="139">
        <v>35933.326537536021</v>
      </c>
      <c r="M104" s="123"/>
      <c r="N104" s="137">
        <f t="shared" si="29"/>
        <v>0.75525516403402226</v>
      </c>
      <c r="O104" s="144">
        <v>-298406.68119242211</v>
      </c>
      <c r="P104" s="139">
        <v>28469.552444463265</v>
      </c>
      <c r="Q104" s="123"/>
      <c r="R104" s="137">
        <f t="shared" si="30"/>
        <v>0.75726795096322208</v>
      </c>
      <c r="S104" s="144">
        <v>-252011.14331651974</v>
      </c>
      <c r="T104" s="139">
        <v>34386.742016801938</v>
      </c>
      <c r="U104" s="123"/>
      <c r="V104" s="137">
        <f t="shared" si="31"/>
        <v>0.5538983050847458</v>
      </c>
      <c r="W104" s="144">
        <v>-230074.77394214179</v>
      </c>
      <c r="X104" s="139">
        <v>33433.963148167692</v>
      </c>
      <c r="Y104" s="123"/>
      <c r="Z104" s="137">
        <f t="shared" si="32"/>
        <v>0.2781538461538462</v>
      </c>
      <c r="AA104" s="144">
        <v>-218746.73433867711</v>
      </c>
      <c r="AB104" s="139">
        <v>32402.510513914811</v>
      </c>
      <c r="AC104" s="123"/>
      <c r="AD104" s="137">
        <f t="shared" si="33"/>
        <v>0.35527638190954763</v>
      </c>
      <c r="AE104" s="144">
        <v>-251187.89484154992</v>
      </c>
      <c r="AF104" s="139">
        <v>35962.528057103576</v>
      </c>
      <c r="AG104" s="123"/>
      <c r="AH104" s="137">
        <f t="shared" si="34"/>
        <v>0.734061042168491</v>
      </c>
      <c r="AI104" s="144">
        <v>-241262.6432177519</v>
      </c>
      <c r="AJ104" s="139">
        <v>36144.914426728115</v>
      </c>
      <c r="AK104" s="123"/>
      <c r="AL104" s="137">
        <f t="shared" si="22"/>
        <v>2479.1039999999994</v>
      </c>
      <c r="AM104" s="144">
        <v>-239597.74192252744</v>
      </c>
      <c r="AN104" s="139">
        <v>36004.073732940538</v>
      </c>
      <c r="AO104" s="123"/>
      <c r="AP104" s="137">
        <f t="shared" si="23"/>
        <v>1433.6000000000001</v>
      </c>
      <c r="AQ104" s="144">
        <v>-240774.66941236085</v>
      </c>
      <c r="AR104" s="139">
        <v>36156.445283422567</v>
      </c>
      <c r="AS104" s="123"/>
      <c r="AT104" s="137">
        <f t="shared" si="24"/>
        <v>24476.488118564517</v>
      </c>
      <c r="AU104" s="144">
        <v>-239991.02844552597</v>
      </c>
      <c r="AV104" s="139">
        <v>36054.9907841698</v>
      </c>
      <c r="AW104" s="123"/>
      <c r="AX104" s="137">
        <f t="shared" si="25"/>
        <v>2349.0083200000004</v>
      </c>
      <c r="AY104" s="144">
        <v>-240661.21472683232</v>
      </c>
      <c r="AZ104" s="139">
        <v>36141.756811538988</v>
      </c>
    </row>
    <row r="105" spans="1:52" x14ac:dyDescent="0.3">
      <c r="A105" s="108"/>
      <c r="B105" s="137">
        <f t="shared" si="26"/>
        <v>0.793333333333333</v>
      </c>
      <c r="C105" s="144">
        <v>-243849.05312495187</v>
      </c>
      <c r="D105" s="139">
        <v>36007.45582260831</v>
      </c>
      <c r="E105" s="123"/>
      <c r="F105" s="137">
        <f t="shared" si="27"/>
        <v>0.97810266666666701</v>
      </c>
      <c r="G105" s="144">
        <v>-257549.92536661818</v>
      </c>
      <c r="H105" s="139">
        <v>35706.548173339143</v>
      </c>
      <c r="I105" s="123"/>
      <c r="J105" s="137">
        <f t="shared" si="28"/>
        <v>0.95791603439554884</v>
      </c>
      <c r="K105" s="144">
        <v>-241633.81059580622</v>
      </c>
      <c r="L105" s="139">
        <v>35970.844653672713</v>
      </c>
      <c r="M105" s="123"/>
      <c r="N105" s="137">
        <f t="shared" si="29"/>
        <v>0.76690968003240223</v>
      </c>
      <c r="O105" s="144">
        <v>-284892.82780818298</v>
      </c>
      <c r="P105" s="139">
        <v>29751.032909445268</v>
      </c>
      <c r="Q105" s="123"/>
      <c r="R105" s="137">
        <f t="shared" si="30"/>
        <v>0.76882661996497337</v>
      </c>
      <c r="S105" s="144">
        <v>-249997.06913609171</v>
      </c>
      <c r="T105" s="139">
        <v>34682.024219727478</v>
      </c>
      <c r="U105" s="123"/>
      <c r="V105" s="137">
        <f t="shared" si="31"/>
        <v>0.57514124293785318</v>
      </c>
      <c r="W105" s="144">
        <v>-231919.78029678384</v>
      </c>
      <c r="X105" s="139">
        <v>33888.041829198963</v>
      </c>
      <c r="Y105" s="123"/>
      <c r="Z105" s="137">
        <f t="shared" si="32"/>
        <v>0.28974358974358977</v>
      </c>
      <c r="AA105" s="144">
        <v>-222505.45815997268</v>
      </c>
      <c r="AB105" s="139">
        <v>33028.497967321571</v>
      </c>
      <c r="AC105" s="123"/>
      <c r="AD105" s="137">
        <f t="shared" si="33"/>
        <v>0.37007956448911211</v>
      </c>
      <c r="AE105" s="144">
        <v>-249393.43352044313</v>
      </c>
      <c r="AF105" s="139">
        <v>35995.179253312257</v>
      </c>
      <c r="AG105" s="123"/>
      <c r="AH105" s="137">
        <f t="shared" si="34"/>
        <v>0.74672480206522951</v>
      </c>
      <c r="AI105" s="144">
        <v>-241183.7403803927</v>
      </c>
      <c r="AJ105" s="139">
        <v>36147.167894665872</v>
      </c>
      <c r="AK105" s="123"/>
      <c r="AL105" s="137">
        <f t="shared" si="22"/>
        <v>2582.3999999999992</v>
      </c>
      <c r="AM105" s="144">
        <v>-239497.11343053589</v>
      </c>
      <c r="AN105" s="139">
        <v>35991.045811101794</v>
      </c>
      <c r="AO105" s="123"/>
      <c r="AP105" s="137">
        <f t="shared" si="23"/>
        <v>1493.3333333333335</v>
      </c>
      <c r="AQ105" s="144">
        <v>-240777.23116349764</v>
      </c>
      <c r="AR105" s="139">
        <v>36156.776941911332</v>
      </c>
      <c r="AS105" s="123"/>
      <c r="AT105" s="137">
        <f t="shared" si="24"/>
        <v>25496.341790171373</v>
      </c>
      <c r="AU105" s="144">
        <v>-240124.19702446871</v>
      </c>
      <c r="AV105" s="139">
        <v>36072.231525867377</v>
      </c>
      <c r="AW105" s="123"/>
      <c r="AX105" s="137">
        <f t="shared" si="25"/>
        <v>2446.8836666666671</v>
      </c>
      <c r="AY105" s="144">
        <v>-240682.68559222406</v>
      </c>
      <c r="AZ105" s="139">
        <v>36144.536548675038</v>
      </c>
    </row>
    <row r="106" spans="1:52" x14ac:dyDescent="0.3">
      <c r="A106" s="108"/>
      <c r="B106" s="137">
        <f t="shared" si="26"/>
        <v>0.80366666666666631</v>
      </c>
      <c r="C106" s="144">
        <v>-243000.6418019415</v>
      </c>
      <c r="D106" s="139">
        <v>36048.874953264538</v>
      </c>
      <c r="E106" s="123"/>
      <c r="F106" s="137">
        <f t="shared" si="27"/>
        <v>0.9791975333333337</v>
      </c>
      <c r="G106" s="144">
        <v>-254004.0322979152</v>
      </c>
      <c r="H106" s="139">
        <v>35796.922306951019</v>
      </c>
      <c r="I106" s="123"/>
      <c r="J106" s="137">
        <f t="shared" si="28"/>
        <v>0.96002023267577141</v>
      </c>
      <c r="K106" s="144">
        <v>-241463.94425478007</v>
      </c>
      <c r="L106" s="139">
        <v>36008.362769809071</v>
      </c>
      <c r="M106" s="123"/>
      <c r="N106" s="137">
        <f t="shared" si="29"/>
        <v>0.7785641960307822</v>
      </c>
      <c r="O106" s="144">
        <v>-273414.74959527707</v>
      </c>
      <c r="P106" s="139">
        <v>31032.513374427293</v>
      </c>
      <c r="Q106" s="123"/>
      <c r="R106" s="137">
        <f t="shared" si="30"/>
        <v>0.78038528896672466</v>
      </c>
      <c r="S106" s="144">
        <v>-248044.04003318975</v>
      </c>
      <c r="T106" s="139">
        <v>34977.306422653048</v>
      </c>
      <c r="U106" s="123"/>
      <c r="V106" s="137">
        <f t="shared" si="31"/>
        <v>0.59638418079096056</v>
      </c>
      <c r="W106" s="144">
        <v>-233740.51283361253</v>
      </c>
      <c r="X106" s="139">
        <v>34342.120510230103</v>
      </c>
      <c r="Y106" s="123"/>
      <c r="Z106" s="137">
        <f t="shared" si="32"/>
        <v>0.30133333333333334</v>
      </c>
      <c r="AA106" s="144">
        <v>-226229.62210706528</v>
      </c>
      <c r="AB106" s="139">
        <v>33654.485420728299</v>
      </c>
      <c r="AC106" s="123"/>
      <c r="AD106" s="137">
        <f t="shared" si="33"/>
        <v>0.38488274706867659</v>
      </c>
      <c r="AE106" s="144">
        <v>-247624.25955732746</v>
      </c>
      <c r="AF106" s="139">
        <v>36027.830449520887</v>
      </c>
      <c r="AG106" s="123"/>
      <c r="AH106" s="137">
        <f t="shared" si="34"/>
        <v>0.75938856196196802</v>
      </c>
      <c r="AI106" s="144">
        <v>-241104.89186610197</v>
      </c>
      <c r="AJ106" s="139">
        <v>36149.421362603753</v>
      </c>
      <c r="AK106" s="123"/>
      <c r="AL106" s="137">
        <f t="shared" si="22"/>
        <v>2685.695999999999</v>
      </c>
      <c r="AM106" s="144">
        <v>-239396.48493854413</v>
      </c>
      <c r="AN106" s="139">
        <v>35978.017889263021</v>
      </c>
      <c r="AO106" s="123"/>
      <c r="AP106" s="137">
        <f t="shared" si="23"/>
        <v>1553.0666666666668</v>
      </c>
      <c r="AQ106" s="144">
        <v>-240779.79291463466</v>
      </c>
      <c r="AR106" s="139">
        <v>36157.108600400126</v>
      </c>
      <c r="AS106" s="123"/>
      <c r="AT106" s="137">
        <f t="shared" si="24"/>
        <v>26516.195461778228</v>
      </c>
      <c r="AU106" s="144">
        <v>-240257.36560341125</v>
      </c>
      <c r="AV106" s="139">
        <v>36089.472267564925</v>
      </c>
      <c r="AW106" s="123"/>
      <c r="AX106" s="137">
        <f t="shared" si="25"/>
        <v>2544.7590133333338</v>
      </c>
      <c r="AY106" s="144">
        <v>-240704.15645761523</v>
      </c>
      <c r="AZ106" s="139">
        <v>36147.316285811015</v>
      </c>
    </row>
    <row r="107" spans="1:52" x14ac:dyDescent="0.3">
      <c r="A107" s="108"/>
      <c r="B107" s="137">
        <f t="shared" si="26"/>
        <v>0.81399999999999961</v>
      </c>
      <c r="C107" s="144">
        <v>-242159.24378004257</v>
      </c>
      <c r="D107" s="139">
        <v>36090.294083920911</v>
      </c>
      <c r="E107" s="123"/>
      <c r="F107" s="137">
        <f t="shared" si="27"/>
        <v>0.9802924000000004</v>
      </c>
      <c r="G107" s="144">
        <v>-250559.30568796632</v>
      </c>
      <c r="H107" s="139">
        <v>35887.296440562925</v>
      </c>
      <c r="I107" s="123"/>
      <c r="J107" s="137">
        <f t="shared" si="28"/>
        <v>0.96212443095599398</v>
      </c>
      <c r="K107" s="144">
        <v>-241294.63676090719</v>
      </c>
      <c r="L107" s="139">
        <v>36045.880885945575</v>
      </c>
      <c r="M107" s="123"/>
      <c r="N107" s="137">
        <f t="shared" si="29"/>
        <v>0.79021871202916216</v>
      </c>
      <c r="O107" s="144">
        <v>-263544.65398327558</v>
      </c>
      <c r="P107" s="139">
        <v>32313.993839409304</v>
      </c>
      <c r="Q107" s="123"/>
      <c r="R107" s="137">
        <f t="shared" si="30"/>
        <v>0.79194395796847594</v>
      </c>
      <c r="S107" s="144">
        <v>-246149.32209350253</v>
      </c>
      <c r="T107" s="139">
        <v>35272.588625578574</v>
      </c>
      <c r="U107" s="123"/>
      <c r="V107" s="137">
        <f t="shared" si="31"/>
        <v>0.61762711864406794</v>
      </c>
      <c r="W107" s="144">
        <v>-235537.4474595504</v>
      </c>
      <c r="X107" s="139">
        <v>34796.199191261505</v>
      </c>
      <c r="Y107" s="123"/>
      <c r="Z107" s="137">
        <f t="shared" si="32"/>
        <v>0.31292307692307691</v>
      </c>
      <c r="AA107" s="144">
        <v>-229919.70064382206</v>
      </c>
      <c r="AB107" s="139">
        <v>34280.47287413507</v>
      </c>
      <c r="AC107" s="123"/>
      <c r="AD107" s="137">
        <f t="shared" si="33"/>
        <v>0.39968592964824107</v>
      </c>
      <c r="AE107" s="144">
        <v>-245879.84217191694</v>
      </c>
      <c r="AF107" s="139">
        <v>36060.481645729436</v>
      </c>
      <c r="AG107" s="123"/>
      <c r="AH107" s="137">
        <f t="shared" si="34"/>
        <v>0.77205232185870654</v>
      </c>
      <c r="AI107" s="144">
        <v>-241026.09761880312</v>
      </c>
      <c r="AJ107" s="139">
        <v>36151.674830541677</v>
      </c>
      <c r="AK107" s="123"/>
      <c r="AL107" s="137">
        <f t="shared" si="22"/>
        <v>2788.9919999999988</v>
      </c>
      <c r="AM107" s="144">
        <v>-239295.85644655325</v>
      </c>
      <c r="AN107" s="139">
        <v>35964.989967424364</v>
      </c>
      <c r="AO107" s="123"/>
      <c r="AP107" s="137">
        <f t="shared" si="23"/>
        <v>1612.8000000000002</v>
      </c>
      <c r="AQ107" s="144">
        <v>-240782.35466577136</v>
      </c>
      <c r="AR107" s="139">
        <v>36157.440258888877</v>
      </c>
      <c r="AS107" s="123"/>
      <c r="AT107" s="137">
        <f t="shared" si="24"/>
        <v>27536.049133385084</v>
      </c>
      <c r="AU107" s="144">
        <v>-240390.53418235443</v>
      </c>
      <c r="AV107" s="139">
        <v>36106.713009262559</v>
      </c>
      <c r="AW107" s="123"/>
      <c r="AX107" s="137">
        <f t="shared" si="25"/>
        <v>2642.6343600000005</v>
      </c>
      <c r="AY107" s="144">
        <v>-240725.62732300727</v>
      </c>
      <c r="AZ107" s="139">
        <v>36150.096022947109</v>
      </c>
    </row>
    <row r="108" spans="1:52" x14ac:dyDescent="0.3">
      <c r="A108" s="108"/>
      <c r="B108" s="137">
        <f t="shared" si="26"/>
        <v>0.82433333333333292</v>
      </c>
      <c r="C108" s="144">
        <v>-241324.77245516525</v>
      </c>
      <c r="D108" s="139">
        <v>36131.713214576965</v>
      </c>
      <c r="E108" s="123"/>
      <c r="F108" s="137">
        <f t="shared" si="27"/>
        <v>0.98138726666666709</v>
      </c>
      <c r="G108" s="144">
        <v>-247211.47692013503</v>
      </c>
      <c r="H108" s="139">
        <v>35977.670574174816</v>
      </c>
      <c r="I108" s="123"/>
      <c r="J108" s="137">
        <f t="shared" si="28"/>
        <v>0.96422862923621655</v>
      </c>
      <c r="K108" s="144">
        <v>-241125.88536087205</v>
      </c>
      <c r="L108" s="139">
        <v>36083.39900208226</v>
      </c>
      <c r="M108" s="123"/>
      <c r="N108" s="137">
        <f t="shared" si="29"/>
        <v>0.80187322802754213</v>
      </c>
      <c r="O108" s="144">
        <v>-254966.76258784343</v>
      </c>
      <c r="P108" s="139">
        <v>33595.474304391289</v>
      </c>
      <c r="Q108" s="123"/>
      <c r="R108" s="137">
        <f t="shared" si="30"/>
        <v>0.80350262697022723</v>
      </c>
      <c r="S108" s="144">
        <v>-244310.34225323881</v>
      </c>
      <c r="T108" s="139">
        <v>35567.870828504165</v>
      </c>
      <c r="U108" s="123"/>
      <c r="V108" s="137">
        <f t="shared" si="31"/>
        <v>0.63887005649717532</v>
      </c>
      <c r="W108" s="144">
        <v>-237311.04772161526</v>
      </c>
      <c r="X108" s="139">
        <v>35250.277872292696</v>
      </c>
      <c r="Y108" s="123"/>
      <c r="Z108" s="137">
        <f t="shared" si="32"/>
        <v>0.32451282051282049</v>
      </c>
      <c r="AA108" s="144">
        <v>-233576.15958861934</v>
      </c>
      <c r="AB108" s="139">
        <v>34906.460327541819</v>
      </c>
      <c r="AC108" s="123"/>
      <c r="AD108" s="137">
        <f t="shared" si="33"/>
        <v>0.41448911222780555</v>
      </c>
      <c r="AE108" s="144">
        <v>-244159.6653354447</v>
      </c>
      <c r="AF108" s="139">
        <v>36093.132841938015</v>
      </c>
      <c r="AG108" s="123"/>
      <c r="AH108" s="137">
        <f t="shared" si="34"/>
        <v>0.78471608175544505</v>
      </c>
      <c r="AI108" s="144">
        <v>-240947.35758248749</v>
      </c>
      <c r="AJ108" s="139">
        <v>36153.928298479557</v>
      </c>
      <c r="AK108" s="123"/>
      <c r="AL108" s="137">
        <f t="shared" si="22"/>
        <v>2892.2879999999986</v>
      </c>
      <c r="AM108" s="144">
        <v>-239195.22795456197</v>
      </c>
      <c r="AN108" s="139">
        <v>35951.962045585649</v>
      </c>
      <c r="AO108" s="123"/>
      <c r="AP108" s="137">
        <f t="shared" si="23"/>
        <v>1672.5333333333335</v>
      </c>
      <c r="AQ108" s="144">
        <v>-240784.91641690873</v>
      </c>
      <c r="AR108" s="139">
        <v>36157.771917377715</v>
      </c>
      <c r="AS108" s="123"/>
      <c r="AT108" s="137">
        <f t="shared" si="24"/>
        <v>28555.90280499194</v>
      </c>
      <c r="AU108" s="144">
        <v>-240523.70276129642</v>
      </c>
      <c r="AV108" s="139">
        <v>36123.953750960034</v>
      </c>
      <c r="AW108" s="123"/>
      <c r="AX108" s="137">
        <f t="shared" si="25"/>
        <v>2740.5097066666672</v>
      </c>
      <c r="AY108" s="144">
        <v>-240747.09818839902</v>
      </c>
      <c r="AZ108" s="139">
        <v>36152.87576008316</v>
      </c>
    </row>
    <row r="109" spans="1:52" x14ac:dyDescent="0.3">
      <c r="A109" s="108"/>
      <c r="B109" s="137">
        <f t="shared" si="26"/>
        <v>0.83466666666666622</v>
      </c>
      <c r="C109" s="144">
        <v>-240497.14264327002</v>
      </c>
      <c r="D109" s="139">
        <v>36173.132345233178</v>
      </c>
      <c r="E109" s="123"/>
      <c r="F109" s="137">
        <f t="shared" si="27"/>
        <v>0.98248213333333378</v>
      </c>
      <c r="G109" s="144">
        <v>-243956.51419367659</v>
      </c>
      <c r="H109" s="139">
        <v>36068.044707786699</v>
      </c>
      <c r="I109" s="123"/>
      <c r="J109" s="137">
        <f t="shared" si="28"/>
        <v>0.96633282751643912</v>
      </c>
      <c r="K109" s="144">
        <v>-240957.68731941513</v>
      </c>
      <c r="L109" s="139">
        <v>36120.917118218698</v>
      </c>
      <c r="M109" s="123"/>
      <c r="N109" s="137">
        <f t="shared" si="29"/>
        <v>0.81352774402592209</v>
      </c>
      <c r="O109" s="144">
        <v>-247442.90114936762</v>
      </c>
      <c r="P109" s="139">
        <v>34876.954769373311</v>
      </c>
      <c r="Q109" s="123"/>
      <c r="R109" s="137">
        <f t="shared" si="30"/>
        <v>0.81506129597197852</v>
      </c>
      <c r="S109" s="144">
        <v>-242524.6766410144</v>
      </c>
      <c r="T109" s="139">
        <v>35863.153031429647</v>
      </c>
      <c r="U109" s="123"/>
      <c r="V109" s="137">
        <f t="shared" si="31"/>
        <v>0.6601129943502827</v>
      </c>
      <c r="W109" s="144">
        <v>-239061.76520554785</v>
      </c>
      <c r="X109" s="139">
        <v>35704.356553323945</v>
      </c>
      <c r="Y109" s="123"/>
      <c r="Z109" s="137">
        <f t="shared" si="32"/>
        <v>0.33610256410256406</v>
      </c>
      <c r="AA109" s="144">
        <v>-237199.45631035697</v>
      </c>
      <c r="AB109" s="139">
        <v>35532.447780948482</v>
      </c>
      <c r="AC109" s="123"/>
      <c r="AD109" s="137">
        <f t="shared" si="33"/>
        <v>0.42929229480737002</v>
      </c>
      <c r="AE109" s="144">
        <v>-242463.22726173262</v>
      </c>
      <c r="AF109" s="139">
        <v>36125.784038146638</v>
      </c>
      <c r="AG109" s="123"/>
      <c r="AH109" s="137">
        <f t="shared" si="34"/>
        <v>0.79737984165218356</v>
      </c>
      <c r="AI109" s="144">
        <v>-240868.67170123188</v>
      </c>
      <c r="AJ109" s="139">
        <v>36156.181766417394</v>
      </c>
      <c r="AK109" s="123"/>
      <c r="AL109" s="137">
        <f t="shared" si="22"/>
        <v>2995.5839999999985</v>
      </c>
      <c r="AM109" s="144">
        <v>-239094.59946256928</v>
      </c>
      <c r="AN109" s="139">
        <v>35938.93412374676</v>
      </c>
      <c r="AO109" s="123"/>
      <c r="AP109" s="137">
        <f t="shared" si="23"/>
        <v>1732.2666666666669</v>
      </c>
      <c r="AQ109" s="144">
        <v>-240787.4781680452</v>
      </c>
      <c r="AR109" s="139">
        <v>36158.103575866437</v>
      </c>
      <c r="AS109" s="123"/>
      <c r="AT109" s="137">
        <f t="shared" si="24"/>
        <v>29575.756476598795</v>
      </c>
      <c r="AU109" s="144">
        <v>-240656.87134023928</v>
      </c>
      <c r="AV109" s="139">
        <v>36141.194492657625</v>
      </c>
      <c r="AW109" s="123"/>
      <c r="AX109" s="137">
        <f t="shared" si="25"/>
        <v>2838.3850533333339</v>
      </c>
      <c r="AY109" s="144">
        <v>-240768.5690537903</v>
      </c>
      <c r="AZ109" s="139">
        <v>36155.655497219152</v>
      </c>
    </row>
    <row r="110" spans="1:52" x14ac:dyDescent="0.3">
      <c r="A110" s="108"/>
      <c r="B110" s="137">
        <f t="shared" si="26"/>
        <v>0.84499999999999953</v>
      </c>
      <c r="C110" s="144">
        <v>-239676.27055141321</v>
      </c>
      <c r="D110" s="139">
        <v>36214.551475889602</v>
      </c>
      <c r="E110" s="123"/>
      <c r="F110" s="137">
        <f t="shared" si="27"/>
        <v>0.98357700000000048</v>
      </c>
      <c r="G110" s="144">
        <v>-240790.60632569605</v>
      </c>
      <c r="H110" s="139">
        <v>36158.418841398598</v>
      </c>
      <c r="I110" s="123"/>
      <c r="J110" s="137">
        <f t="shared" si="28"/>
        <v>0.96843702579666169</v>
      </c>
      <c r="K110" s="144">
        <v>-240790.03991918225</v>
      </c>
      <c r="L110" s="139">
        <v>36158.435234355231</v>
      </c>
      <c r="M110" s="123"/>
      <c r="N110" s="137">
        <f t="shared" si="29"/>
        <v>0.82518226002430206</v>
      </c>
      <c r="O110" s="144">
        <v>-240790.03991918196</v>
      </c>
      <c r="P110" s="139">
        <v>36158.435234355326</v>
      </c>
      <c r="Q110" s="123"/>
      <c r="R110" s="137">
        <f t="shared" si="30"/>
        <v>0.8266199649737298</v>
      </c>
      <c r="S110" s="144">
        <v>-240790.03991918266</v>
      </c>
      <c r="T110" s="139">
        <v>36158.435234355224</v>
      </c>
      <c r="U110" s="123"/>
      <c r="V110" s="137">
        <f t="shared" si="31"/>
        <v>0.68135593220339008</v>
      </c>
      <c r="W110" s="144">
        <v>-240790.03991918213</v>
      </c>
      <c r="X110" s="139">
        <v>36158.435234355216</v>
      </c>
      <c r="Y110" s="123"/>
      <c r="Z110" s="137">
        <f t="shared" si="32"/>
        <v>0.34769230769230763</v>
      </c>
      <c r="AA110" s="144">
        <v>-240790.03991918234</v>
      </c>
      <c r="AB110" s="139">
        <v>36158.435234355245</v>
      </c>
      <c r="AC110" s="123"/>
      <c r="AD110" s="137">
        <f t="shared" si="33"/>
        <v>0.4440954773869345</v>
      </c>
      <c r="AE110" s="144">
        <v>-240790.03991918254</v>
      </c>
      <c r="AF110" s="139">
        <v>36158.435234355209</v>
      </c>
      <c r="AG110" s="123"/>
      <c r="AH110" s="137">
        <f t="shared" si="34"/>
        <v>0.81004360154892208</v>
      </c>
      <c r="AI110" s="144">
        <v>-240790.03991918181</v>
      </c>
      <c r="AJ110" s="139">
        <v>36158.435234355245</v>
      </c>
      <c r="AK110" s="123"/>
      <c r="AL110" s="137">
        <f t="shared" si="22"/>
        <v>3098.8799999999983</v>
      </c>
      <c r="AM110" s="144">
        <v>-238993.97097057832</v>
      </c>
      <c r="AN110" s="139">
        <v>35925.906201908088</v>
      </c>
      <c r="AO110" s="123"/>
      <c r="AP110" s="137">
        <f t="shared" si="23"/>
        <v>1792.0000000000002</v>
      </c>
      <c r="AQ110" s="144">
        <v>-240790.03991918225</v>
      </c>
      <c r="AR110" s="139">
        <v>36158.435234355231</v>
      </c>
      <c r="AS110" s="123"/>
      <c r="AT110" s="137">
        <f t="shared" si="24"/>
        <v>30595.610148205651</v>
      </c>
      <c r="AU110" s="144">
        <v>-240790.03991918225</v>
      </c>
      <c r="AV110" s="139">
        <v>36158.435234355231</v>
      </c>
      <c r="AW110" s="123"/>
      <c r="AX110" s="137">
        <f t="shared" si="25"/>
        <v>2936.2604000000006</v>
      </c>
      <c r="AY110" s="144">
        <v>-240790.03991918225</v>
      </c>
      <c r="AZ110" s="139">
        <v>36158.435234355231</v>
      </c>
    </row>
    <row r="111" spans="1:52" x14ac:dyDescent="0.3">
      <c r="A111" s="108"/>
      <c r="B111" s="137">
        <f t="shared" si="26"/>
        <v>0.85533333333333283</v>
      </c>
      <c r="C111" s="144">
        <v>-238862.07374943999</v>
      </c>
      <c r="D111" s="139">
        <v>36255.970606545779</v>
      </c>
      <c r="E111" s="123"/>
      <c r="F111" s="137">
        <f t="shared" si="27"/>
        <v>0.98467186666666717</v>
      </c>
      <c r="G111" s="144">
        <v>-237710.14786469628</v>
      </c>
      <c r="H111" s="139">
        <v>36248.792975010445</v>
      </c>
      <c r="I111" s="123"/>
      <c r="J111" s="137">
        <f t="shared" si="28"/>
        <v>0.97054122407688426</v>
      </c>
      <c r="K111" s="144">
        <v>-240622.9404605889</v>
      </c>
      <c r="L111" s="139">
        <v>36195.953350491756</v>
      </c>
      <c r="M111" s="123"/>
      <c r="N111" s="137">
        <f t="shared" si="29"/>
        <v>0.83683677602268203</v>
      </c>
      <c r="O111" s="144">
        <v>-234865.20737398439</v>
      </c>
      <c r="P111" s="139">
        <v>37439.915699337347</v>
      </c>
      <c r="Q111" s="123"/>
      <c r="R111" s="137">
        <f t="shared" si="30"/>
        <v>0.83817863397548109</v>
      </c>
      <c r="S111" s="144">
        <v>-239104.27552607449</v>
      </c>
      <c r="T111" s="139">
        <v>36453.717437280749</v>
      </c>
      <c r="U111" s="123"/>
      <c r="V111" s="137">
        <f t="shared" si="31"/>
        <v>0.70259887005649746</v>
      </c>
      <c r="W111" s="144">
        <v>-242496.30066111116</v>
      </c>
      <c r="X111" s="139">
        <v>36612.513915386538</v>
      </c>
      <c r="Y111" s="123"/>
      <c r="Z111" s="137">
        <f t="shared" si="32"/>
        <v>0.35928205128205121</v>
      </c>
      <c r="AA111" s="144">
        <v>-244348.35145205882</v>
      </c>
      <c r="AB111" s="139">
        <v>36784.422687762009</v>
      </c>
      <c r="AC111" s="123"/>
      <c r="AD111" s="137">
        <f t="shared" si="33"/>
        <v>0.45889865996649898</v>
      </c>
      <c r="AE111" s="144">
        <v>-239139.62856269276</v>
      </c>
      <c r="AF111" s="139">
        <v>36191.086430563853</v>
      </c>
      <c r="AG111" s="123"/>
      <c r="AH111" s="137">
        <f t="shared" si="34"/>
        <v>0.82270736144566059</v>
      </c>
      <c r="AI111" s="144">
        <v>-240711.4621805663</v>
      </c>
      <c r="AJ111" s="139">
        <v>36160.688702293104</v>
      </c>
      <c r="AK111" s="123"/>
      <c r="AL111" s="137">
        <f t="shared" si="22"/>
        <v>3202.1759999999981</v>
      </c>
      <c r="AM111" s="144">
        <v>-238893.34247858633</v>
      </c>
      <c r="AN111" s="139">
        <v>35912.878280069286</v>
      </c>
      <c r="AO111" s="123"/>
      <c r="AP111" s="137">
        <f t="shared" si="23"/>
        <v>1851.7333333333336</v>
      </c>
      <c r="AQ111" s="144">
        <v>-240792.60167031939</v>
      </c>
      <c r="AR111" s="139">
        <v>36158.76689284404</v>
      </c>
      <c r="AS111" s="123"/>
      <c r="AT111" s="137">
        <f t="shared" si="24"/>
        <v>31615.463819812507</v>
      </c>
      <c r="AU111" s="144">
        <v>-240923.20849812488</v>
      </c>
      <c r="AV111" s="139">
        <v>36175.675976052793</v>
      </c>
      <c r="AW111" s="123"/>
      <c r="AX111" s="137">
        <f t="shared" si="25"/>
        <v>3034.1357466666673</v>
      </c>
      <c r="AY111" s="144">
        <v>-240811.51078457397</v>
      </c>
      <c r="AZ111" s="139">
        <v>36161.214971491281</v>
      </c>
    </row>
    <row r="112" spans="1:52" x14ac:dyDescent="0.3">
      <c r="A112" s="108"/>
      <c r="B112" s="137">
        <f t="shared" si="26"/>
        <v>0.86566666666666614</v>
      </c>
      <c r="C112" s="144">
        <v>-238054.47114241016</v>
      </c>
      <c r="D112" s="139">
        <v>36297.389737202022</v>
      </c>
      <c r="E112" s="123"/>
      <c r="F112" s="137">
        <f t="shared" si="27"/>
        <v>0.98576673333333387</v>
      </c>
      <c r="G112" s="144">
        <v>-234711.72539343845</v>
      </c>
      <c r="H112" s="139">
        <v>36339.167108622452</v>
      </c>
      <c r="I112" s="123"/>
      <c r="J112" s="137">
        <f t="shared" si="28"/>
        <v>0.97264542235710683</v>
      </c>
      <c r="K112" s="144">
        <v>-240456.38626166253</v>
      </c>
      <c r="L112" s="139">
        <v>36233.471466628398</v>
      </c>
      <c r="M112" s="123"/>
      <c r="N112" s="137">
        <f t="shared" si="29"/>
        <v>0.84849129202106199</v>
      </c>
      <c r="O112" s="144">
        <v>-229555.09971623498</v>
      </c>
      <c r="P112" s="139">
        <v>38721.396164319362</v>
      </c>
      <c r="Q112" s="123"/>
      <c r="R112" s="137">
        <f t="shared" si="30"/>
        <v>0.84973730297723238</v>
      </c>
      <c r="S112" s="144">
        <v>-237465.34673155015</v>
      </c>
      <c r="T112" s="139">
        <v>36748.999640206326</v>
      </c>
      <c r="U112" s="123"/>
      <c r="V112" s="137">
        <f t="shared" si="31"/>
        <v>0.72384180790960484</v>
      </c>
      <c r="W112" s="144">
        <v>-244180.96537537692</v>
      </c>
      <c r="X112" s="139">
        <v>37066.5925964177</v>
      </c>
      <c r="Y112" s="123"/>
      <c r="Z112" s="137">
        <f t="shared" si="32"/>
        <v>0.37087179487179478</v>
      </c>
      <c r="AA112" s="144">
        <v>-247874.82405336312</v>
      </c>
      <c r="AB112" s="139">
        <v>37410.41014116873</v>
      </c>
      <c r="AC112" s="123"/>
      <c r="AD112" s="137">
        <f t="shared" si="33"/>
        <v>0.47370184254606346</v>
      </c>
      <c r="AE112" s="144">
        <v>-237511.53128456473</v>
      </c>
      <c r="AF112" s="139">
        <v>36223.737626772556</v>
      </c>
      <c r="AG112" s="123"/>
      <c r="AH112" s="137">
        <f t="shared" si="34"/>
        <v>0.8353711213423991</v>
      </c>
      <c r="AI112" s="144">
        <v>-240632.9384296909</v>
      </c>
      <c r="AJ112" s="139">
        <v>36162.94217023097</v>
      </c>
      <c r="AK112" s="123"/>
      <c r="AL112" s="137">
        <f t="shared" si="22"/>
        <v>3305.4719999999979</v>
      </c>
      <c r="AM112" s="144">
        <v>-238792.7139865949</v>
      </c>
      <c r="AN112" s="139">
        <v>35899.850358230557</v>
      </c>
      <c r="AO112" s="123"/>
      <c r="AP112" s="137">
        <f t="shared" si="23"/>
        <v>1911.4666666666669</v>
      </c>
      <c r="AQ112" s="144">
        <v>-240795.16342145629</v>
      </c>
      <c r="AR112" s="139">
        <v>36159.09855133282</v>
      </c>
      <c r="AS112" s="123"/>
      <c r="AT112" s="137">
        <f t="shared" si="24"/>
        <v>32635.317491419362</v>
      </c>
      <c r="AU112" s="144">
        <v>-241056.37707706683</v>
      </c>
      <c r="AV112" s="139">
        <v>36192.916717750268</v>
      </c>
      <c r="AW112" s="123"/>
      <c r="AX112" s="137">
        <f t="shared" si="25"/>
        <v>3132.011093333334</v>
      </c>
      <c r="AY112" s="144">
        <v>-240832.98164996546</v>
      </c>
      <c r="AZ112" s="139">
        <v>36163.994708627302</v>
      </c>
    </row>
    <row r="113" spans="1:60" x14ac:dyDescent="0.3">
      <c r="A113" s="108"/>
      <c r="B113" s="137">
        <f t="shared" si="26"/>
        <v>0.87599999999999945</v>
      </c>
      <c r="C113" s="144">
        <v>-237253.38294365464</v>
      </c>
      <c r="D113" s="139">
        <v>36338.80886785825</v>
      </c>
      <c r="E113" s="123"/>
      <c r="F113" s="137">
        <f t="shared" si="27"/>
        <v>0.98686160000000056</v>
      </c>
      <c r="G113" s="144">
        <v>-231792.10491174163</v>
      </c>
      <c r="H113" s="139">
        <v>36429.541242234263</v>
      </c>
      <c r="I113" s="123"/>
      <c r="J113" s="137">
        <f t="shared" si="28"/>
        <v>0.97474962063732939</v>
      </c>
      <c r="K113" s="144">
        <v>-240290.37465791107</v>
      </c>
      <c r="L113" s="139">
        <v>36270.989582764858</v>
      </c>
      <c r="M113" s="123"/>
      <c r="N113" s="137">
        <f t="shared" si="29"/>
        <v>0.86014580801944196</v>
      </c>
      <c r="O113" s="144">
        <v>-224768.76503703499</v>
      </c>
      <c r="P113" s="139">
        <v>40002.876629301376</v>
      </c>
      <c r="Q113" s="123"/>
      <c r="R113" s="137">
        <f t="shared" si="30"/>
        <v>0.86129597197898367</v>
      </c>
      <c r="S113" s="144">
        <v>-235871.32842782265</v>
      </c>
      <c r="T113" s="139">
        <v>37044.281843131903</v>
      </c>
      <c r="U113" s="123"/>
      <c r="V113" s="137">
        <f t="shared" si="31"/>
        <v>0.74508474576271222</v>
      </c>
      <c r="W113" s="144">
        <v>-245844.44149277828</v>
      </c>
      <c r="X113" s="139">
        <v>37520.671277448979</v>
      </c>
      <c r="Y113" s="123"/>
      <c r="Z113" s="137">
        <f t="shared" si="32"/>
        <v>0.38246153846153835</v>
      </c>
      <c r="AA113" s="144">
        <v>-251369.88315064897</v>
      </c>
      <c r="AB113" s="139">
        <v>38036.39759457545</v>
      </c>
      <c r="AC113" s="123"/>
      <c r="AD113" s="137">
        <f t="shared" si="33"/>
        <v>0.48850502512562793</v>
      </c>
      <c r="AE113" s="144">
        <v>-235905.2985835108</v>
      </c>
      <c r="AF113" s="139">
        <v>36256.388822981149</v>
      </c>
      <c r="AG113" s="123"/>
      <c r="AH113" s="137">
        <f t="shared" si="34"/>
        <v>0.84803488123913762</v>
      </c>
      <c r="AI113" s="144">
        <v>-240554.46861093189</v>
      </c>
      <c r="AJ113" s="139">
        <v>36165.195638168821</v>
      </c>
      <c r="AK113" s="123"/>
      <c r="AL113" s="137">
        <f t="shared" si="22"/>
        <v>3408.7679999999978</v>
      </c>
      <c r="AM113" s="144">
        <v>-238692.0854946037</v>
      </c>
      <c r="AN113" s="139">
        <v>35886.822436391856</v>
      </c>
      <c r="AO113" s="123"/>
      <c r="AP113" s="137">
        <f t="shared" si="23"/>
        <v>1971.2000000000003</v>
      </c>
      <c r="AQ113" s="144">
        <v>-240797.72517259311</v>
      </c>
      <c r="AR113" s="139">
        <v>36159.430209821585</v>
      </c>
      <c r="AS113" s="123"/>
      <c r="AT113" s="137">
        <f t="shared" si="24"/>
        <v>33655.171163026214</v>
      </c>
      <c r="AU113" s="144">
        <v>-241189.54565600969</v>
      </c>
      <c r="AV113" s="139">
        <v>36210.157459447859</v>
      </c>
      <c r="AW113" s="123"/>
      <c r="AX113" s="137">
        <f t="shared" si="25"/>
        <v>3229.8864400000007</v>
      </c>
      <c r="AY113" s="144">
        <v>-240854.45251535709</v>
      </c>
      <c r="AZ113" s="139">
        <v>36166.774445763338</v>
      </c>
    </row>
    <row r="114" spans="1:60" x14ac:dyDescent="0.3">
      <c r="A114" s="108"/>
      <c r="B114" s="137">
        <f t="shared" si="26"/>
        <v>0.88633333333333275</v>
      </c>
      <c r="C114" s="144">
        <v>-236458.730648517</v>
      </c>
      <c r="D114" s="139">
        <v>36380.227998514572</v>
      </c>
      <c r="E114" s="123"/>
      <c r="F114" s="137">
        <f t="shared" si="27"/>
        <v>0.98795646666666725</v>
      </c>
      <c r="G114" s="144">
        <v>-228948.22020116681</v>
      </c>
      <c r="H114" s="139">
        <v>36519.915375846205</v>
      </c>
      <c r="I114" s="123"/>
      <c r="J114" s="137">
        <f t="shared" si="28"/>
        <v>0.97685381891755196</v>
      </c>
      <c r="K114" s="144">
        <v>-240124.90300217146</v>
      </c>
      <c r="L114" s="139">
        <v>36308.507698901376</v>
      </c>
      <c r="M114" s="123"/>
      <c r="N114" s="137">
        <f t="shared" si="29"/>
        <v>0.87180032401782193</v>
      </c>
      <c r="O114" s="144">
        <v>-220432.3505668499</v>
      </c>
      <c r="P114" s="139">
        <v>41284.357094283383</v>
      </c>
      <c r="Q114" s="123"/>
      <c r="R114" s="137">
        <f t="shared" si="30"/>
        <v>0.87285464098073495</v>
      </c>
      <c r="S114" s="144">
        <v>-234320.39958604111</v>
      </c>
      <c r="T114" s="139">
        <v>37339.564046057465</v>
      </c>
      <c r="U114" s="123"/>
      <c r="V114" s="137">
        <f t="shared" si="31"/>
        <v>0.7663276836158196</v>
      </c>
      <c r="W114" s="144">
        <v>-247487.1262593657</v>
      </c>
      <c r="X114" s="139">
        <v>37974.749958480286</v>
      </c>
      <c r="Y114" s="123"/>
      <c r="Z114" s="137">
        <f t="shared" si="32"/>
        <v>0.39405128205128193</v>
      </c>
      <c r="AA114" s="144">
        <v>-254833.9466257341</v>
      </c>
      <c r="AB114" s="139">
        <v>38662.385047982178</v>
      </c>
      <c r="AC114" s="123"/>
      <c r="AD114" s="137">
        <f t="shared" si="33"/>
        <v>0.50330820770519247</v>
      </c>
      <c r="AE114" s="144">
        <v>-234320.49295089193</v>
      </c>
      <c r="AF114" s="139">
        <v>36289.040019189713</v>
      </c>
      <c r="AG114" s="123"/>
      <c r="AH114" s="137">
        <f t="shared" si="34"/>
        <v>0.86069864113587613</v>
      </c>
      <c r="AI114" s="144">
        <v>-240476.05266874423</v>
      </c>
      <c r="AJ114" s="139">
        <v>36167.44910610676</v>
      </c>
      <c r="AK114" s="123"/>
      <c r="AL114" s="137">
        <f t="shared" si="22"/>
        <v>3512.0639999999976</v>
      </c>
      <c r="AM114" s="144">
        <v>-238591.45700261171</v>
      </c>
      <c r="AN114" s="139">
        <v>35873.794514553054</v>
      </c>
      <c r="AO114" s="123"/>
      <c r="AP114" s="137">
        <f t="shared" si="23"/>
        <v>2030.9333333333336</v>
      </c>
      <c r="AQ114" s="144">
        <v>-240800.28692373002</v>
      </c>
      <c r="AR114" s="139">
        <v>36159.761868310365</v>
      </c>
      <c r="AS114" s="123"/>
      <c r="AT114" s="137">
        <f t="shared" si="24"/>
        <v>34675.02483463307</v>
      </c>
      <c r="AU114" s="144">
        <v>-241322.71423495244</v>
      </c>
      <c r="AV114" s="139">
        <v>36227.398201145435</v>
      </c>
      <c r="AW114" s="123"/>
      <c r="AX114" s="137">
        <f t="shared" si="25"/>
        <v>3327.7617866666674</v>
      </c>
      <c r="AY114" s="144">
        <v>-240875.92338074857</v>
      </c>
      <c r="AZ114" s="139">
        <v>36169.554182899359</v>
      </c>
    </row>
    <row r="115" spans="1:60" x14ac:dyDescent="0.3">
      <c r="A115" s="108"/>
      <c r="B115" s="137">
        <f t="shared" si="26"/>
        <v>0.89666666666666606</v>
      </c>
      <c r="C115" s="144">
        <v>-235670.43700869908</v>
      </c>
      <c r="D115" s="139">
        <v>36421.6471291708</v>
      </c>
      <c r="E115" s="123"/>
      <c r="F115" s="137">
        <f t="shared" si="27"/>
        <v>0.98905133333333395</v>
      </c>
      <c r="G115" s="144">
        <v>-226177.16208355778</v>
      </c>
      <c r="H115" s="139">
        <v>36610.289509458082</v>
      </c>
      <c r="I115" s="123"/>
      <c r="J115" s="137">
        <f t="shared" si="28"/>
        <v>0.97895801719777453</v>
      </c>
      <c r="K115" s="144">
        <v>-239959.96866446821</v>
      </c>
      <c r="L115" s="139">
        <v>36346.025815037974</v>
      </c>
      <c r="M115" s="123"/>
      <c r="N115" s="137">
        <f t="shared" si="29"/>
        <v>0.88345484001620189</v>
      </c>
      <c r="O115" s="144">
        <v>-216485.26472110435</v>
      </c>
      <c r="P115" s="139">
        <v>42565.837559265376</v>
      </c>
      <c r="Q115" s="123"/>
      <c r="R115" s="137">
        <f t="shared" si="30"/>
        <v>0.88441330998248624</v>
      </c>
      <c r="S115" s="144">
        <v>-232810.83631642786</v>
      </c>
      <c r="T115" s="139">
        <v>37634.846248982984</v>
      </c>
      <c r="U115" s="123"/>
      <c r="V115" s="137">
        <f t="shared" si="31"/>
        <v>0.78757062146892698</v>
      </c>
      <c r="W115" s="144">
        <v>-249109.40705272357</v>
      </c>
      <c r="X115" s="139">
        <v>38428.828639511506</v>
      </c>
      <c r="Y115" s="123"/>
      <c r="Z115" s="137">
        <f t="shared" si="32"/>
        <v>0.4056410256410255</v>
      </c>
      <c r="AA115" s="144">
        <v>-258267.42498126056</v>
      </c>
      <c r="AB115" s="139">
        <v>39288.372501388876</v>
      </c>
      <c r="AC115" s="123"/>
      <c r="AD115" s="137">
        <f t="shared" si="33"/>
        <v>0.51811139028475695</v>
      </c>
      <c r="AE115" s="144">
        <v>-232756.68847341469</v>
      </c>
      <c r="AF115" s="139">
        <v>36321.691215398292</v>
      </c>
      <c r="AG115" s="123"/>
      <c r="AH115" s="137">
        <f t="shared" si="34"/>
        <v>0.87336240103261464</v>
      </c>
      <c r="AI115" s="144">
        <v>-240397.69054766564</v>
      </c>
      <c r="AJ115" s="139">
        <v>36169.702574044597</v>
      </c>
      <c r="AK115" s="123"/>
      <c r="AL115" s="137">
        <f t="shared" si="22"/>
        <v>3615.3599999999974</v>
      </c>
      <c r="AM115" s="144">
        <v>-238490.82851062008</v>
      </c>
      <c r="AN115" s="139">
        <v>35860.766592714295</v>
      </c>
      <c r="AO115" s="123"/>
      <c r="AP115" s="137">
        <f t="shared" si="23"/>
        <v>2090.666666666667</v>
      </c>
      <c r="AQ115" s="144">
        <v>-240802.84867486707</v>
      </c>
      <c r="AR115" s="139">
        <v>36160.093526799159</v>
      </c>
      <c r="AS115" s="123"/>
      <c r="AT115" s="137">
        <f t="shared" si="24"/>
        <v>35694.878506239926</v>
      </c>
      <c r="AU115" s="144">
        <v>-241455.88281389486</v>
      </c>
      <c r="AV115" s="139">
        <v>36244.638942842968</v>
      </c>
      <c r="AW115" s="123"/>
      <c r="AX115" s="137">
        <f t="shared" si="25"/>
        <v>3425.6371333333341</v>
      </c>
      <c r="AY115" s="144">
        <v>-240897.39424614076</v>
      </c>
      <c r="AZ115" s="139">
        <v>36172.333920035468</v>
      </c>
    </row>
    <row r="116" spans="1:60" x14ac:dyDescent="0.3">
      <c r="A116" s="108"/>
      <c r="B116" s="137">
        <f t="shared" si="26"/>
        <v>0.90699999999999936</v>
      </c>
      <c r="C116" s="144">
        <v>-234888.42600722698</v>
      </c>
      <c r="D116" s="139">
        <v>36463.066259827006</v>
      </c>
      <c r="E116" s="123"/>
      <c r="F116" s="137">
        <f t="shared" si="27"/>
        <v>0.99014620000000064</v>
      </c>
      <c r="G116" s="144">
        <v>-223476.16849438849</v>
      </c>
      <c r="H116" s="139">
        <v>36700.663643069973</v>
      </c>
      <c r="I116" s="123"/>
      <c r="J116" s="137">
        <f t="shared" si="28"/>
        <v>0.9810622154779971</v>
      </c>
      <c r="K116" s="144">
        <v>-239795.56903188626</v>
      </c>
      <c r="L116" s="139">
        <v>36383.543931174405</v>
      </c>
      <c r="M116" s="123"/>
      <c r="N116" s="137">
        <f t="shared" si="29"/>
        <v>0.89510935601458186</v>
      </c>
      <c r="O116" s="144">
        <v>-212877.32846349519</v>
      </c>
      <c r="P116" s="139">
        <v>43847.31802424739</v>
      </c>
      <c r="Q116" s="123"/>
      <c r="R116" s="137">
        <f t="shared" si="30"/>
        <v>0.89597197898423753</v>
      </c>
      <c r="S116" s="144">
        <v>-231341.00547642124</v>
      </c>
      <c r="T116" s="139">
        <v>37930.128451908582</v>
      </c>
      <c r="U116" s="123"/>
      <c r="V116" s="137">
        <f t="shared" si="31"/>
        <v>0.80881355932203436</v>
      </c>
      <c r="W116" s="144">
        <v>-250711.66168650493</v>
      </c>
      <c r="X116" s="139">
        <v>38882.907320542879</v>
      </c>
      <c r="Y116" s="123"/>
      <c r="Z116" s="137">
        <f t="shared" si="32"/>
        <v>0.41723076923076907</v>
      </c>
      <c r="AA116" s="144">
        <v>-261670.7215028677</v>
      </c>
      <c r="AB116" s="139">
        <v>39914.359954795626</v>
      </c>
      <c r="AC116" s="123"/>
      <c r="AD116" s="137">
        <f t="shared" si="33"/>
        <v>0.53291457286432142</v>
      </c>
      <c r="AE116" s="144">
        <v>-231213.47045152396</v>
      </c>
      <c r="AF116" s="139">
        <v>36354.342411606965</v>
      </c>
      <c r="AG116" s="123"/>
      <c r="AH116" s="137">
        <f t="shared" si="34"/>
        <v>0.88602616092935316</v>
      </c>
      <c r="AI116" s="144">
        <v>-240319.38219229947</v>
      </c>
      <c r="AJ116" s="139">
        <v>36171.95604198247</v>
      </c>
      <c r="AK116" s="123"/>
      <c r="AL116" s="137">
        <f t="shared" si="22"/>
        <v>3718.6559999999972</v>
      </c>
      <c r="AM116" s="144">
        <v>-238390.20001862888</v>
      </c>
      <c r="AN116" s="139">
        <v>35847.738670875595</v>
      </c>
      <c r="AO116" s="123"/>
      <c r="AP116" s="137">
        <f t="shared" si="23"/>
        <v>2150.4</v>
      </c>
      <c r="AQ116" s="144">
        <v>-240805.41042600409</v>
      </c>
      <c r="AR116" s="139">
        <v>36160.425185287953</v>
      </c>
      <c r="AS116" s="123"/>
      <c r="AT116" s="137">
        <f t="shared" si="24"/>
        <v>36714.732177846781</v>
      </c>
      <c r="AU116" s="144">
        <v>-241589.05139283749</v>
      </c>
      <c r="AV116" s="139">
        <v>36261.87968454053</v>
      </c>
      <c r="AW116" s="123"/>
      <c r="AX116" s="137">
        <f t="shared" si="25"/>
        <v>3523.5124800000008</v>
      </c>
      <c r="AY116" s="144">
        <v>-240918.86511153192</v>
      </c>
      <c r="AZ116" s="139">
        <v>36175.113657171445</v>
      </c>
    </row>
    <row r="117" spans="1:60" x14ac:dyDescent="0.3">
      <c r="A117" s="108"/>
      <c r="B117" s="137">
        <f t="shared" si="26"/>
        <v>0.91733333333333267</v>
      </c>
      <c r="C117" s="144">
        <v>-234112.62283401063</v>
      </c>
      <c r="D117" s="139">
        <v>36504.485390483256</v>
      </c>
      <c r="E117" s="123"/>
      <c r="F117" s="137">
        <f t="shared" si="27"/>
        <v>0.99124106666666734</v>
      </c>
      <c r="G117" s="144">
        <v>-220842.61529963944</v>
      </c>
      <c r="H117" s="139">
        <v>36791.037776681878</v>
      </c>
      <c r="I117" s="123"/>
      <c r="J117" s="137">
        <f t="shared" si="28"/>
        <v>0.98316641375821967</v>
      </c>
      <c r="K117" s="144">
        <v>-239631.70150842078</v>
      </c>
      <c r="L117" s="139">
        <v>36421.062047310952</v>
      </c>
      <c r="M117" s="123"/>
      <c r="N117" s="137">
        <f t="shared" si="29"/>
        <v>0.90676387201296182</v>
      </c>
      <c r="O117" s="144">
        <v>-209566.63072099679</v>
      </c>
      <c r="P117" s="139">
        <v>45128.798489229404</v>
      </c>
      <c r="Q117" s="123"/>
      <c r="R117" s="137">
        <f t="shared" si="30"/>
        <v>0.90753064798598881</v>
      </c>
      <c r="S117" s="144">
        <v>-229909.35877695808</v>
      </c>
      <c r="T117" s="139">
        <v>38225.410654834071</v>
      </c>
      <c r="U117" s="123"/>
      <c r="V117" s="137">
        <f t="shared" si="31"/>
        <v>0.83005649717514174</v>
      </c>
      <c r="W117" s="144">
        <v>-252294.25870378147</v>
      </c>
      <c r="X117" s="139">
        <v>39336.986001574027</v>
      </c>
      <c r="Y117" s="123"/>
      <c r="Z117" s="137">
        <f t="shared" si="32"/>
        <v>0.42882051282051264</v>
      </c>
      <c r="AA117" s="144">
        <v>-265044.23241708492</v>
      </c>
      <c r="AB117" s="139">
        <v>40540.347408202419</v>
      </c>
      <c r="AC117" s="123"/>
      <c r="AD117" s="137">
        <f t="shared" si="33"/>
        <v>0.5477177554438859</v>
      </c>
      <c r="AE117" s="144">
        <v>-229690.43503276299</v>
      </c>
      <c r="AF117" s="139">
        <v>36386.993607815639</v>
      </c>
      <c r="AG117" s="123"/>
      <c r="AH117" s="137">
        <f t="shared" si="34"/>
        <v>0.89868992082609167</v>
      </c>
      <c r="AI117" s="144">
        <v>-240241.1275473334</v>
      </c>
      <c r="AJ117" s="139">
        <v>36174.209509920314</v>
      </c>
      <c r="AK117" s="123"/>
      <c r="AL117" s="137">
        <f t="shared" si="22"/>
        <v>3821.951999999997</v>
      </c>
      <c r="AM117" s="144">
        <v>-238289.57152663701</v>
      </c>
      <c r="AN117" s="139">
        <v>35834.710749036807</v>
      </c>
      <c r="AO117" s="123"/>
      <c r="AP117" s="137">
        <f t="shared" si="23"/>
        <v>2210.1333333333332</v>
      </c>
      <c r="AQ117" s="144">
        <v>-240807.97217714091</v>
      </c>
      <c r="AR117" s="139">
        <v>36160.756843776719</v>
      </c>
      <c r="AS117" s="123"/>
      <c r="AT117" s="137">
        <f t="shared" si="24"/>
        <v>37734.585849453637</v>
      </c>
      <c r="AU117" s="144">
        <v>-241722.21997178002</v>
      </c>
      <c r="AV117" s="139">
        <v>36279.120426238078</v>
      </c>
      <c r="AW117" s="123"/>
      <c r="AX117" s="137">
        <f t="shared" si="25"/>
        <v>3621.3878266666675</v>
      </c>
      <c r="AY117" s="144">
        <v>-240940.33597692376</v>
      </c>
      <c r="AZ117" s="139">
        <v>36177.89339430751</v>
      </c>
    </row>
    <row r="118" spans="1:60" x14ac:dyDescent="0.3">
      <c r="A118" s="108"/>
      <c r="B118" s="137">
        <f t="shared" si="26"/>
        <v>0.92766666666666597</v>
      </c>
      <c r="C118" s="144">
        <v>-233342.95386199901</v>
      </c>
      <c r="D118" s="139">
        <v>36545.904521139615</v>
      </c>
      <c r="E118" s="123"/>
      <c r="F118" s="137">
        <f t="shared" si="27"/>
        <v>0.99233593333333403</v>
      </c>
      <c r="G118" s="144">
        <v>-218274.00779210299</v>
      </c>
      <c r="H118" s="139">
        <v>36881.411910293777</v>
      </c>
      <c r="I118" s="123"/>
      <c r="J118" s="137">
        <f t="shared" si="28"/>
        <v>0.98527061203844224</v>
      </c>
      <c r="K118" s="144">
        <v>-239468.36351484328</v>
      </c>
      <c r="L118" s="139">
        <v>36458.580163447419</v>
      </c>
      <c r="M118" s="123"/>
      <c r="N118" s="137">
        <f t="shared" si="29"/>
        <v>0.91841838801134179</v>
      </c>
      <c r="O118" s="144">
        <v>-206517.89287154083</v>
      </c>
      <c r="P118" s="139">
        <v>46410.278954211441</v>
      </c>
      <c r="Q118" s="123"/>
      <c r="R118" s="137">
        <f t="shared" si="30"/>
        <v>0.9190893169877401</v>
      </c>
      <c r="S118" s="144">
        <v>-228514.42734220243</v>
      </c>
      <c r="T118" s="139">
        <v>38520.692857759677</v>
      </c>
      <c r="U118" s="123"/>
      <c r="V118" s="137">
        <f t="shared" si="31"/>
        <v>0.85129943502824912</v>
      </c>
      <c r="W118" s="144">
        <v>-253857.55765966058</v>
      </c>
      <c r="X118" s="139">
        <v>39791.064682605189</v>
      </c>
      <c r="Y118" s="123"/>
      <c r="Z118" s="137">
        <f t="shared" si="32"/>
        <v>0.44041025641025622</v>
      </c>
      <c r="AA118" s="144">
        <v>-268388.3470451255</v>
      </c>
      <c r="AB118" s="139">
        <v>41166.334861609212</v>
      </c>
      <c r="AC118" s="123"/>
      <c r="AD118" s="137">
        <f t="shared" si="33"/>
        <v>0.56252093802345038</v>
      </c>
      <c r="AE118" s="144">
        <v>-228187.18885941157</v>
      </c>
      <c r="AF118" s="139">
        <v>36419.644804024254</v>
      </c>
      <c r="AG118" s="123"/>
      <c r="AH118" s="137">
        <f t="shared" si="34"/>
        <v>0.91135368072283018</v>
      </c>
      <c r="AI118" s="144">
        <v>-240162.92655752591</v>
      </c>
      <c r="AJ118" s="139">
        <v>36176.46297785818</v>
      </c>
      <c r="AK118" s="123"/>
      <c r="AL118" s="137">
        <f t="shared" si="22"/>
        <v>3925.2479999999969</v>
      </c>
      <c r="AM118" s="144">
        <v>-238188.94303464558</v>
      </c>
      <c r="AN118" s="139">
        <v>35821.682827198078</v>
      </c>
      <c r="AO118" s="123"/>
      <c r="AP118" s="137">
        <f t="shared" si="23"/>
        <v>2269.8666666666663</v>
      </c>
      <c r="AQ118" s="144">
        <v>-240810.53392827749</v>
      </c>
      <c r="AR118" s="139">
        <v>36161.088502265455</v>
      </c>
      <c r="AS118" s="123"/>
      <c r="AT118" s="137">
        <f t="shared" si="24"/>
        <v>38754.439521060493</v>
      </c>
      <c r="AU118" s="144">
        <v>-241855.38855072288</v>
      </c>
      <c r="AV118" s="139">
        <v>36296.361167935669</v>
      </c>
      <c r="AW118" s="123"/>
      <c r="AX118" s="137">
        <f t="shared" si="25"/>
        <v>3719.2631733333342</v>
      </c>
      <c r="AY118" s="144">
        <v>-240961.80684231559</v>
      </c>
      <c r="AZ118" s="139">
        <v>36180.673131443575</v>
      </c>
    </row>
    <row r="119" spans="1:60" x14ac:dyDescent="0.3">
      <c r="A119" s="108"/>
      <c r="B119" s="137">
        <f t="shared" si="26"/>
        <v>0.93799999999999928</v>
      </c>
      <c r="C119" s="144">
        <v>-232579.34662387712</v>
      </c>
      <c r="D119" s="139">
        <v>36587.323651795705</v>
      </c>
      <c r="E119" s="123"/>
      <c r="F119" s="137">
        <f t="shared" si="27"/>
        <v>0.99343080000000072</v>
      </c>
      <c r="G119" s="144">
        <v>-215767.97280912494</v>
      </c>
      <c r="H119" s="139">
        <v>36971.786043905639</v>
      </c>
      <c r="I119" s="123"/>
      <c r="J119" s="137">
        <f t="shared" si="28"/>
        <v>0.98737481031866481</v>
      </c>
      <c r="K119" s="144">
        <v>-239305.55248857089</v>
      </c>
      <c r="L119" s="139">
        <v>36496.098279583995</v>
      </c>
      <c r="M119" s="123"/>
      <c r="N119" s="137">
        <f t="shared" si="29"/>
        <v>0.93007290400972176</v>
      </c>
      <c r="O119" s="144">
        <v>-203701.20668790629</v>
      </c>
      <c r="P119" s="139">
        <v>47691.759419193484</v>
      </c>
      <c r="Q119" s="123"/>
      <c r="R119" s="137">
        <f t="shared" si="30"/>
        <v>0.93064798598949139</v>
      </c>
      <c r="S119" s="144">
        <v>-227154.81668253199</v>
      </c>
      <c r="T119" s="139">
        <v>38815.975060685174</v>
      </c>
      <c r="U119" s="123"/>
      <c r="V119" s="137">
        <f t="shared" si="31"/>
        <v>0.8725423728813565</v>
      </c>
      <c r="W119" s="144">
        <v>-255401.90939361413</v>
      </c>
      <c r="X119" s="139">
        <v>40245.143363636525</v>
      </c>
      <c r="Y119" s="123"/>
      <c r="Z119" s="137">
        <f t="shared" si="32"/>
        <v>0.45199999999999979</v>
      </c>
      <c r="AA119" s="144">
        <v>-271703.4479526598</v>
      </c>
      <c r="AB119" s="139">
        <v>41792.322315015903</v>
      </c>
      <c r="AC119" s="123"/>
      <c r="AD119" s="137">
        <f t="shared" si="33"/>
        <v>0.57732412060301486</v>
      </c>
      <c r="AE119" s="144">
        <v>-226703.34872980826</v>
      </c>
      <c r="AF119" s="139">
        <v>36452.296000232833</v>
      </c>
      <c r="AG119" s="123"/>
      <c r="AH119" s="137">
        <f t="shared" si="34"/>
        <v>0.9240174406195687</v>
      </c>
      <c r="AI119" s="144">
        <v>-240084.77916771322</v>
      </c>
      <c r="AJ119" s="139">
        <v>36178.716445796097</v>
      </c>
      <c r="AK119" s="123"/>
      <c r="AL119" s="137">
        <f t="shared" si="22"/>
        <v>4028.5439999999967</v>
      </c>
      <c r="AM119" s="144">
        <v>-238088.31454265449</v>
      </c>
      <c r="AN119" s="139">
        <v>35808.654905359392</v>
      </c>
      <c r="AO119" s="123"/>
      <c r="AP119" s="137">
        <f t="shared" si="23"/>
        <v>2329.5999999999995</v>
      </c>
      <c r="AQ119" s="144">
        <v>-240813.09567941463</v>
      </c>
      <c r="AR119" s="139">
        <v>36161.420160754264</v>
      </c>
      <c r="AS119" s="123"/>
      <c r="AT119" s="137">
        <f t="shared" si="24"/>
        <v>39774.293192667348</v>
      </c>
      <c r="AU119" s="144">
        <v>-241988.55712966539</v>
      </c>
      <c r="AV119" s="139">
        <v>36313.601909633217</v>
      </c>
      <c r="AW119" s="123"/>
      <c r="AX119" s="137">
        <f t="shared" si="25"/>
        <v>3817.1385200000009</v>
      </c>
      <c r="AY119" s="144">
        <v>-240983.27770770754</v>
      </c>
      <c r="AZ119" s="139">
        <v>36183.452868579654</v>
      </c>
    </row>
    <row r="120" spans="1:60" x14ac:dyDescent="0.3">
      <c r="A120" s="108"/>
      <c r="B120" s="137">
        <f t="shared" si="26"/>
        <v>0.94833333333333258</v>
      </c>
      <c r="C120" s="144">
        <v>-231821.72978933129</v>
      </c>
      <c r="D120" s="139">
        <v>36628.742782451925</v>
      </c>
      <c r="E120" s="123"/>
      <c r="F120" s="137">
        <f t="shared" si="27"/>
        <v>0.99452566666666742</v>
      </c>
      <c r="G120" s="144">
        <v>-213322.25141946782</v>
      </c>
      <c r="H120" s="139">
        <v>37062.16017751753</v>
      </c>
      <c r="I120" s="123"/>
      <c r="J120" s="137">
        <f t="shared" si="28"/>
        <v>0.98947900859888738</v>
      </c>
      <c r="K120" s="144">
        <v>-239143.26588352342</v>
      </c>
      <c r="L120" s="139">
        <v>36533.616395720528</v>
      </c>
      <c r="M120" s="123"/>
      <c r="N120" s="137">
        <f t="shared" si="29"/>
        <v>0.94172742000810172</v>
      </c>
      <c r="O120" s="144">
        <v>-201091.04989686105</v>
      </c>
      <c r="P120" s="139">
        <v>48973.239884175469</v>
      </c>
      <c r="Q120" s="123"/>
      <c r="R120" s="137">
        <f t="shared" si="30"/>
        <v>0.94220665499124268</v>
      </c>
      <c r="S120" s="144">
        <v>-225829.20204461133</v>
      </c>
      <c r="T120" s="139">
        <v>39111.257263610765</v>
      </c>
      <c r="U120" s="123"/>
      <c r="V120" s="137">
        <f t="shared" si="31"/>
        <v>0.89378531073446388</v>
      </c>
      <c r="W120" s="144">
        <v>-256927.65629196443</v>
      </c>
      <c r="X120" s="139">
        <v>40699.222044667818</v>
      </c>
      <c r="Y120" s="123"/>
      <c r="Z120" s="137">
        <f t="shared" si="32"/>
        <v>0.46358974358974336</v>
      </c>
      <c r="AA120" s="144">
        <v>-274989.91109570424</v>
      </c>
      <c r="AB120" s="139">
        <v>42418.309768422601</v>
      </c>
      <c r="AC120" s="123"/>
      <c r="AD120" s="137">
        <f t="shared" si="33"/>
        <v>0.59212730318257933</v>
      </c>
      <c r="AE120" s="144">
        <v>-225238.54127265394</v>
      </c>
      <c r="AF120" s="139">
        <v>36484.947196441404</v>
      </c>
      <c r="AG120" s="123"/>
      <c r="AH120" s="137">
        <f t="shared" si="34"/>
        <v>0.93668120051630721</v>
      </c>
      <c r="AI120" s="144">
        <v>-240006.6853228093</v>
      </c>
      <c r="AJ120" s="139">
        <v>36180.969913733927</v>
      </c>
      <c r="AK120" s="123"/>
      <c r="AL120" s="137">
        <f t="shared" si="22"/>
        <v>4131.8399999999965</v>
      </c>
      <c r="AM120" s="144">
        <v>-237987.68605066239</v>
      </c>
      <c r="AN120" s="139">
        <v>35795.626983520575</v>
      </c>
      <c r="AO120" s="123"/>
      <c r="AP120" s="137">
        <f t="shared" si="23"/>
        <v>2389.3333333333326</v>
      </c>
      <c r="AQ120" s="144">
        <v>-240815.65743055142</v>
      </c>
      <c r="AR120" s="139">
        <v>36161.751819243029</v>
      </c>
      <c r="AS120" s="123"/>
      <c r="AT120" s="137">
        <f t="shared" si="24"/>
        <v>40794.146864274204</v>
      </c>
      <c r="AU120" s="144">
        <v>-242121.72570860837</v>
      </c>
      <c r="AV120" s="139">
        <v>36330.842651330822</v>
      </c>
      <c r="AW120" s="123"/>
      <c r="AX120" s="137">
        <f t="shared" si="25"/>
        <v>3915.0138666666676</v>
      </c>
      <c r="AY120" s="144">
        <v>-241004.74857309871</v>
      </c>
      <c r="AZ120" s="139">
        <v>36186.232605715632</v>
      </c>
    </row>
    <row r="121" spans="1:60" x14ac:dyDescent="0.3">
      <c r="A121" s="108"/>
      <c r="B121" s="137">
        <f t="shared" si="26"/>
        <v>0.95866666666666589</v>
      </c>
      <c r="C121" s="144">
        <v>-231070.03314281467</v>
      </c>
      <c r="D121" s="139">
        <v>36670.161913108124</v>
      </c>
      <c r="E121" s="123"/>
      <c r="F121" s="137">
        <f t="shared" si="27"/>
        <v>0.99562053333333411</v>
      </c>
      <c r="G121" s="144">
        <v>-210934.69213192913</v>
      </c>
      <c r="H121" s="139">
        <v>37152.534311129471</v>
      </c>
      <c r="I121" s="123"/>
      <c r="J121" s="137">
        <f t="shared" si="28"/>
        <v>0.99158320687910995</v>
      </c>
      <c r="K121" s="144">
        <v>-238981.50117000833</v>
      </c>
      <c r="L121" s="139">
        <v>36571.134511857053</v>
      </c>
      <c r="M121" s="123"/>
      <c r="N121" s="137">
        <f t="shared" si="29"/>
        <v>0.95338193600648169</v>
      </c>
      <c r="O121" s="144">
        <v>-198665.51062809132</v>
      </c>
      <c r="P121" s="139">
        <v>50254.720349157506</v>
      </c>
      <c r="Q121" s="123"/>
      <c r="R121" s="137">
        <f t="shared" si="30"/>
        <v>0.95376532399299396</v>
      </c>
      <c r="S121" s="144">
        <v>-224536.32410596084</v>
      </c>
      <c r="T121" s="139">
        <v>39406.539466536313</v>
      </c>
      <c r="U121" s="123"/>
      <c r="V121" s="137">
        <f t="shared" si="31"/>
        <v>0.91502824858757126</v>
      </c>
      <c r="W121" s="144">
        <v>-258435.13254097494</v>
      </c>
      <c r="X121" s="139">
        <v>41153.300725699133</v>
      </c>
      <c r="Y121" s="123"/>
      <c r="Z121" s="137">
        <f t="shared" si="32"/>
        <v>0.47517948717948694</v>
      </c>
      <c r="AA121" s="144">
        <v>-278248.10596276436</v>
      </c>
      <c r="AB121" s="139">
        <v>43044.297221829358</v>
      </c>
      <c r="AC121" s="123"/>
      <c r="AD121" s="137">
        <f t="shared" si="33"/>
        <v>0.60693048576214381</v>
      </c>
      <c r="AE121" s="144">
        <v>-223792.40263380844</v>
      </c>
      <c r="AF121" s="139">
        <v>36517.598392650056</v>
      </c>
      <c r="AG121" s="123"/>
      <c r="AH121" s="137">
        <f t="shared" si="34"/>
        <v>0.94934496041304572</v>
      </c>
      <c r="AI121" s="144">
        <v>-239928.64496779806</v>
      </c>
      <c r="AJ121" s="139">
        <v>36183.223381671756</v>
      </c>
      <c r="AK121" s="123"/>
      <c r="AL121" s="137">
        <f t="shared" si="22"/>
        <v>4235.1359999999968</v>
      </c>
      <c r="AM121" s="144">
        <v>-237887.05755867096</v>
      </c>
      <c r="AN121" s="139">
        <v>35782.599061681845</v>
      </c>
      <c r="AO121" s="123"/>
      <c r="AP121" s="137">
        <f t="shared" si="23"/>
        <v>2449.0666666666657</v>
      </c>
      <c r="AQ121" s="144">
        <v>-240818.21918168847</v>
      </c>
      <c r="AR121" s="139">
        <v>36162.083477731823</v>
      </c>
      <c r="AS121" s="123"/>
      <c r="AT121" s="137">
        <f t="shared" si="24"/>
        <v>41814.000535881059</v>
      </c>
      <c r="AU121" s="144">
        <v>-242254.89428755033</v>
      </c>
      <c r="AV121" s="139">
        <v>36348.083393028297</v>
      </c>
      <c r="AW121" s="123"/>
      <c r="AX121" s="137">
        <f t="shared" si="25"/>
        <v>4012.8892133333343</v>
      </c>
      <c r="AY121" s="144">
        <v>-241026.21943849066</v>
      </c>
      <c r="AZ121" s="139">
        <v>36189.012342851711</v>
      </c>
    </row>
    <row r="122" spans="1:60" x14ac:dyDescent="0.3">
      <c r="A122" s="108"/>
      <c r="B122" s="137">
        <f t="shared" si="26"/>
        <v>0.9689999999999992</v>
      </c>
      <c r="C122" s="144">
        <v>-230324.18756188379</v>
      </c>
      <c r="D122" s="139">
        <v>36711.58104376441</v>
      </c>
      <c r="E122" s="123"/>
      <c r="F122" s="137">
        <f t="shared" si="27"/>
        <v>0.99671540000000081</v>
      </c>
      <c r="G122" s="144">
        <v>-208603.24458276949</v>
      </c>
      <c r="H122" s="139">
        <v>37242.908444741384</v>
      </c>
      <c r="I122" s="123"/>
      <c r="J122" s="137">
        <f t="shared" si="28"/>
        <v>0.99368740515933252</v>
      </c>
      <c r="K122" s="144">
        <v>-238820.25583456267</v>
      </c>
      <c r="L122" s="139">
        <v>36608.65262799363</v>
      </c>
      <c r="M122" s="123"/>
      <c r="N122" s="137">
        <f t="shared" si="29"/>
        <v>0.96503645200486166</v>
      </c>
      <c r="O122" s="144">
        <v>-196405.67080722685</v>
      </c>
      <c r="P122" s="139">
        <v>51536.20081413944</v>
      </c>
      <c r="Q122" s="123"/>
      <c r="R122" s="137">
        <f t="shared" si="30"/>
        <v>0.96532399299474525</v>
      </c>
      <c r="S122" s="144">
        <v>-223274.98498461704</v>
      </c>
      <c r="T122" s="139">
        <v>39701.821669461882</v>
      </c>
      <c r="U122" s="123"/>
      <c r="V122" s="137">
        <f t="shared" si="31"/>
        <v>0.93627118644067864</v>
      </c>
      <c r="W122" s="144">
        <v>-259924.66437084237</v>
      </c>
      <c r="X122" s="139">
        <v>41607.379406730281</v>
      </c>
      <c r="Y122" s="123"/>
      <c r="Z122" s="137">
        <f t="shared" si="32"/>
        <v>0.48676923076923051</v>
      </c>
      <c r="AA122" s="144">
        <v>-281478.39571330493</v>
      </c>
      <c r="AB122" s="139">
        <v>43670.2846752361</v>
      </c>
      <c r="AC122" s="123"/>
      <c r="AD122" s="137">
        <f t="shared" si="33"/>
        <v>0.62173366834170829</v>
      </c>
      <c r="AE122" s="144">
        <v>-222364.57817497299</v>
      </c>
      <c r="AF122" s="139">
        <v>36550.2495888587</v>
      </c>
      <c r="AG122" s="123"/>
      <c r="AH122" s="137">
        <f t="shared" si="34"/>
        <v>0.96200872030978424</v>
      </c>
      <c r="AI122" s="144">
        <v>-239850.65804774428</v>
      </c>
      <c r="AJ122" s="139">
        <v>36185.476849609629</v>
      </c>
      <c r="AK122" s="123"/>
      <c r="AL122" s="137">
        <f t="shared" si="22"/>
        <v>4338.4319999999971</v>
      </c>
      <c r="AM122" s="144">
        <v>-237786.42906667932</v>
      </c>
      <c r="AN122" s="139">
        <v>35769.571139843087</v>
      </c>
      <c r="AO122" s="123"/>
      <c r="AP122" s="137">
        <f t="shared" si="23"/>
        <v>2508.7999999999988</v>
      </c>
      <c r="AQ122" s="144">
        <v>-240820.78093282538</v>
      </c>
      <c r="AR122" s="139">
        <v>36162.415136220603</v>
      </c>
      <c r="AS122" s="123"/>
      <c r="AT122" s="137">
        <f t="shared" si="24"/>
        <v>42833.854207487915</v>
      </c>
      <c r="AU122" s="144">
        <v>-242388.06286649263</v>
      </c>
      <c r="AV122" s="139">
        <v>36365.324134725815</v>
      </c>
      <c r="AW122" s="123"/>
      <c r="AX122" s="137">
        <f t="shared" si="25"/>
        <v>4110.7645600000005</v>
      </c>
      <c r="AY122" s="144">
        <v>-241047.69030388241</v>
      </c>
      <c r="AZ122" s="139">
        <v>36191.792079987761</v>
      </c>
    </row>
    <row r="123" spans="1:60" x14ac:dyDescent="0.3">
      <c r="A123" s="108"/>
      <c r="B123" s="137">
        <f t="shared" si="26"/>
        <v>0.9793333333333325</v>
      </c>
      <c r="C123" s="144">
        <v>-229584.12499599264</v>
      </c>
      <c r="D123" s="139">
        <v>36753.000174420631</v>
      </c>
      <c r="E123" s="123"/>
      <c r="F123" s="137">
        <f t="shared" si="27"/>
        <v>0.9978102666666675</v>
      </c>
      <c r="G123" s="144">
        <v>-206325.95366305477</v>
      </c>
      <c r="H123" s="139">
        <v>37333.282578353304</v>
      </c>
      <c r="I123" s="123"/>
      <c r="J123" s="137">
        <f t="shared" si="28"/>
        <v>0.99579160343955508</v>
      </c>
      <c r="K123" s="144">
        <v>-238659.52737984323</v>
      </c>
      <c r="L123" s="139">
        <v>36646.170744130097</v>
      </c>
      <c r="M123" s="123"/>
      <c r="N123" s="137">
        <f t="shared" si="29"/>
        <v>0.97669096800324162</v>
      </c>
      <c r="O123" s="144">
        <v>-194295.11174455477</v>
      </c>
      <c r="P123" s="139">
        <v>52817.681279121447</v>
      </c>
      <c r="Q123" s="123"/>
      <c r="R123" s="137">
        <f t="shared" si="30"/>
        <v>0.97688266199649654</v>
      </c>
      <c r="S123" s="144">
        <v>-222044.04453728499</v>
      </c>
      <c r="T123" s="139">
        <v>39997.103872387437</v>
      </c>
      <c r="U123" s="123"/>
      <c r="V123" s="137">
        <f t="shared" si="31"/>
        <v>0.95751412429378602</v>
      </c>
      <c r="W123" s="144">
        <v>-261396.57029109547</v>
      </c>
      <c r="X123" s="139">
        <v>42061.458087761472</v>
      </c>
      <c r="Y123" s="123"/>
      <c r="Z123" s="137">
        <f t="shared" si="32"/>
        <v>0.49835897435897408</v>
      </c>
      <c r="AA123" s="144">
        <v>-284681.13731268357</v>
      </c>
      <c r="AB123" s="139">
        <v>44296.27212864277</v>
      </c>
      <c r="AC123" s="123"/>
      <c r="AD123" s="137">
        <f t="shared" si="33"/>
        <v>0.63653685092127277</v>
      </c>
      <c r="AE123" s="144">
        <v>-220954.72218374308</v>
      </c>
      <c r="AF123" s="139">
        <v>36582.900785067279</v>
      </c>
      <c r="AG123" s="123"/>
      <c r="AH123" s="137">
        <f t="shared" si="34"/>
        <v>0.97467248020652275</v>
      </c>
      <c r="AI123" s="144">
        <v>-239772.72450778398</v>
      </c>
      <c r="AJ123" s="139">
        <v>36187.730317547524</v>
      </c>
      <c r="AK123" s="123"/>
      <c r="AL123" s="137">
        <f t="shared" si="22"/>
        <v>4441.7279999999973</v>
      </c>
      <c r="AM123" s="144">
        <v>-237685.80057468824</v>
      </c>
      <c r="AN123" s="139">
        <v>35756.543218004401</v>
      </c>
      <c r="AO123" s="123"/>
      <c r="AP123" s="137">
        <f t="shared" si="23"/>
        <v>2568.5333333333319</v>
      </c>
      <c r="AQ123" s="144">
        <v>-240823.34268396252</v>
      </c>
      <c r="AR123" s="139">
        <v>36162.746794709412</v>
      </c>
      <c r="AS123" s="123"/>
      <c r="AT123" s="137">
        <f t="shared" si="24"/>
        <v>43853.707879094771</v>
      </c>
      <c r="AU123" s="144">
        <v>-242521.23144543573</v>
      </c>
      <c r="AV123" s="139">
        <v>36382.564876423436</v>
      </c>
      <c r="AW123" s="123"/>
      <c r="AX123" s="137">
        <f t="shared" si="25"/>
        <v>4208.6399066666672</v>
      </c>
      <c r="AY123" s="144">
        <v>-241069.16116927413</v>
      </c>
      <c r="AZ123" s="139">
        <v>36194.571817123811</v>
      </c>
    </row>
    <row r="124" spans="1:60" x14ac:dyDescent="0.3">
      <c r="A124" s="108"/>
      <c r="B124" s="137">
        <f t="shared" si="26"/>
        <v>0.98966666666666581</v>
      </c>
      <c r="C124" s="144">
        <v>-228849.77844579684</v>
      </c>
      <c r="D124" s="139">
        <v>36794.419305076866</v>
      </c>
      <c r="E124" s="123"/>
      <c r="F124" s="137">
        <f t="shared" si="27"/>
        <v>0.99890513333333419</v>
      </c>
      <c r="G124" s="144">
        <v>-204100.95405053452</v>
      </c>
      <c r="H124" s="139">
        <v>37423.65671196513</v>
      </c>
      <c r="I124" s="123"/>
      <c r="J124" s="137">
        <f t="shared" si="28"/>
        <v>0.99789580171977765</v>
      </c>
      <c r="K124" s="144">
        <v>-238499.31332450197</v>
      </c>
      <c r="L124" s="139">
        <v>36683.688860266542</v>
      </c>
      <c r="M124" s="123"/>
      <c r="N124" s="137">
        <f t="shared" si="29"/>
        <v>0.98834548400162159</v>
      </c>
      <c r="O124" s="144">
        <v>-192319.5145706528</v>
      </c>
      <c r="P124" s="139">
        <v>54099.161744103461</v>
      </c>
      <c r="Q124" s="123"/>
      <c r="R124" s="137">
        <f t="shared" si="30"/>
        <v>0.98844133099824782</v>
      </c>
      <c r="S124" s="144">
        <v>-220842.41692196703</v>
      </c>
      <c r="T124" s="139">
        <v>40292.38607531297</v>
      </c>
      <c r="U124" s="123"/>
      <c r="V124" s="137">
        <f t="shared" si="31"/>
        <v>0.9787570621468934</v>
      </c>
      <c r="W124" s="144">
        <v>-262851.16131760809</v>
      </c>
      <c r="X124" s="139">
        <v>42515.536768792794</v>
      </c>
      <c r="Y124" s="123"/>
      <c r="Z124" s="137">
        <f t="shared" si="32"/>
        <v>0.50994871794871766</v>
      </c>
      <c r="AA124" s="144">
        <v>-287856.68166366307</v>
      </c>
      <c r="AB124" s="139">
        <v>44922.259582049403</v>
      </c>
      <c r="AC124" s="123"/>
      <c r="AD124" s="137">
        <f t="shared" si="33"/>
        <v>0.65134003350083725</v>
      </c>
      <c r="AE124" s="144">
        <v>-219562.49759455118</v>
      </c>
      <c r="AF124" s="139">
        <v>36615.551981275828</v>
      </c>
      <c r="AG124" s="123"/>
      <c r="AH124" s="137">
        <f t="shared" si="34"/>
        <v>0.98733624010326126</v>
      </c>
      <c r="AI124" s="144">
        <v>-239694.84429313315</v>
      </c>
      <c r="AJ124" s="139">
        <v>36189.983785485369</v>
      </c>
      <c r="AK124" s="123"/>
      <c r="AL124" s="137">
        <f t="shared" si="22"/>
        <v>4545.0239999999976</v>
      </c>
      <c r="AM124" s="144">
        <v>-237585.17208269634</v>
      </c>
      <c r="AN124" s="139">
        <v>35743.515296165613</v>
      </c>
      <c r="AO124" s="123"/>
      <c r="AP124" s="137">
        <f t="shared" si="23"/>
        <v>2628.2666666666651</v>
      </c>
      <c r="AQ124" s="144">
        <v>-240825.90443509945</v>
      </c>
      <c r="AR124" s="139">
        <v>36163.078453198192</v>
      </c>
      <c r="AS124" s="123"/>
      <c r="AT124" s="137">
        <f t="shared" si="24"/>
        <v>44873.561550701626</v>
      </c>
      <c r="AU124" s="144">
        <v>-242654.40002437847</v>
      </c>
      <c r="AV124" s="139">
        <v>36399.805618121012</v>
      </c>
      <c r="AW124" s="123"/>
      <c r="AX124" s="137">
        <f t="shared" si="25"/>
        <v>4306.5152533333339</v>
      </c>
      <c r="AY124" s="144">
        <v>-241090.63203466573</v>
      </c>
      <c r="AZ124" s="139">
        <v>36197.351554259847</v>
      </c>
    </row>
    <row r="125" spans="1:60" ht="15" thickBot="1" x14ac:dyDescent="0.35">
      <c r="A125" s="108"/>
      <c r="B125" s="137">
        <f t="shared" si="26"/>
        <v>0.99999999999999911</v>
      </c>
      <c r="C125" s="145">
        <v>-228121.08194292747</v>
      </c>
      <c r="D125" s="146">
        <v>36835.838435732927</v>
      </c>
      <c r="E125" s="123"/>
      <c r="F125" s="137">
        <f t="shared" si="27"/>
        <v>1.0000000000000009</v>
      </c>
      <c r="G125" s="145">
        <v>-201926.46511393256</v>
      </c>
      <c r="H125" s="146">
        <v>37514.030845577021</v>
      </c>
      <c r="I125" s="123"/>
      <c r="J125" s="137">
        <f t="shared" si="28"/>
        <v>1.0000000000000002</v>
      </c>
      <c r="K125" s="145">
        <v>-238339.61120303176</v>
      </c>
      <c r="L125" s="146">
        <v>36721.206976403279</v>
      </c>
      <c r="M125" s="123"/>
      <c r="N125" s="137">
        <f t="shared" si="29"/>
        <v>1.0000000000000016</v>
      </c>
      <c r="O125" s="145">
        <v>-190466.33494885112</v>
      </c>
      <c r="P125" s="146">
        <v>55380.64220908549</v>
      </c>
      <c r="Q125" s="123"/>
      <c r="R125" s="137">
        <f t="shared" si="30"/>
        <v>0.99999999999999911</v>
      </c>
      <c r="S125" s="145">
        <v>-219669.06740325264</v>
      </c>
      <c r="T125" s="146">
        <v>40587.668278238503</v>
      </c>
      <c r="U125" s="123"/>
      <c r="V125" s="137">
        <f t="shared" si="31"/>
        <v>1.0000000000000007</v>
      </c>
      <c r="W125" s="145">
        <v>-264288.74119174742</v>
      </c>
      <c r="X125" s="146">
        <v>42969.61544982405</v>
      </c>
      <c r="Y125" s="123"/>
      <c r="Z125" s="137">
        <f t="shared" si="32"/>
        <v>0.52153846153846128</v>
      </c>
      <c r="AA125" s="145">
        <v>-291005.37373456144</v>
      </c>
      <c r="AB125" s="146">
        <v>45548.247035456348</v>
      </c>
      <c r="AC125" s="123"/>
      <c r="AD125" s="137">
        <f t="shared" si="33"/>
        <v>0.66614321608040172</v>
      </c>
      <c r="AE125" s="145">
        <v>-218187.57571999758</v>
      </c>
      <c r="AF125" s="146">
        <v>36648.20317748456</v>
      </c>
      <c r="AG125" s="123"/>
      <c r="AH125" s="137">
        <f t="shared" si="34"/>
        <v>0.99999999999999978</v>
      </c>
      <c r="AI125" s="145">
        <v>-239617.01734907419</v>
      </c>
      <c r="AJ125" s="146">
        <v>36192.237253423271</v>
      </c>
      <c r="AK125" s="123"/>
      <c r="AL125" s="137">
        <f t="shared" si="22"/>
        <v>4648.3199999999979</v>
      </c>
      <c r="AM125" s="145">
        <v>-237484.54359070459</v>
      </c>
      <c r="AN125" s="146">
        <v>35730.48737432684</v>
      </c>
      <c r="AO125" s="123"/>
      <c r="AP125" s="137">
        <f t="shared" si="23"/>
        <v>2687.9999999999982</v>
      </c>
      <c r="AQ125" s="145">
        <v>-240828.46618623627</v>
      </c>
      <c r="AR125" s="146">
        <v>36163.410111686957</v>
      </c>
      <c r="AS125" s="123"/>
      <c r="AT125" s="137">
        <f t="shared" si="24"/>
        <v>45893.415222308482</v>
      </c>
      <c r="AU125" s="145">
        <v>-242787.56860332098</v>
      </c>
      <c r="AV125" s="146">
        <v>36417.04635981856</v>
      </c>
      <c r="AW125" s="123"/>
      <c r="AX125" s="137">
        <f t="shared" si="25"/>
        <v>4404.3906000000006</v>
      </c>
      <c r="AY125" s="145">
        <v>-241112.10290005736</v>
      </c>
      <c r="AZ125" s="146">
        <v>36200.131291395883</v>
      </c>
    </row>
    <row r="126" spans="1:60" ht="15" thickBot="1" x14ac:dyDescent="0.35">
      <c r="A126" s="108"/>
      <c r="B126" s="181"/>
      <c r="C126" s="108"/>
      <c r="D126" s="108"/>
      <c r="E126" s="108"/>
      <c r="F126" s="108"/>
      <c r="G126" s="108"/>
      <c r="H126" s="108"/>
      <c r="I126" s="108"/>
      <c r="J126" s="108"/>
      <c r="K126" s="108"/>
      <c r="L126" s="108"/>
      <c r="M126" s="108"/>
      <c r="N126" s="108"/>
      <c r="O126" s="108"/>
      <c r="P126" s="108"/>
      <c r="Q126" s="108"/>
      <c r="R126" s="108"/>
      <c r="S126" s="108"/>
      <c r="T126" s="108"/>
      <c r="U126" s="108"/>
      <c r="V126" s="108"/>
      <c r="W126" s="108"/>
      <c r="X126" s="108"/>
      <c r="Y126" s="108"/>
    </row>
    <row r="127" spans="1:60" ht="15" thickBot="1" x14ac:dyDescent="0.35">
      <c r="A127" s="108"/>
      <c r="B127" s="123"/>
      <c r="C127" s="132" t="s">
        <v>62</v>
      </c>
      <c r="D127" s="133" t="s">
        <v>272</v>
      </c>
      <c r="E127" s="123"/>
      <c r="F127" s="123"/>
      <c r="G127" s="132" t="s">
        <v>62</v>
      </c>
      <c r="H127" s="133" t="s">
        <v>272</v>
      </c>
      <c r="I127" s="123"/>
      <c r="J127" s="123"/>
      <c r="K127" s="132" t="s">
        <v>62</v>
      </c>
      <c r="L127" s="133" t="s">
        <v>767</v>
      </c>
      <c r="M127" s="123"/>
      <c r="N127" s="123"/>
      <c r="O127" s="132" t="s">
        <v>62</v>
      </c>
      <c r="P127" s="133" t="s">
        <v>767</v>
      </c>
      <c r="Q127" s="123"/>
      <c r="R127" s="123"/>
      <c r="S127" s="132" t="s">
        <v>62</v>
      </c>
      <c r="T127" s="133" t="s">
        <v>767</v>
      </c>
      <c r="U127" s="123"/>
      <c r="V127" s="123"/>
      <c r="W127" s="132" t="s">
        <v>62</v>
      </c>
      <c r="X127" s="133" t="s">
        <v>767</v>
      </c>
      <c r="Y127" s="123"/>
      <c r="Z127" s="123"/>
      <c r="AA127" s="132" t="s">
        <v>62</v>
      </c>
      <c r="AB127" s="133" t="s">
        <v>767</v>
      </c>
      <c r="AC127" s="123"/>
      <c r="AD127" s="123"/>
      <c r="AE127" s="132" t="s">
        <v>62</v>
      </c>
      <c r="AF127" s="133" t="s">
        <v>767</v>
      </c>
      <c r="AG127" s="123"/>
      <c r="AH127" s="123"/>
      <c r="AI127" s="132" t="s">
        <v>62</v>
      </c>
      <c r="AJ127" s="133" t="s">
        <v>767</v>
      </c>
      <c r="AK127" s="131"/>
      <c r="AL127" s="123"/>
      <c r="AM127" s="132" t="s">
        <v>62</v>
      </c>
      <c r="AN127" s="133" t="s">
        <v>767</v>
      </c>
      <c r="AO127" s="123"/>
      <c r="AP127" s="123"/>
      <c r="AQ127" s="132" t="s">
        <v>62</v>
      </c>
      <c r="AR127" s="133" t="s">
        <v>767</v>
      </c>
      <c r="AT127" s="123"/>
      <c r="AU127" s="132" t="s">
        <v>62</v>
      </c>
      <c r="AV127" s="133" t="s">
        <v>272</v>
      </c>
      <c r="AW127" s="123"/>
      <c r="AX127" s="123"/>
      <c r="AY127" s="132" t="s">
        <v>62</v>
      </c>
      <c r="AZ127" s="133" t="s">
        <v>272</v>
      </c>
      <c r="BA127" s="123"/>
      <c r="BB127" s="123"/>
      <c r="BC127" s="132" t="s">
        <v>62</v>
      </c>
      <c r="BD127" s="133" t="s">
        <v>272</v>
      </c>
      <c r="BE127" s="123"/>
      <c r="BF127" s="123"/>
      <c r="BG127" s="132" t="s">
        <v>62</v>
      </c>
      <c r="BH127" s="133" t="s">
        <v>272</v>
      </c>
    </row>
    <row r="128" spans="1:60" ht="15" thickBot="1" x14ac:dyDescent="0.35">
      <c r="A128" s="108"/>
      <c r="B128" s="134" t="str">
        <f>B32</f>
        <v>Death and preterm sga</v>
      </c>
      <c r="C128" s="135">
        <f>$C$5</f>
        <v>-240790.03991918225</v>
      </c>
      <c r="D128" s="136">
        <f>$C$6</f>
        <v>36158.435234355231</v>
      </c>
      <c r="E128" s="123"/>
      <c r="F128" s="134" t="str">
        <f>B33</f>
        <v>Death and term sga</v>
      </c>
      <c r="G128" s="135">
        <f>$C$5</f>
        <v>-240790.03991918225</v>
      </c>
      <c r="H128" s="136">
        <f>$C$6</f>
        <v>36158.435234355231</v>
      </c>
      <c r="I128" s="123"/>
      <c r="J128" s="134" t="str">
        <f>B34</f>
        <v>Death and prem aga</v>
      </c>
      <c r="K128" s="135">
        <f>$C$5</f>
        <v>-240790.03991918225</v>
      </c>
      <c r="L128" s="136">
        <f>$C$6</f>
        <v>36158.435234355231</v>
      </c>
      <c r="M128" s="123"/>
      <c r="N128" s="134" t="str">
        <f>B35</f>
        <v>Death and term aga</v>
      </c>
      <c r="O128" s="135">
        <f>$C$5</f>
        <v>-240790.03991918225</v>
      </c>
      <c r="P128" s="136">
        <f>$C$6</f>
        <v>36158.435234355231</v>
      </c>
      <c r="Q128" s="123"/>
      <c r="R128" s="134" t="str">
        <f>B36</f>
        <v>RDS prem</v>
      </c>
      <c r="S128" s="135">
        <f>$C$5</f>
        <v>-240790.03991918225</v>
      </c>
      <c r="T128" s="136">
        <f>$C$6</f>
        <v>36158.435234355231</v>
      </c>
      <c r="U128" s="123"/>
      <c r="V128" s="134" t="str">
        <f>B37</f>
        <v>Hypoglycaemia prem sga</v>
      </c>
      <c r="W128" s="135">
        <f>$C$5</f>
        <v>-240790.03991918225</v>
      </c>
      <c r="X128" s="136">
        <f>$C$6</f>
        <v>36158.435234355231</v>
      </c>
      <c r="Y128" s="123"/>
      <c r="Z128" s="134" t="str">
        <f>B38</f>
        <v>Hypoglycaemia term sga</v>
      </c>
      <c r="AA128" s="135">
        <f>$C$5</f>
        <v>-240790.03991918225</v>
      </c>
      <c r="AB128" s="136">
        <f>$C$6</f>
        <v>36158.435234355231</v>
      </c>
      <c r="AC128" s="123"/>
      <c r="AD128" s="134" t="str">
        <f>B39</f>
        <v>Hypoglycaemia prem aga</v>
      </c>
      <c r="AE128" s="135">
        <f>$C$5</f>
        <v>-240790.03991918225</v>
      </c>
      <c r="AF128" s="136">
        <f>$C$6</f>
        <v>36158.435234355231</v>
      </c>
      <c r="AG128" s="123"/>
      <c r="AH128" s="134" t="str">
        <f>B40</f>
        <v>CLD rds</v>
      </c>
      <c r="AI128" s="135">
        <f>$C$5</f>
        <v>-240790.03991918225</v>
      </c>
      <c r="AJ128" s="136">
        <f>$C$6</f>
        <v>36158.435234355231</v>
      </c>
      <c r="AK128" s="131"/>
      <c r="AL128" s="134" t="str">
        <f>B41</f>
        <v>Impairment hypo</v>
      </c>
      <c r="AM128" s="135">
        <f>$C$5</f>
        <v>-240790.03991918225</v>
      </c>
      <c r="AN128" s="136">
        <f>$C$6</f>
        <v>36158.435234355231</v>
      </c>
      <c r="AO128" s="123"/>
      <c r="AP128" s="134" t="str">
        <f>B42</f>
        <v>Impairment no hypo</v>
      </c>
      <c r="AQ128" s="135">
        <f>$C$5</f>
        <v>-240790.03991918225</v>
      </c>
      <c r="AR128" s="136">
        <f>$C$6</f>
        <v>36158.435234355231</v>
      </c>
      <c r="AT128" s="134" t="str">
        <f>B51</f>
        <v xml:space="preserve">c_lung </v>
      </c>
      <c r="AU128" s="135">
        <f>$C$5</f>
        <v>-240790.03991918225</v>
      </c>
      <c r="AV128" s="136">
        <f>$C$6</f>
        <v>36158.435234355231</v>
      </c>
      <c r="AW128" s="123"/>
      <c r="AX128" s="134" t="str">
        <f>B52</f>
        <v>c_cog</v>
      </c>
      <c r="AY128" s="135">
        <f>$C$5</f>
        <v>-240790.03991918225</v>
      </c>
      <c r="AZ128" s="136">
        <f>$C$6</f>
        <v>36158.435234355231</v>
      </c>
      <c r="BA128" s="123"/>
      <c r="BB128" s="134" t="str">
        <f>B53</f>
        <v>c_hosp fu</v>
      </c>
      <c r="BC128" s="135">
        <f>$C$5</f>
        <v>-240790.03991918225</v>
      </c>
      <c r="BD128" s="136">
        <f>$C$6</f>
        <v>36158.435234355231</v>
      </c>
      <c r="BE128" s="123"/>
      <c r="BF128" s="134" t="str">
        <f>B54</f>
        <v>c_clinic fu</v>
      </c>
      <c r="BG128" s="135">
        <f>$C$5</f>
        <v>-240790.03991918225</v>
      </c>
      <c r="BH128" s="136">
        <f>$C$6</f>
        <v>36158.435234355231</v>
      </c>
    </row>
    <row r="129" spans="1:60" x14ac:dyDescent="0.3">
      <c r="A129" s="108"/>
      <c r="B129" s="137">
        <f>D32</f>
        <v>4.2033333333333332E-2</v>
      </c>
      <c r="C129" s="138">
        <f t="dataTable" ref="C129:D159" dt2D="0" dtr="0" r1="C32" ca="1"/>
        <v>-291647.70608759526</v>
      </c>
      <c r="D129" s="139">
        <v>35338.067205349995</v>
      </c>
      <c r="E129" s="123"/>
      <c r="F129" s="141">
        <f>D33</f>
        <v>6.6000000000000008E-3</v>
      </c>
      <c r="G129" s="138">
        <f t="dataTable" ref="G129:H159" dt2D="0" dtr="0" r1="C33" ca="1"/>
        <v>-268914.58610774338</v>
      </c>
      <c r="H129" s="139">
        <v>35652.849750403897</v>
      </c>
      <c r="I129" s="123"/>
      <c r="J129" s="137">
        <f>D34</f>
        <v>1.7587499999999999E-2</v>
      </c>
      <c r="K129" s="138">
        <f t="dataTable" ref="K129:L159" dt2D="0" dtr="0" r1="C34" ca="1"/>
        <v>-256323.93342968877</v>
      </c>
      <c r="L129" s="139">
        <v>35874.512406173963</v>
      </c>
      <c r="M129" s="123"/>
      <c r="N129" s="137">
        <f>D35</f>
        <v>3.1166666666666669E-3</v>
      </c>
      <c r="O129" s="138">
        <f t="dataTable" ref="O129:P159" dt2D="0" dtr="0" r1="C35" ca="1"/>
        <v>-233058.44792579053</v>
      </c>
      <c r="P129" s="139">
        <v>36321.95541198815</v>
      </c>
      <c r="Q129" s="123"/>
      <c r="R129" s="137">
        <f>D36</f>
        <v>0.22500000000000001</v>
      </c>
      <c r="S129" s="138">
        <f t="dataTable" ref="S129:T159" dt2D="0" dtr="0" r1="C36" ca="1"/>
        <v>-239954.29899758461</v>
      </c>
      <c r="T129" s="139">
        <v>35795.991647443196</v>
      </c>
      <c r="U129" s="123"/>
      <c r="V129" s="137">
        <f>D37</f>
        <v>0.10775</v>
      </c>
      <c r="W129" s="138">
        <f t="dataTable" ref="W129:X159" dt2D="0" dtr="0" r1="C37" ca="1"/>
        <v>-242266.2231405541</v>
      </c>
      <c r="X129" s="139">
        <v>36119.097566976518</v>
      </c>
      <c r="Y129" s="123"/>
      <c r="Z129" s="137">
        <f>D38</f>
        <v>0.13</v>
      </c>
      <c r="AA129" s="138">
        <f t="dataTable" ref="AA129:AB159" dt2D="0" dtr="0" r1="C38" ca="1"/>
        <v>-246912.91334326664</v>
      </c>
      <c r="AB129" s="139">
        <v>35998.487963994427</v>
      </c>
      <c r="AC129" s="123"/>
      <c r="AD129" s="137">
        <f>D39</f>
        <v>7.4999999999999997E-2</v>
      </c>
      <c r="AE129" s="138">
        <f t="dataTable" ref="AE129:AF159" dt2D="0" dtr="0" r1="C39" ca="1"/>
        <v>-241357.18981738423</v>
      </c>
      <c r="AF129" s="139">
        <v>36143.256553236766</v>
      </c>
      <c r="AG129" s="123"/>
      <c r="AH129" s="137">
        <f>D40</f>
        <v>0.18049999999999999</v>
      </c>
      <c r="AI129" s="138">
        <f t="dataTable" ref="AI129:AJ159" dt2D="0" dtr="0" r1="C40" ca="1"/>
        <v>-252560.70794827366</v>
      </c>
      <c r="AJ129" s="139">
        <v>35181.284811144884</v>
      </c>
      <c r="AK129" s="131"/>
      <c r="AL129" s="137">
        <f>D41</f>
        <v>2.5666666666666667E-2</v>
      </c>
      <c r="AM129" s="138">
        <f t="dataTable" ref="AM129:AN159" dt2D="0" dtr="0" r1="C41" ca="1"/>
        <v>-266715.35207454505</v>
      </c>
      <c r="AN129" s="139">
        <v>35672.417421928956</v>
      </c>
      <c r="AO129" s="123"/>
      <c r="AP129" s="137">
        <f>D42</f>
        <v>1.6542788268380876E-2</v>
      </c>
      <c r="AQ129" s="138">
        <f t="dataTable" ref="AQ129:AR159" dt2D="0" dtr="0" r1="C42" ca="1"/>
        <v>-224003.69147256657</v>
      </c>
      <c r="AR129" s="139">
        <v>36531.577270489644</v>
      </c>
      <c r="AT129" s="137">
        <f>D51</f>
        <v>21291.255451199999</v>
      </c>
      <c r="AU129" s="138">
        <f t="dataTable" ref="AU129:AV159" dt2D="0" dtr="0" r1="C51" ca="1"/>
        <v>-235503.90927592217</v>
      </c>
      <c r="AV129" s="139">
        <v>35474.063487478867</v>
      </c>
      <c r="AW129" s="123"/>
      <c r="AX129" s="137">
        <f>D52</f>
        <v>1909.5</v>
      </c>
      <c r="AY129" s="138">
        <f t="dataTable" ref="AY129:AZ159" dt2D="0" dtr="0" r1="C52" ca="1"/>
        <v>-240785.10562227271</v>
      </c>
      <c r="AZ129" s="139">
        <v>36157.796412951924</v>
      </c>
      <c r="BA129" s="123"/>
      <c r="BB129" s="137">
        <f>D53</f>
        <v>453.5</v>
      </c>
      <c r="BC129" s="138">
        <f t="dataTable" ref="BC129:BD159" dt2D="0" dtr="0" r1="C53" ca="1"/>
        <v>-240680.33991845936</v>
      </c>
      <c r="BD129" s="139">
        <v>36144.23286475947</v>
      </c>
      <c r="BE129" s="123"/>
      <c r="BF129" s="137">
        <f>D54</f>
        <v>1681.5</v>
      </c>
      <c r="BG129" s="138">
        <f t="dataTable" ref="BG129:BH159" dt2D="0" dtr="0" r1="C54" ca="1"/>
        <v>-241268.90223435979</v>
      </c>
      <c r="BH129" s="139">
        <v>36220.431401545909</v>
      </c>
    </row>
    <row r="130" spans="1:60" x14ac:dyDescent="0.3">
      <c r="A130" s="108"/>
      <c r="B130" s="137">
        <f>B129+$F$32</f>
        <v>4.4835555555555552E-2</v>
      </c>
      <c r="C130" s="144">
        <v>-287603.25056452811</v>
      </c>
      <c r="D130" s="139">
        <v>35392.758407283683</v>
      </c>
      <c r="E130" s="123"/>
      <c r="F130" s="141">
        <f>F129+$F$33</f>
        <v>7.0400000000000011E-3</v>
      </c>
      <c r="G130" s="144">
        <v>-266837.64508085023</v>
      </c>
      <c r="H130" s="139">
        <v>35686.55544933393</v>
      </c>
      <c r="I130" s="123"/>
      <c r="J130" s="137">
        <f>J129+$F$34</f>
        <v>1.8759999999999999E-2</v>
      </c>
      <c r="K130" s="144">
        <v>-255226.76909236208</v>
      </c>
      <c r="L130" s="139">
        <v>35893.440594719381</v>
      </c>
      <c r="M130" s="123"/>
      <c r="N130" s="137">
        <f>N129+$F$35</f>
        <v>3.3244444444444445E-3</v>
      </c>
      <c r="O130" s="144">
        <v>-233558.43086033079</v>
      </c>
      <c r="P130" s="139">
        <v>36311.05406681262</v>
      </c>
      <c r="Q130" s="123"/>
      <c r="R130" s="137">
        <f>R129+$F$36</f>
        <v>0.24000000000000002</v>
      </c>
      <c r="S130" s="144">
        <v>-240010.38423021656</v>
      </c>
      <c r="T130" s="139">
        <v>35820.15455323748</v>
      </c>
      <c r="U130" s="123"/>
      <c r="V130" s="137">
        <f>V129+$F$37</f>
        <v>0.11493333333333333</v>
      </c>
      <c r="W130" s="144">
        <v>-242167.22513078837</v>
      </c>
      <c r="X130" s="139">
        <v>36121.720078135106</v>
      </c>
      <c r="Y130" s="123"/>
      <c r="Z130" s="137">
        <f>Z129+$F$38</f>
        <v>0.13866666666666666</v>
      </c>
      <c r="AA130" s="144">
        <v>-246494.65748000913</v>
      </c>
      <c r="AB130" s="139">
        <v>36009.151115351771</v>
      </c>
      <c r="AC130" s="123"/>
      <c r="AD130" s="137">
        <f>AD129+$F$39</f>
        <v>0.08</v>
      </c>
      <c r="AE130" s="144">
        <v>-241319.29332666358</v>
      </c>
      <c r="AF130" s="139">
        <v>36144.268465311376</v>
      </c>
      <c r="AG130" s="123"/>
      <c r="AH130" s="137">
        <f>AH129+$F$40</f>
        <v>0.19253333333333333</v>
      </c>
      <c r="AI130" s="144">
        <v>-251724.17604914049</v>
      </c>
      <c r="AJ130" s="139">
        <v>35246.428172692249</v>
      </c>
      <c r="AK130" s="131"/>
      <c r="AL130" s="137">
        <f>AL129+$F$41</f>
        <v>2.7377777777777779E-2</v>
      </c>
      <c r="AM130" s="144">
        <v>-264814.47853360767</v>
      </c>
      <c r="AN130" s="139">
        <v>35704.818609424146</v>
      </c>
      <c r="AO130" s="123"/>
      <c r="AP130" s="137">
        <f>AP129+$F$42</f>
        <v>1.7645640819606269E-2</v>
      </c>
      <c r="AQ130" s="144">
        <v>-225049.63680519006</v>
      </c>
      <c r="AR130" s="139">
        <v>36506.701134747462</v>
      </c>
      <c r="AT130" s="137">
        <f t="shared" ref="AT130:AT159" si="35">AT129+$F$51</f>
        <v>22710.672481279998</v>
      </c>
      <c r="AU130" s="144">
        <v>-235856.31798547274</v>
      </c>
      <c r="AV130" s="139">
        <v>35519.688270603947</v>
      </c>
      <c r="AW130" s="123"/>
      <c r="AX130" s="137">
        <f t="shared" ref="AX130:AX159" si="36">AX129+$F$52</f>
        <v>2036.8</v>
      </c>
      <c r="AY130" s="144">
        <v>-240785.43457540043</v>
      </c>
      <c r="AZ130" s="139">
        <v>36157.839001045533</v>
      </c>
      <c r="BA130" s="123"/>
      <c r="BB130" s="137">
        <f t="shared" ref="BB130:BB159" si="37">BB129+$F$53</f>
        <v>483.73333333333335</v>
      </c>
      <c r="BC130" s="144">
        <v>-240687.65325184097</v>
      </c>
      <c r="BD130" s="139">
        <v>36145.1796893992</v>
      </c>
      <c r="BE130" s="123"/>
      <c r="BF130" s="137">
        <f t="shared" ref="BF130:BF159" si="38">BF129+$F$54</f>
        <v>1793.6</v>
      </c>
      <c r="BG130" s="144">
        <v>-241236.97808001426</v>
      </c>
      <c r="BH130" s="139">
        <v>36216.29832373315</v>
      </c>
    </row>
    <row r="131" spans="1:60" x14ac:dyDescent="0.3">
      <c r="A131" s="108"/>
      <c r="B131" s="137">
        <f t="shared" ref="B131:B159" si="39">B130+$F$32</f>
        <v>4.7637777777777772E-2</v>
      </c>
      <c r="C131" s="144">
        <v>-283668.71976257249</v>
      </c>
      <c r="D131" s="139">
        <v>35447.449609217401</v>
      </c>
      <c r="E131" s="123"/>
      <c r="F131" s="141">
        <f t="shared" ref="F131:F159" si="40">F130+$F$33</f>
        <v>7.4800000000000014E-3</v>
      </c>
      <c r="G131" s="144">
        <v>-264792.42109706864</v>
      </c>
      <c r="H131" s="139">
        <v>35720.261148264071</v>
      </c>
      <c r="I131" s="123"/>
      <c r="J131" s="137">
        <f t="shared" ref="J131:J159" si="41">J130+$F$34</f>
        <v>1.9932499999999999E-2</v>
      </c>
      <c r="K131" s="144">
        <v>-254138.88423005573</v>
      </c>
      <c r="L131" s="139">
        <v>35912.36878326477</v>
      </c>
      <c r="M131" s="123"/>
      <c r="N131" s="137">
        <f t="shared" ref="N131:N159" si="42">N130+$F$35</f>
        <v>3.5322222222222222E-3</v>
      </c>
      <c r="O131" s="144">
        <v>-234060.56025462237</v>
      </c>
      <c r="P131" s="139">
        <v>36300.152721637074</v>
      </c>
      <c r="Q131" s="123"/>
      <c r="R131" s="137">
        <f t="shared" ref="R131:R159" si="43">R130+$F$36</f>
        <v>0.255</v>
      </c>
      <c r="S131" s="144">
        <v>-240066.41639977519</v>
      </c>
      <c r="T131" s="139">
        <v>35844.317459031598</v>
      </c>
      <c r="U131" s="123"/>
      <c r="V131" s="137">
        <f t="shared" ref="V131:V159" si="44">V130+$F$37</f>
        <v>0.12211666666666667</v>
      </c>
      <c r="W131" s="144">
        <v>-242068.3112683779</v>
      </c>
      <c r="X131" s="139">
        <v>36124.342589293658</v>
      </c>
      <c r="Y131" s="123"/>
      <c r="Z131" s="137">
        <f>Z130+$F$38</f>
        <v>0.14733333333333332</v>
      </c>
      <c r="AA131" s="144">
        <v>-246077.87223328225</v>
      </c>
      <c r="AB131" s="139">
        <v>36019.81426670916</v>
      </c>
      <c r="AC131" s="123"/>
      <c r="AD131" s="137">
        <f t="shared" ref="AD131:AD159" si="45">AD130+$F$39</f>
        <v>8.5000000000000006E-2</v>
      </c>
      <c r="AE131" s="144">
        <v>-241281.40921897598</v>
      </c>
      <c r="AF131" s="139">
        <v>36145.280377385927</v>
      </c>
      <c r="AG131" s="123"/>
      <c r="AH131" s="137">
        <f t="shared" ref="AH131:AH159" si="46">AH130+$F$40</f>
        <v>0.20456666666666667</v>
      </c>
      <c r="AI131" s="144">
        <v>-250895.49893166326</v>
      </c>
      <c r="AJ131" s="139">
        <v>35311.571534239672</v>
      </c>
      <c r="AK131" s="131"/>
      <c r="AL131" s="137">
        <f t="shared" ref="AL131:AL159" si="47">AL130+$F$41</f>
        <v>2.908888888888889E-2</v>
      </c>
      <c r="AM131" s="144">
        <v>-262940.51878749853</v>
      </c>
      <c r="AN131" s="139">
        <v>35737.219796919169</v>
      </c>
      <c r="AO131" s="123"/>
      <c r="AP131" s="137">
        <f t="shared" ref="AP131:AP159" si="48">AP130+$F$42</f>
        <v>1.8748493370831662E-2</v>
      </c>
      <c r="AQ131" s="144">
        <v>-226105.39420090191</v>
      </c>
      <c r="AR131" s="139">
        <v>36481.824999005126</v>
      </c>
      <c r="AT131" s="137">
        <f t="shared" si="35"/>
        <v>24130.089511359998</v>
      </c>
      <c r="AU131" s="144">
        <v>-236208.72669502345</v>
      </c>
      <c r="AV131" s="139">
        <v>35565.313053729042</v>
      </c>
      <c r="AW131" s="123"/>
      <c r="AX131" s="137">
        <f t="shared" si="36"/>
        <v>2164.1</v>
      </c>
      <c r="AY131" s="144">
        <v>-240785.76352852726</v>
      </c>
      <c r="AZ131" s="139">
        <v>36157.881589139026</v>
      </c>
      <c r="BA131" s="123"/>
      <c r="BB131" s="137">
        <f t="shared" si="37"/>
        <v>513.9666666666667</v>
      </c>
      <c r="BC131" s="144">
        <v>-240694.96658522272</v>
      </c>
      <c r="BD131" s="139">
        <v>36146.126514038944</v>
      </c>
      <c r="BE131" s="123"/>
      <c r="BF131" s="137">
        <f t="shared" si="38"/>
        <v>1905.6999999999998</v>
      </c>
      <c r="BG131" s="144">
        <v>-241205.05392566917</v>
      </c>
      <c r="BH131" s="139">
        <v>36212.165245920449</v>
      </c>
    </row>
    <row r="132" spans="1:60" x14ac:dyDescent="0.3">
      <c r="A132" s="108"/>
      <c r="B132" s="137">
        <f t="shared" si="39"/>
        <v>5.0439999999999992E-2</v>
      </c>
      <c r="C132" s="144">
        <v>-279839.69228167302</v>
      </c>
      <c r="D132" s="139">
        <v>35502.140811151054</v>
      </c>
      <c r="E132" s="123"/>
      <c r="F132" s="141">
        <f t="shared" si="40"/>
        <v>7.9200000000000017E-3</v>
      </c>
      <c r="G132" s="144">
        <v>-262778.19313357439</v>
      </c>
      <c r="H132" s="139">
        <v>35753.966847194097</v>
      </c>
      <c r="I132" s="123"/>
      <c r="J132" s="137">
        <f t="shared" si="41"/>
        <v>2.1104999999999999E-2</v>
      </c>
      <c r="K132" s="144">
        <v>-253060.16161413444</v>
      </c>
      <c r="L132" s="139">
        <v>35931.296971810196</v>
      </c>
      <c r="M132" s="123"/>
      <c r="N132" s="137">
        <f t="shared" si="42"/>
        <v>3.7399999999999998E-3</v>
      </c>
      <c r="O132" s="144">
        <v>-234564.84996074095</v>
      </c>
      <c r="P132" s="139">
        <v>36289.251376461594</v>
      </c>
      <c r="Q132" s="123"/>
      <c r="R132" s="137">
        <f t="shared" si="43"/>
        <v>0.27</v>
      </c>
      <c r="S132" s="144">
        <v>-240122.39558153506</v>
      </c>
      <c r="T132" s="139">
        <v>35868.480364825642</v>
      </c>
      <c r="U132" s="123"/>
      <c r="V132" s="137">
        <f t="shared" si="44"/>
        <v>0.1293</v>
      </c>
      <c r="W132" s="144">
        <v>-241969.4814460816</v>
      </c>
      <c r="X132" s="139">
        <v>36126.965100452253</v>
      </c>
      <c r="Y132" s="123"/>
      <c r="Z132" s="137">
        <f t="shared" ref="Z132:Z159" si="49">Z131+$F$38</f>
        <v>0.15599999999999997</v>
      </c>
      <c r="AA132" s="144">
        <v>-245662.54986051621</v>
      </c>
      <c r="AB132" s="139">
        <v>36030.477418066621</v>
      </c>
      <c r="AC132" s="123"/>
      <c r="AD132" s="137">
        <f t="shared" si="45"/>
        <v>9.0000000000000011E-2</v>
      </c>
      <c r="AE132" s="144">
        <v>-241243.53748825117</v>
      </c>
      <c r="AF132" s="139">
        <v>36146.29228946042</v>
      </c>
      <c r="AG132" s="123"/>
      <c r="AH132" s="137">
        <f t="shared" si="46"/>
        <v>0.21660000000000001</v>
      </c>
      <c r="AI132" s="144">
        <v>-250074.56648178597</v>
      </c>
      <c r="AJ132" s="139">
        <v>35376.714895786856</v>
      </c>
      <c r="AK132" s="131"/>
      <c r="AL132" s="137">
        <f t="shared" si="47"/>
        <v>3.0800000000000001E-2</v>
      </c>
      <c r="AM132" s="144">
        <v>-261092.90525994729</v>
      </c>
      <c r="AN132" s="139">
        <v>35769.620984414207</v>
      </c>
      <c r="AO132" s="123"/>
      <c r="AP132" s="137">
        <f t="shared" si="48"/>
        <v>1.9851345922057055E-2</v>
      </c>
      <c r="AQ132" s="144">
        <v>-227171.1023815306</v>
      </c>
      <c r="AR132" s="139">
        <v>36456.94886326282</v>
      </c>
      <c r="AT132" s="137">
        <f t="shared" si="35"/>
        <v>25549.506541439998</v>
      </c>
      <c r="AU132" s="144">
        <v>-236561.13540457404</v>
      </c>
      <c r="AV132" s="139">
        <v>35610.937836854122</v>
      </c>
      <c r="AW132" s="123"/>
      <c r="AX132" s="137">
        <f t="shared" si="36"/>
        <v>2291.4</v>
      </c>
      <c r="AY132" s="144">
        <v>-240786.09248165475</v>
      </c>
      <c r="AZ132" s="139">
        <v>36157.924177232606</v>
      </c>
      <c r="BA132" s="123"/>
      <c r="BB132" s="137">
        <f t="shared" si="37"/>
        <v>544.20000000000005</v>
      </c>
      <c r="BC132" s="144">
        <v>-240702.27991860468</v>
      </c>
      <c r="BD132" s="139">
        <v>36147.073338678718</v>
      </c>
      <c r="BE132" s="123"/>
      <c r="BF132" s="137">
        <f t="shared" si="38"/>
        <v>2017.7999999999997</v>
      </c>
      <c r="BG132" s="144">
        <v>-241173.12977132408</v>
      </c>
      <c r="BH132" s="139">
        <v>36208.032168107748</v>
      </c>
    </row>
    <row r="133" spans="1:60" x14ac:dyDescent="0.3">
      <c r="A133" s="108"/>
      <c r="B133" s="137">
        <f t="shared" si="39"/>
        <v>5.3242222222222212E-2</v>
      </c>
      <c r="C133" s="144">
        <v>-276111.9807018814</v>
      </c>
      <c r="D133" s="139">
        <v>35556.832013084728</v>
      </c>
      <c r="E133" s="123"/>
      <c r="F133" s="141">
        <f t="shared" si="40"/>
        <v>8.3600000000000011E-3</v>
      </c>
      <c r="G133" s="144">
        <v>-260794.2618578476</v>
      </c>
      <c r="H133" s="139">
        <v>35787.672546124188</v>
      </c>
      <c r="I133" s="123"/>
      <c r="J133" s="137">
        <f t="shared" si="41"/>
        <v>2.2277499999999999E-2</v>
      </c>
      <c r="K133" s="144">
        <v>-251990.48598230307</v>
      </c>
      <c r="L133" s="139">
        <v>35950.225160355614</v>
      </c>
      <c r="M133" s="123"/>
      <c r="N133" s="137">
        <f t="shared" si="42"/>
        <v>3.9477777777777775E-3</v>
      </c>
      <c r="O133" s="144">
        <v>-235071.31395020854</v>
      </c>
      <c r="P133" s="139">
        <v>36278.350031286041</v>
      </c>
      <c r="Q133" s="123"/>
      <c r="R133" s="137">
        <f t="shared" si="43"/>
        <v>0.28500000000000003</v>
      </c>
      <c r="S133" s="144">
        <v>-240178.32185061983</v>
      </c>
      <c r="T133" s="139">
        <v>35892.643270619759</v>
      </c>
      <c r="U133" s="123"/>
      <c r="V133" s="137">
        <f t="shared" si="44"/>
        <v>0.13648333333333332</v>
      </c>
      <c r="W133" s="144">
        <v>-241870.73555684232</v>
      </c>
      <c r="X133" s="139">
        <v>36129.587611610863</v>
      </c>
      <c r="Y133" s="123"/>
      <c r="Z133" s="137">
        <f t="shared" si="49"/>
        <v>0.16466666666666663</v>
      </c>
      <c r="AA133" s="144">
        <v>-245248.68267339282</v>
      </c>
      <c r="AB133" s="139">
        <v>36041.140569423958</v>
      </c>
      <c r="AC133" s="123"/>
      <c r="AD133" s="137">
        <f t="shared" si="45"/>
        <v>9.5000000000000015E-2</v>
      </c>
      <c r="AE133" s="144">
        <v>-241205.67812842451</v>
      </c>
      <c r="AF133" s="139">
        <v>36147.304201534957</v>
      </c>
      <c r="AG133" s="123"/>
      <c r="AH133" s="137">
        <f t="shared" si="46"/>
        <v>0.22863333333333336</v>
      </c>
      <c r="AI133" s="144">
        <v>-249261.27063406626</v>
      </c>
      <c r="AJ133" s="139">
        <v>35441.858257334286</v>
      </c>
      <c r="AK133" s="131"/>
      <c r="AL133" s="137">
        <f t="shared" si="47"/>
        <v>3.2511111111111109E-2</v>
      </c>
      <c r="AM133" s="144">
        <v>-259271.08622252464</v>
      </c>
      <c r="AN133" s="139">
        <v>35802.022171909266</v>
      </c>
      <c r="AO133" s="123"/>
      <c r="AP133" s="137">
        <f t="shared" si="48"/>
        <v>2.0954198473282448E-2</v>
      </c>
      <c r="AQ133" s="144">
        <v>-228246.90269626194</v>
      </c>
      <c r="AR133" s="139">
        <v>36432.072727520455</v>
      </c>
      <c r="AT133" s="137">
        <f t="shared" si="35"/>
        <v>26968.923571519997</v>
      </c>
      <c r="AU133" s="144">
        <v>-236913.54411412496</v>
      </c>
      <c r="AV133" s="139">
        <v>35656.562619979246</v>
      </c>
      <c r="AW133" s="123"/>
      <c r="AX133" s="137">
        <f t="shared" si="36"/>
        <v>2418.7000000000003</v>
      </c>
      <c r="AY133" s="144">
        <v>-240786.42143478204</v>
      </c>
      <c r="AZ133" s="139">
        <v>36157.966765326157</v>
      </c>
      <c r="BA133" s="123"/>
      <c r="BB133" s="137">
        <f t="shared" si="37"/>
        <v>574.43333333333339</v>
      </c>
      <c r="BC133" s="144">
        <v>-240709.59325198585</v>
      </c>
      <c r="BD133" s="139">
        <v>36148.02016331839</v>
      </c>
      <c r="BE133" s="123"/>
      <c r="BF133" s="137">
        <f t="shared" si="38"/>
        <v>2129.8999999999996</v>
      </c>
      <c r="BG133" s="144">
        <v>-241141.20561697899</v>
      </c>
      <c r="BH133" s="139">
        <v>36203.899090295046</v>
      </c>
    </row>
    <row r="134" spans="1:60" x14ac:dyDescent="0.3">
      <c r="A134" s="108"/>
      <c r="B134" s="137">
        <f t="shared" si="39"/>
        <v>5.6044444444444431E-2</v>
      </c>
      <c r="C134" s="144">
        <v>-272481.61630768498</v>
      </c>
      <c r="D134" s="139">
        <v>35611.523215018438</v>
      </c>
      <c r="E134" s="123"/>
      <c r="F134" s="141">
        <f t="shared" si="40"/>
        <v>8.8000000000000005E-3</v>
      </c>
      <c r="G134" s="144">
        <v>-258839.94881811921</v>
      </c>
      <c r="H134" s="139">
        <v>35821.378245054279</v>
      </c>
      <c r="I134" s="123"/>
      <c r="J134" s="137">
        <f t="shared" si="41"/>
        <v>2.3449999999999999E-2</v>
      </c>
      <c r="K134" s="144">
        <v>-250929.74399754379</v>
      </c>
      <c r="L134" s="139">
        <v>35969.153348901069</v>
      </c>
      <c r="M134" s="123"/>
      <c r="N134" s="137">
        <f t="shared" si="42"/>
        <v>4.1555555555555556E-3</v>
      </c>
      <c r="O134" s="144">
        <v>-235579.96631528548</v>
      </c>
      <c r="P134" s="139">
        <v>36267.448686110554</v>
      </c>
      <c r="Q134" s="123"/>
      <c r="R134" s="137">
        <f t="shared" si="43"/>
        <v>0.30000000000000004</v>
      </c>
      <c r="S134" s="144">
        <v>-240234.19528201679</v>
      </c>
      <c r="T134" s="139">
        <v>35916.806176413913</v>
      </c>
      <c r="U134" s="123"/>
      <c r="V134" s="137">
        <f t="shared" si="44"/>
        <v>0.14366666666666664</v>
      </c>
      <c r="W134" s="144">
        <v>-241772.07349378106</v>
      </c>
      <c r="X134" s="139">
        <v>36132.210122769378</v>
      </c>
      <c r="Y134" s="123"/>
      <c r="Z134" s="137">
        <f t="shared" si="49"/>
        <v>0.17333333333333328</v>
      </c>
      <c r="AA134" s="144">
        <v>-244836.26303737893</v>
      </c>
      <c r="AB134" s="139">
        <v>36051.80372078139</v>
      </c>
      <c r="AC134" s="123"/>
      <c r="AD134" s="137">
        <f t="shared" si="45"/>
        <v>0.10000000000000002</v>
      </c>
      <c r="AE134" s="144">
        <v>-241167.83113343609</v>
      </c>
      <c r="AF134" s="139">
        <v>36148.31611360961</v>
      </c>
      <c r="AG134" s="123"/>
      <c r="AH134" s="137">
        <f t="shared" si="46"/>
        <v>0.2406666666666667</v>
      </c>
      <c r="AI134" s="144">
        <v>-248455.50532429633</v>
      </c>
      <c r="AJ134" s="139">
        <v>35507.001618881644</v>
      </c>
      <c r="AK134" s="131"/>
      <c r="AL134" s="137">
        <f t="shared" si="47"/>
        <v>3.4222222222222216E-2</v>
      </c>
      <c r="AM134" s="144">
        <v>-257474.52524534691</v>
      </c>
      <c r="AN134" s="139">
        <v>35834.423359404376</v>
      </c>
      <c r="AO134" s="123"/>
      <c r="AP134" s="137">
        <f t="shared" si="48"/>
        <v>2.2057051024507841E-2</v>
      </c>
      <c r="AQ134" s="144">
        <v>-229332.9391841394</v>
      </c>
      <c r="AR134" s="139">
        <v>36407.196591778134</v>
      </c>
      <c r="AT134" s="137">
        <f t="shared" si="35"/>
        <v>28388.340601599997</v>
      </c>
      <c r="AU134" s="144">
        <v>-237265.95282367579</v>
      </c>
      <c r="AV134" s="139">
        <v>35702.187403104355</v>
      </c>
      <c r="AW134" s="123"/>
      <c r="AX134" s="137">
        <f t="shared" si="36"/>
        <v>2546.0000000000005</v>
      </c>
      <c r="AY134" s="144">
        <v>-240786.75038790886</v>
      </c>
      <c r="AZ134" s="139">
        <v>36158.009353419649</v>
      </c>
      <c r="BA134" s="123"/>
      <c r="BB134" s="137">
        <f t="shared" si="37"/>
        <v>604.66666666666674</v>
      </c>
      <c r="BC134" s="144">
        <v>-240716.90658536737</v>
      </c>
      <c r="BD134" s="139">
        <v>36148.966987958105</v>
      </c>
      <c r="BE134" s="123"/>
      <c r="BF134" s="137">
        <f t="shared" si="38"/>
        <v>2241.9999999999995</v>
      </c>
      <c r="BG134" s="144">
        <v>-241109.28146263424</v>
      </c>
      <c r="BH134" s="139">
        <v>36199.766012482389</v>
      </c>
    </row>
    <row r="135" spans="1:60" x14ac:dyDescent="0.3">
      <c r="A135" s="108"/>
      <c r="B135" s="137">
        <f t="shared" si="39"/>
        <v>5.8846666666666651E-2</v>
      </c>
      <c r="C135" s="144">
        <v>-268944.83499369468</v>
      </c>
      <c r="D135" s="139">
        <v>35666.214416952113</v>
      </c>
      <c r="E135" s="123"/>
      <c r="F135" s="141">
        <f t="shared" si="40"/>
        <v>9.2399999999999999E-3</v>
      </c>
      <c r="G135" s="144">
        <v>-256914.59566984136</v>
      </c>
      <c r="H135" s="139">
        <v>35855.083943984479</v>
      </c>
      <c r="I135" s="123"/>
      <c r="J135" s="137">
        <f t="shared" si="41"/>
        <v>2.4622499999999999E-2</v>
      </c>
      <c r="K135" s="144">
        <v>-249877.82420809151</v>
      </c>
      <c r="L135" s="139">
        <v>35988.081537446473</v>
      </c>
      <c r="M135" s="123"/>
      <c r="N135" s="137">
        <f t="shared" si="42"/>
        <v>4.3633333333333336E-3</v>
      </c>
      <c r="O135" s="144">
        <v>-236090.82127027956</v>
      </c>
      <c r="P135" s="139">
        <v>36256.547340935009</v>
      </c>
      <c r="Q135" s="123"/>
      <c r="R135" s="137">
        <f t="shared" si="43"/>
        <v>0.31500000000000006</v>
      </c>
      <c r="S135" s="144">
        <v>-240290.01595056735</v>
      </c>
      <c r="T135" s="139">
        <v>35940.969082208103</v>
      </c>
      <c r="U135" s="123"/>
      <c r="V135" s="137">
        <f t="shared" si="44"/>
        <v>0.15084999999999996</v>
      </c>
      <c r="W135" s="144">
        <v>-241673.4951502</v>
      </c>
      <c r="X135" s="139">
        <v>36134.832633927981</v>
      </c>
      <c r="Y135" s="123"/>
      <c r="Z135" s="137">
        <f t="shared" si="49"/>
        <v>0.18199999999999994</v>
      </c>
      <c r="AA135" s="144">
        <v>-244425.28337125113</v>
      </c>
      <c r="AB135" s="139">
        <v>36062.466872138772</v>
      </c>
      <c r="AC135" s="123"/>
      <c r="AD135" s="137">
        <f t="shared" si="45"/>
        <v>0.10500000000000002</v>
      </c>
      <c r="AE135" s="144">
        <v>-241129.99649723258</v>
      </c>
      <c r="AF135" s="139">
        <v>36149.328025684117</v>
      </c>
      <c r="AG135" s="123"/>
      <c r="AH135" s="137">
        <f t="shared" si="46"/>
        <v>0.25270000000000004</v>
      </c>
      <c r="AI135" s="144">
        <v>-247657.16644337086</v>
      </c>
      <c r="AJ135" s="139">
        <v>35572.144980428995</v>
      </c>
      <c r="AK135" s="131"/>
      <c r="AL135" s="137">
        <f t="shared" si="47"/>
        <v>3.5933333333333324E-2</v>
      </c>
      <c r="AM135" s="144">
        <v>-255702.70067045972</v>
      </c>
      <c r="AN135" s="139">
        <v>35866.824546899472</v>
      </c>
      <c r="AO135" s="123"/>
      <c r="AP135" s="137">
        <f t="shared" si="48"/>
        <v>2.3159903575733234E-2</v>
      </c>
      <c r="AQ135" s="144">
        <v>-230429.35863835178</v>
      </c>
      <c r="AR135" s="139">
        <v>36382.320456035959</v>
      </c>
      <c r="AT135" s="137">
        <f t="shared" si="35"/>
        <v>29807.757631679997</v>
      </c>
      <c r="AU135" s="144">
        <v>-237618.36153322624</v>
      </c>
      <c r="AV135" s="139">
        <v>35747.812186229421</v>
      </c>
      <c r="AW135" s="123"/>
      <c r="AX135" s="137">
        <f t="shared" si="36"/>
        <v>2673.3000000000006</v>
      </c>
      <c r="AY135" s="144">
        <v>-240787.0793410365</v>
      </c>
      <c r="AZ135" s="139">
        <v>36158.051941513244</v>
      </c>
      <c r="BA135" s="123"/>
      <c r="BB135" s="137">
        <f t="shared" si="37"/>
        <v>634.90000000000009</v>
      </c>
      <c r="BC135" s="144">
        <v>-240724.21991874886</v>
      </c>
      <c r="BD135" s="139">
        <v>36149.913812597821</v>
      </c>
      <c r="BE135" s="123"/>
      <c r="BF135" s="137">
        <f t="shared" si="38"/>
        <v>2354.0999999999995</v>
      </c>
      <c r="BG135" s="144">
        <v>-241077.35730828825</v>
      </c>
      <c r="BH135" s="139">
        <v>36195.632934669571</v>
      </c>
    </row>
    <row r="136" spans="1:60" x14ac:dyDescent="0.3">
      <c r="A136" s="108"/>
      <c r="B136" s="137">
        <f t="shared" si="39"/>
        <v>6.1648888888888871E-2</v>
      </c>
      <c r="C136" s="144">
        <v>-265498.06424636801</v>
      </c>
      <c r="D136" s="139">
        <v>35720.905618885794</v>
      </c>
      <c r="E136" s="123"/>
      <c r="F136" s="141">
        <f t="shared" si="40"/>
        <v>9.6799999999999994E-3</v>
      </c>
      <c r="G136" s="144">
        <v>-255017.56343624665</v>
      </c>
      <c r="H136" s="139">
        <v>35888.789642914453</v>
      </c>
      <c r="I136" s="123"/>
      <c r="J136" s="137">
        <f t="shared" si="41"/>
        <v>2.5794999999999998E-2</v>
      </c>
      <c r="K136" s="144">
        <v>-248834.61700839101</v>
      </c>
      <c r="L136" s="139">
        <v>36007.009725991818</v>
      </c>
      <c r="M136" s="123"/>
      <c r="N136" s="137">
        <f t="shared" si="42"/>
        <v>4.5711111111111117E-3</v>
      </c>
      <c r="O136" s="144">
        <v>-236603.89315286916</v>
      </c>
      <c r="P136" s="139">
        <v>36245.645995759463</v>
      </c>
      <c r="Q136" s="123"/>
      <c r="R136" s="137">
        <f t="shared" si="43"/>
        <v>0.33000000000000007</v>
      </c>
      <c r="S136" s="144">
        <v>-240345.78393098019</v>
      </c>
      <c r="T136" s="139">
        <v>35965.13198800222</v>
      </c>
      <c r="U136" s="123"/>
      <c r="V136" s="137">
        <f t="shared" si="44"/>
        <v>0.15803333333333328</v>
      </c>
      <c r="W136" s="144">
        <v>-241575.00041958911</v>
      </c>
      <c r="X136" s="139">
        <v>36137.455145086642</v>
      </c>
      <c r="Y136" s="123"/>
      <c r="Z136" s="137">
        <f t="shared" si="49"/>
        <v>0.1906666666666666</v>
      </c>
      <c r="AA136" s="144">
        <v>-244015.73614663494</v>
      </c>
      <c r="AB136" s="139">
        <v>36073.13002349616</v>
      </c>
      <c r="AC136" s="123"/>
      <c r="AD136" s="137">
        <f t="shared" si="45"/>
        <v>0.11000000000000003</v>
      </c>
      <c r="AE136" s="144">
        <v>-241092.17421375401</v>
      </c>
      <c r="AF136" s="139">
        <v>36150.339937758697</v>
      </c>
      <c r="AG136" s="123"/>
      <c r="AH136" s="137">
        <f t="shared" si="46"/>
        <v>0.26473333333333338</v>
      </c>
      <c r="AI136" s="144">
        <v>-246866.15179244176</v>
      </c>
      <c r="AJ136" s="139">
        <v>35637.288341976375</v>
      </c>
      <c r="AK136" s="131"/>
      <c r="AL136" s="137">
        <f t="shared" si="47"/>
        <v>3.7644444444444432E-2</v>
      </c>
      <c r="AM136" s="144">
        <v>-253955.10510686645</v>
      </c>
      <c r="AN136" s="139">
        <v>35899.225734394546</v>
      </c>
      <c r="AO136" s="123"/>
      <c r="AP136" s="137">
        <f t="shared" si="48"/>
        <v>2.4262756126958628E-2</v>
      </c>
      <c r="AQ136" s="144">
        <v>-231536.31067238341</v>
      </c>
      <c r="AR136" s="139">
        <v>36357.444320293609</v>
      </c>
      <c r="AT136" s="137">
        <f t="shared" si="35"/>
        <v>31227.174661759997</v>
      </c>
      <c r="AU136" s="144">
        <v>-237970.77024277695</v>
      </c>
      <c r="AV136" s="139">
        <v>35793.436969354516</v>
      </c>
      <c r="AW136" s="123"/>
      <c r="AX136" s="137">
        <f t="shared" si="36"/>
        <v>2800.6000000000008</v>
      </c>
      <c r="AY136" s="144">
        <v>-240787.40829416309</v>
      </c>
      <c r="AZ136" s="139">
        <v>36158.094529606708</v>
      </c>
      <c r="BA136" s="123"/>
      <c r="BB136" s="137">
        <f t="shared" si="37"/>
        <v>665.13333333333344</v>
      </c>
      <c r="BC136" s="144">
        <v>-240731.53325212948</v>
      </c>
      <c r="BD136" s="139">
        <v>36150.86063723742</v>
      </c>
      <c r="BE136" s="123"/>
      <c r="BF136" s="137">
        <f t="shared" si="38"/>
        <v>2466.1999999999994</v>
      </c>
      <c r="BG136" s="144">
        <v>-241045.43315394374</v>
      </c>
      <c r="BH136" s="139">
        <v>36191.499856856943</v>
      </c>
    </row>
    <row r="137" spans="1:60" x14ac:dyDescent="0.3">
      <c r="A137" s="108"/>
      <c r="B137" s="137">
        <f t="shared" si="39"/>
        <v>6.4451111111111098E-2</v>
      </c>
      <c r="C137" s="144">
        <v>-262137.91110723911</v>
      </c>
      <c r="D137" s="139">
        <v>35775.596820819432</v>
      </c>
      <c r="E137" s="123"/>
      <c r="F137" s="141">
        <f t="shared" si="40"/>
        <v>1.0119999999999999E-2</v>
      </c>
      <c r="G137" s="144">
        <v>-253148.23180134012</v>
      </c>
      <c r="H137" s="139">
        <v>35922.495341844588</v>
      </c>
      <c r="I137" s="123"/>
      <c r="J137" s="137">
        <f t="shared" si="41"/>
        <v>2.6967499999999998E-2</v>
      </c>
      <c r="K137" s="144">
        <v>-247800.01460102524</v>
      </c>
      <c r="L137" s="139">
        <v>36025.93791453736</v>
      </c>
      <c r="M137" s="123"/>
      <c r="N137" s="137">
        <f t="shared" si="42"/>
        <v>4.7788888888888898E-3</v>
      </c>
      <c r="O137" s="144">
        <v>-237119.19642544215</v>
      </c>
      <c r="P137" s="139">
        <v>36234.744650583933</v>
      </c>
      <c r="Q137" s="123"/>
      <c r="R137" s="137">
        <f t="shared" si="43"/>
        <v>0.34500000000000008</v>
      </c>
      <c r="S137" s="144">
        <v>-240401.49929781261</v>
      </c>
      <c r="T137" s="139">
        <v>35989.294893796279</v>
      </c>
      <c r="U137" s="123"/>
      <c r="V137" s="137">
        <f t="shared" si="44"/>
        <v>0.1652166666666666</v>
      </c>
      <c r="W137" s="144">
        <v>-241476.58919561058</v>
      </c>
      <c r="X137" s="139">
        <v>36140.077656245165</v>
      </c>
      <c r="Y137" s="123"/>
      <c r="Z137" s="137">
        <f t="shared" si="49"/>
        <v>0.19933333333333325</v>
      </c>
      <c r="AA137" s="144">
        <v>-243607.61388754289</v>
      </c>
      <c r="AB137" s="139">
        <v>36083.793174853592</v>
      </c>
      <c r="AC137" s="123"/>
      <c r="AD137" s="137">
        <f t="shared" si="45"/>
        <v>0.11500000000000003</v>
      </c>
      <c r="AE137" s="144">
        <v>-241054.36427695691</v>
      </c>
      <c r="AF137" s="139">
        <v>36151.351849833271</v>
      </c>
      <c r="AG137" s="123"/>
      <c r="AH137" s="137">
        <f t="shared" si="46"/>
        <v>0.27676666666666672</v>
      </c>
      <c r="AI137" s="144">
        <v>-246082.36103932656</v>
      </c>
      <c r="AJ137" s="139">
        <v>35702.431703523798</v>
      </c>
      <c r="AK137" s="131"/>
      <c r="AL137" s="137">
        <f t="shared" si="47"/>
        <v>3.9355555555555539E-2</v>
      </c>
      <c r="AM137" s="144">
        <v>-252231.24494606958</v>
      </c>
      <c r="AN137" s="139">
        <v>35931.626921889641</v>
      </c>
      <c r="AO137" s="123"/>
      <c r="AP137" s="137">
        <f t="shared" si="48"/>
        <v>2.5365608678184021E-2</v>
      </c>
      <c r="AQ137" s="144">
        <v>-232653.94778806501</v>
      </c>
      <c r="AR137" s="139">
        <v>36332.56818455123</v>
      </c>
      <c r="AT137" s="137">
        <f t="shared" si="35"/>
        <v>32646.591691839996</v>
      </c>
      <c r="AU137" s="144">
        <v>-238323.17895232767</v>
      </c>
      <c r="AV137" s="139">
        <v>35839.061752479611</v>
      </c>
      <c r="AW137" s="123"/>
      <c r="AX137" s="137">
        <f t="shared" si="36"/>
        <v>2927.900000000001</v>
      </c>
      <c r="AY137" s="144">
        <v>-240787.73724729061</v>
      </c>
      <c r="AZ137" s="139">
        <v>36158.137117700287</v>
      </c>
      <c r="BA137" s="123"/>
      <c r="BB137" s="137">
        <f t="shared" si="37"/>
        <v>695.36666666666679</v>
      </c>
      <c r="BC137" s="144">
        <v>-240738.8465855121</v>
      </c>
      <c r="BD137" s="139">
        <v>36151.807461877281</v>
      </c>
      <c r="BE137" s="123"/>
      <c r="BF137" s="137">
        <f t="shared" si="38"/>
        <v>2578.2999999999993</v>
      </c>
      <c r="BG137" s="144">
        <v>-241013.50899959853</v>
      </c>
      <c r="BH137" s="139">
        <v>36187.366779044227</v>
      </c>
    </row>
    <row r="138" spans="1:60" x14ac:dyDescent="0.3">
      <c r="A138" s="108"/>
      <c r="B138" s="137">
        <f t="shared" si="39"/>
        <v>6.7253333333333318E-2</v>
      </c>
      <c r="C138" s="144">
        <v>-258861.15103230815</v>
      </c>
      <c r="D138" s="139">
        <v>35830.288022753164</v>
      </c>
      <c r="E138" s="123"/>
      <c r="F138" s="141">
        <f t="shared" si="40"/>
        <v>1.0559999999999998E-2</v>
      </c>
      <c r="G138" s="144">
        <v>-251305.99843361604</v>
      </c>
      <c r="H138" s="139">
        <v>35956.201040774693</v>
      </c>
      <c r="I138" s="123"/>
      <c r="J138" s="137">
        <f t="shared" si="41"/>
        <v>2.8139999999999998E-2</v>
      </c>
      <c r="K138" s="144">
        <v>-246773.91095959334</v>
      </c>
      <c r="L138" s="139">
        <v>36044.866103082786</v>
      </c>
      <c r="M138" s="123"/>
      <c r="N138" s="137">
        <f t="shared" si="42"/>
        <v>4.9866666666666679E-3</v>
      </c>
      <c r="O138" s="144">
        <v>-237636.74567645922</v>
      </c>
      <c r="P138" s="139">
        <v>36223.84330540838</v>
      </c>
      <c r="Q138" s="123"/>
      <c r="R138" s="137">
        <f t="shared" si="43"/>
        <v>0.3600000000000001</v>
      </c>
      <c r="S138" s="144">
        <v>-240457.1621254877</v>
      </c>
      <c r="T138" s="139">
        <v>36013.457799590404</v>
      </c>
      <c r="U138" s="123"/>
      <c r="V138" s="137">
        <f t="shared" si="44"/>
        <v>0.17239999999999991</v>
      </c>
      <c r="W138" s="144">
        <v>-241378.26137211188</v>
      </c>
      <c r="X138" s="139">
        <v>36142.700167403775</v>
      </c>
      <c r="Y138" s="123"/>
      <c r="Z138" s="137">
        <f t="shared" si="49"/>
        <v>0.20799999999999991</v>
      </c>
      <c r="AA138" s="144">
        <v>-243200.9091699236</v>
      </c>
      <c r="AB138" s="139">
        <v>36094.456326210864</v>
      </c>
      <c r="AC138" s="123"/>
      <c r="AD138" s="137">
        <f t="shared" si="45"/>
        <v>0.12000000000000004</v>
      </c>
      <c r="AE138" s="144">
        <v>-241016.56668079618</v>
      </c>
      <c r="AF138" s="139">
        <v>36152.363761907785</v>
      </c>
      <c r="AG138" s="123"/>
      <c r="AH138" s="137">
        <f t="shared" si="46"/>
        <v>0.28880000000000006</v>
      </c>
      <c r="AI138" s="144">
        <v>-245305.69567605734</v>
      </c>
      <c r="AJ138" s="139">
        <v>35767.57506507104</v>
      </c>
      <c r="AK138" s="131"/>
      <c r="AL138" s="137">
        <f t="shared" si="47"/>
        <v>4.1066666666666647E-2</v>
      </c>
      <c r="AM138" s="144">
        <v>-250530.63989726716</v>
      </c>
      <c r="AN138" s="139">
        <v>35964.028109384635</v>
      </c>
      <c r="AO138" s="123"/>
      <c r="AP138" s="137">
        <f t="shared" si="48"/>
        <v>2.6468461229409414E-2</v>
      </c>
      <c r="AQ138" s="144">
        <v>-233782.42544561985</v>
      </c>
      <c r="AR138" s="139">
        <v>36307.692048808945</v>
      </c>
      <c r="AT138" s="137">
        <f t="shared" si="35"/>
        <v>34066.00872192</v>
      </c>
      <c r="AU138" s="144">
        <v>-238675.58766187847</v>
      </c>
      <c r="AV138" s="139">
        <v>35884.68653560472</v>
      </c>
      <c r="AW138" s="123"/>
      <c r="AX138" s="137">
        <f t="shared" si="36"/>
        <v>3055.2000000000012</v>
      </c>
      <c r="AY138" s="144">
        <v>-240788.06620041854</v>
      </c>
      <c r="AZ138" s="139">
        <v>36158.179705793926</v>
      </c>
      <c r="BA138" s="123"/>
      <c r="BB138" s="137">
        <f t="shared" si="37"/>
        <v>725.60000000000014</v>
      </c>
      <c r="BC138" s="144">
        <v>-240746.15991889307</v>
      </c>
      <c r="BD138" s="139">
        <v>36152.754286516923</v>
      </c>
      <c r="BE138" s="123"/>
      <c r="BF138" s="137">
        <f t="shared" si="38"/>
        <v>2690.3999999999992</v>
      </c>
      <c r="BG138" s="144">
        <v>-240981.58484525332</v>
      </c>
      <c r="BH138" s="139">
        <v>36183.233701231511</v>
      </c>
    </row>
    <row r="139" spans="1:60" x14ac:dyDescent="0.3">
      <c r="A139" s="108"/>
      <c r="B139" s="137">
        <f t="shared" si="39"/>
        <v>7.0055555555555538E-2</v>
      </c>
      <c r="C139" s="144">
        <v>-255664.71757074684</v>
      </c>
      <c r="D139" s="139">
        <v>35884.979224686846</v>
      </c>
      <c r="E139" s="123"/>
      <c r="F139" s="141">
        <f t="shared" si="40"/>
        <v>1.0999999999999998E-2</v>
      </c>
      <c r="G139" s="144">
        <v>-249490.27833898598</v>
      </c>
      <c r="H139" s="139">
        <v>35989.906739704762</v>
      </c>
      <c r="I139" s="123"/>
      <c r="J139" s="137">
        <f t="shared" si="41"/>
        <v>2.9312499999999998E-2</v>
      </c>
      <c r="K139" s="144">
        <v>-245756.20179247344</v>
      </c>
      <c r="L139" s="139">
        <v>36063.79429162819</v>
      </c>
      <c r="M139" s="123"/>
      <c r="N139" s="137">
        <f t="shared" si="42"/>
        <v>5.194444444444446E-3</v>
      </c>
      <c r="O139" s="144">
        <v>-238156.55562182397</v>
      </c>
      <c r="P139" s="139">
        <v>36212.9419602329</v>
      </c>
      <c r="Q139" s="123"/>
      <c r="R139" s="137">
        <f t="shared" si="43"/>
        <v>0.37500000000000011</v>
      </c>
      <c r="S139" s="144">
        <v>-240512.77248828782</v>
      </c>
      <c r="T139" s="139">
        <v>36037.620705384572</v>
      </c>
      <c r="U139" s="123"/>
      <c r="V139" s="137">
        <f t="shared" si="44"/>
        <v>0.17958333333333323</v>
      </c>
      <c r="W139" s="144">
        <v>-241280.01684311923</v>
      </c>
      <c r="X139" s="139">
        <v>36145.322678562276</v>
      </c>
      <c r="Y139" s="123"/>
      <c r="Z139" s="137">
        <f t="shared" si="49"/>
        <v>0.21666666666666656</v>
      </c>
      <c r="AA139" s="144">
        <v>-242795.61462120226</v>
      </c>
      <c r="AB139" s="139">
        <v>36105.119477568362</v>
      </c>
      <c r="AC139" s="123"/>
      <c r="AD139" s="137">
        <f t="shared" si="45"/>
        <v>0.12500000000000003</v>
      </c>
      <c r="AE139" s="144">
        <v>-240978.78141923121</v>
      </c>
      <c r="AF139" s="139">
        <v>36153.375673982446</v>
      </c>
      <c r="AG139" s="123"/>
      <c r="AH139" s="137">
        <f t="shared" si="46"/>
        <v>0.3008333333333334</v>
      </c>
      <c r="AI139" s="144">
        <v>-244536.0589776226</v>
      </c>
      <c r="AJ139" s="139">
        <v>35832.718426618507</v>
      </c>
      <c r="AK139" s="131"/>
      <c r="AL139" s="137">
        <f t="shared" si="47"/>
        <v>4.2777777777777755E-2</v>
      </c>
      <c r="AM139" s="144">
        <v>-248852.82254121764</v>
      </c>
      <c r="AN139" s="139">
        <v>35996.429296879782</v>
      </c>
      <c r="AO139" s="123"/>
      <c r="AP139" s="137">
        <f t="shared" si="48"/>
        <v>2.7571313780634807E-2</v>
      </c>
      <c r="AQ139" s="144">
        <v>-234921.90213574105</v>
      </c>
      <c r="AR139" s="139">
        <v>36282.815913066683</v>
      </c>
      <c r="AT139" s="137">
        <f t="shared" si="35"/>
        <v>35485.425752000003</v>
      </c>
      <c r="AU139" s="144">
        <v>-239027.99637142918</v>
      </c>
      <c r="AV139" s="139">
        <v>35930.311318729815</v>
      </c>
      <c r="AW139" s="123"/>
      <c r="AX139" s="137">
        <f t="shared" si="36"/>
        <v>3182.5000000000014</v>
      </c>
      <c r="AY139" s="144">
        <v>-240788.39515354572</v>
      </c>
      <c r="AZ139" s="139">
        <v>36158.222293887462</v>
      </c>
      <c r="BA139" s="123"/>
      <c r="BB139" s="137">
        <f t="shared" si="37"/>
        <v>755.83333333333348</v>
      </c>
      <c r="BC139" s="144">
        <v>-240753.47325227436</v>
      </c>
      <c r="BD139" s="139">
        <v>36153.70111115661</v>
      </c>
      <c r="BE139" s="123"/>
      <c r="BF139" s="137">
        <f t="shared" si="38"/>
        <v>2802.4999999999991</v>
      </c>
      <c r="BG139" s="144">
        <v>-240949.66069090812</v>
      </c>
      <c r="BH139" s="139">
        <v>36179.100623418795</v>
      </c>
    </row>
    <row r="140" spans="1:60" x14ac:dyDescent="0.3">
      <c r="A140" s="108"/>
      <c r="B140" s="137">
        <f t="shared" si="39"/>
        <v>7.2857777777777757E-2</v>
      </c>
      <c r="C140" s="144">
        <v>-252545.69279347005</v>
      </c>
      <c r="D140" s="139">
        <v>35939.67042662052</v>
      </c>
      <c r="E140" s="123"/>
      <c r="F140" s="141">
        <f t="shared" si="40"/>
        <v>1.1439999999999997E-2</v>
      </c>
      <c r="G140" s="144">
        <v>-247700.50324142491</v>
      </c>
      <c r="H140" s="139">
        <v>36023.612438634838</v>
      </c>
      <c r="I140" s="123"/>
      <c r="J140" s="137">
        <f t="shared" si="41"/>
        <v>3.0484999999999998E-2</v>
      </c>
      <c r="K140" s="144">
        <v>-244746.78450750338</v>
      </c>
      <c r="L140" s="139">
        <v>36082.722480173514</v>
      </c>
      <c r="M140" s="123"/>
      <c r="N140" s="137">
        <f t="shared" si="42"/>
        <v>5.4022222222222241E-3</v>
      </c>
      <c r="O140" s="144">
        <v>-238678.64110628553</v>
      </c>
      <c r="P140" s="139">
        <v>36202.040615057369</v>
      </c>
      <c r="Q140" s="123"/>
      <c r="R140" s="137">
        <f t="shared" si="43"/>
        <v>0.39000000000000012</v>
      </c>
      <c r="S140" s="144">
        <v>-240568.33046034869</v>
      </c>
      <c r="T140" s="139">
        <v>36061.783611178776</v>
      </c>
      <c r="U140" s="123"/>
      <c r="V140" s="137">
        <f t="shared" si="44"/>
        <v>0.18676666666666655</v>
      </c>
      <c r="W140" s="144">
        <v>-241181.85550283603</v>
      </c>
      <c r="X140" s="139">
        <v>36147.945189720907</v>
      </c>
      <c r="Y140" s="123"/>
      <c r="Z140" s="137">
        <f t="shared" si="49"/>
        <v>0.22533333333333322</v>
      </c>
      <c r="AA140" s="144">
        <v>-242391.72291984921</v>
      </c>
      <c r="AB140" s="139">
        <v>36115.782628925619</v>
      </c>
      <c r="AC140" s="123"/>
      <c r="AD140" s="137">
        <f t="shared" si="45"/>
        <v>0.13000000000000003</v>
      </c>
      <c r="AE140" s="144">
        <v>-240941.00848622562</v>
      </c>
      <c r="AF140" s="139">
        <v>36154.387586056924</v>
      </c>
      <c r="AG140" s="123"/>
      <c r="AH140" s="137">
        <f t="shared" si="46"/>
        <v>0.31286666666666674</v>
      </c>
      <c r="AI140" s="144">
        <v>-243773.35596180518</v>
      </c>
      <c r="AJ140" s="139">
        <v>35897.861788165857</v>
      </c>
      <c r="AK140" s="131"/>
      <c r="AL140" s="137">
        <f t="shared" si="47"/>
        <v>4.4488888888888863E-2</v>
      </c>
      <c r="AM140" s="144">
        <v>-247197.33790192576</v>
      </c>
      <c r="AN140" s="139">
        <v>36028.830484374914</v>
      </c>
      <c r="AO140" s="123"/>
      <c r="AP140" s="137">
        <f t="shared" si="48"/>
        <v>2.86741663318602E-2</v>
      </c>
      <c r="AQ140" s="144">
        <v>-236072.53945380586</v>
      </c>
      <c r="AR140" s="139">
        <v>36257.93977732442</v>
      </c>
      <c r="AT140" s="137">
        <f t="shared" si="35"/>
        <v>36904.842782080006</v>
      </c>
      <c r="AU140" s="144">
        <v>-239380.40508097986</v>
      </c>
      <c r="AV140" s="139">
        <v>35975.93610185491</v>
      </c>
      <c r="AW140" s="123"/>
      <c r="AX140" s="137">
        <f t="shared" si="36"/>
        <v>3309.8000000000015</v>
      </c>
      <c r="AY140" s="144">
        <v>-240788.72410667324</v>
      </c>
      <c r="AZ140" s="139">
        <v>36158.264881981042</v>
      </c>
      <c r="BA140" s="123"/>
      <c r="BB140" s="137">
        <f t="shared" si="37"/>
        <v>786.06666666666683</v>
      </c>
      <c r="BC140" s="144">
        <v>-240760.7865856562</v>
      </c>
      <c r="BD140" s="139">
        <v>36154.647935796369</v>
      </c>
      <c r="BE140" s="123"/>
      <c r="BF140" s="137">
        <f t="shared" si="38"/>
        <v>2914.599999999999</v>
      </c>
      <c r="BG140" s="144">
        <v>-240917.73653656236</v>
      </c>
      <c r="BH140" s="139">
        <v>36174.967545606007</v>
      </c>
    </row>
    <row r="141" spans="1:60" x14ac:dyDescent="0.3">
      <c r="A141" s="108"/>
      <c r="B141" s="137">
        <f t="shared" si="39"/>
        <v>7.5659999999999977E-2</v>
      </c>
      <c r="C141" s="144">
        <v>-249501.29840874419</v>
      </c>
      <c r="D141" s="139">
        <v>35994.361628554187</v>
      </c>
      <c r="E141" s="123"/>
      <c r="F141" s="141">
        <f t="shared" si="40"/>
        <v>1.1879999999999996E-2</v>
      </c>
      <c r="G141" s="144">
        <v>-245936.12099000785</v>
      </c>
      <c r="H141" s="139">
        <v>36057.318137565031</v>
      </c>
      <c r="I141" s="123"/>
      <c r="J141" s="137">
        <f t="shared" si="41"/>
        <v>3.1657499999999998E-2</v>
      </c>
      <c r="K141" s="144">
        <v>-243745.55817749078</v>
      </c>
      <c r="L141" s="139">
        <v>36101.650668719056</v>
      </c>
      <c r="M141" s="123"/>
      <c r="N141" s="137">
        <f t="shared" si="42"/>
        <v>5.6100000000000021E-3</v>
      </c>
      <c r="O141" s="144">
        <v>-239203.01710484776</v>
      </c>
      <c r="P141" s="139">
        <v>36191.139269881794</v>
      </c>
      <c r="Q141" s="123"/>
      <c r="R141" s="137">
        <f t="shared" si="43"/>
        <v>0.40500000000000014</v>
      </c>
      <c r="S141" s="144">
        <v>-240623.83611567822</v>
      </c>
      <c r="T141" s="139">
        <v>36085.946516972872</v>
      </c>
      <c r="U141" s="123"/>
      <c r="V141" s="137">
        <f t="shared" si="44"/>
        <v>0.19394999999999987</v>
      </c>
      <c r="W141" s="144">
        <v>-241083.77724564911</v>
      </c>
      <c r="X141" s="139">
        <v>36150.567700879488</v>
      </c>
      <c r="Y141" s="123"/>
      <c r="Z141" s="137">
        <f t="shared" si="49"/>
        <v>0.23399999999999987</v>
      </c>
      <c r="AA141" s="144">
        <v>-241989.22679492633</v>
      </c>
      <c r="AB141" s="139">
        <v>36126.445780283102</v>
      </c>
      <c r="AC141" s="123"/>
      <c r="AD141" s="137">
        <f t="shared" si="45"/>
        <v>0.13500000000000004</v>
      </c>
      <c r="AE141" s="144">
        <v>-240903.2478757418</v>
      </c>
      <c r="AF141" s="139">
        <v>36155.399498131599</v>
      </c>
      <c r="AG141" s="123"/>
      <c r="AH141" s="137">
        <f t="shared" si="46"/>
        <v>0.32490000000000008</v>
      </c>
      <c r="AI141" s="144">
        <v>-243017.49335011776</v>
      </c>
      <c r="AJ141" s="139">
        <v>35963.005149713237</v>
      </c>
      <c r="AK141" s="131"/>
      <c r="AL141" s="137">
        <f t="shared" si="47"/>
        <v>4.619999999999997E-2</v>
      </c>
      <c r="AM141" s="144">
        <v>-245563.74303529403</v>
      </c>
      <c r="AN141" s="139">
        <v>36061.231671869915</v>
      </c>
      <c r="AO141" s="123"/>
      <c r="AP141" s="137">
        <f t="shared" si="48"/>
        <v>2.9777018883085593E-2</v>
      </c>
      <c r="AQ141" s="144">
        <v>-237234.50217627018</v>
      </c>
      <c r="AR141" s="139">
        <v>36233.063641582041</v>
      </c>
      <c r="AT141" s="137">
        <f t="shared" si="35"/>
        <v>38324.259812160009</v>
      </c>
      <c r="AU141" s="144">
        <v>-239732.81379053058</v>
      </c>
      <c r="AV141" s="139">
        <v>36021.560884980005</v>
      </c>
      <c r="AW141" s="123"/>
      <c r="AX141" s="137">
        <f t="shared" si="36"/>
        <v>3437.1000000000017</v>
      </c>
      <c r="AY141" s="144">
        <v>-240789.05305979983</v>
      </c>
      <c r="AZ141" s="139">
        <v>36158.307470074506</v>
      </c>
      <c r="BA141" s="123"/>
      <c r="BB141" s="137">
        <f t="shared" si="37"/>
        <v>816.30000000000018</v>
      </c>
      <c r="BC141" s="144">
        <v>-240768.09991903772</v>
      </c>
      <c r="BD141" s="139">
        <v>36155.594760436084</v>
      </c>
      <c r="BE141" s="123"/>
      <c r="BF141" s="137">
        <f t="shared" si="38"/>
        <v>3026.6999999999989</v>
      </c>
      <c r="BG141" s="144">
        <v>-240885.81238221773</v>
      </c>
      <c r="BH141" s="139">
        <v>36170.834467793364</v>
      </c>
    </row>
    <row r="142" spans="1:60" x14ac:dyDescent="0.3">
      <c r="A142" s="108"/>
      <c r="B142" s="137">
        <f t="shared" si="39"/>
        <v>7.8462222222222197E-2</v>
      </c>
      <c r="C142" s="144">
        <v>-246528.88750802848</v>
      </c>
      <c r="D142" s="139">
        <v>36049.052830487853</v>
      </c>
      <c r="E142" s="123"/>
      <c r="F142" s="141">
        <f t="shared" si="40"/>
        <v>1.2319999999999996E-2</v>
      </c>
      <c r="G142" s="144">
        <v>-244196.59499098605</v>
      </c>
      <c r="H142" s="139">
        <v>36091.023836495078</v>
      </c>
      <c r="I142" s="123"/>
      <c r="J142" s="137">
        <f t="shared" si="41"/>
        <v>3.2829999999999998E-2</v>
      </c>
      <c r="K142" s="144">
        <v>-242752.42350658696</v>
      </c>
      <c r="L142" s="139">
        <v>36120.578857264409</v>
      </c>
      <c r="M142" s="123"/>
      <c r="N142" s="137">
        <f t="shared" si="42"/>
        <v>5.8177777777777802E-3</v>
      </c>
      <c r="O142" s="144">
        <v>-239729.69872419871</v>
      </c>
      <c r="P142" s="139">
        <v>36180.2379247063</v>
      </c>
      <c r="Q142" s="123"/>
      <c r="R142" s="137">
        <f t="shared" si="43"/>
        <v>0.42000000000000015</v>
      </c>
      <c r="S142" s="144">
        <v>-240679.28952813227</v>
      </c>
      <c r="T142" s="139">
        <v>36110.109422766916</v>
      </c>
      <c r="U142" s="123"/>
      <c r="V142" s="137">
        <f t="shared" si="44"/>
        <v>0.20113333333333319</v>
      </c>
      <c r="W142" s="144">
        <v>-240985.78196611995</v>
      </c>
      <c r="X142" s="139">
        <v>36153.190212038098</v>
      </c>
      <c r="Y142" s="123"/>
      <c r="Z142" s="137">
        <f t="shared" si="49"/>
        <v>0.24266666666666653</v>
      </c>
      <c r="AA142" s="144">
        <v>-241588.119025655</v>
      </c>
      <c r="AB142" s="139">
        <v>36137.108931640454</v>
      </c>
      <c r="AC142" s="123"/>
      <c r="AD142" s="137">
        <f t="shared" si="45"/>
        <v>0.14000000000000004</v>
      </c>
      <c r="AE142" s="144">
        <v>-240865.49958175694</v>
      </c>
      <c r="AF142" s="139">
        <v>36156.411410206092</v>
      </c>
      <c r="AG142" s="123"/>
      <c r="AH142" s="137">
        <f t="shared" si="46"/>
        <v>0.33693333333333342</v>
      </c>
      <c r="AI142" s="144">
        <v>-242268.37952975646</v>
      </c>
      <c r="AJ142" s="139">
        <v>36028.148511260515</v>
      </c>
      <c r="AK142" s="131"/>
      <c r="AL142" s="137">
        <f t="shared" si="47"/>
        <v>4.7911111111111078E-2</v>
      </c>
      <c r="AM142" s="144">
        <v>-243951.60663402337</v>
      </c>
      <c r="AN142" s="139">
        <v>36093.632859365091</v>
      </c>
      <c r="AO142" s="123"/>
      <c r="AP142" s="137">
        <f t="shared" si="48"/>
        <v>3.0879871434310986E-2</v>
      </c>
      <c r="AQ142" s="144">
        <v>-238407.95833932736</v>
      </c>
      <c r="AR142" s="139">
        <v>36208.187505839815</v>
      </c>
      <c r="AT142" s="137">
        <f t="shared" si="35"/>
        <v>39743.676842240013</v>
      </c>
      <c r="AU142" s="144">
        <v>-240085.22250008094</v>
      </c>
      <c r="AV142" s="139">
        <v>36067.185668105056</v>
      </c>
      <c r="AW142" s="123"/>
      <c r="AX142" s="137">
        <f t="shared" si="36"/>
        <v>3564.4000000000019</v>
      </c>
      <c r="AY142" s="144">
        <v>-240789.38201292735</v>
      </c>
      <c r="AZ142" s="139">
        <v>36158.350058168086</v>
      </c>
      <c r="BA142" s="123"/>
      <c r="BB142" s="137">
        <f t="shared" si="37"/>
        <v>846.53333333333353</v>
      </c>
      <c r="BC142" s="144">
        <v>-240775.41325242023</v>
      </c>
      <c r="BD142" s="139">
        <v>36156.541585075931</v>
      </c>
      <c r="BE142" s="123"/>
      <c r="BF142" s="137">
        <f t="shared" si="38"/>
        <v>3138.7999999999988</v>
      </c>
      <c r="BG142" s="144">
        <v>-240853.88822787229</v>
      </c>
      <c r="BH142" s="139">
        <v>36166.701389980619</v>
      </c>
    </row>
    <row r="143" spans="1:60" x14ac:dyDescent="0.3">
      <c r="A143" s="108"/>
      <c r="B143" s="137">
        <f t="shared" si="39"/>
        <v>8.1264444444444417E-2</v>
      </c>
      <c r="C143" s="144">
        <v>-243625.93689045322</v>
      </c>
      <c r="D143" s="139">
        <v>36103.744032421579</v>
      </c>
      <c r="E143" s="123"/>
      <c r="F143" s="141">
        <f t="shared" si="40"/>
        <v>1.2759999999999995E-2</v>
      </c>
      <c r="G143" s="144">
        <v>-242481.40366370176</v>
      </c>
      <c r="H143" s="139">
        <v>36124.729535425191</v>
      </c>
      <c r="I143" s="123"/>
      <c r="J143" s="137">
        <f t="shared" si="41"/>
        <v>3.4002499999999998E-2</v>
      </c>
      <c r="K143" s="144">
        <v>-241767.2827974399</v>
      </c>
      <c r="L143" s="139">
        <v>36139.50704580982</v>
      </c>
      <c r="M143" s="123"/>
      <c r="N143" s="137">
        <f t="shared" si="42"/>
        <v>6.0255555555555583E-3</v>
      </c>
      <c r="O143" s="144">
        <v>-240258.70120416555</v>
      </c>
      <c r="P143" s="139">
        <v>36169.336579530733</v>
      </c>
      <c r="Q143" s="123"/>
      <c r="R143" s="137">
        <f t="shared" si="43"/>
        <v>0.43500000000000016</v>
      </c>
      <c r="S143" s="144">
        <v>-240734.69077143908</v>
      </c>
      <c r="T143" s="139">
        <v>36134.272328561077</v>
      </c>
      <c r="U143" s="123"/>
      <c r="V143" s="137">
        <f t="shared" si="44"/>
        <v>0.20831666666666651</v>
      </c>
      <c r="W143" s="144">
        <v>-240887.86955899277</v>
      </c>
      <c r="X143" s="139">
        <v>36155.812723196592</v>
      </c>
      <c r="Y143" s="123"/>
      <c r="Z143" s="137">
        <f t="shared" si="49"/>
        <v>0.25133333333333319</v>
      </c>
      <c r="AA143" s="144">
        <v>-241188.3924409899</v>
      </c>
      <c r="AB143" s="139">
        <v>36147.772082997792</v>
      </c>
      <c r="AC143" s="123"/>
      <c r="AD143" s="137">
        <f t="shared" si="45"/>
        <v>0.14500000000000005</v>
      </c>
      <c r="AE143" s="144">
        <v>-240827.7635982449</v>
      </c>
      <c r="AF143" s="139">
        <v>36157.423322280672</v>
      </c>
      <c r="AG143" s="123"/>
      <c r="AH143" s="137">
        <f t="shared" si="46"/>
        <v>0.34896666666666676</v>
      </c>
      <c r="AI143" s="144">
        <v>-241525.92451660772</v>
      </c>
      <c r="AJ143" s="139">
        <v>36093.291872807829</v>
      </c>
      <c r="AK143" s="131"/>
      <c r="AL143" s="137">
        <f t="shared" si="47"/>
        <v>4.9622222222222186E-2</v>
      </c>
      <c r="AM143" s="144">
        <v>-242360.50864795549</v>
      </c>
      <c r="AN143" s="139">
        <v>36126.034046860157</v>
      </c>
      <c r="AO143" s="123"/>
      <c r="AP143" s="137">
        <f t="shared" si="48"/>
        <v>3.1982723985536379E-2</v>
      </c>
      <c r="AQ143" s="144">
        <v>-239593.07931992091</v>
      </c>
      <c r="AR143" s="139">
        <v>36183.311370097566</v>
      </c>
      <c r="AT143" s="137">
        <f t="shared" si="35"/>
        <v>41163.093872320016</v>
      </c>
      <c r="AU143" s="144">
        <v>-240437.63120963209</v>
      </c>
      <c r="AV143" s="139">
        <v>36112.810451230209</v>
      </c>
      <c r="AW143" s="123"/>
      <c r="AX143" s="137">
        <f t="shared" si="36"/>
        <v>3691.7000000000021</v>
      </c>
      <c r="AY143" s="144">
        <v>-240789.7109660545</v>
      </c>
      <c r="AZ143" s="139">
        <v>36158.392646261622</v>
      </c>
      <c r="BA143" s="123"/>
      <c r="BB143" s="137">
        <f t="shared" si="37"/>
        <v>876.76666666666688</v>
      </c>
      <c r="BC143" s="144">
        <v>-240782.72658580085</v>
      </c>
      <c r="BD143" s="139">
        <v>36157.48840971553</v>
      </c>
      <c r="BE143" s="123"/>
      <c r="BF143" s="137">
        <f t="shared" si="38"/>
        <v>3250.8999999999987</v>
      </c>
      <c r="BG143" s="144">
        <v>-240821.96407352699</v>
      </c>
      <c r="BH143" s="139">
        <v>36162.568312167889</v>
      </c>
    </row>
    <row r="144" spans="1:60" x14ac:dyDescent="0.3">
      <c r="A144" s="108"/>
      <c r="B144" s="137">
        <f t="shared" si="39"/>
        <v>8.4066666666666637E-2</v>
      </c>
      <c r="C144" s="144">
        <v>-240790.03991918266</v>
      </c>
      <c r="D144" s="139">
        <v>36158.435234355224</v>
      </c>
      <c r="E144" s="123"/>
      <c r="F144" s="141">
        <f t="shared" si="40"/>
        <v>1.3199999999999995E-2</v>
      </c>
      <c r="G144" s="144">
        <v>-240790.03991918266</v>
      </c>
      <c r="H144" s="139">
        <v>36158.435234355224</v>
      </c>
      <c r="I144" s="123"/>
      <c r="J144" s="137">
        <f t="shared" si="41"/>
        <v>3.5174999999999998E-2</v>
      </c>
      <c r="K144" s="144">
        <v>-240790.03991918225</v>
      </c>
      <c r="L144" s="139">
        <v>36158.435234355231</v>
      </c>
      <c r="M144" s="123"/>
      <c r="N144" s="137">
        <f t="shared" si="42"/>
        <v>6.2333333333333364E-3</v>
      </c>
      <c r="O144" s="144">
        <v>-240790.03991918225</v>
      </c>
      <c r="P144" s="139">
        <v>36158.435234355231</v>
      </c>
      <c r="Q144" s="123"/>
      <c r="R144" s="137">
        <f t="shared" si="43"/>
        <v>0.45000000000000018</v>
      </c>
      <c r="S144" s="144">
        <v>-240790.03991918225</v>
      </c>
      <c r="T144" s="139">
        <v>36158.435234355231</v>
      </c>
      <c r="U144" s="123"/>
      <c r="V144" s="137">
        <f t="shared" si="44"/>
        <v>0.21549999999999983</v>
      </c>
      <c r="W144" s="144">
        <v>-240790.03991918225</v>
      </c>
      <c r="X144" s="139">
        <v>36158.435234355231</v>
      </c>
      <c r="Y144" s="123"/>
      <c r="Z144" s="137">
        <f t="shared" si="49"/>
        <v>0.25999999999999984</v>
      </c>
      <c r="AA144" s="144">
        <v>-240790.03991918225</v>
      </c>
      <c r="AB144" s="139">
        <v>36158.435234355231</v>
      </c>
      <c r="AC144" s="123"/>
      <c r="AD144" s="137">
        <f t="shared" si="45"/>
        <v>0.15000000000000005</v>
      </c>
      <c r="AE144" s="144">
        <v>-240790.03991918225</v>
      </c>
      <c r="AF144" s="139">
        <v>36158.435234355231</v>
      </c>
      <c r="AG144" s="123"/>
      <c r="AH144" s="137">
        <f t="shared" si="46"/>
        <v>0.3610000000000001</v>
      </c>
      <c r="AI144" s="144">
        <v>-240790.03991918254</v>
      </c>
      <c r="AJ144" s="139">
        <v>36158.435234355209</v>
      </c>
      <c r="AK144" s="131"/>
      <c r="AL144" s="137">
        <f t="shared" si="47"/>
        <v>5.1333333333333293E-2</v>
      </c>
      <c r="AM144" s="144">
        <v>-240790.03991918225</v>
      </c>
      <c r="AN144" s="139">
        <v>36158.435234355231</v>
      </c>
      <c r="AO144" s="123"/>
      <c r="AP144" s="137">
        <f t="shared" si="48"/>
        <v>3.3085576536761772E-2</v>
      </c>
      <c r="AQ144" s="144">
        <v>-240790.03991918141</v>
      </c>
      <c r="AR144" s="139">
        <v>36158.435234355253</v>
      </c>
      <c r="AT144" s="137">
        <f t="shared" si="35"/>
        <v>42582.510902400019</v>
      </c>
      <c r="AU144" s="144">
        <v>-240790.03991918213</v>
      </c>
      <c r="AV144" s="139">
        <v>36158.435234355216</v>
      </c>
      <c r="AW144" s="123"/>
      <c r="AX144" s="137">
        <f t="shared" si="36"/>
        <v>3819.0000000000023</v>
      </c>
      <c r="AY144" s="144">
        <v>-240790.03991918225</v>
      </c>
      <c r="AZ144" s="139">
        <v>36158.435234355231</v>
      </c>
      <c r="BA144" s="123"/>
      <c r="BB144" s="137">
        <f t="shared" si="37"/>
        <v>907.00000000000023</v>
      </c>
      <c r="BC144" s="144">
        <v>-240790.03991918225</v>
      </c>
      <c r="BD144" s="139">
        <v>36158.435234355231</v>
      </c>
      <c r="BE144" s="123"/>
      <c r="BF144" s="137">
        <f t="shared" si="38"/>
        <v>3362.9999999999986</v>
      </c>
      <c r="BG144" s="144">
        <v>-240790.03991918225</v>
      </c>
      <c r="BH144" s="139">
        <v>36158.435234355231</v>
      </c>
    </row>
    <row r="145" spans="1:60" x14ac:dyDescent="0.3">
      <c r="A145" s="108"/>
      <c r="B145" s="137">
        <f t="shared" si="39"/>
        <v>8.6868888888888857E-2</v>
      </c>
      <c r="C145" s="144">
        <v>-238018.89986714825</v>
      </c>
      <c r="D145" s="139">
        <v>36213.126436288905</v>
      </c>
      <c r="E145" s="123"/>
      <c r="F145" s="141">
        <f t="shared" si="40"/>
        <v>1.3639999999999994E-2</v>
      </c>
      <c r="G145" s="144">
        <v>-239122.01066031214</v>
      </c>
      <c r="H145" s="139">
        <v>36192.140933285293</v>
      </c>
      <c r="I145" s="123"/>
      <c r="J145" s="137">
        <f t="shared" si="41"/>
        <v>3.6347499999999998E-2</v>
      </c>
      <c r="K145" s="144">
        <v>-239820.60027613601</v>
      </c>
      <c r="L145" s="139">
        <v>36177.36342290062</v>
      </c>
      <c r="M145" s="123"/>
      <c r="N145" s="137">
        <f t="shared" si="42"/>
        <v>6.4411111111111145E-3</v>
      </c>
      <c r="O145" s="144">
        <v>-241323.73037978052</v>
      </c>
      <c r="P145" s="139">
        <v>36147.533889179693</v>
      </c>
      <c r="Q145" s="123"/>
      <c r="R145" s="137">
        <f t="shared" si="43"/>
        <v>0.46500000000000019</v>
      </c>
      <c r="S145" s="144">
        <v>-240845.33704480651</v>
      </c>
      <c r="T145" s="139">
        <v>36182.598140149334</v>
      </c>
      <c r="U145" s="123"/>
      <c r="V145" s="137">
        <f t="shared" si="44"/>
        <v>0.22268333333333315</v>
      </c>
      <c r="W145" s="144">
        <v>-240692.29294178844</v>
      </c>
      <c r="X145" s="139">
        <v>36161.057745513848</v>
      </c>
      <c r="Y145" s="123"/>
      <c r="Z145" s="137">
        <f t="shared" si="49"/>
        <v>0.2686666666666665</v>
      </c>
      <c r="AA145" s="144">
        <v>-240393.05438736177</v>
      </c>
      <c r="AB145" s="139">
        <v>36169.098385712634</v>
      </c>
      <c r="AC145" s="123"/>
      <c r="AD145" s="137">
        <f t="shared" si="45"/>
        <v>0.15500000000000005</v>
      </c>
      <c r="AE145" s="144">
        <v>-240752.32853855012</v>
      </c>
      <c r="AF145" s="139">
        <v>36159.447146429855</v>
      </c>
      <c r="AG145" s="123"/>
      <c r="AH145" s="137">
        <f t="shared" si="46"/>
        <v>0.37303333333333344</v>
      </c>
      <c r="AI145" s="144">
        <v>-240060.63890356198</v>
      </c>
      <c r="AJ145" s="139">
        <v>36223.578595902654</v>
      </c>
      <c r="AK145" s="131"/>
      <c r="AL145" s="137">
        <f t="shared" si="47"/>
        <v>5.3044444444444401E-2</v>
      </c>
      <c r="AM145" s="144">
        <v>-239239.80183126542</v>
      </c>
      <c r="AN145" s="139">
        <v>36190.836421850363</v>
      </c>
      <c r="AO145" s="123"/>
      <c r="AP145" s="137">
        <f t="shared" si="48"/>
        <v>3.4188429087987166E-2</v>
      </c>
      <c r="AQ145" s="144">
        <v>-241999.01844837819</v>
      </c>
      <c r="AR145" s="139">
        <v>36133.559098612939</v>
      </c>
      <c r="AT145" s="137">
        <f t="shared" si="35"/>
        <v>44001.927932480023</v>
      </c>
      <c r="AU145" s="144">
        <v>-241142.4486287325</v>
      </c>
      <c r="AV145" s="139">
        <v>36204.060017480268</v>
      </c>
      <c r="AW145" s="123"/>
      <c r="AX145" s="137">
        <f t="shared" si="36"/>
        <v>3946.3000000000025</v>
      </c>
      <c r="AY145" s="144">
        <v>-240790.36887230931</v>
      </c>
      <c r="AZ145" s="139">
        <v>36158.477822448753</v>
      </c>
      <c r="BA145" s="123"/>
      <c r="BB145" s="137">
        <f t="shared" si="37"/>
        <v>937.23333333333358</v>
      </c>
      <c r="BC145" s="144">
        <v>-240797.35325256363</v>
      </c>
      <c r="BD145" s="139">
        <v>36159.382058994932</v>
      </c>
      <c r="BE145" s="123"/>
      <c r="BF145" s="137">
        <f t="shared" si="38"/>
        <v>3475.0999999999985</v>
      </c>
      <c r="BG145" s="144">
        <v>-240758.11576483669</v>
      </c>
      <c r="BH145" s="139">
        <v>36154.302156542471</v>
      </c>
    </row>
    <row r="146" spans="1:60" x14ac:dyDescent="0.3">
      <c r="A146" s="108"/>
      <c r="B146" s="137">
        <f t="shared" si="39"/>
        <v>8.9671111111111076E-2</v>
      </c>
      <c r="C146" s="144">
        <v>-235310.32371348017</v>
      </c>
      <c r="D146" s="139">
        <v>36267.817638222587</v>
      </c>
      <c r="E146" s="123"/>
      <c r="F146" s="141">
        <f t="shared" si="40"/>
        <v>1.4079999999999994E-2</v>
      </c>
      <c r="G146" s="144">
        <v>-237476.83630255325</v>
      </c>
      <c r="H146" s="139">
        <v>36225.846632215405</v>
      </c>
      <c r="I146" s="123"/>
      <c r="J146" s="137">
        <f t="shared" si="41"/>
        <v>3.7519999999999998E-2</v>
      </c>
      <c r="K146" s="144">
        <v>-238858.87077730591</v>
      </c>
      <c r="L146" s="139">
        <v>36196.291611446068</v>
      </c>
      <c r="M146" s="123"/>
      <c r="N146" s="137">
        <f t="shared" si="42"/>
        <v>6.6488888888888925E-3</v>
      </c>
      <c r="O146" s="144">
        <v>-241859.78823409736</v>
      </c>
      <c r="P146" s="139">
        <v>36136.63254400414</v>
      </c>
      <c r="Q146" s="123"/>
      <c r="R146" s="137">
        <f t="shared" si="43"/>
        <v>0.4800000000000002</v>
      </c>
      <c r="S146" s="144">
        <v>-240900.58222161914</v>
      </c>
      <c r="T146" s="139">
        <v>36206.76104594356</v>
      </c>
      <c r="U146" s="123"/>
      <c r="V146" s="137">
        <f t="shared" si="44"/>
        <v>0.22986666666666647</v>
      </c>
      <c r="W146" s="144">
        <v>-240594.62852208663</v>
      </c>
      <c r="X146" s="139">
        <v>36163.680256672393</v>
      </c>
      <c r="Y146" s="123"/>
      <c r="Z146" s="137">
        <f t="shared" si="49"/>
        <v>0.27733333333333315</v>
      </c>
      <c r="AA146" s="144">
        <v>-239997.42882111977</v>
      </c>
      <c r="AB146" s="139">
        <v>36179.761537070044</v>
      </c>
      <c r="AC146" s="123"/>
      <c r="AD146" s="137">
        <f t="shared" si="45"/>
        <v>0.16000000000000006</v>
      </c>
      <c r="AE146" s="144">
        <v>-240714.62945034314</v>
      </c>
      <c r="AF146" s="139">
        <v>36160.45905850437</v>
      </c>
      <c r="AG146" s="123"/>
      <c r="AH146" s="137">
        <f t="shared" si="46"/>
        <v>0.38506666666666678</v>
      </c>
      <c r="AI146" s="144">
        <v>-239337.6361592444</v>
      </c>
      <c r="AJ146" s="139">
        <v>36288.721957449976</v>
      </c>
      <c r="AK146" s="131"/>
      <c r="AL146" s="137">
        <f t="shared" si="47"/>
        <v>5.4755555555555509E-2</v>
      </c>
      <c r="AM146" s="144">
        <v>-237709.40597193851</v>
      </c>
      <c r="AN146" s="139">
        <v>36223.237609345437</v>
      </c>
      <c r="AO146" s="123"/>
      <c r="AP146" s="137">
        <f t="shared" si="48"/>
        <v>3.5291281639212559E-2</v>
      </c>
      <c r="AQ146" s="144">
        <v>-243220.19681746667</v>
      </c>
      <c r="AR146" s="139">
        <v>36108.682962870611</v>
      </c>
      <c r="AT146" s="137">
        <f t="shared" si="35"/>
        <v>45421.344962560026</v>
      </c>
      <c r="AU146" s="144">
        <v>-241494.85733828388</v>
      </c>
      <c r="AV146" s="139">
        <v>36249.68480060545</v>
      </c>
      <c r="AW146" s="123"/>
      <c r="AX146" s="137">
        <f t="shared" si="36"/>
        <v>4073.6000000000026</v>
      </c>
      <c r="AY146" s="144">
        <v>-240790.6978254368</v>
      </c>
      <c r="AZ146" s="139">
        <v>36158.520410542333</v>
      </c>
      <c r="BA146" s="123"/>
      <c r="BB146" s="137">
        <f t="shared" si="37"/>
        <v>967.46666666666692</v>
      </c>
      <c r="BC146" s="144">
        <v>-240804.66658594538</v>
      </c>
      <c r="BD146" s="139">
        <v>36160.328883634676</v>
      </c>
      <c r="BE146" s="123"/>
      <c r="BF146" s="137">
        <f t="shared" si="38"/>
        <v>3587.1999999999985</v>
      </c>
      <c r="BG146" s="144">
        <v>-240726.19161049117</v>
      </c>
      <c r="BH146" s="139">
        <v>36150.169078729712</v>
      </c>
    </row>
    <row r="147" spans="1:60" x14ac:dyDescent="0.3">
      <c r="A147" s="108"/>
      <c r="B147" s="137">
        <f t="shared" si="39"/>
        <v>9.2473333333333296E-2</v>
      </c>
      <c r="C147" s="144">
        <v>-232662.21635541596</v>
      </c>
      <c r="D147" s="139">
        <v>36322.508840156297</v>
      </c>
      <c r="E147" s="123"/>
      <c r="F147" s="141">
        <f t="shared" si="40"/>
        <v>1.4519999999999993E-2</v>
      </c>
      <c r="G147" s="144">
        <v>-235854.05031422814</v>
      </c>
      <c r="H147" s="139">
        <v>36259.552331145489</v>
      </c>
      <c r="I147" s="123"/>
      <c r="J147" s="137">
        <f t="shared" si="41"/>
        <v>3.8692499999999998E-2</v>
      </c>
      <c r="K147" s="144">
        <v>-237904.75980657336</v>
      </c>
      <c r="L147" s="139">
        <v>36215.219799991486</v>
      </c>
      <c r="M147" s="123"/>
      <c r="N147" s="137">
        <f t="shared" si="42"/>
        <v>6.8566666666666706E-3</v>
      </c>
      <c r="O147" s="144">
        <v>-242398.22926940516</v>
      </c>
      <c r="P147" s="139">
        <v>36125.731198828646</v>
      </c>
      <c r="Q147" s="123"/>
      <c r="R147" s="137">
        <f t="shared" si="43"/>
        <v>0.49500000000000022</v>
      </c>
      <c r="S147" s="144">
        <v>-240955.77552278992</v>
      </c>
      <c r="T147" s="139">
        <v>36230.923951737575</v>
      </c>
      <c r="U147" s="123"/>
      <c r="V147" s="137">
        <f t="shared" si="44"/>
        <v>0.23704999999999979</v>
      </c>
      <c r="W147" s="144">
        <v>-240497.04655552717</v>
      </c>
      <c r="X147" s="139">
        <v>36166.302767830952</v>
      </c>
      <c r="Y147" s="123"/>
      <c r="Z147" s="137">
        <f t="shared" si="49"/>
        <v>0.28599999999999981</v>
      </c>
      <c r="AA147" s="144">
        <v>-239603.15624409539</v>
      </c>
      <c r="AB147" s="139">
        <v>36190.424688427389</v>
      </c>
      <c r="AC147" s="123"/>
      <c r="AD147" s="137">
        <f t="shared" si="45"/>
        <v>0.16500000000000006</v>
      </c>
      <c r="AE147" s="144">
        <v>-240676.94264854462</v>
      </c>
      <c r="AF147" s="139">
        <v>36161.47097057887</v>
      </c>
      <c r="AG147" s="123"/>
      <c r="AH147" s="137">
        <f t="shared" si="46"/>
        <v>0.39710000000000012</v>
      </c>
      <c r="AI147" s="144">
        <v>-238620.94786586124</v>
      </c>
      <c r="AJ147" s="139">
        <v>36353.865318997261</v>
      </c>
      <c r="AK147" s="131"/>
      <c r="AL147" s="137">
        <f t="shared" si="47"/>
        <v>5.6466666666666616E-2</v>
      </c>
      <c r="AM147" s="144">
        <v>-236198.47380863989</v>
      </c>
      <c r="AN147" s="139">
        <v>36255.638796840416</v>
      </c>
      <c r="AO147" s="123"/>
      <c r="AP147" s="137">
        <f t="shared" si="48"/>
        <v>3.6394134190437952E-2</v>
      </c>
      <c r="AQ147" s="144">
        <v>-244453.76062633665</v>
      </c>
      <c r="AR147" s="139">
        <v>36083.806827128239</v>
      </c>
      <c r="AT147" s="137">
        <f t="shared" si="35"/>
        <v>46840.761992640029</v>
      </c>
      <c r="AU147" s="144">
        <v>-241847.26604783413</v>
      </c>
      <c r="AV147" s="139">
        <v>36295.309583730486</v>
      </c>
      <c r="AW147" s="123"/>
      <c r="AX147" s="137">
        <f t="shared" si="36"/>
        <v>4200.9000000000024</v>
      </c>
      <c r="AY147" s="144">
        <v>-240791.02677856374</v>
      </c>
      <c r="AZ147" s="139">
        <v>36158.56299863584</v>
      </c>
      <c r="BA147" s="123"/>
      <c r="BB147" s="137">
        <f t="shared" si="37"/>
        <v>997.70000000000027</v>
      </c>
      <c r="BC147" s="144">
        <v>-240811.97991932667</v>
      </c>
      <c r="BD147" s="139">
        <v>36161.275708274363</v>
      </c>
      <c r="BE147" s="123"/>
      <c r="BF147" s="137">
        <f t="shared" si="38"/>
        <v>3699.2999999999984</v>
      </c>
      <c r="BG147" s="144">
        <v>-240694.26745614674</v>
      </c>
      <c r="BH147" s="139">
        <v>36146.036000917098</v>
      </c>
    </row>
    <row r="148" spans="1:60" x14ac:dyDescent="0.3">
      <c r="A148" s="108"/>
      <c r="B148" s="137">
        <f t="shared" si="39"/>
        <v>9.5275555555555516E-2</v>
      </c>
      <c r="C148" s="144">
        <v>-230072.57520360159</v>
      </c>
      <c r="D148" s="139">
        <v>36377.200042089971</v>
      </c>
      <c r="E148" s="123"/>
      <c r="F148" s="141">
        <f t="shared" si="40"/>
        <v>1.4959999999999992E-2</v>
      </c>
      <c r="G148" s="144">
        <v>-234253.19877544526</v>
      </c>
      <c r="H148" s="139">
        <v>36293.258030075638</v>
      </c>
      <c r="I148" s="123"/>
      <c r="J148" s="137">
        <f t="shared" si="41"/>
        <v>3.9864999999999998E-2</v>
      </c>
      <c r="K148" s="144">
        <v>-236958.17719359812</v>
      </c>
      <c r="L148" s="139">
        <v>36234.147988536875</v>
      </c>
      <c r="M148" s="123"/>
      <c r="N148" s="137">
        <f t="shared" si="42"/>
        <v>7.0644444444444487E-3</v>
      </c>
      <c r="O148" s="144">
        <v>-242939.06941366399</v>
      </c>
      <c r="P148" s="139">
        <v>36114.829853653158</v>
      </c>
      <c r="Q148" s="123"/>
      <c r="R148" s="137">
        <f t="shared" si="43"/>
        <v>0.51000000000000023</v>
      </c>
      <c r="S148" s="144">
        <v>-241010.91702135882</v>
      </c>
      <c r="T148" s="139">
        <v>36255.086857531787</v>
      </c>
      <c r="U148" s="123"/>
      <c r="V148" s="137">
        <f t="shared" si="44"/>
        <v>0.24423333333333311</v>
      </c>
      <c r="W148" s="144">
        <v>-240399.54693773616</v>
      </c>
      <c r="X148" s="139">
        <v>36168.925278989591</v>
      </c>
      <c r="Y148" s="123"/>
      <c r="Z148" s="137">
        <f t="shared" si="49"/>
        <v>0.29466666666666647</v>
      </c>
      <c r="AA148" s="144">
        <v>-239210.22972755379</v>
      </c>
      <c r="AB148" s="139">
        <v>36201.087839784741</v>
      </c>
      <c r="AC148" s="123"/>
      <c r="AD148" s="137">
        <f t="shared" si="45"/>
        <v>0.17000000000000007</v>
      </c>
      <c r="AE148" s="144">
        <v>-240639.26812715159</v>
      </c>
      <c r="AF148" s="139">
        <v>36162.482882653487</v>
      </c>
      <c r="AG148" s="123"/>
      <c r="AH148" s="137">
        <f t="shared" si="46"/>
        <v>0.40913333333333346</v>
      </c>
      <c r="AI148" s="144">
        <v>-237910.49166078572</v>
      </c>
      <c r="AJ148" s="139">
        <v>36419.008680544655</v>
      </c>
      <c r="AK148" s="131"/>
      <c r="AL148" s="137">
        <f t="shared" si="47"/>
        <v>5.8177777777777724E-2</v>
      </c>
      <c r="AM148" s="144">
        <v>-234706.63637638904</v>
      </c>
      <c r="AN148" s="139">
        <v>36288.039984335614</v>
      </c>
      <c r="AO148" s="123"/>
      <c r="AP148" s="137">
        <f t="shared" si="48"/>
        <v>3.7496986741663345E-2</v>
      </c>
      <c r="AQ148" s="144">
        <v>-245699.89925885643</v>
      </c>
      <c r="AR148" s="139">
        <v>36058.93069138602</v>
      </c>
      <c r="AT148" s="137">
        <f t="shared" si="35"/>
        <v>48260.179022720033</v>
      </c>
      <c r="AU148" s="144">
        <v>-242199.67475738493</v>
      </c>
      <c r="AV148" s="139">
        <v>36340.934366855596</v>
      </c>
      <c r="AW148" s="123"/>
      <c r="AX148" s="137">
        <f t="shared" si="36"/>
        <v>4328.2000000000025</v>
      </c>
      <c r="AY148" s="144">
        <v>-240791.3557316917</v>
      </c>
      <c r="AZ148" s="139">
        <v>36158.605586729478</v>
      </c>
      <c r="BA148" s="123"/>
      <c r="BB148" s="137">
        <f t="shared" si="37"/>
        <v>1027.9333333333336</v>
      </c>
      <c r="BC148" s="144">
        <v>-240819.29325270886</v>
      </c>
      <c r="BD148" s="139">
        <v>36162.222532914166</v>
      </c>
      <c r="BE148" s="123"/>
      <c r="BF148" s="137">
        <f t="shared" si="38"/>
        <v>3811.3999999999983</v>
      </c>
      <c r="BG148" s="144">
        <v>-240662.34330180121</v>
      </c>
      <c r="BH148" s="139">
        <v>36141.902923104339</v>
      </c>
    </row>
    <row r="149" spans="1:60" x14ac:dyDescent="0.3">
      <c r="A149" s="108"/>
      <c r="B149" s="137">
        <f t="shared" si="39"/>
        <v>9.8077777777777736E-2</v>
      </c>
      <c r="C149" s="144">
        <v>-227539.48513144493</v>
      </c>
      <c r="D149" s="139">
        <v>36431.891244023602</v>
      </c>
      <c r="E149" s="123"/>
      <c r="F149" s="141">
        <f t="shared" si="40"/>
        <v>1.5399999999999992E-2</v>
      </c>
      <c r="G149" s="144">
        <v>-232673.83995479016</v>
      </c>
      <c r="H149" s="139">
        <v>36326.963729005765</v>
      </c>
      <c r="I149" s="123"/>
      <c r="J149" s="137">
        <f t="shared" si="41"/>
        <v>4.1037499999999998E-2</v>
      </c>
      <c r="K149" s="144">
        <v>-236019.03418542221</v>
      </c>
      <c r="L149" s="139">
        <v>36253.076177082388</v>
      </c>
      <c r="M149" s="123"/>
      <c r="N149" s="137">
        <f t="shared" si="42"/>
        <v>7.2722222222222268E-3</v>
      </c>
      <c r="O149" s="144">
        <v>-243482.32473708619</v>
      </c>
      <c r="P149" s="139">
        <v>36103.92850847762</v>
      </c>
      <c r="Q149" s="123"/>
      <c r="R149" s="137">
        <f t="shared" si="43"/>
        <v>0.52500000000000024</v>
      </c>
      <c r="S149" s="144">
        <v>-241066.00679021442</v>
      </c>
      <c r="T149" s="139">
        <v>36279.24976332581</v>
      </c>
      <c r="U149" s="123"/>
      <c r="V149" s="137">
        <f t="shared" si="44"/>
        <v>0.25141666666666646</v>
      </c>
      <c r="W149" s="144">
        <v>-240302.12956451648</v>
      </c>
      <c r="X149" s="139">
        <v>36171.547790148099</v>
      </c>
      <c r="Y149" s="123"/>
      <c r="Z149" s="137">
        <f t="shared" si="49"/>
        <v>0.30333333333333312</v>
      </c>
      <c r="AA149" s="144">
        <v>-238818.64238999723</v>
      </c>
      <c r="AB149" s="139">
        <v>36211.75099114218</v>
      </c>
      <c r="AC149" s="123"/>
      <c r="AD149" s="137">
        <f t="shared" si="45"/>
        <v>0.17500000000000007</v>
      </c>
      <c r="AE149" s="144">
        <v>-240601.60588016157</v>
      </c>
      <c r="AF149" s="139">
        <v>36163.494794727958</v>
      </c>
      <c r="AG149" s="123"/>
      <c r="AH149" s="137">
        <f t="shared" si="46"/>
        <v>0.4211666666666668</v>
      </c>
      <c r="AI149" s="144">
        <v>-237206.18660760784</v>
      </c>
      <c r="AJ149" s="139">
        <v>36484.152042091984</v>
      </c>
      <c r="AK149" s="131"/>
      <c r="AL149" s="137">
        <f t="shared" si="47"/>
        <v>5.9888888888888832E-2</v>
      </c>
      <c r="AM149" s="144">
        <v>-233233.53397738904</v>
      </c>
      <c r="AN149" s="139">
        <v>36320.441171830622</v>
      </c>
      <c r="AO149" s="123"/>
      <c r="AP149" s="137">
        <f t="shared" si="48"/>
        <v>3.8599839292888738E-2</v>
      </c>
      <c r="AQ149" s="144">
        <v>-246958.80597978973</v>
      </c>
      <c r="AR149" s="139">
        <v>36034.054555643699</v>
      </c>
      <c r="AT149" s="137">
        <f t="shared" si="35"/>
        <v>49679.596052800036</v>
      </c>
      <c r="AU149" s="144">
        <v>-242552.08346693552</v>
      </c>
      <c r="AV149" s="139">
        <v>36386.559149980676</v>
      </c>
      <c r="AW149" s="123"/>
      <c r="AX149" s="137">
        <f t="shared" si="36"/>
        <v>4455.5000000000027</v>
      </c>
      <c r="AY149" s="144">
        <v>-240791.68468481829</v>
      </c>
      <c r="AZ149" s="139">
        <v>36158.648174822942</v>
      </c>
      <c r="BA149" s="123"/>
      <c r="BB149" s="137">
        <f t="shared" si="37"/>
        <v>1058.166666666667</v>
      </c>
      <c r="BC149" s="144">
        <v>-240826.60658608991</v>
      </c>
      <c r="BD149" s="139">
        <v>36163.169357553823</v>
      </c>
      <c r="BE149" s="123"/>
      <c r="BF149" s="137">
        <f t="shared" si="38"/>
        <v>3923.4999999999982</v>
      </c>
      <c r="BG149" s="144">
        <v>-240630.41914745624</v>
      </c>
      <c r="BH149" s="139">
        <v>36137.769845291652</v>
      </c>
    </row>
    <row r="150" spans="1:60" x14ac:dyDescent="0.3">
      <c r="A150" s="108"/>
      <c r="B150" s="137">
        <f t="shared" si="39"/>
        <v>0.10087999999999996</v>
      </c>
      <c r="C150" s="144">
        <v>-225061.11375179209</v>
      </c>
      <c r="D150" s="139">
        <v>36486.58244595732</v>
      </c>
      <c r="E150" s="123"/>
      <c r="F150" s="141">
        <f t="shared" si="40"/>
        <v>1.5839999999999993E-2</v>
      </c>
      <c r="G150" s="144">
        <v>-231115.54390295755</v>
      </c>
      <c r="H150" s="139">
        <v>36360.669427935871</v>
      </c>
      <c r="I150" s="123"/>
      <c r="J150" s="137">
        <f t="shared" si="41"/>
        <v>4.2209999999999998E-2</v>
      </c>
      <c r="K150" s="144">
        <v>-235087.24341872017</v>
      </c>
      <c r="L150" s="139">
        <v>36272.004365627683</v>
      </c>
      <c r="M150" s="123"/>
      <c r="N150" s="137">
        <f t="shared" si="42"/>
        <v>7.4800000000000049E-3</v>
      </c>
      <c r="O150" s="144">
        <v>-244028.01145373209</v>
      </c>
      <c r="P150" s="139">
        <v>36093.027163302104</v>
      </c>
      <c r="Q150" s="123"/>
      <c r="R150" s="137">
        <f t="shared" si="43"/>
        <v>0.54000000000000026</v>
      </c>
      <c r="S150" s="144">
        <v>-241121.04490212043</v>
      </c>
      <c r="T150" s="139">
        <v>36303.412669119978</v>
      </c>
      <c r="U150" s="123"/>
      <c r="V150" s="137">
        <f t="shared" si="44"/>
        <v>0.25859999999999977</v>
      </c>
      <c r="W150" s="144">
        <v>-240204.79433185083</v>
      </c>
      <c r="X150" s="139">
        <v>36174.170301306665</v>
      </c>
      <c r="Y150" s="123"/>
      <c r="Z150" s="137">
        <f t="shared" si="49"/>
        <v>0.31199999999999978</v>
      </c>
      <c r="AA150" s="144">
        <v>-238428.38739675377</v>
      </c>
      <c r="AB150" s="139">
        <v>36222.414142499598</v>
      </c>
      <c r="AC150" s="123"/>
      <c r="AD150" s="137">
        <f t="shared" si="45"/>
        <v>0.18000000000000008</v>
      </c>
      <c r="AE150" s="144">
        <v>-240563.95590158031</v>
      </c>
      <c r="AF150" s="139">
        <v>36164.506706802655</v>
      </c>
      <c r="AG150" s="123"/>
      <c r="AH150" s="137">
        <f t="shared" si="46"/>
        <v>0.43320000000000014</v>
      </c>
      <c r="AI150" s="144">
        <v>-236507.95316536224</v>
      </c>
      <c r="AJ150" s="139">
        <v>36549.295403639378</v>
      </c>
      <c r="AK150" s="131"/>
      <c r="AL150" s="137">
        <f t="shared" si="47"/>
        <v>6.159999999999994E-2</v>
      </c>
      <c r="AM150" s="144">
        <v>-231778.81589190409</v>
      </c>
      <c r="AN150" s="139">
        <v>36352.84235932579</v>
      </c>
      <c r="AO150" s="123"/>
      <c r="AP150" s="137">
        <f t="shared" si="48"/>
        <v>3.9702691844114131E-2</v>
      </c>
      <c r="AQ150" s="144">
        <v>-248230.67803472103</v>
      </c>
      <c r="AR150" s="139">
        <v>36009.178419901422</v>
      </c>
      <c r="AT150" s="137">
        <f t="shared" si="35"/>
        <v>51099.013082880039</v>
      </c>
      <c r="AU150" s="144">
        <v>-242904.49217648612</v>
      </c>
      <c r="AV150" s="139">
        <v>36432.183933105756</v>
      </c>
      <c r="AW150" s="123"/>
      <c r="AX150" s="137">
        <f t="shared" si="36"/>
        <v>4582.8000000000029</v>
      </c>
      <c r="AY150" s="144">
        <v>-240792.01363794558</v>
      </c>
      <c r="AZ150" s="139">
        <v>36158.690762916493</v>
      </c>
      <c r="BA150" s="123"/>
      <c r="BB150" s="137">
        <f t="shared" si="37"/>
        <v>1088.4000000000003</v>
      </c>
      <c r="BC150" s="144">
        <v>-240833.9199194712</v>
      </c>
      <c r="BD150" s="139">
        <v>36164.116182193509</v>
      </c>
      <c r="BE150" s="123"/>
      <c r="BF150" s="137">
        <f t="shared" si="38"/>
        <v>4035.5999999999981</v>
      </c>
      <c r="BG150" s="144">
        <v>-240598.49499311059</v>
      </c>
      <c r="BH150" s="139">
        <v>36133.636767478878</v>
      </c>
    </row>
    <row r="151" spans="1:60" x14ac:dyDescent="0.3">
      <c r="A151" s="108"/>
      <c r="B151" s="137">
        <f t="shared" si="39"/>
        <v>0.10368222222222218</v>
      </c>
      <c r="C151" s="144">
        <v>-222635.70699641877</v>
      </c>
      <c r="D151" s="139">
        <v>36541.273647890957</v>
      </c>
      <c r="E151" s="123"/>
      <c r="F151" s="141">
        <f t="shared" si="40"/>
        <v>1.6279999999999992E-2</v>
      </c>
      <c r="G151" s="144">
        <v>-229577.89206252375</v>
      </c>
      <c r="H151" s="139">
        <v>36394.375126865867</v>
      </c>
      <c r="I151" s="123"/>
      <c r="J151" s="137">
        <f t="shared" si="41"/>
        <v>4.3382499999999997E-2</v>
      </c>
      <c r="K151" s="144">
        <v>-234162.71889270589</v>
      </c>
      <c r="L151" s="139">
        <v>36290.932554173072</v>
      </c>
      <c r="M151" s="123"/>
      <c r="N151" s="137">
        <f t="shared" si="42"/>
        <v>7.687777777777783E-3</v>
      </c>
      <c r="O151" s="144">
        <v>-244576.14592312829</v>
      </c>
      <c r="P151" s="139">
        <v>36082.125818126566</v>
      </c>
      <c r="Q151" s="123"/>
      <c r="R151" s="137">
        <f t="shared" si="43"/>
        <v>0.55500000000000027</v>
      </c>
      <c r="S151" s="144">
        <v>-241176.03142969779</v>
      </c>
      <c r="T151" s="139">
        <v>36327.575574914139</v>
      </c>
      <c r="U151" s="123"/>
      <c r="V151" s="137">
        <f t="shared" si="44"/>
        <v>0.26578333333333309</v>
      </c>
      <c r="W151" s="144">
        <v>-240107.54113589137</v>
      </c>
      <c r="X151" s="139">
        <v>36176.792812465334</v>
      </c>
      <c r="Y151" s="123"/>
      <c r="Z151" s="137">
        <f t="shared" si="49"/>
        <v>0.32066666666666643</v>
      </c>
      <c r="AA151" s="144">
        <v>-238039.45795957814</v>
      </c>
      <c r="AB151" s="139">
        <v>36233.077293856986</v>
      </c>
      <c r="AC151" s="123"/>
      <c r="AD151" s="137">
        <f t="shared" si="45"/>
        <v>0.18500000000000008</v>
      </c>
      <c r="AE151" s="144">
        <v>-240526.31818541163</v>
      </c>
      <c r="AF151" s="139">
        <v>36165.518618877126</v>
      </c>
      <c r="AG151" s="123"/>
      <c r="AH151" s="137">
        <f t="shared" si="46"/>
        <v>0.44523333333333348</v>
      </c>
      <c r="AI151" s="144">
        <v>-235815.71315859558</v>
      </c>
      <c r="AJ151" s="139">
        <v>36614.438765186831</v>
      </c>
      <c r="AK151" s="131"/>
      <c r="AL151" s="137">
        <f t="shared" si="47"/>
        <v>6.3311111111111054E-2</v>
      </c>
      <c r="AM151" s="144">
        <v>-230342.140099874</v>
      </c>
      <c r="AN151" s="139">
        <v>36385.24354682082</v>
      </c>
      <c r="AO151" s="123"/>
      <c r="AP151" s="137">
        <f t="shared" si="48"/>
        <v>4.0805544395339524E-2</v>
      </c>
      <c r="AQ151" s="144">
        <v>-249515.71675309155</v>
      </c>
      <c r="AR151" s="139">
        <v>35984.302284159123</v>
      </c>
      <c r="AT151" s="137">
        <f t="shared" si="35"/>
        <v>52518.430112960043</v>
      </c>
      <c r="AU151" s="144">
        <v>-243256.90088603672</v>
      </c>
      <c r="AV151" s="139">
        <v>36477.808716230837</v>
      </c>
      <c r="AW151" s="123"/>
      <c r="AX151" s="137">
        <f t="shared" si="36"/>
        <v>4710.1000000000031</v>
      </c>
      <c r="AY151" s="144">
        <v>-240792.34259107299</v>
      </c>
      <c r="AZ151" s="139">
        <v>36158.733351010058</v>
      </c>
      <c r="BA151" s="123"/>
      <c r="BB151" s="137">
        <f t="shared" si="37"/>
        <v>1118.6333333333337</v>
      </c>
      <c r="BC151" s="144">
        <v>-240841.23325285237</v>
      </c>
      <c r="BD151" s="139">
        <v>36165.063006833181</v>
      </c>
      <c r="BE151" s="123"/>
      <c r="BF151" s="137">
        <f t="shared" si="38"/>
        <v>4147.699999999998</v>
      </c>
      <c r="BG151" s="144">
        <v>-240566.57083876606</v>
      </c>
      <c r="BH151" s="139">
        <v>36129.50368966625</v>
      </c>
    </row>
    <row r="152" spans="1:60" x14ac:dyDescent="0.3">
      <c r="A152" s="108"/>
      <c r="B152" s="137">
        <f t="shared" si="39"/>
        <v>0.1064844444444444</v>
      </c>
      <c r="C152" s="144">
        <v>-220261.58497593534</v>
      </c>
      <c r="D152" s="139">
        <v>36595.964849824704</v>
      </c>
      <c r="E152" s="123"/>
      <c r="F152" s="141">
        <f t="shared" si="40"/>
        <v>1.6719999999999992E-2</v>
      </c>
      <c r="G152" s="144">
        <v>-228060.47689314117</v>
      </c>
      <c r="H152" s="139">
        <v>36428.080825795972</v>
      </c>
      <c r="I152" s="123"/>
      <c r="J152" s="137">
        <f t="shared" si="41"/>
        <v>4.4554999999999997E-2</v>
      </c>
      <c r="K152" s="144">
        <v>-233245.37594268573</v>
      </c>
      <c r="L152" s="139">
        <v>36309.860742718607</v>
      </c>
      <c r="M152" s="123"/>
      <c r="N152" s="137">
        <f t="shared" si="42"/>
        <v>7.8955555555555602E-3</v>
      </c>
      <c r="O152" s="144">
        <v>-245126.74465189056</v>
      </c>
      <c r="P152" s="139">
        <v>36071.224472951042</v>
      </c>
      <c r="Q152" s="123"/>
      <c r="R152" s="137">
        <f t="shared" si="43"/>
        <v>0.57000000000000028</v>
      </c>
      <c r="S152" s="144">
        <v>-241230.9664454333</v>
      </c>
      <c r="T152" s="139">
        <v>36351.738480708329</v>
      </c>
      <c r="U152" s="123"/>
      <c r="V152" s="137">
        <f t="shared" si="44"/>
        <v>0.27296666666666641</v>
      </c>
      <c r="W152" s="144">
        <v>-240010.36987296806</v>
      </c>
      <c r="X152" s="139">
        <v>36179.415323623907</v>
      </c>
      <c r="Y152" s="123"/>
      <c r="Z152" s="137">
        <f t="shared" si="49"/>
        <v>0.32933333333333309</v>
      </c>
      <c r="AA152" s="144">
        <v>-237651.84733626602</v>
      </c>
      <c r="AB152" s="139">
        <v>36243.740445214316</v>
      </c>
      <c r="AC152" s="123"/>
      <c r="AD152" s="137">
        <f t="shared" si="45"/>
        <v>0.19000000000000009</v>
      </c>
      <c r="AE152" s="144">
        <v>-240488.69272566534</v>
      </c>
      <c r="AF152" s="139">
        <v>36166.530530951677</v>
      </c>
      <c r="AG152" s="123"/>
      <c r="AH152" s="137">
        <f t="shared" si="46"/>
        <v>0.45726666666666682</v>
      </c>
      <c r="AI152" s="144">
        <v>-235129.38974819626</v>
      </c>
      <c r="AJ152" s="139">
        <v>36679.582126734058</v>
      </c>
      <c r="AK152" s="131"/>
      <c r="AL152" s="137">
        <f t="shared" si="47"/>
        <v>6.5022222222222162E-2</v>
      </c>
      <c r="AM152" s="144">
        <v>-228923.17301282589</v>
      </c>
      <c r="AN152" s="139">
        <v>36417.644734315923</v>
      </c>
      <c r="AO152" s="123"/>
      <c r="AP152" s="137">
        <f t="shared" si="48"/>
        <v>4.1908396946564917E-2</v>
      </c>
      <c r="AQ152" s="144">
        <v>-250814.12765442807</v>
      </c>
      <c r="AR152" s="139">
        <v>35959.426148416846</v>
      </c>
      <c r="AT152" s="137">
        <f t="shared" si="35"/>
        <v>53937.847143040046</v>
      </c>
      <c r="AU152" s="144">
        <v>-243609.30959558819</v>
      </c>
      <c r="AV152" s="139">
        <v>36523.433499356033</v>
      </c>
      <c r="AW152" s="123"/>
      <c r="AX152" s="137">
        <f t="shared" si="36"/>
        <v>4837.4000000000033</v>
      </c>
      <c r="AY152" s="144">
        <v>-240792.67154420048</v>
      </c>
      <c r="AZ152" s="139">
        <v>36158.775939103638</v>
      </c>
      <c r="BA152" s="123"/>
      <c r="BB152" s="137">
        <f t="shared" si="37"/>
        <v>1148.866666666667</v>
      </c>
      <c r="BC152" s="144">
        <v>-240848.54658623421</v>
      </c>
      <c r="BD152" s="139">
        <v>36166.00983147294</v>
      </c>
      <c r="BE152" s="123"/>
      <c r="BF152" s="137">
        <f t="shared" si="38"/>
        <v>4259.7999999999984</v>
      </c>
      <c r="BG152" s="144">
        <v>-240534.64668442108</v>
      </c>
      <c r="BH152" s="139">
        <v>36125.370611853563</v>
      </c>
    </row>
    <row r="153" spans="1:60" x14ac:dyDescent="0.3">
      <c r="A153" s="108"/>
      <c r="B153" s="137">
        <f t="shared" si="39"/>
        <v>0.10928666666666662</v>
      </c>
      <c r="C153" s="144">
        <v>-217937.13809957236</v>
      </c>
      <c r="D153" s="139">
        <v>36650.656051758357</v>
      </c>
      <c r="E153" s="123"/>
      <c r="F153" s="141">
        <f t="shared" si="40"/>
        <v>1.7159999999999991E-2</v>
      </c>
      <c r="G153" s="144">
        <v>-226562.90151140836</v>
      </c>
      <c r="H153" s="139">
        <v>36461.786524726071</v>
      </c>
      <c r="I153" s="123"/>
      <c r="J153" s="137">
        <f t="shared" si="41"/>
        <v>4.5727499999999997E-2</v>
      </c>
      <c r="K153" s="144">
        <v>-232335.13121419831</v>
      </c>
      <c r="L153" s="139">
        <v>36328.788931263967</v>
      </c>
      <c r="M153" s="123"/>
      <c r="N153" s="137">
        <f t="shared" si="42"/>
        <v>8.1033333333333374E-3</v>
      </c>
      <c r="O153" s="144">
        <v>-245679.82429538874</v>
      </c>
      <c r="P153" s="139">
        <v>36060.32312777554</v>
      </c>
      <c r="Q153" s="123"/>
      <c r="R153" s="137">
        <f t="shared" si="43"/>
        <v>0.5850000000000003</v>
      </c>
      <c r="S153" s="144">
        <v>-241285.85002167916</v>
      </c>
      <c r="T153" s="139">
        <v>36375.901386502373</v>
      </c>
      <c r="U153" s="123"/>
      <c r="V153" s="137">
        <f t="shared" si="44"/>
        <v>0.28014999999999973</v>
      </c>
      <c r="W153" s="144">
        <v>-239913.2804395874</v>
      </c>
      <c r="X153" s="139">
        <v>36182.037834782488</v>
      </c>
      <c r="Y153" s="123"/>
      <c r="Z153" s="137">
        <f t="shared" si="49"/>
        <v>0.33799999999999975</v>
      </c>
      <c r="AA153" s="144">
        <v>-237265.54883025837</v>
      </c>
      <c r="AB153" s="139">
        <v>36254.403596571748</v>
      </c>
      <c r="AC153" s="123"/>
      <c r="AD153" s="137">
        <f t="shared" si="45"/>
        <v>0.19500000000000009</v>
      </c>
      <c r="AE153" s="144">
        <v>-240451.07951635655</v>
      </c>
      <c r="AF153" s="139">
        <v>36167.542443026308</v>
      </c>
      <c r="AG153" s="123"/>
      <c r="AH153" s="137">
        <f t="shared" si="46"/>
        <v>0.46930000000000016</v>
      </c>
      <c r="AI153" s="144">
        <v>-234448.90740296067</v>
      </c>
      <c r="AJ153" s="139">
        <v>36744.725488281561</v>
      </c>
      <c r="AK153" s="131"/>
      <c r="AL153" s="137">
        <f t="shared" si="47"/>
        <v>6.673333333333327E-2</v>
      </c>
      <c r="AM153" s="144">
        <v>-227521.58921565523</v>
      </c>
      <c r="AN153" s="139">
        <v>36450.045921811034</v>
      </c>
      <c r="AO153" s="123"/>
      <c r="AP153" s="137">
        <f t="shared" si="48"/>
        <v>4.301124949779031E-2</v>
      </c>
      <c r="AQ153" s="144">
        <v>-252126.12055791839</v>
      </c>
      <c r="AR153" s="139">
        <v>35934.550012674532</v>
      </c>
      <c r="AT153" s="137">
        <f t="shared" si="35"/>
        <v>55357.264173120049</v>
      </c>
      <c r="AU153" s="144">
        <v>-243961.71830513855</v>
      </c>
      <c r="AV153" s="139">
        <v>36569.058282481084</v>
      </c>
      <c r="AW153" s="123"/>
      <c r="AX153" s="137">
        <f t="shared" si="36"/>
        <v>4964.7000000000035</v>
      </c>
      <c r="AY153" s="144">
        <v>-240793.00049732754</v>
      </c>
      <c r="AZ153" s="139">
        <v>36158.81852719716</v>
      </c>
      <c r="BA153" s="123"/>
      <c r="BB153" s="137">
        <f t="shared" si="37"/>
        <v>1179.1000000000004</v>
      </c>
      <c r="BC153" s="144">
        <v>-240855.85991961617</v>
      </c>
      <c r="BD153" s="139">
        <v>36166.956656112714</v>
      </c>
      <c r="BE153" s="123"/>
      <c r="BF153" s="137">
        <f t="shared" si="38"/>
        <v>4371.8999999999987</v>
      </c>
      <c r="BG153" s="144">
        <v>-240502.72253007555</v>
      </c>
      <c r="BH153" s="139">
        <v>36121.237534040803</v>
      </c>
    </row>
    <row r="154" spans="1:60" x14ac:dyDescent="0.3">
      <c r="A154" s="108"/>
      <c r="B154" s="137">
        <f t="shared" si="39"/>
        <v>0.11208888888888884</v>
      </c>
      <c r="C154" s="144">
        <v>-215660.82343599558</v>
      </c>
      <c r="D154" s="139">
        <v>36705.347253692016</v>
      </c>
      <c r="E154" s="123"/>
      <c r="F154" s="141">
        <f t="shared" si="40"/>
        <v>1.7599999999999991E-2</v>
      </c>
      <c r="G154" s="144">
        <v>-225084.7793448102</v>
      </c>
      <c r="H154" s="139">
        <v>36495.492223656183</v>
      </c>
      <c r="I154" s="123"/>
      <c r="J154" s="137">
        <f t="shared" si="41"/>
        <v>4.6899999999999997E-2</v>
      </c>
      <c r="K154" s="144">
        <v>-231431.90263777503</v>
      </c>
      <c r="L154" s="139">
        <v>36347.717119809335</v>
      </c>
      <c r="M154" s="123"/>
      <c r="N154" s="137">
        <f t="shared" si="42"/>
        <v>8.3111111111111146E-3</v>
      </c>
      <c r="O154" s="144">
        <v>-246235.4016594284</v>
      </c>
      <c r="P154" s="139">
        <v>36049.421782599988</v>
      </c>
      <c r="Q154" s="123"/>
      <c r="R154" s="137">
        <f t="shared" si="43"/>
        <v>0.60000000000000031</v>
      </c>
      <c r="S154" s="144">
        <v>-241340.68223065237</v>
      </c>
      <c r="T154" s="139">
        <v>36400.064292296491</v>
      </c>
      <c r="U154" s="123"/>
      <c r="V154" s="137">
        <f t="shared" si="44"/>
        <v>0.28733333333333305</v>
      </c>
      <c r="W154" s="144">
        <v>-239816.2727324224</v>
      </c>
      <c r="X154" s="139">
        <v>36184.660345941105</v>
      </c>
      <c r="Y154" s="123"/>
      <c r="Z154" s="137">
        <f t="shared" si="49"/>
        <v>0.3466666666666664</v>
      </c>
      <c r="AA154" s="144">
        <v>-236880.5557902529</v>
      </c>
      <c r="AB154" s="139">
        <v>36265.066747929144</v>
      </c>
      <c r="AC154" s="123"/>
      <c r="AD154" s="137">
        <f t="shared" si="45"/>
        <v>0.20000000000000009</v>
      </c>
      <c r="AE154" s="144">
        <v>-240413.47855150269</v>
      </c>
      <c r="AF154" s="139">
        <v>36168.554355100823</v>
      </c>
      <c r="AG154" s="123"/>
      <c r="AH154" s="137">
        <f t="shared" si="46"/>
        <v>0.4813333333333335</v>
      </c>
      <c r="AI154" s="144">
        <v>-233774.19187186807</v>
      </c>
      <c r="AJ154" s="139">
        <v>36809.86884982881</v>
      </c>
      <c r="AK154" s="131"/>
      <c r="AL154" s="137">
        <f t="shared" si="47"/>
        <v>6.8444444444444377E-2</v>
      </c>
      <c r="AM154" s="144">
        <v>-226137.07121781245</v>
      </c>
      <c r="AN154" s="139">
        <v>36482.447109306093</v>
      </c>
      <c r="AO154" s="123"/>
      <c r="AP154" s="137">
        <f t="shared" si="48"/>
        <v>4.4114102049015703E-2</v>
      </c>
      <c r="AQ154" s="144">
        <v>-253451.90969545647</v>
      </c>
      <c r="AR154" s="139">
        <v>35909.673876932284</v>
      </c>
      <c r="AT154" s="137">
        <f t="shared" si="35"/>
        <v>56776.681203200053</v>
      </c>
      <c r="AU154" s="144">
        <v>-244314.12701468915</v>
      </c>
      <c r="AV154" s="139">
        <v>36614.683065606165</v>
      </c>
      <c r="AW154" s="123"/>
      <c r="AX154" s="137">
        <f t="shared" si="36"/>
        <v>5092.0000000000036</v>
      </c>
      <c r="AY154" s="144">
        <v>-240793.32945045482</v>
      </c>
      <c r="AZ154" s="139">
        <v>36158.861115290711</v>
      </c>
      <c r="BA154" s="123"/>
      <c r="BB154" s="137">
        <f t="shared" si="37"/>
        <v>1209.3333333333337</v>
      </c>
      <c r="BC154" s="144">
        <v>-240863.1732529969</v>
      </c>
      <c r="BD154" s="139">
        <v>36167.903480752328</v>
      </c>
      <c r="BE154" s="123"/>
      <c r="BF154" s="137">
        <f t="shared" si="38"/>
        <v>4483.9999999999991</v>
      </c>
      <c r="BG154" s="144">
        <v>-240470.79837573023</v>
      </c>
      <c r="BH154" s="139">
        <v>36117.104456228073</v>
      </c>
    </row>
    <row r="155" spans="1:60" x14ac:dyDescent="0.3">
      <c r="A155" s="108"/>
      <c r="B155" s="137">
        <f t="shared" si="39"/>
        <v>0.11489111111111106</v>
      </c>
      <c r="C155" s="144">
        <v>-213431.16129789868</v>
      </c>
      <c r="D155" s="139">
        <v>36760.038455625712</v>
      </c>
      <c r="E155" s="123"/>
      <c r="F155" s="141">
        <f t="shared" si="40"/>
        <v>1.803999999999999E-2</v>
      </c>
      <c r="G155" s="144">
        <v>-223625.73379902673</v>
      </c>
      <c r="H155" s="139">
        <v>36529.197922586172</v>
      </c>
      <c r="I155" s="123"/>
      <c r="J155" s="137">
        <f t="shared" si="41"/>
        <v>4.8072499999999997E-2</v>
      </c>
      <c r="K155" s="144">
        <v>-230535.60940426664</v>
      </c>
      <c r="L155" s="139">
        <v>36366.645308354768</v>
      </c>
      <c r="M155" s="123"/>
      <c r="N155" s="137">
        <f t="shared" si="42"/>
        <v>8.5188888888888918E-3</v>
      </c>
      <c r="O155" s="144">
        <v>-246793.49370194558</v>
      </c>
      <c r="P155" s="139">
        <v>36038.520437424479</v>
      </c>
      <c r="Q155" s="123"/>
      <c r="R155" s="137">
        <f t="shared" si="43"/>
        <v>0.61500000000000032</v>
      </c>
      <c r="S155" s="144">
        <v>-241395.46314443223</v>
      </c>
      <c r="T155" s="139">
        <v>36424.227198090637</v>
      </c>
      <c r="U155" s="123"/>
      <c r="V155" s="137">
        <f t="shared" si="44"/>
        <v>0.29451666666666637</v>
      </c>
      <c r="W155" s="144">
        <v>-239719.34664833258</v>
      </c>
      <c r="X155" s="139">
        <v>36187.28285709965</v>
      </c>
      <c r="Y155" s="123"/>
      <c r="Z155" s="137">
        <f t="shared" si="49"/>
        <v>0.35533333333333306</v>
      </c>
      <c r="AA155" s="144">
        <v>-236496.86160983532</v>
      </c>
      <c r="AB155" s="139">
        <v>36275.729899286525</v>
      </c>
      <c r="AC155" s="123"/>
      <c r="AD155" s="137">
        <f t="shared" si="45"/>
        <v>0.2050000000000001</v>
      </c>
      <c r="AE155" s="144">
        <v>-240375.88982512651</v>
      </c>
      <c r="AF155" s="139">
        <v>36169.566267175491</v>
      </c>
      <c r="AG155" s="123"/>
      <c r="AH155" s="137">
        <f t="shared" si="46"/>
        <v>0.49336666666666684</v>
      </c>
      <c r="AI155" s="144">
        <v>-233105.17015708864</v>
      </c>
      <c r="AJ155" s="139">
        <v>36875.012211376175</v>
      </c>
      <c r="AK155" s="131"/>
      <c r="AL155" s="137">
        <f t="shared" si="47"/>
        <v>7.0155555555555485E-2</v>
      </c>
      <c r="AM155" s="144">
        <v>-224769.30921355172</v>
      </c>
      <c r="AN155" s="139">
        <v>36514.848296801203</v>
      </c>
      <c r="AO155" s="123"/>
      <c r="AP155" s="137">
        <f t="shared" si="48"/>
        <v>4.5216954600241097E-2</v>
      </c>
      <c r="AQ155" s="144">
        <v>-254791.71382824882</v>
      </c>
      <c r="AR155" s="139">
        <v>35884.797741189948</v>
      </c>
      <c r="AT155" s="137">
        <f t="shared" si="35"/>
        <v>58196.098233280056</v>
      </c>
      <c r="AU155" s="144">
        <v>-244666.53572423963</v>
      </c>
      <c r="AV155" s="139">
        <v>36660.30784873123</v>
      </c>
      <c r="AW155" s="123"/>
      <c r="AX155" s="137">
        <f t="shared" si="36"/>
        <v>5219.3000000000038</v>
      </c>
      <c r="AY155" s="144">
        <v>-240793.65840358165</v>
      </c>
      <c r="AZ155" s="139">
        <v>36158.903703384203</v>
      </c>
      <c r="BA155" s="123"/>
      <c r="BB155" s="137">
        <f t="shared" si="37"/>
        <v>1239.5666666666671</v>
      </c>
      <c r="BC155" s="144">
        <v>-240870.48658637886</v>
      </c>
      <c r="BD155" s="139">
        <v>36168.850305392101</v>
      </c>
      <c r="BE155" s="123"/>
      <c r="BF155" s="137">
        <f t="shared" si="38"/>
        <v>4596.0999999999995</v>
      </c>
      <c r="BG155" s="144">
        <v>-240438.87422138525</v>
      </c>
      <c r="BH155" s="139">
        <v>36112.971378415386</v>
      </c>
    </row>
    <row r="156" spans="1:60" x14ac:dyDescent="0.3">
      <c r="A156" s="108"/>
      <c r="B156" s="137">
        <f t="shared" si="39"/>
        <v>0.11769333333333327</v>
      </c>
      <c r="C156" s="144">
        <v>-211246.73203442706</v>
      </c>
      <c r="D156" s="139">
        <v>36814.729657559394</v>
      </c>
      <c r="E156" s="123"/>
      <c r="F156" s="141">
        <f t="shared" si="40"/>
        <v>1.8479999999999989E-2</v>
      </c>
      <c r="G156" s="144">
        <v>-222185.397938051</v>
      </c>
      <c r="H156" s="139">
        <v>36562.90362151638</v>
      </c>
      <c r="I156" s="123"/>
      <c r="J156" s="137">
        <f t="shared" si="41"/>
        <v>4.9244999999999997E-2</v>
      </c>
      <c r="K156" s="144">
        <v>-229646.17194075062</v>
      </c>
      <c r="L156" s="139">
        <v>36385.573496900171</v>
      </c>
      <c r="M156" s="123"/>
      <c r="N156" s="137">
        <f t="shared" si="42"/>
        <v>8.726666666666669E-3</v>
      </c>
      <c r="O156" s="144">
        <v>-247354.11753473716</v>
      </c>
      <c r="P156" s="139">
        <v>36027.619092248926</v>
      </c>
      <c r="Q156" s="123"/>
      <c r="R156" s="137">
        <f t="shared" si="43"/>
        <v>0.63000000000000034</v>
      </c>
      <c r="S156" s="144">
        <v>-241450.19283496181</v>
      </c>
      <c r="T156" s="139">
        <v>36448.390103884827</v>
      </c>
      <c r="U156" s="123"/>
      <c r="V156" s="137">
        <f t="shared" si="44"/>
        <v>0.30169999999999969</v>
      </c>
      <c r="W156" s="144">
        <v>-239622.50208433651</v>
      </c>
      <c r="X156" s="139">
        <v>36189.905368258216</v>
      </c>
      <c r="Y156" s="123"/>
      <c r="Z156" s="137">
        <f t="shared" si="49"/>
        <v>0.36399999999999971</v>
      </c>
      <c r="AA156" s="144">
        <v>-236114.45972708234</v>
      </c>
      <c r="AB156" s="139">
        <v>36286.393050643877</v>
      </c>
      <c r="AC156" s="123"/>
      <c r="AD156" s="137">
        <f t="shared" si="45"/>
        <v>0.2100000000000001</v>
      </c>
      <c r="AE156" s="144">
        <v>-240338.31333125557</v>
      </c>
      <c r="AF156" s="139">
        <v>36170.578179249933</v>
      </c>
      <c r="AG156" s="123"/>
      <c r="AH156" s="137">
        <f t="shared" si="46"/>
        <v>0.50540000000000018</v>
      </c>
      <c r="AI156" s="144">
        <v>-232441.77048764526</v>
      </c>
      <c r="AJ156" s="139">
        <v>36940.155572923475</v>
      </c>
      <c r="AK156" s="131"/>
      <c r="AL156" s="137">
        <f t="shared" si="47"/>
        <v>7.1866666666666593E-2</v>
      </c>
      <c r="AM156" s="144">
        <v>-223418.00085080721</v>
      </c>
      <c r="AN156" s="139">
        <v>36547.249484296277</v>
      </c>
      <c r="AO156" s="123"/>
      <c r="AP156" s="137">
        <f t="shared" si="48"/>
        <v>4.631980715146649E-2</v>
      </c>
      <c r="AQ156" s="144">
        <v>-256145.75636715456</v>
      </c>
      <c r="AR156" s="139">
        <v>35859.921605447576</v>
      </c>
      <c r="AT156" s="137">
        <f t="shared" si="35"/>
        <v>59615.515263360059</v>
      </c>
      <c r="AU156" s="144">
        <v>-245018.94443379054</v>
      </c>
      <c r="AV156" s="139">
        <v>36705.932631856354</v>
      </c>
      <c r="AW156" s="123"/>
      <c r="AX156" s="137">
        <f t="shared" si="36"/>
        <v>5346.600000000004</v>
      </c>
      <c r="AY156" s="144">
        <v>-240793.98735670937</v>
      </c>
      <c r="AZ156" s="139">
        <v>36158.946291477812</v>
      </c>
      <c r="BA156" s="123"/>
      <c r="BB156" s="137">
        <f t="shared" si="37"/>
        <v>1269.8000000000004</v>
      </c>
      <c r="BC156" s="144">
        <v>-240877.79991976047</v>
      </c>
      <c r="BD156" s="139">
        <v>36169.797130031831</v>
      </c>
      <c r="BE156" s="123"/>
      <c r="BF156" s="137">
        <f t="shared" si="38"/>
        <v>4708.2</v>
      </c>
      <c r="BG156" s="144">
        <v>-240406.95006703996</v>
      </c>
      <c r="BH156" s="139">
        <v>36108.838300602656</v>
      </c>
    </row>
    <row r="157" spans="1:60" x14ac:dyDescent="0.3">
      <c r="A157" s="108"/>
      <c r="B157" s="137">
        <f t="shared" si="39"/>
        <v>0.12049555555555549</v>
      </c>
      <c r="C157" s="144">
        <v>-209106.17301688332</v>
      </c>
      <c r="D157" s="139">
        <v>36869.420859493053</v>
      </c>
      <c r="E157" s="123"/>
      <c r="F157" s="141">
        <f t="shared" si="40"/>
        <v>1.8919999999999989E-2</v>
      </c>
      <c r="G157" s="144">
        <v>-220763.41417654062</v>
      </c>
      <c r="H157" s="139">
        <v>36596.609320446434</v>
      </c>
      <c r="I157" s="123"/>
      <c r="J157" s="137">
        <f t="shared" si="41"/>
        <v>5.0417499999999997E-2</v>
      </c>
      <c r="K157" s="144">
        <v>-228763.5118869734</v>
      </c>
      <c r="L157" s="139">
        <v>36404.501685445641</v>
      </c>
      <c r="M157" s="123"/>
      <c r="N157" s="137">
        <f t="shared" si="42"/>
        <v>8.9344444444444462E-3</v>
      </c>
      <c r="O157" s="144">
        <v>-247917.29042521041</v>
      </c>
      <c r="P157" s="139">
        <v>36016.717747073395</v>
      </c>
      <c r="Q157" s="123"/>
      <c r="R157" s="137">
        <f t="shared" si="43"/>
        <v>0.64500000000000035</v>
      </c>
      <c r="S157" s="144">
        <v>-241504.87137405915</v>
      </c>
      <c r="T157" s="139">
        <v>36472.553009678973</v>
      </c>
      <c r="U157" s="123"/>
      <c r="V157" s="137">
        <f t="shared" si="44"/>
        <v>0.30888333333333301</v>
      </c>
      <c r="W157" s="144">
        <v>-239525.73893763864</v>
      </c>
      <c r="X157" s="139">
        <v>36192.527879416775</v>
      </c>
      <c r="Y157" s="123"/>
      <c r="Z157" s="137">
        <f t="shared" si="49"/>
        <v>0.37266666666666637</v>
      </c>
      <c r="AA157" s="144">
        <v>-235733.3436242069</v>
      </c>
      <c r="AB157" s="139">
        <v>36297.056202001229</v>
      </c>
      <c r="AC157" s="123"/>
      <c r="AD157" s="137">
        <f t="shared" si="45"/>
        <v>0.21500000000000011</v>
      </c>
      <c r="AE157" s="144">
        <v>-240300.74906391528</v>
      </c>
      <c r="AF157" s="139">
        <v>36171.590091324579</v>
      </c>
      <c r="AG157" s="123"/>
      <c r="AH157" s="137">
        <f t="shared" si="46"/>
        <v>0.51743333333333352</v>
      </c>
      <c r="AI157" s="144">
        <v>-231783.92229375866</v>
      </c>
      <c r="AJ157" s="139">
        <v>37005.298934470899</v>
      </c>
      <c r="AK157" s="131"/>
      <c r="AL157" s="137">
        <f t="shared" si="47"/>
        <v>7.35777777777777E-2</v>
      </c>
      <c r="AM157" s="144">
        <v>-222082.85100837215</v>
      </c>
      <c r="AN157" s="139">
        <v>36579.650671791351</v>
      </c>
      <c r="AO157" s="123"/>
      <c r="AP157" s="137">
        <f t="shared" si="48"/>
        <v>4.7422659702691883E-2</v>
      </c>
      <c r="AQ157" s="144">
        <v>-257514.26549687379</v>
      </c>
      <c r="AR157" s="139">
        <v>35835.045469705394</v>
      </c>
      <c r="AT157" s="137">
        <f t="shared" si="35"/>
        <v>61034.932293440062</v>
      </c>
      <c r="AU157" s="144">
        <v>-245371.35314334149</v>
      </c>
      <c r="AV157" s="139">
        <v>36751.557414981478</v>
      </c>
      <c r="AW157" s="123"/>
      <c r="AX157" s="137">
        <f t="shared" si="36"/>
        <v>5473.9000000000042</v>
      </c>
      <c r="AY157" s="144">
        <v>-240794.31630983666</v>
      </c>
      <c r="AZ157" s="139">
        <v>36158.988879571363</v>
      </c>
      <c r="BA157" s="123"/>
      <c r="BB157" s="137">
        <f t="shared" si="37"/>
        <v>1300.0333333333338</v>
      </c>
      <c r="BC157" s="144">
        <v>-240885.1132531421</v>
      </c>
      <c r="BD157" s="139">
        <v>36170.743954671561</v>
      </c>
      <c r="BE157" s="123"/>
      <c r="BF157" s="137">
        <f t="shared" si="38"/>
        <v>4820.3</v>
      </c>
      <c r="BG157" s="144">
        <v>-240375.02591269498</v>
      </c>
      <c r="BH157" s="139">
        <v>36104.705222789969</v>
      </c>
    </row>
    <row r="158" spans="1:60" x14ac:dyDescent="0.3">
      <c r="A158" s="108"/>
      <c r="B158" s="137">
        <f t="shared" si="39"/>
        <v>0.12329777777777771</v>
      </c>
      <c r="C158" s="144">
        <v>-207008.17580422634</v>
      </c>
      <c r="D158" s="139">
        <v>36924.112061426807</v>
      </c>
      <c r="E158" s="123"/>
      <c r="F158" s="141">
        <f t="shared" si="40"/>
        <v>1.9359999999999988E-2</v>
      </c>
      <c r="G158" s="144">
        <v>-219359.43398384078</v>
      </c>
      <c r="H158" s="139">
        <v>36630.31501937654</v>
      </c>
      <c r="I158" s="123"/>
      <c r="J158" s="137">
        <f t="shared" si="41"/>
        <v>5.1589999999999997E-2</v>
      </c>
      <c r="K158" s="144">
        <v>-227887.55207234606</v>
      </c>
      <c r="L158" s="139">
        <v>36423.429873991088</v>
      </c>
      <c r="M158" s="123"/>
      <c r="N158" s="137">
        <f t="shared" si="42"/>
        <v>9.1422222222222235E-3</v>
      </c>
      <c r="O158" s="144">
        <v>-248483.02979814951</v>
      </c>
      <c r="P158" s="139">
        <v>36005.816401897901</v>
      </c>
      <c r="Q158" s="123"/>
      <c r="R158" s="137">
        <f t="shared" si="43"/>
        <v>0.66000000000000036</v>
      </c>
      <c r="S158" s="144">
        <v>-241559.49883339283</v>
      </c>
      <c r="T158" s="139">
        <v>36496.715915473033</v>
      </c>
      <c r="U158" s="123"/>
      <c r="V158" s="137">
        <f t="shared" si="44"/>
        <v>0.31606666666666633</v>
      </c>
      <c r="W158" s="144">
        <v>-239429.05710560875</v>
      </c>
      <c r="X158" s="139">
        <v>36195.150390575327</v>
      </c>
      <c r="Y158" s="123"/>
      <c r="Z158" s="137">
        <f t="shared" si="49"/>
        <v>0.38133333333333302</v>
      </c>
      <c r="AA158" s="144">
        <v>-235353.50682717015</v>
      </c>
      <c r="AB158" s="139">
        <v>36307.719353358581</v>
      </c>
      <c r="AC158" s="123"/>
      <c r="AD158" s="137">
        <f t="shared" si="45"/>
        <v>0.22000000000000011</v>
      </c>
      <c r="AE158" s="144">
        <v>-240263.19701714168</v>
      </c>
      <c r="AF158" s="139">
        <v>36172.602003399166</v>
      </c>
      <c r="AG158" s="123"/>
      <c r="AH158" s="137">
        <f t="shared" si="46"/>
        <v>0.52946666666666686</v>
      </c>
      <c r="AI158" s="144">
        <v>-231131.55618180562</v>
      </c>
      <c r="AJ158" s="139">
        <v>37070.442296018351</v>
      </c>
      <c r="AK158" s="131"/>
      <c r="AL158" s="137">
        <f t="shared" si="47"/>
        <v>7.5288888888888808E-2</v>
      </c>
      <c r="AM158" s="144">
        <v>-220763.57158102866</v>
      </c>
      <c r="AN158" s="139">
        <v>36612.05185928641</v>
      </c>
      <c r="AO158" s="123"/>
      <c r="AP158" s="137">
        <f t="shared" si="48"/>
        <v>4.8525512253917276E-2</v>
      </c>
      <c r="AQ158" s="144">
        <v>-258897.4743041457</v>
      </c>
      <c r="AR158" s="139">
        <v>35810.169333963211</v>
      </c>
      <c r="AT158" s="137">
        <f t="shared" si="35"/>
        <v>62454.349323520066</v>
      </c>
      <c r="AU158" s="144">
        <v>-245723.76185289206</v>
      </c>
      <c r="AV158" s="139">
        <v>36797.182198106559</v>
      </c>
      <c r="AW158" s="123"/>
      <c r="AX158" s="137">
        <f t="shared" si="36"/>
        <v>5601.2000000000044</v>
      </c>
      <c r="AY158" s="144">
        <v>-240794.64526296384</v>
      </c>
      <c r="AZ158" s="139">
        <v>36159.0314676649</v>
      </c>
      <c r="BA158" s="123"/>
      <c r="BB158" s="137">
        <f t="shared" si="37"/>
        <v>1330.2666666666671</v>
      </c>
      <c r="BC158" s="144">
        <v>-240892.42658652394</v>
      </c>
      <c r="BD158" s="139">
        <v>36171.690779311321</v>
      </c>
      <c r="BE158" s="123"/>
      <c r="BF158" s="137">
        <f t="shared" si="38"/>
        <v>4932.4000000000005</v>
      </c>
      <c r="BG158" s="144">
        <v>-240343.10175835021</v>
      </c>
      <c r="BH158" s="139">
        <v>36100.572144977312</v>
      </c>
    </row>
    <row r="159" spans="1:60" ht="15" thickBot="1" x14ac:dyDescent="0.35">
      <c r="A159" s="108"/>
      <c r="B159" s="137">
        <f t="shared" si="39"/>
        <v>0.12609999999999993</v>
      </c>
      <c r="C159" s="145">
        <v>-204951.48347598288</v>
      </c>
      <c r="D159" s="146">
        <v>36978.803263360431</v>
      </c>
      <c r="E159" s="123"/>
      <c r="F159" s="141">
        <f t="shared" si="40"/>
        <v>1.9799999999999988E-2</v>
      </c>
      <c r="G159" s="145">
        <v>-217973.11759919606</v>
      </c>
      <c r="H159" s="146">
        <v>36664.020718306609</v>
      </c>
      <c r="I159" s="123"/>
      <c r="J159" s="137">
        <f t="shared" si="41"/>
        <v>5.2762499999999997E-2</v>
      </c>
      <c r="K159" s="145">
        <v>-227018.21649344172</v>
      </c>
      <c r="L159" s="146">
        <v>36442.358062536441</v>
      </c>
      <c r="M159" s="123"/>
      <c r="N159" s="137">
        <f t="shared" si="42"/>
        <v>9.3500000000000007E-3</v>
      </c>
      <c r="O159" s="145">
        <v>-249051.35323752239</v>
      </c>
      <c r="P159" s="146">
        <v>35994.915056722319</v>
      </c>
      <c r="Q159" s="123"/>
      <c r="R159" s="137">
        <f t="shared" si="43"/>
        <v>0.67500000000000038</v>
      </c>
      <c r="S159" s="145">
        <v>-241614.07528451071</v>
      </c>
      <c r="T159" s="146">
        <v>36520.878821267215</v>
      </c>
      <c r="U159" s="123"/>
      <c r="V159" s="137">
        <f t="shared" si="44"/>
        <v>0.32324999999999965</v>
      </c>
      <c r="W159" s="145">
        <v>-239332.45648579186</v>
      </c>
      <c r="X159" s="146">
        <v>36197.772901733959</v>
      </c>
      <c r="Y159" s="123"/>
      <c r="Z159" s="137">
        <f t="shared" si="49"/>
        <v>0.38999999999999968</v>
      </c>
      <c r="AA159" s="145">
        <v>-234974.94290533321</v>
      </c>
      <c r="AB159" s="146">
        <v>36318.382504716006</v>
      </c>
      <c r="AC159" s="123"/>
      <c r="AD159" s="137">
        <f t="shared" si="45"/>
        <v>0.22500000000000012</v>
      </c>
      <c r="AE159" s="145">
        <v>-240225.65718497187</v>
      </c>
      <c r="AF159" s="146">
        <v>36173.613915473732</v>
      </c>
      <c r="AG159" s="123"/>
      <c r="AH159" s="137">
        <f t="shared" si="46"/>
        <v>0.5415000000000002</v>
      </c>
      <c r="AI159" s="145">
        <v>-230484.60390993769</v>
      </c>
      <c r="AJ159" s="146">
        <v>37135.585657565636</v>
      </c>
      <c r="AK159" s="131"/>
      <c r="AL159" s="137">
        <f t="shared" si="47"/>
        <v>7.6999999999999916E-2</v>
      </c>
      <c r="AM159" s="145">
        <v>-219459.88127228606</v>
      </c>
      <c r="AN159" s="146">
        <v>36644.453046781513</v>
      </c>
      <c r="AO159" s="123"/>
      <c r="AP159" s="137">
        <f t="shared" si="48"/>
        <v>4.9628364805142669E-2</v>
      </c>
      <c r="AQ159" s="145">
        <v>-260295.62091009508</v>
      </c>
      <c r="AR159" s="146">
        <v>35785.29319822081</v>
      </c>
      <c r="AT159" s="137">
        <f t="shared" si="35"/>
        <v>63873.766353600069</v>
      </c>
      <c r="AU159" s="145">
        <v>-246076.17056244254</v>
      </c>
      <c r="AV159" s="146">
        <v>36842.806981231624</v>
      </c>
      <c r="AW159" s="123"/>
      <c r="AX159" s="137">
        <f t="shared" si="36"/>
        <v>5728.5000000000045</v>
      </c>
      <c r="AY159" s="145">
        <v>-240794.9742160911</v>
      </c>
      <c r="AZ159" s="146">
        <v>36159.07405575845</v>
      </c>
      <c r="BA159" s="123"/>
      <c r="BB159" s="137">
        <f t="shared" si="37"/>
        <v>1360.5000000000005</v>
      </c>
      <c r="BC159" s="145">
        <v>-240899.739919905</v>
      </c>
      <c r="BD159" s="146">
        <v>36172.637603950978</v>
      </c>
      <c r="BE159" s="123"/>
      <c r="BF159" s="137">
        <f t="shared" si="38"/>
        <v>5044.5000000000009</v>
      </c>
      <c r="BG159" s="145">
        <v>-240311.17760400445</v>
      </c>
      <c r="BH159" s="146">
        <v>36096.439067164523</v>
      </c>
    </row>
    <row r="160" spans="1:60" s="127" customFormat="1" ht="13.8" thickBot="1" x14ac:dyDescent="0.3">
      <c r="A160" s="108"/>
    </row>
    <row r="161" spans="1:25" ht="15" thickBot="1" x14ac:dyDescent="0.35">
      <c r="A161" s="108"/>
      <c r="B161" s="206" t="s">
        <v>768</v>
      </c>
      <c r="C161" s="207"/>
      <c r="D161" s="207"/>
      <c r="E161" s="207"/>
      <c r="F161" s="207"/>
      <c r="G161" s="207"/>
      <c r="H161" s="207"/>
      <c r="I161" s="207"/>
      <c r="J161" s="207"/>
      <c r="K161" s="207"/>
      <c r="L161" s="207"/>
      <c r="M161" s="207"/>
      <c r="N161" s="207"/>
      <c r="O161" s="207"/>
      <c r="P161" s="207"/>
      <c r="Q161" s="207"/>
      <c r="R161" s="207"/>
      <c r="S161" s="207"/>
      <c r="T161" s="208"/>
      <c r="U161" s="108"/>
      <c r="V161" s="108"/>
      <c r="W161" s="108"/>
      <c r="X161" s="108"/>
      <c r="Y161" s="108"/>
    </row>
    <row r="162" spans="1:25" ht="15" thickBot="1" x14ac:dyDescent="0.35">
      <c r="A162" s="108"/>
      <c r="B162" s="108"/>
      <c r="C162" s="108"/>
      <c r="D162" s="108"/>
      <c r="E162" s="108"/>
      <c r="F162" s="108"/>
      <c r="G162" s="108"/>
      <c r="H162" s="108"/>
      <c r="I162" s="108"/>
      <c r="J162" s="108"/>
      <c r="K162" s="108"/>
      <c r="L162" s="108"/>
      <c r="M162" s="108"/>
      <c r="N162" s="108"/>
      <c r="O162" s="108"/>
      <c r="P162" s="108"/>
      <c r="Q162" s="108"/>
      <c r="R162" s="108"/>
      <c r="S162" s="108"/>
      <c r="T162" s="108"/>
      <c r="U162" s="108"/>
      <c r="V162" s="108"/>
      <c r="W162" s="108"/>
      <c r="X162" s="108"/>
      <c r="Y162" s="108"/>
    </row>
    <row r="163" spans="1:25" x14ac:dyDescent="0.3">
      <c r="A163" s="108"/>
      <c r="B163" s="108"/>
      <c r="C163" s="204" t="s">
        <v>769</v>
      </c>
      <c r="D163" s="204" t="s">
        <v>770</v>
      </c>
      <c r="E163" s="204" t="s">
        <v>771</v>
      </c>
      <c r="F163" s="204" t="s">
        <v>772</v>
      </c>
      <c r="G163" s="204" t="s">
        <v>774</v>
      </c>
      <c r="H163" s="204" t="s">
        <v>775</v>
      </c>
      <c r="I163" s="108"/>
      <c r="J163" s="108"/>
      <c r="K163" s="108"/>
      <c r="L163" s="108"/>
      <c r="M163" s="108"/>
      <c r="N163" s="108"/>
      <c r="O163" s="108"/>
      <c r="P163" s="108"/>
      <c r="Q163" s="108"/>
      <c r="R163" s="108"/>
      <c r="S163" s="108"/>
      <c r="T163" s="108"/>
      <c r="U163" s="108"/>
      <c r="V163" s="108"/>
      <c r="W163" s="108"/>
      <c r="X163" s="108"/>
      <c r="Y163" s="108"/>
    </row>
    <row r="164" spans="1:25" x14ac:dyDescent="0.3">
      <c r="A164" s="108"/>
      <c r="B164" s="108"/>
      <c r="C164" s="205"/>
      <c r="D164" s="205"/>
      <c r="E164" s="205"/>
      <c r="F164" s="205"/>
      <c r="G164" s="205"/>
      <c r="H164" s="205"/>
      <c r="I164" s="108"/>
      <c r="J164" s="108"/>
      <c r="K164" s="108"/>
      <c r="L164" s="108"/>
      <c r="M164" s="108"/>
      <c r="N164" s="108"/>
      <c r="O164" s="108"/>
      <c r="P164" s="108"/>
      <c r="Q164" s="108"/>
      <c r="R164" s="108"/>
      <c r="S164" s="108"/>
      <c r="T164" s="108"/>
      <c r="U164" s="108"/>
      <c r="V164" s="108"/>
      <c r="W164" s="108"/>
      <c r="X164" s="108"/>
      <c r="Y164" s="108"/>
    </row>
    <row r="165" spans="1:25" x14ac:dyDescent="0.3">
      <c r="A165" s="108"/>
      <c r="B165" s="120" t="s">
        <v>825</v>
      </c>
      <c r="C165" s="147">
        <f>D10</f>
        <v>1150</v>
      </c>
      <c r="D165" s="147">
        <f>VLOOKUP($C$165,$B$60:$D$91,2)</f>
        <v>-249672.71262958451</v>
      </c>
      <c r="E165" s="147">
        <f>E10</f>
        <v>3450</v>
      </c>
      <c r="F165" s="147">
        <f>VLOOKUP($E$165,$B$60:$D$91,2)</f>
        <v>-231907.36720877906</v>
      </c>
      <c r="G165" s="147">
        <f>VLOOKUP($C$165,$B$60:$D$91,3)</f>
        <v>37308.435234355216</v>
      </c>
      <c r="H165" s="147">
        <f>VLOOKUP($E$165,$B$60:$D$91,3)</f>
        <v>35008.435234355129</v>
      </c>
      <c r="I165" s="108"/>
      <c r="J165" s="108"/>
      <c r="K165" s="108"/>
      <c r="L165" s="108"/>
      <c r="M165" s="108"/>
      <c r="N165" s="108"/>
      <c r="O165" s="108"/>
      <c r="P165" s="108"/>
      <c r="Q165" s="108"/>
      <c r="R165" s="108"/>
      <c r="S165" s="108"/>
      <c r="T165" s="108"/>
      <c r="U165" s="108"/>
      <c r="V165" s="108"/>
      <c r="W165" s="108"/>
      <c r="X165" s="108"/>
      <c r="Y165" s="108"/>
    </row>
    <row r="166" spans="1:25" x14ac:dyDescent="0.3">
      <c r="A166" s="108"/>
      <c r="B166" s="120" t="s">
        <v>808</v>
      </c>
      <c r="C166" s="148">
        <f>D15</f>
        <v>5.0500000000000003E-2</v>
      </c>
      <c r="D166" s="147">
        <f>VLOOKUP($C$166,$F$60:H91,2)</f>
        <v>-277644.07474450354</v>
      </c>
      <c r="E166" s="148">
        <f>E15</f>
        <v>0.15150000000000002</v>
      </c>
      <c r="F166" s="147">
        <f>VLOOKUP($E$166,$F$60:$H$91,2)</f>
        <v>-213335.93196634873</v>
      </c>
      <c r="G166" s="147">
        <f>VLOOKUP($C$166,$F$60:H91,3)</f>
        <v>34947.055673458271</v>
      </c>
      <c r="H166" s="147">
        <f>VLOOKUP($E$166,$F$60:$H$91,3)</f>
        <v>37369.814795252161</v>
      </c>
      <c r="I166" s="108"/>
      <c r="J166" s="108"/>
      <c r="K166" s="108"/>
      <c r="L166" s="108"/>
      <c r="M166" s="108"/>
      <c r="N166" s="108"/>
      <c r="O166" s="108"/>
      <c r="P166" s="108"/>
      <c r="Q166" s="108"/>
      <c r="R166" s="108"/>
      <c r="S166" s="108"/>
      <c r="T166" s="108"/>
      <c r="U166" s="108"/>
      <c r="V166" s="108"/>
      <c r="W166" s="108"/>
      <c r="X166" s="108"/>
      <c r="Y166" s="108"/>
    </row>
    <row r="167" spans="1:25" x14ac:dyDescent="0.3">
      <c r="A167" s="108"/>
      <c r="B167" s="120" t="s">
        <v>809</v>
      </c>
      <c r="C167" s="148">
        <f t="shared" ref="C167:C170" si="50">D16</f>
        <v>0.69</v>
      </c>
      <c r="D167" s="147">
        <f>VLOOKUP($C$167,$J$60:$L$91,2)</f>
        <v>-232947.95305592759</v>
      </c>
      <c r="E167" s="148">
        <f t="shared" ref="E167:E170" si="51">E16</f>
        <v>0.84</v>
      </c>
      <c r="F167" s="147">
        <f>VLOOKUP($E$167,$J$60:$L$91,2)</f>
        <v>-250413.43672888493</v>
      </c>
      <c r="G167" s="147">
        <f>VLOOKUP($C$167,$J$60:$L$91,3)</f>
        <v>37436.502366306653</v>
      </c>
      <c r="H167" s="147">
        <f>VLOOKUP($E$167,$J$60:$L$91,3)</f>
        <v>34789.077592978749</v>
      </c>
      <c r="I167" s="108"/>
      <c r="J167" s="108"/>
      <c r="K167" s="108"/>
      <c r="L167" s="108"/>
      <c r="M167" s="108"/>
      <c r="N167" s="108"/>
      <c r="O167" s="108"/>
      <c r="P167" s="108"/>
      <c r="Q167" s="108"/>
      <c r="R167" s="108"/>
      <c r="S167" s="108"/>
      <c r="T167" s="108"/>
      <c r="U167" s="108"/>
      <c r="V167" s="108"/>
      <c r="W167" s="108"/>
      <c r="X167" s="108"/>
      <c r="Y167" s="108"/>
    </row>
    <row r="168" spans="1:25" x14ac:dyDescent="0.3">
      <c r="A168" s="108"/>
      <c r="B168" s="120" t="s">
        <v>810</v>
      </c>
      <c r="C168" s="148">
        <f t="shared" si="50"/>
        <v>0.63</v>
      </c>
      <c r="D168" s="147">
        <f>VLOOKUP($C$168,$N$60:$P$91,2)</f>
        <v>-288221.23031509353</v>
      </c>
      <c r="E168" s="148">
        <f t="shared" si="51"/>
        <v>0.82</v>
      </c>
      <c r="F168" s="147">
        <f>VLOOKUP($E$168,$N$60:$P$91,2)</f>
        <v>-168165.1349030727</v>
      </c>
      <c r="G168" s="147">
        <f>VLOOKUP($C$168,$N$60:$P$91,3)</f>
        <v>44197.104095223527</v>
      </c>
      <c r="H168" s="147">
        <f>VLOOKUP($E$168,$N$60:$P$91,3)</f>
        <v>25105.26555066129</v>
      </c>
      <c r="I168" s="108"/>
      <c r="J168" s="108"/>
      <c r="K168" s="108"/>
      <c r="L168" s="108"/>
      <c r="M168" s="108"/>
      <c r="N168" s="108"/>
      <c r="O168" s="108"/>
      <c r="P168" s="108"/>
      <c r="Q168" s="108"/>
      <c r="R168" s="108"/>
      <c r="S168" s="108"/>
      <c r="T168" s="108"/>
      <c r="U168" s="108"/>
      <c r="V168" s="108"/>
      <c r="W168" s="108"/>
      <c r="X168" s="108"/>
      <c r="Y168" s="108"/>
    </row>
    <row r="169" spans="1:25" x14ac:dyDescent="0.3">
      <c r="A169" s="108"/>
      <c r="B169" s="120" t="s">
        <v>811</v>
      </c>
      <c r="C169" s="148">
        <f t="shared" si="50"/>
        <v>0.82</v>
      </c>
      <c r="D169" s="147">
        <f>VLOOKUP($C$169,$R$60:$T$91,2)</f>
        <v>-228294.10601718677</v>
      </c>
      <c r="E169" s="148">
        <f t="shared" si="51"/>
        <v>0.99</v>
      </c>
      <c r="F169" s="147">
        <f>VLOOKUP($E$169,$R$60:$T$91,2)</f>
        <v>-255550.02469313127</v>
      </c>
      <c r="G169" s="147">
        <f>VLOOKUP($C$169,$R$60:$T$91,3)</f>
        <v>36448.687458326043</v>
      </c>
      <c r="H169" s="147">
        <f>VLOOKUP($E$169,$R$60:$T$91,3)</f>
        <v>35852.46101491939</v>
      </c>
      <c r="I169" s="108"/>
      <c r="J169" s="108"/>
      <c r="K169" s="108"/>
      <c r="L169" s="108"/>
      <c r="M169" s="108"/>
      <c r="N169" s="108"/>
      <c r="O169" s="108"/>
      <c r="P169" s="108"/>
      <c r="Q169" s="108"/>
      <c r="R169" s="108"/>
      <c r="S169" s="108"/>
      <c r="T169" s="108"/>
      <c r="U169" s="108"/>
      <c r="V169" s="108"/>
      <c r="W169" s="108"/>
      <c r="X169" s="108"/>
      <c r="Y169" s="108"/>
    </row>
    <row r="170" spans="1:25" x14ac:dyDescent="0.3">
      <c r="A170" s="108"/>
      <c r="B170" s="120" t="s">
        <v>812</v>
      </c>
      <c r="C170" s="148">
        <f t="shared" si="50"/>
        <v>4.65E-2</v>
      </c>
      <c r="D170" s="147">
        <f>VLOOKUP($C$170,$V$60:$X$91,2)</f>
        <v>-264099.00219339295</v>
      </c>
      <c r="E170" s="148">
        <f t="shared" si="51"/>
        <v>0.13950000000000001</v>
      </c>
      <c r="F170" s="147">
        <f>VLOOKUP($E$170,$V$60:$X$91,2)</f>
        <v>-222449.75834357357</v>
      </c>
      <c r="G170" s="147">
        <f>VLOOKUP($C$170,$V$60:$X$91,3)</f>
        <v>35734.730543923462</v>
      </c>
      <c r="H170" s="147">
        <f>VLOOKUP($E$170,$V$60:$X$91,3)</f>
        <v>36553.892945424843</v>
      </c>
      <c r="I170" s="108"/>
      <c r="J170" s="108"/>
      <c r="K170" s="108"/>
      <c r="L170" s="108"/>
      <c r="M170" s="108"/>
      <c r="N170" s="108"/>
      <c r="O170" s="108"/>
      <c r="P170" s="108"/>
      <c r="Q170" s="108"/>
      <c r="R170" s="108"/>
      <c r="S170" s="108"/>
      <c r="T170" s="108"/>
      <c r="U170" s="108"/>
      <c r="V170" s="108"/>
      <c r="W170" s="108"/>
      <c r="X170" s="108"/>
      <c r="Y170" s="108"/>
    </row>
    <row r="171" spans="1:25" x14ac:dyDescent="0.3">
      <c r="A171" s="108"/>
      <c r="B171" s="120" t="s">
        <v>806</v>
      </c>
      <c r="C171" s="148">
        <f>D21</f>
        <v>8.5999999999999993E-2</v>
      </c>
      <c r="D171" s="147">
        <f>VLOOKUP($C$171,$AD$60:$AF$91,2)</f>
        <v>-252641.29999125088</v>
      </c>
      <c r="E171" s="148">
        <f>E21</f>
        <v>0.192</v>
      </c>
      <c r="F171" s="147">
        <f>VLOOKUP($E$171,$AD$60:$AF$91,2)</f>
        <v>-227399.33251336243</v>
      </c>
      <c r="G171" s="147">
        <f>VLOOKUP($C$171,$AD$60:$AF$91,3)</f>
        <v>35924.618769112858</v>
      </c>
      <c r="H171" s="147">
        <f>VLOOKUP($E$171,$AD$60:$AF$91,3)</f>
        <v>36451.949520510563</v>
      </c>
      <c r="I171" s="108"/>
      <c r="J171" s="108"/>
      <c r="K171" s="108"/>
      <c r="L171" s="108"/>
      <c r="M171" s="108"/>
      <c r="N171" s="108"/>
      <c r="O171" s="108"/>
      <c r="P171" s="108"/>
      <c r="Q171" s="108"/>
      <c r="R171" s="108"/>
      <c r="S171" s="108"/>
      <c r="T171" s="108"/>
      <c r="U171" s="108"/>
      <c r="V171" s="108"/>
      <c r="W171" s="108"/>
      <c r="X171" s="108"/>
      <c r="Y171" s="108"/>
    </row>
    <row r="172" spans="1:25" x14ac:dyDescent="0.3">
      <c r="A172" s="108"/>
      <c r="B172" s="120" t="s">
        <v>807</v>
      </c>
      <c r="C172" s="148">
        <f t="shared" ref="C172:C192" si="52">D22</f>
        <v>0.04</v>
      </c>
      <c r="D172" s="147">
        <f>VLOOKUP($C$172,$AH$60:$AJ$91,2)</f>
        <v>-241001.13417427562</v>
      </c>
      <c r="E172" s="148">
        <f t="shared" ref="E172:E192" si="53">E22</f>
        <v>8.8999999999999996E-2</v>
      </c>
      <c r="F172" s="147">
        <f>VLOOKUP(E172,$AH$4:$AJ$91,2)</f>
        <v>-240525.52240763765</v>
      </c>
      <c r="G172" s="147">
        <f>VLOOKUP($C$172,$AH$60:$AJ$91,3)</f>
        <v>36154.069349905738</v>
      </c>
      <c r="H172" s="147">
        <f>VLOOKUP(E172,$AH$4:$AJ$91,3)</f>
        <v>36163.916844830768</v>
      </c>
      <c r="I172" s="108"/>
      <c r="J172" s="108"/>
      <c r="K172" s="108"/>
      <c r="L172" s="108"/>
      <c r="M172" s="108"/>
      <c r="N172" s="108"/>
      <c r="O172" s="108"/>
      <c r="P172" s="108"/>
      <c r="Q172" s="108"/>
      <c r="R172" s="108"/>
      <c r="S172" s="108"/>
      <c r="T172" s="108"/>
      <c r="U172" s="108"/>
      <c r="V172" s="108"/>
      <c r="W172" s="108"/>
      <c r="X172" s="108"/>
      <c r="Y172" s="108"/>
    </row>
    <row r="173" spans="1:25" x14ac:dyDescent="0.3">
      <c r="A173" s="108"/>
      <c r="B173" s="120" t="s">
        <v>787</v>
      </c>
      <c r="C173" s="148">
        <f t="shared" si="52"/>
        <v>0.69</v>
      </c>
      <c r="D173" s="147">
        <f>VLOOKUP($C$173,$B$94:$D$125,2)</f>
        <v>-252739.02798609648</v>
      </c>
      <c r="E173" s="148">
        <f t="shared" si="53"/>
        <v>1</v>
      </c>
      <c r="F173" s="147">
        <f>VLOOKUP(E173,$B$94:$D$125,2)</f>
        <v>-228121.08194292747</v>
      </c>
      <c r="G173" s="147">
        <f>VLOOKUP($C$173,$B$94:$D$125,3)</f>
        <v>35593.264516045994</v>
      </c>
      <c r="H173" s="147">
        <f>VLOOKUP(E173,$B$94:$D$125,3)</f>
        <v>36835.838435732927</v>
      </c>
      <c r="I173" s="108"/>
      <c r="J173" s="108"/>
      <c r="K173" s="108"/>
      <c r="L173" s="108"/>
      <c r="M173" s="108"/>
      <c r="N173" s="108"/>
      <c r="O173" s="108"/>
      <c r="P173" s="108"/>
      <c r="Q173" s="108"/>
      <c r="R173" s="108"/>
      <c r="S173" s="108"/>
      <c r="T173" s="108"/>
      <c r="U173" s="108"/>
      <c r="V173" s="108"/>
      <c r="W173" s="108"/>
      <c r="X173" s="108"/>
      <c r="Y173" s="108"/>
    </row>
    <row r="174" spans="1:25" x14ac:dyDescent="0.3">
      <c r="A174" s="108"/>
      <c r="B174" s="120" t="s">
        <v>788</v>
      </c>
      <c r="C174" s="148">
        <f t="shared" si="52"/>
        <v>0.96715400000000007</v>
      </c>
      <c r="D174" s="147">
        <f>VLOOKUP($C$174,$F$94:$H$125,2)</f>
        <v>-299722.23099884705</v>
      </c>
      <c r="E174" s="148">
        <f t="shared" si="53"/>
        <v>1</v>
      </c>
      <c r="F174" s="147">
        <f>VLOOKUP(E174,$F$94:$H$125,2)</f>
        <v>-204100.95405053452</v>
      </c>
      <c r="G174" s="147">
        <f>VLOOKUP($C$174,$F$94:$H$125,3)</f>
        <v>34802.806837220167</v>
      </c>
      <c r="H174" s="147">
        <f>VLOOKUP(E174,$F$94:$H$125,3)</f>
        <v>37423.65671196513</v>
      </c>
      <c r="I174" s="108"/>
      <c r="J174" s="108"/>
      <c r="K174" s="108"/>
      <c r="L174" s="108"/>
      <c r="M174" s="108"/>
      <c r="N174" s="108"/>
      <c r="O174" s="108"/>
      <c r="P174" s="108"/>
      <c r="Q174" s="108"/>
      <c r="R174" s="108"/>
      <c r="S174" s="108"/>
      <c r="T174" s="108"/>
      <c r="U174" s="108"/>
      <c r="V174" s="108"/>
      <c r="W174" s="108"/>
      <c r="X174" s="108"/>
      <c r="Y174" s="108"/>
    </row>
    <row r="175" spans="1:25" x14ac:dyDescent="0.3">
      <c r="A175" s="108"/>
      <c r="B175" s="120" t="s">
        <v>789</v>
      </c>
      <c r="C175" s="148">
        <f t="shared" si="52"/>
        <v>0.93687405159332315</v>
      </c>
      <c r="D175" s="147">
        <f>VLOOKUP($C$175,$J$94:$L$125,2)</f>
        <v>-243363.82954335347</v>
      </c>
      <c r="E175" s="148">
        <f t="shared" si="53"/>
        <v>1</v>
      </c>
      <c r="F175" s="147">
        <f>VLOOKUP(E175,$J$94:$L$125,2)</f>
        <v>-238499.31332450197</v>
      </c>
      <c r="G175" s="147">
        <f>VLOOKUP($C$175,$J$94:$L$125,3)</f>
        <v>35595.66349230746</v>
      </c>
      <c r="H175" s="147">
        <f>VLOOKUP(E175,$J$94:$L$125,3)</f>
        <v>36683.688860266542</v>
      </c>
      <c r="I175" s="108"/>
      <c r="J175" s="108"/>
      <c r="K175" s="108"/>
      <c r="L175" s="108"/>
      <c r="M175" s="108"/>
      <c r="N175" s="108"/>
      <c r="O175" s="108"/>
      <c r="P175" s="108"/>
      <c r="Q175" s="108"/>
      <c r="R175" s="108"/>
      <c r="S175" s="108"/>
      <c r="T175" s="108"/>
      <c r="U175" s="108"/>
      <c r="V175" s="108"/>
      <c r="W175" s="108"/>
      <c r="X175" s="108"/>
      <c r="Y175" s="108"/>
    </row>
    <row r="176" spans="1:25" x14ac:dyDescent="0.3">
      <c r="A176" s="108"/>
      <c r="B176" s="120" t="s">
        <v>790</v>
      </c>
      <c r="C176" s="148">
        <f t="shared" si="52"/>
        <v>0.65036452004860257</v>
      </c>
      <c r="D176" s="147">
        <f>VLOOKUP($C$176,$N$94:$P$125,2)</f>
        <v>-954323.32032763807</v>
      </c>
      <c r="E176" s="148">
        <f t="shared" si="53"/>
        <v>1</v>
      </c>
      <c r="F176" s="147">
        <f>VLOOKUP(E176,$N$94:$P$125,2)</f>
        <v>-192319.5145706528</v>
      </c>
      <c r="G176" s="147">
        <f>VLOOKUP($C$176,$N$94:$P$125,3)</f>
        <v>16936.22825962519</v>
      </c>
      <c r="H176" s="147">
        <f>VLOOKUP(E176,$N$94:$P$125,3)</f>
        <v>54099.161744103461</v>
      </c>
      <c r="I176" s="108"/>
      <c r="J176" s="108"/>
      <c r="K176" s="108"/>
      <c r="L176" s="108"/>
      <c r="M176" s="108"/>
      <c r="N176" s="108"/>
      <c r="O176" s="108"/>
      <c r="P176" s="108"/>
      <c r="Q176" s="108"/>
      <c r="R176" s="108"/>
      <c r="S176" s="108"/>
      <c r="T176" s="108"/>
      <c r="U176" s="108"/>
      <c r="V176" s="108"/>
      <c r="W176" s="108"/>
      <c r="X176" s="108"/>
      <c r="Y176" s="108"/>
    </row>
    <row r="177" spans="1:25" x14ac:dyDescent="0.3">
      <c r="A177" s="108"/>
      <c r="B177" s="120" t="s">
        <v>791</v>
      </c>
      <c r="C177" s="148">
        <f t="shared" si="52"/>
        <v>0.6532399299474605</v>
      </c>
      <c r="D177" s="147">
        <f>VLOOKUP($C$177,$R$94:$T$125,2)</f>
        <v>-273434.38044743403</v>
      </c>
      <c r="E177" s="148">
        <f t="shared" si="53"/>
        <v>1</v>
      </c>
      <c r="F177" s="147">
        <f>VLOOKUP(E177,$R$94:$T$125,2)</f>
        <v>-219669.06740325264</v>
      </c>
      <c r="G177" s="147">
        <f>VLOOKUP($C$177,$R$94:$T$125,3)</f>
        <v>31729.202190471973</v>
      </c>
      <c r="H177" s="147">
        <f>VLOOKUP(E177,$R$94:$T$125,3)</f>
        <v>40587.668278238503</v>
      </c>
      <c r="I177" s="108"/>
      <c r="J177" s="108"/>
      <c r="K177" s="108"/>
      <c r="L177" s="108"/>
      <c r="M177" s="108"/>
      <c r="N177" s="108"/>
      <c r="O177" s="108"/>
      <c r="P177" s="108"/>
      <c r="Q177" s="108"/>
      <c r="R177" s="108"/>
      <c r="S177" s="108"/>
      <c r="T177" s="108"/>
      <c r="U177" s="108"/>
      <c r="V177" s="108"/>
      <c r="W177" s="108"/>
      <c r="X177" s="108"/>
      <c r="Y177" s="108"/>
    </row>
    <row r="178" spans="1:25" x14ac:dyDescent="0.3">
      <c r="A178" s="108"/>
      <c r="B178" s="120" t="s">
        <v>792</v>
      </c>
      <c r="C178" s="148">
        <f t="shared" si="52"/>
        <v>0.36271186440677972</v>
      </c>
      <c r="D178" s="147">
        <f>VLOOKUP(C178,$V$94:$X$125,2)</f>
        <v>-212292.18812313635</v>
      </c>
      <c r="E178" s="148">
        <f t="shared" si="53"/>
        <v>1</v>
      </c>
      <c r="F178" s="147">
        <f>VLOOKUP(E178,$V$94:$X$125,2)</f>
        <v>-262851.16131760809</v>
      </c>
      <c r="G178" s="147">
        <f>VLOOKUP(C178,$V$94:$X$125,3)</f>
        <v>29347.255018886386</v>
      </c>
      <c r="H178" s="147">
        <f>VLOOKUP(E178,$V$94:$X$125,3)</f>
        <v>42515.536768792794</v>
      </c>
      <c r="I178" s="108"/>
      <c r="J178" s="108"/>
      <c r="K178" s="108"/>
      <c r="L178" s="108"/>
      <c r="M178" s="108"/>
      <c r="N178" s="108"/>
      <c r="O178" s="108"/>
      <c r="P178" s="108"/>
      <c r="Q178" s="108"/>
      <c r="R178" s="108"/>
      <c r="S178" s="108"/>
      <c r="T178" s="108"/>
      <c r="U178" s="108"/>
      <c r="V178" s="108"/>
      <c r="W178" s="108"/>
      <c r="X178" s="108"/>
      <c r="Y178" s="108"/>
    </row>
    <row r="179" spans="1:25" x14ac:dyDescent="0.3">
      <c r="A179" s="108"/>
      <c r="B179" s="120" t="s">
        <v>793</v>
      </c>
      <c r="C179" s="148">
        <f t="shared" si="52"/>
        <v>0.17384615384615384</v>
      </c>
      <c r="D179" s="147">
        <f>VLOOKUP(C179,$Z$94:$AB$125,2)</f>
        <v>-183280.19016067553</v>
      </c>
      <c r="E179" s="148">
        <f t="shared" si="53"/>
        <v>0.52153846153846151</v>
      </c>
      <c r="F179" s="147">
        <f>VLOOKUP(E179,$Z$94:$AB$125,2)</f>
        <v>-291005.37373456144</v>
      </c>
      <c r="G179" s="147">
        <f>VLOOKUP(C179,$Z$94:$AB$125,3)</f>
        <v>26768.623433254281</v>
      </c>
      <c r="H179" s="147">
        <f>VLOOKUP(E179,$Z$94:$AB$125,3)</f>
        <v>45548.247035456348</v>
      </c>
      <c r="I179" s="108"/>
      <c r="J179" s="108"/>
      <c r="K179" s="108"/>
      <c r="L179" s="108"/>
      <c r="M179" s="108"/>
      <c r="N179" s="108"/>
      <c r="O179" s="108"/>
      <c r="P179" s="108"/>
      <c r="Q179" s="108"/>
      <c r="R179" s="108"/>
      <c r="S179" s="108"/>
      <c r="T179" s="108"/>
      <c r="U179" s="108"/>
      <c r="V179" s="108"/>
      <c r="W179" s="108"/>
      <c r="X179" s="108"/>
      <c r="Y179" s="108"/>
    </row>
    <row r="180" spans="1:25" x14ac:dyDescent="0.3">
      <c r="A180" s="108"/>
      <c r="B180" s="120" t="s">
        <v>794</v>
      </c>
      <c r="C180" s="148">
        <f t="shared" si="52"/>
        <v>0.22204773869346733</v>
      </c>
      <c r="D180" s="147">
        <f>VLOOKUP(C180,$AD$94:$AF$125,2)</f>
        <v>-268571.58363006753</v>
      </c>
      <c r="E180" s="148">
        <f t="shared" si="53"/>
        <v>0.66614321608040195</v>
      </c>
      <c r="F180" s="147">
        <f>VLOOKUP(E180,$AD$94:$AF$125,2)</f>
        <v>-218187.57571999758</v>
      </c>
      <c r="G180" s="147">
        <f>VLOOKUP(C180,$AD$94:$AF$125,3)</f>
        <v>35668.667291226149</v>
      </c>
      <c r="H180" s="147">
        <f>VLOOKUP(E180,$AD$94:$AF$125,3)</f>
        <v>36648.20317748456</v>
      </c>
      <c r="I180" s="108"/>
      <c r="J180" s="108"/>
      <c r="K180" s="108"/>
      <c r="L180" s="108"/>
      <c r="M180" s="108"/>
      <c r="N180" s="108"/>
      <c r="O180" s="108"/>
      <c r="P180" s="108"/>
      <c r="Q180" s="108"/>
      <c r="R180" s="108"/>
      <c r="S180" s="108"/>
      <c r="T180" s="108"/>
      <c r="U180" s="108"/>
      <c r="V180" s="108"/>
      <c r="W180" s="108"/>
      <c r="X180" s="108"/>
      <c r="Y180" s="108"/>
    </row>
    <row r="181" spans="1:25" x14ac:dyDescent="0.3">
      <c r="A181" s="108"/>
      <c r="B181" s="120" t="s">
        <v>795</v>
      </c>
      <c r="C181" s="148">
        <f t="shared" si="52"/>
        <v>0.62008720309784437</v>
      </c>
      <c r="D181" s="147">
        <f>VLOOKUP(C181,$AH$93:$AJ$124,2)</f>
        <v>-241975.22258393143</v>
      </c>
      <c r="E181" s="148">
        <f t="shared" si="53"/>
        <v>1</v>
      </c>
      <c r="F181" s="147">
        <f>VLOOKUP(E181,$AH$93:$AJ$124,2)</f>
        <v>-239694.84429313315</v>
      </c>
      <c r="G181" s="147">
        <f>VLOOKUP(C181,$AH$93:$AJ$124,3)</f>
        <v>36124.6332152873</v>
      </c>
      <c r="H181" s="147">
        <f>VLOOKUP(E181,$AH$93:$AJ$124,3)</f>
        <v>36189.983785485369</v>
      </c>
      <c r="I181" s="108"/>
      <c r="J181" s="108"/>
      <c r="K181" s="108"/>
      <c r="L181" s="108"/>
      <c r="M181" s="108"/>
      <c r="N181" s="108"/>
      <c r="O181" s="108"/>
      <c r="P181" s="108"/>
      <c r="Q181" s="108"/>
      <c r="R181" s="108"/>
      <c r="S181" s="108"/>
      <c r="T181" s="108"/>
      <c r="U181" s="108"/>
      <c r="V181" s="108"/>
      <c r="W181" s="108"/>
      <c r="X181" s="108"/>
      <c r="Y181" s="108"/>
    </row>
    <row r="182" spans="1:25" x14ac:dyDescent="0.3">
      <c r="A182" s="108"/>
      <c r="B182" s="120" t="s">
        <v>796</v>
      </c>
      <c r="C182" s="148">
        <f t="shared" si="52"/>
        <v>4.2033333333333332E-2</v>
      </c>
      <c r="D182" s="147">
        <f>VLOOKUP(C182,$B$128:$D$159,2)</f>
        <v>-291647.70608759526</v>
      </c>
      <c r="E182" s="148">
        <f t="shared" si="53"/>
        <v>0.12609999999999999</v>
      </c>
      <c r="F182" s="147">
        <f>VLOOKUP(E182,$B$128:$D$159,2)</f>
        <v>-204951.48347598288</v>
      </c>
      <c r="G182" s="147">
        <f>VLOOKUP(C182,$B$128:$D$159,3)</f>
        <v>35338.067205349995</v>
      </c>
      <c r="H182" s="147">
        <f>VLOOKUP(E182,$B$128:$D$159,3)</f>
        <v>36978.803263360431</v>
      </c>
      <c r="I182" s="108"/>
      <c r="J182" s="108"/>
      <c r="K182" s="108"/>
      <c r="L182" s="108"/>
      <c r="M182" s="108"/>
      <c r="N182" s="108"/>
      <c r="O182" s="108"/>
      <c r="P182" s="108"/>
      <c r="Q182" s="108"/>
      <c r="R182" s="108"/>
      <c r="S182" s="108"/>
      <c r="T182" s="108"/>
      <c r="U182" s="108"/>
      <c r="V182" s="108"/>
      <c r="W182" s="108"/>
      <c r="X182" s="108"/>
      <c r="Y182" s="108"/>
    </row>
    <row r="183" spans="1:25" x14ac:dyDescent="0.3">
      <c r="A183" s="108"/>
      <c r="B183" s="120" t="s">
        <v>797</v>
      </c>
      <c r="C183" s="148">
        <f t="shared" si="52"/>
        <v>6.6000000000000008E-3</v>
      </c>
      <c r="D183" s="147">
        <f>VLOOKUP(C183,$F$128:$H$159,2)</f>
        <v>-268914.58610774338</v>
      </c>
      <c r="E183" s="148">
        <f t="shared" si="53"/>
        <v>1.9800000000000002E-2</v>
      </c>
      <c r="F183" s="147">
        <f>VLOOKUP(E183,$F$128:$H$159,2)</f>
        <v>-217973.11759919606</v>
      </c>
      <c r="G183" s="147">
        <f>VLOOKUP(C183,$F$128:$H$159,3)</f>
        <v>35652.849750403897</v>
      </c>
      <c r="H183" s="147">
        <f>VLOOKUP(E183,$F$128:$H$159,3)</f>
        <v>36664.020718306609</v>
      </c>
      <c r="I183" s="108"/>
      <c r="J183" s="108"/>
      <c r="K183" s="108"/>
      <c r="L183" s="108"/>
      <c r="M183" s="108"/>
      <c r="N183" s="108"/>
      <c r="O183" s="108"/>
      <c r="P183" s="108"/>
      <c r="Q183" s="108"/>
      <c r="R183" s="108"/>
      <c r="S183" s="108"/>
      <c r="T183" s="108"/>
      <c r="U183" s="108"/>
      <c r="V183" s="108"/>
      <c r="W183" s="108"/>
      <c r="X183" s="108"/>
      <c r="Y183" s="108"/>
    </row>
    <row r="184" spans="1:25" x14ac:dyDescent="0.3">
      <c r="A184" s="108"/>
      <c r="B184" s="120" t="s">
        <v>798</v>
      </c>
      <c r="C184" s="148">
        <f t="shared" si="52"/>
        <v>1.7587499999999999E-2</v>
      </c>
      <c r="D184" s="147">
        <f>VLOOKUP(C184,$J$128:$L$159,2)</f>
        <v>-256323.93342968877</v>
      </c>
      <c r="E184" s="148">
        <f t="shared" si="53"/>
        <v>5.2762499999999997E-2</v>
      </c>
      <c r="F184" s="147">
        <f>VLOOKUP(E184,$J$128:$L$159,2)</f>
        <v>-227018.21649344172</v>
      </c>
      <c r="G184" s="147">
        <f>VLOOKUP(C184,$J$128:$L$159,3)</f>
        <v>35874.512406173963</v>
      </c>
      <c r="H184" s="147">
        <f>VLOOKUP(E184,$J$128:$L$159,3)</f>
        <v>36442.358062536441</v>
      </c>
      <c r="I184" s="108"/>
      <c r="J184" s="108"/>
      <c r="K184" s="108"/>
      <c r="L184" s="108"/>
      <c r="M184" s="108"/>
      <c r="N184" s="108"/>
      <c r="O184" s="108"/>
      <c r="P184" s="108"/>
      <c r="Q184" s="108"/>
      <c r="R184" s="108"/>
      <c r="S184" s="108"/>
      <c r="T184" s="108"/>
      <c r="U184" s="108"/>
      <c r="V184" s="108"/>
      <c r="W184" s="108"/>
      <c r="X184" s="108"/>
      <c r="Y184" s="108"/>
    </row>
    <row r="185" spans="1:25" x14ac:dyDescent="0.3">
      <c r="A185" s="108"/>
      <c r="B185" s="120" t="s">
        <v>799</v>
      </c>
      <c r="C185" s="148">
        <f t="shared" si="52"/>
        <v>3.1166666666666669E-3</v>
      </c>
      <c r="D185" s="147">
        <f>VLOOKUP(C185,$N$128:$P$159,2)</f>
        <v>-233058.44792579053</v>
      </c>
      <c r="E185" s="148">
        <f t="shared" si="53"/>
        <v>9.3500000000000007E-3</v>
      </c>
      <c r="F185" s="147">
        <f>VLOOKUP(E185,$N$128:$P$159,2)</f>
        <v>-249051.35323752239</v>
      </c>
      <c r="G185" s="147">
        <f>VLOOKUP(C185,$N$128:$P$159,3)</f>
        <v>36321.95541198815</v>
      </c>
      <c r="H185" s="147">
        <f>VLOOKUP(E185,$N$128:$P$159,3)</f>
        <v>35994.915056722319</v>
      </c>
      <c r="I185" s="108"/>
      <c r="J185" s="108"/>
      <c r="K185" s="108"/>
      <c r="L185" s="108"/>
      <c r="M185" s="108"/>
      <c r="N185" s="108"/>
      <c r="O185" s="108"/>
      <c r="P185" s="108"/>
      <c r="Q185" s="108"/>
      <c r="R185" s="108"/>
      <c r="S185" s="108"/>
      <c r="T185" s="108"/>
      <c r="U185" s="108"/>
      <c r="V185" s="108"/>
      <c r="W185" s="108"/>
      <c r="X185" s="108"/>
      <c r="Y185" s="108"/>
    </row>
    <row r="186" spans="1:25" x14ac:dyDescent="0.3">
      <c r="A186" s="108"/>
      <c r="B186" s="120" t="s">
        <v>800</v>
      </c>
      <c r="C186" s="148">
        <f t="shared" si="52"/>
        <v>0.22500000000000001</v>
      </c>
      <c r="D186" s="147">
        <f>VLOOKUP(C186,$R$128:$T$159,2)</f>
        <v>-239954.29899758461</v>
      </c>
      <c r="E186" s="148">
        <f t="shared" si="53"/>
        <v>0.67500000000000004</v>
      </c>
      <c r="F186" s="147">
        <f>VLOOKUP(E186,$R$128:$T$159,2)</f>
        <v>-241559.49883339283</v>
      </c>
      <c r="G186" s="147">
        <f>VLOOKUP(C186,$R$128:$T$159,3)</f>
        <v>35795.991647443196</v>
      </c>
      <c r="H186" s="147">
        <f>VLOOKUP(E186,$R$128:$T$159,3)</f>
        <v>36496.715915473033</v>
      </c>
      <c r="I186" s="108"/>
      <c r="J186" s="108"/>
      <c r="K186" s="108"/>
      <c r="L186" s="108"/>
      <c r="M186" s="108"/>
      <c r="N186" s="108"/>
      <c r="O186" s="108"/>
      <c r="P186" s="108"/>
      <c r="Q186" s="108"/>
      <c r="R186" s="108"/>
      <c r="S186" s="108"/>
      <c r="T186" s="108"/>
      <c r="U186" s="108"/>
      <c r="V186" s="108"/>
      <c r="W186" s="108"/>
      <c r="X186" s="108"/>
      <c r="Y186" s="108"/>
    </row>
    <row r="187" spans="1:25" x14ac:dyDescent="0.3">
      <c r="A187" s="108"/>
      <c r="B187" s="120" t="s">
        <v>801</v>
      </c>
      <c r="C187" s="148">
        <f t="shared" si="52"/>
        <v>0.10775</v>
      </c>
      <c r="D187" s="147">
        <f>VLOOKUP(C187,$V$128:$X$159,2)</f>
        <v>-242266.2231405541</v>
      </c>
      <c r="E187" s="148">
        <f t="shared" si="53"/>
        <v>0.32324999999999998</v>
      </c>
      <c r="F187" s="147">
        <f>VLOOKUP(E187,$V$128:$X$159,2)</f>
        <v>-239332.45648579186</v>
      </c>
      <c r="G187" s="147">
        <f>VLOOKUP(C187,$V$128:$X$159,3)</f>
        <v>36119.097566976518</v>
      </c>
      <c r="H187" s="147">
        <f>VLOOKUP(E187,$V$128:$X$159,3)</f>
        <v>36197.772901733959</v>
      </c>
      <c r="I187" s="108"/>
      <c r="J187" s="108"/>
      <c r="K187" s="108"/>
      <c r="L187" s="108"/>
      <c r="M187" s="108"/>
      <c r="N187" s="108"/>
      <c r="O187" s="108"/>
      <c r="P187" s="108"/>
      <c r="Q187" s="108"/>
      <c r="R187" s="108"/>
      <c r="S187" s="108"/>
      <c r="T187" s="108"/>
      <c r="U187" s="108"/>
      <c r="V187" s="108"/>
      <c r="W187" s="108"/>
      <c r="X187" s="108"/>
      <c r="Y187" s="108"/>
    </row>
    <row r="188" spans="1:25" x14ac:dyDescent="0.3">
      <c r="A188" s="108"/>
      <c r="B188" s="120" t="s">
        <v>802</v>
      </c>
      <c r="C188" s="148">
        <f t="shared" si="52"/>
        <v>0.13</v>
      </c>
      <c r="D188" s="147">
        <f>VLOOKUP(C188,$Z$128:$AB$159,2)</f>
        <v>-246912.91334326664</v>
      </c>
      <c r="E188" s="148">
        <f t="shared" si="53"/>
        <v>0.39</v>
      </c>
      <c r="F188" s="147">
        <f>VLOOKUP(E188,$Z$128:$AB$159,2)</f>
        <v>-234974.94290533321</v>
      </c>
      <c r="G188" s="147">
        <f>VLOOKUP(C188,$Z$128:$AB$159,3)</f>
        <v>35998.487963994427</v>
      </c>
      <c r="H188" s="147">
        <f>VLOOKUP(E188,$Z$128:$AB$159,3)</f>
        <v>36318.382504716006</v>
      </c>
      <c r="I188" s="108"/>
      <c r="J188" s="108"/>
      <c r="K188" s="108"/>
      <c r="L188" s="108"/>
      <c r="M188" s="108"/>
      <c r="N188" s="108"/>
      <c r="O188" s="108"/>
      <c r="P188" s="108"/>
      <c r="Q188" s="108"/>
      <c r="R188" s="108"/>
      <c r="S188" s="108"/>
      <c r="T188" s="108"/>
      <c r="U188" s="108"/>
      <c r="V188" s="108"/>
      <c r="W188" s="108"/>
      <c r="X188" s="108"/>
      <c r="Y188" s="108"/>
    </row>
    <row r="189" spans="1:25" x14ac:dyDescent="0.3">
      <c r="A189" s="108"/>
      <c r="B189" s="120" t="s">
        <v>801</v>
      </c>
      <c r="C189" s="148">
        <f t="shared" si="52"/>
        <v>7.4999999999999997E-2</v>
      </c>
      <c r="D189" s="147">
        <f>VLOOKUP(C189,$AD$128:$AF$159,2)</f>
        <v>-241357.18981738423</v>
      </c>
      <c r="E189" s="148">
        <f t="shared" si="53"/>
        <v>0.22499999999999998</v>
      </c>
      <c r="F189" s="147">
        <f>VLOOKUP(E189,$AD$128:$AF$159,2)</f>
        <v>-240263.19701714168</v>
      </c>
      <c r="G189" s="147">
        <f>VLOOKUP(C189,$AD$128:$AF$159,3)</f>
        <v>36143.256553236766</v>
      </c>
      <c r="H189" s="147">
        <f>VLOOKUP(E189,$AD$128:$AF$159,3)</f>
        <v>36172.602003399166</v>
      </c>
      <c r="I189" s="108"/>
      <c r="J189" s="108"/>
      <c r="K189" s="108"/>
      <c r="L189" s="108"/>
      <c r="M189" s="108"/>
      <c r="N189" s="108"/>
      <c r="O189" s="108"/>
      <c r="P189" s="108"/>
      <c r="Q189" s="108"/>
      <c r="R189" s="108"/>
      <c r="S189" s="108"/>
      <c r="T189" s="108"/>
      <c r="U189" s="108"/>
      <c r="V189" s="108"/>
      <c r="W189" s="108"/>
      <c r="X189" s="108"/>
      <c r="Y189" s="108"/>
    </row>
    <row r="190" spans="1:25" x14ac:dyDescent="0.3">
      <c r="A190" s="108"/>
      <c r="B190" s="120" t="s">
        <v>803</v>
      </c>
      <c r="C190" s="148">
        <f t="shared" si="52"/>
        <v>0.18049999999999999</v>
      </c>
      <c r="D190" s="147">
        <f>VLOOKUP(C190,$AH$128:$AJ$159,2)</f>
        <v>-252560.70794827366</v>
      </c>
      <c r="E190" s="148">
        <f t="shared" si="53"/>
        <v>0.54149999999999998</v>
      </c>
      <c r="F190" s="147">
        <f>VLOOKUP(E190,$AH$128:$AJ$159,2)</f>
        <v>-231131.55618180562</v>
      </c>
      <c r="G190" s="147">
        <f>VLOOKUP(C190,$AH$128:$AJ$159,3)</f>
        <v>35181.284811144884</v>
      </c>
      <c r="H190" s="147">
        <f>VLOOKUP(E190,$AH$128:$AJ$159,3)</f>
        <v>37070.442296018351</v>
      </c>
      <c r="I190" s="108"/>
      <c r="J190" s="108"/>
      <c r="K190" s="108"/>
      <c r="L190" s="108"/>
      <c r="M190" s="108"/>
      <c r="N190" s="108"/>
      <c r="O190" s="108"/>
      <c r="P190" s="108"/>
      <c r="Q190" s="108"/>
      <c r="R190" s="108"/>
      <c r="S190" s="108"/>
      <c r="T190" s="108"/>
      <c r="U190" s="108"/>
      <c r="V190" s="108"/>
      <c r="W190" s="108"/>
      <c r="X190" s="108"/>
      <c r="Y190" s="108"/>
    </row>
    <row r="191" spans="1:25" x14ac:dyDescent="0.3">
      <c r="A191" s="108"/>
      <c r="B191" s="120" t="s">
        <v>804</v>
      </c>
      <c r="C191" s="148">
        <f t="shared" si="52"/>
        <v>2.5666666666666667E-2</v>
      </c>
      <c r="D191" s="147">
        <f>VLOOKUP(C191,$AL$128:$AN$159,2)</f>
        <v>-266715.35207454505</v>
      </c>
      <c r="E191" s="148">
        <f t="shared" si="53"/>
        <v>7.6999999999999999E-2</v>
      </c>
      <c r="F191" s="147">
        <f>VLOOKUP(E191,$AL$128:$AN$159,2)</f>
        <v>-219459.88127228606</v>
      </c>
      <c r="G191" s="147">
        <f>VLOOKUP(C191,$AL$128:$AN$159,3)</f>
        <v>35672.417421928956</v>
      </c>
      <c r="H191" s="147">
        <f>VLOOKUP(E191,$AL$128:$AN$159,3)</f>
        <v>36644.453046781513</v>
      </c>
      <c r="I191" s="108"/>
      <c r="J191" s="108"/>
      <c r="K191" s="108"/>
      <c r="L191" s="108"/>
      <c r="M191" s="108"/>
      <c r="N191" s="108"/>
      <c r="O191" s="108"/>
      <c r="P191" s="108"/>
      <c r="Q191" s="108"/>
      <c r="R191" s="108"/>
      <c r="S191" s="108"/>
      <c r="T191" s="108"/>
      <c r="U191" s="108"/>
      <c r="V191" s="108"/>
      <c r="W191" s="108"/>
      <c r="X191" s="108"/>
      <c r="Y191" s="108"/>
    </row>
    <row r="192" spans="1:25" x14ac:dyDescent="0.3">
      <c r="A192" s="108"/>
      <c r="B192" s="120" t="s">
        <v>805</v>
      </c>
      <c r="C192" s="148">
        <f t="shared" si="52"/>
        <v>1.6542788268380876E-2</v>
      </c>
      <c r="D192" s="147">
        <f>VLOOKUP(C192,$AP$128:$AR$159,2)</f>
        <v>-224003.69147256657</v>
      </c>
      <c r="E192" s="148">
        <f t="shared" si="53"/>
        <v>4.9628364805142627E-2</v>
      </c>
      <c r="F192" s="147">
        <f>VLOOKUP(E192,$AP$128:$AR$159,2)</f>
        <v>-258897.4743041457</v>
      </c>
      <c r="G192" s="147">
        <f>VLOOKUP(C192,$AP$128:$AR$159,3)</f>
        <v>36531.577270489644</v>
      </c>
      <c r="H192" s="147">
        <f>VLOOKUP(E192,$AP$128:$AR$159,3)</f>
        <v>35810.169333963211</v>
      </c>
      <c r="I192" s="108"/>
      <c r="J192" s="108"/>
      <c r="K192" s="108"/>
      <c r="L192" s="108"/>
      <c r="M192" s="108"/>
      <c r="N192" s="108"/>
      <c r="O192" s="108"/>
      <c r="P192" s="108"/>
      <c r="Q192" s="108"/>
      <c r="R192" s="108"/>
      <c r="S192" s="108"/>
      <c r="T192" s="108"/>
      <c r="U192" s="108"/>
      <c r="V192" s="108"/>
      <c r="W192" s="108"/>
      <c r="X192" s="108"/>
      <c r="Y192" s="108"/>
    </row>
    <row r="193" spans="1:25" x14ac:dyDescent="0.3">
      <c r="A193" s="108"/>
      <c r="B193" s="120" t="s">
        <v>813</v>
      </c>
      <c r="C193" s="121">
        <f t="shared" ref="C193:C204" si="54">D43</f>
        <v>5520</v>
      </c>
      <c r="D193" s="147">
        <f>VLOOKUP(C193,$AL$60:$AN$91,2)</f>
        <v>-241026.77317156637</v>
      </c>
      <c r="E193" s="182">
        <f t="shared" ref="E193:E204" si="55">E43</f>
        <v>11040</v>
      </c>
      <c r="F193" s="121">
        <f>VLOOKUP(E193,$AL$60:$AN$91,2)</f>
        <v>-241026.77317156637</v>
      </c>
      <c r="G193" s="121">
        <f>VLOOKUP(C193,$AL$60:$AN$91,3)</f>
        <v>36189.084032202183</v>
      </c>
      <c r="H193" s="121">
        <f>VLOOKUP(E193,$AL$60:$AN$91,3)</f>
        <v>36189.084032202183</v>
      </c>
      <c r="I193" s="108"/>
      <c r="J193" s="108"/>
      <c r="K193" s="108"/>
      <c r="L193" s="108"/>
      <c r="M193" s="108"/>
      <c r="N193" s="108"/>
      <c r="O193" s="108"/>
      <c r="P193" s="108"/>
      <c r="Q193" s="108"/>
      <c r="R193" s="108"/>
      <c r="S193" s="108"/>
      <c r="T193" s="108"/>
      <c r="U193" s="108"/>
      <c r="V193" s="108"/>
      <c r="W193" s="108"/>
      <c r="X193" s="108"/>
      <c r="Y193" s="108"/>
    </row>
    <row r="194" spans="1:25" x14ac:dyDescent="0.3">
      <c r="A194" s="108"/>
      <c r="B194" s="120" t="s">
        <v>814</v>
      </c>
      <c r="C194" s="121">
        <f t="shared" si="54"/>
        <v>88.5</v>
      </c>
      <c r="D194" s="147">
        <f>VLOOKUP(C194,$AP$60:$AR$91,2)</f>
        <v>-240847.4134382155</v>
      </c>
      <c r="E194" s="182">
        <f t="shared" si="55"/>
        <v>265.5</v>
      </c>
      <c r="F194" s="121">
        <f>VLOOKUP(E194,$AP$60:$AR$91,2)</f>
        <v>-240736.49130141782</v>
      </c>
      <c r="G194" s="121">
        <f>VLOOKUP(C194,$AP$60:$AR$91,3)</f>
        <v>36165.863127855235</v>
      </c>
      <c r="H194" s="121">
        <f>VLOOKUP(E194,$AP$60:$AR$91,3)</f>
        <v>36151.502533755222</v>
      </c>
      <c r="I194" s="108" t="s">
        <v>773</v>
      </c>
      <c r="J194" s="108"/>
      <c r="K194" s="108"/>
      <c r="L194" s="108"/>
      <c r="M194" s="108"/>
      <c r="N194" s="108"/>
      <c r="O194" s="108"/>
      <c r="P194" s="108"/>
      <c r="Q194" s="108"/>
      <c r="R194" s="108"/>
      <c r="S194" s="108"/>
      <c r="T194" s="108"/>
      <c r="U194" s="108"/>
      <c r="V194" s="108"/>
      <c r="W194" s="108"/>
      <c r="X194" s="108"/>
      <c r="Y194" s="108"/>
    </row>
    <row r="195" spans="1:25" x14ac:dyDescent="0.3">
      <c r="A195" s="108"/>
      <c r="B195" s="120" t="s">
        <v>815</v>
      </c>
      <c r="C195" s="121">
        <f t="shared" si="54"/>
        <v>288.95085405405405</v>
      </c>
      <c r="D195" s="147">
        <f>VLOOKUP(C195,$AT$60:$AV$91,2)</f>
        <v>-240698.87732824715</v>
      </c>
      <c r="E195" s="182">
        <f t="shared" si="55"/>
        <v>866.85256216216214</v>
      </c>
      <c r="F195" s="121">
        <f>VLOOKUP(E195,$AT$60:$AV$91,2)</f>
        <v>-240875.12500405457</v>
      </c>
      <c r="G195" s="121">
        <f>VLOOKUP(C195,$AT$60:$AV$91,3)</f>
        <v>36146.632820487997</v>
      </c>
      <c r="H195" s="121">
        <f>VLOOKUP(E195,$AT$60:$AV$91,3)</f>
        <v>36169.45082063126</v>
      </c>
      <c r="I195" s="108"/>
      <c r="J195" s="108"/>
      <c r="K195" s="108"/>
      <c r="L195" s="108"/>
      <c r="M195" s="108"/>
      <c r="N195" s="108"/>
      <c r="O195" s="108"/>
      <c r="P195" s="108"/>
      <c r="Q195" s="108"/>
      <c r="R195" s="108"/>
      <c r="S195" s="108"/>
      <c r="T195" s="108"/>
      <c r="U195" s="108"/>
      <c r="V195" s="108"/>
      <c r="W195" s="108"/>
      <c r="X195" s="108"/>
      <c r="Y195" s="108"/>
    </row>
    <row r="196" spans="1:25" x14ac:dyDescent="0.3">
      <c r="A196" s="108"/>
      <c r="B196" s="120" t="s">
        <v>816</v>
      </c>
      <c r="C196" s="121">
        <f t="shared" si="54"/>
        <v>99325.882799999992</v>
      </c>
      <c r="D196" s="147">
        <f>VLOOKUP(C196,$AX$60:$AZ$91,2)</f>
        <v>-90951.817145484267</v>
      </c>
      <c r="E196" s="182">
        <f t="shared" si="55"/>
        <v>297977.64839999995</v>
      </c>
      <c r="F196" s="121">
        <f>VLOOKUP(E196,$AX$60:$AZ$91,2)</f>
        <v>-276138.07534962945</v>
      </c>
      <c r="G196" s="121">
        <f>VLOOKUP(C196,$AX$60:$AZ$91,3)</f>
        <v>16759.549132432574</v>
      </c>
      <c r="H196" s="121">
        <f>VLOOKUP(E196,$AX$60:$AZ$91,3)</f>
        <v>40734.787653307838</v>
      </c>
      <c r="I196" s="108"/>
      <c r="J196" s="108"/>
      <c r="K196" s="108"/>
      <c r="L196" s="108"/>
      <c r="M196" s="108"/>
      <c r="N196" s="108"/>
      <c r="O196" s="108"/>
      <c r="P196" s="108"/>
      <c r="Q196" s="108"/>
      <c r="R196" s="108"/>
      <c r="S196" s="108"/>
      <c r="T196" s="108"/>
      <c r="U196" s="108"/>
      <c r="V196" s="108"/>
      <c r="W196" s="108"/>
      <c r="X196" s="108"/>
      <c r="Y196" s="108"/>
    </row>
    <row r="197" spans="1:25" x14ac:dyDescent="0.3">
      <c r="B197" s="120" t="s">
        <v>817</v>
      </c>
      <c r="C197" s="121">
        <f t="shared" si="54"/>
        <v>1549.44</v>
      </c>
      <c r="D197" s="147">
        <f>VLOOKUP(C197,$AL$94:$AN$125,2)</f>
        <v>-240503.39835045193</v>
      </c>
      <c r="E197" s="182">
        <f t="shared" si="55"/>
        <v>4648.32</v>
      </c>
      <c r="F197" s="121">
        <f>VLOOKUP(E197,$AL$94:$AN$125,2)</f>
        <v>-237484.54359070459</v>
      </c>
      <c r="G197" s="121">
        <f>VLOOKUP(C197,$AL$94:$AN$125,3)</f>
        <v>36121.325029489322</v>
      </c>
      <c r="H197" s="121">
        <f>VLOOKUP(E197,$AL$94:$AN$125,3)</f>
        <v>35730.48737432684</v>
      </c>
    </row>
    <row r="198" spans="1:25" x14ac:dyDescent="0.3">
      <c r="B198" s="120" t="s">
        <v>818</v>
      </c>
      <c r="C198" s="121">
        <f t="shared" si="54"/>
        <v>896</v>
      </c>
      <c r="D198" s="147">
        <f>VLOOKUP(C198,$AP$94:$AR$125,2)</f>
        <v>-240751.61365212855</v>
      </c>
      <c r="E198" s="182">
        <f t="shared" si="55"/>
        <v>2688</v>
      </c>
      <c r="F198" s="121">
        <f>VLOOKUP(E198,$AP$94:$AR$125,2)</f>
        <v>-240828.46618623627</v>
      </c>
      <c r="G198" s="121">
        <f>VLOOKUP(C198,$AP$94:$AR$125,3)</f>
        <v>36153.460357023549</v>
      </c>
      <c r="H198" s="121">
        <f>VLOOKUP(E198,$AP$94:$AR$125,3)</f>
        <v>36163.410111686957</v>
      </c>
    </row>
    <row r="199" spans="1:25" x14ac:dyDescent="0.3">
      <c r="B199" s="120" t="s">
        <v>819</v>
      </c>
      <c r="C199" s="121">
        <f t="shared" si="54"/>
        <v>15297.805074102818</v>
      </c>
      <c r="D199" s="147">
        <f>VLOOKUP(C199,$AT$94:$AV$125,2)</f>
        <v>-238792.51123504271</v>
      </c>
      <c r="E199" s="182">
        <f t="shared" si="55"/>
        <v>45893.415222308453</v>
      </c>
      <c r="F199" s="121">
        <f>VLOOKUP(E199,$AT$94:$AV$125,2)</f>
        <v>-242654.40002437847</v>
      </c>
      <c r="G199" s="121">
        <f>VLOOKUP(C199,$AT$94:$AV$125,3)</f>
        <v>35899.8241088918</v>
      </c>
      <c r="H199" s="121">
        <f>VLOOKUP(E199,$AT$94:$AV$125,3)</f>
        <v>36399.805618121012</v>
      </c>
    </row>
    <row r="200" spans="1:25" x14ac:dyDescent="0.3">
      <c r="B200" s="120" t="s">
        <v>820</v>
      </c>
      <c r="C200" s="121">
        <f t="shared" si="54"/>
        <v>1468.1302000000001</v>
      </c>
      <c r="D200" s="147">
        <f>VLOOKUP(C200,$AX$94:$AZ$125,2)</f>
        <v>-240467.97693830656</v>
      </c>
      <c r="E200" s="182">
        <f t="shared" si="55"/>
        <v>4404.3906000000006</v>
      </c>
      <c r="F200" s="121">
        <f>VLOOKUP(E200,$AX$94:$AZ$125,2)</f>
        <v>-241112.10290005736</v>
      </c>
      <c r="G200" s="121">
        <f>VLOOKUP(C200,$AX$94:$AZ$125,3)</f>
        <v>36116.739177314506</v>
      </c>
      <c r="H200" s="121">
        <f>VLOOKUP(E200,$AX$94:$AZ$125,3)</f>
        <v>36200.131291395883</v>
      </c>
    </row>
    <row r="201" spans="1:25" x14ac:dyDescent="0.3">
      <c r="B201" s="120" t="s">
        <v>821</v>
      </c>
      <c r="C201" s="121">
        <f t="shared" si="54"/>
        <v>21291.255451199999</v>
      </c>
      <c r="D201" s="147">
        <f>VLOOKUP(C201,$AT$128:$AV$159,2)</f>
        <v>-235503.90927592217</v>
      </c>
      <c r="E201" s="182">
        <f t="shared" si="55"/>
        <v>63873.766353599996</v>
      </c>
      <c r="F201" s="121">
        <f>VLOOKUP(E201,$AT$128:$AV$159,2)</f>
        <v>-245723.76185289206</v>
      </c>
      <c r="G201" s="121">
        <f>VLOOKUP(C201,$AT$128:$AV$159,3)</f>
        <v>35474.063487478867</v>
      </c>
      <c r="H201" s="121">
        <f>VLOOKUP(E201,$AT$128:$AV$159,3)</f>
        <v>36797.182198106559</v>
      </c>
    </row>
    <row r="202" spans="1:25" x14ac:dyDescent="0.3">
      <c r="B202" s="120" t="s">
        <v>822</v>
      </c>
      <c r="C202" s="121">
        <f t="shared" si="54"/>
        <v>1909.5</v>
      </c>
      <c r="D202" s="147">
        <f>VLOOKUP(C202,$AX$128:$AZ$159,2)</f>
        <v>-240785.10562227271</v>
      </c>
      <c r="E202" s="182">
        <f t="shared" si="55"/>
        <v>5728.5</v>
      </c>
      <c r="F202" s="121">
        <f>VLOOKUP(E202,$AX$128:$AZ$159,2)</f>
        <v>-240794.64526296384</v>
      </c>
      <c r="G202" s="121">
        <f>VLOOKUP(C202,$AX$128:$AZ$159,3)</f>
        <v>36157.796412951924</v>
      </c>
      <c r="H202" s="121">
        <f>VLOOKUP(E202,$AX$128:$AZ$159,3)</f>
        <v>36159.0314676649</v>
      </c>
    </row>
    <row r="203" spans="1:25" x14ac:dyDescent="0.3">
      <c r="B203" s="120" t="s">
        <v>823</v>
      </c>
      <c r="C203" s="121">
        <f t="shared" si="54"/>
        <v>453.5</v>
      </c>
      <c r="D203" s="147">
        <f>VLOOKUP(C203,$BB$128:$BD$159,2)</f>
        <v>-240680.33991845936</v>
      </c>
      <c r="E203" s="182">
        <f t="shared" si="55"/>
        <v>1360.5</v>
      </c>
      <c r="F203" s="121">
        <f>VLOOKUP(E203,$BB$128:$BD$159,2)</f>
        <v>-240892.42658652394</v>
      </c>
      <c r="G203" s="121">
        <f>VLOOKUP(C203,$BB$128:$BD$159,3)</f>
        <v>36144.23286475947</v>
      </c>
      <c r="H203" s="121">
        <f>VLOOKUP(E203,$BB$128:$BD$159,3)</f>
        <v>36171.690779311321</v>
      </c>
    </row>
    <row r="204" spans="1:25" x14ac:dyDescent="0.3">
      <c r="B204" s="120" t="s">
        <v>824</v>
      </c>
      <c r="C204" s="121">
        <f t="shared" si="54"/>
        <v>1681.5</v>
      </c>
      <c r="D204" s="147">
        <f>VLOOKUP(C204,$BF$128:$BH$159,2)</f>
        <v>-241268.90223435979</v>
      </c>
      <c r="E204" s="182">
        <f t="shared" si="55"/>
        <v>5044.5</v>
      </c>
      <c r="F204" s="121">
        <f>VLOOKUP(E204,$BF$128:$BH$159,2)</f>
        <v>-240343.10175835021</v>
      </c>
      <c r="G204" s="121">
        <f>VLOOKUP(C204,$BF$128:$BH$159,3)</f>
        <v>36220.431401545909</v>
      </c>
      <c r="H204" s="121">
        <f>VLOOKUP(E204,$BF$128:$BH$159,3)</f>
        <v>36100.572144977312</v>
      </c>
    </row>
    <row r="205" spans="1:25" x14ac:dyDescent="0.3">
      <c r="G205" s="108"/>
    </row>
    <row r="206" spans="1:25" ht="15" thickBot="1" x14ac:dyDescent="0.35">
      <c r="B206" s="108"/>
      <c r="C206" s="108"/>
      <c r="D206" s="108"/>
      <c r="E206" s="108"/>
      <c r="F206" s="108"/>
      <c r="G206" s="108"/>
    </row>
    <row r="207" spans="1:25" x14ac:dyDescent="0.3">
      <c r="B207" s="108"/>
      <c r="C207" s="204" t="s">
        <v>769</v>
      </c>
      <c r="D207" s="204" t="s">
        <v>774</v>
      </c>
      <c r="E207" s="204" t="s">
        <v>771</v>
      </c>
      <c r="F207" s="204" t="s">
        <v>775</v>
      </c>
      <c r="G207" s="108"/>
    </row>
    <row r="208" spans="1:25" ht="15" thickBot="1" x14ac:dyDescent="0.35">
      <c r="B208" s="108"/>
      <c r="C208" s="205"/>
      <c r="D208" s="205"/>
      <c r="E208" s="205"/>
      <c r="F208" s="205"/>
      <c r="G208" s="108"/>
    </row>
    <row r="209" spans="2:6" x14ac:dyDescent="0.3">
      <c r="B209" s="113" t="s">
        <v>278</v>
      </c>
      <c r="C209" s="149">
        <f>$B$61</f>
        <v>1150</v>
      </c>
      <c r="D209" s="149">
        <f>VLOOKUP($C$165,$B$60:$D$91,3)</f>
        <v>37308.435234355216</v>
      </c>
      <c r="E209" s="149">
        <f>$B$91</f>
        <v>3449.9999999999982</v>
      </c>
      <c r="F209" s="150">
        <f>VLOOKUP($E$165,$B$60:$D$91,3)</f>
        <v>35008.435234355129</v>
      </c>
    </row>
    <row r="210" spans="2:6" x14ac:dyDescent="0.3">
      <c r="B210" s="151" t="s">
        <v>314</v>
      </c>
      <c r="C210" s="152">
        <f>$F$61</f>
        <v>5.0500000000000003E-2</v>
      </c>
      <c r="D210" s="153">
        <f>VLOOKUP($C$166,$F$60:H166,3)</f>
        <v>34947.055673458271</v>
      </c>
      <c r="E210" s="152">
        <f>$F$91</f>
        <v>0.15150000000000002</v>
      </c>
      <c r="F210" s="154">
        <f>VLOOKUP($E$166,$F$60:$H$91,3)</f>
        <v>37369.814795252161</v>
      </c>
    </row>
    <row r="211" spans="2:6" x14ac:dyDescent="0.3">
      <c r="B211" s="151" t="s">
        <v>645</v>
      </c>
      <c r="C211" s="152">
        <f>$J$61</f>
        <v>0.69</v>
      </c>
      <c r="D211" s="153">
        <f>VLOOKUP($C$167,$J$60:$L$91,3)</f>
        <v>37436.502366306653</v>
      </c>
      <c r="E211" s="152">
        <f>$J$91</f>
        <v>0.84000000000000008</v>
      </c>
      <c r="F211" s="154">
        <f>VLOOKUP($E$167,$J$60:$L$91,3)</f>
        <v>34789.077592978749</v>
      </c>
    </row>
    <row r="212" spans="2:6" x14ac:dyDescent="0.3">
      <c r="B212" s="151" t="s">
        <v>315</v>
      </c>
      <c r="C212" s="152">
        <f>$N$61</f>
        <v>0.63</v>
      </c>
      <c r="D212" s="153">
        <f>VLOOKUP($C$168,$N$60:$P$91,3)</f>
        <v>44197.104095223527</v>
      </c>
      <c r="E212" s="152">
        <f>$N$91</f>
        <v>0.81999999999999906</v>
      </c>
      <c r="F212" s="154">
        <f>VLOOKUP($E$168,$N$60:$P$91,3)</f>
        <v>25105.26555066129</v>
      </c>
    </row>
    <row r="213" spans="2:6" x14ac:dyDescent="0.3">
      <c r="B213" s="151" t="s">
        <v>316</v>
      </c>
      <c r="C213" s="152">
        <f>$R$61</f>
        <v>0.82</v>
      </c>
      <c r="D213" s="153">
        <f>VLOOKUP($C$169,$R$60:$T$91,3)</f>
        <v>36448.687458326043</v>
      </c>
      <c r="E213" s="152">
        <f>$R$91</f>
        <v>0.99000000000000121</v>
      </c>
      <c r="F213" s="154">
        <f>VLOOKUP($E$169,$R$60:$T$91,3)</f>
        <v>35852.46101491939</v>
      </c>
    </row>
    <row r="214" spans="2:6" ht="15" thickBot="1" x14ac:dyDescent="0.35">
      <c r="B214" s="116" t="s">
        <v>674</v>
      </c>
      <c r="C214" s="155">
        <f>$V$61</f>
        <v>4.65E-2</v>
      </c>
      <c r="D214" s="156">
        <f>VLOOKUP($C$169,$V$60:$X$91,3)</f>
        <v>36582.139924786883</v>
      </c>
      <c r="E214" s="155">
        <f>$V$91</f>
        <v>0.13950000000000007</v>
      </c>
      <c r="F214" s="157">
        <f>VLOOKUP($E$169,$V$60:$X$91,3)</f>
        <v>36582.139924786883</v>
      </c>
    </row>
  </sheetData>
  <mergeCells count="14">
    <mergeCell ref="C207:C208"/>
    <mergeCell ref="D207:D208"/>
    <mergeCell ref="E207:E208"/>
    <mergeCell ref="F207:F208"/>
    <mergeCell ref="B2:T2"/>
    <mergeCell ref="B8:C9"/>
    <mergeCell ref="B57:X57"/>
    <mergeCell ref="B161:T161"/>
    <mergeCell ref="C163:C164"/>
    <mergeCell ref="D163:D164"/>
    <mergeCell ref="E163:E164"/>
    <mergeCell ref="F163:F164"/>
    <mergeCell ref="G163:G164"/>
    <mergeCell ref="H163:H164"/>
  </mergeCells>
  <conditionalFormatting sqref="A11:A14">
    <cfRule type="cellIs" dxfId="89" priority="1" stopIfTrue="1" operator="equal">
      <formula>0</formula>
    </cfRule>
  </conditionalFormatting>
  <conditionalFormatting sqref="C5:C6">
    <cfRule type="cellIs" dxfId="88" priority="182" stopIfTrue="1" operator="equal">
      <formula>0</formula>
    </cfRule>
  </conditionalFormatting>
  <conditionalFormatting sqref="C10:C14">
    <cfRule type="cellIs" dxfId="87" priority="184" stopIfTrue="1" operator="equal">
      <formula>0</formula>
    </cfRule>
  </conditionalFormatting>
  <conditionalFormatting sqref="C20:C55">
    <cfRule type="cellIs" dxfId="86" priority="36" stopIfTrue="1" operator="equal">
      <formula>0</formula>
    </cfRule>
  </conditionalFormatting>
  <conditionalFormatting sqref="C193:C204">
    <cfRule type="cellIs" dxfId="85" priority="3" stopIfTrue="1" operator="equal">
      <formula>0</formula>
    </cfRule>
  </conditionalFormatting>
  <conditionalFormatting sqref="C60:D60">
    <cfRule type="cellIs" dxfId="84" priority="183" stopIfTrue="1" operator="equal">
      <formula>0</formula>
    </cfRule>
  </conditionalFormatting>
  <conditionalFormatting sqref="C61:D91">
    <cfRule type="cellIs" dxfId="83" priority="180" stopIfTrue="1" operator="equal">
      <formula>0</formula>
    </cfRule>
  </conditionalFormatting>
  <conditionalFormatting sqref="C94:D94">
    <cfRule type="cellIs" dxfId="82" priority="92" stopIfTrue="1" operator="equal">
      <formula>0</formula>
    </cfRule>
  </conditionalFormatting>
  <conditionalFormatting sqref="C95:D125">
    <cfRule type="cellIs" dxfId="81" priority="91" stopIfTrue="1" operator="equal">
      <formula>0</formula>
    </cfRule>
  </conditionalFormatting>
  <conditionalFormatting sqref="C128:D128">
    <cfRule type="cellIs" dxfId="80" priority="54" stopIfTrue="1" operator="equal">
      <formula>0</formula>
    </cfRule>
  </conditionalFormatting>
  <conditionalFormatting sqref="C129:D159">
    <cfRule type="cellIs" dxfId="79" priority="71" stopIfTrue="1" operator="equal">
      <formula>0</formula>
    </cfRule>
  </conditionalFormatting>
  <conditionalFormatting sqref="C209:F214">
    <cfRule type="cellIs" dxfId="78" priority="166" stopIfTrue="1" operator="equal">
      <formula>0</formula>
    </cfRule>
  </conditionalFormatting>
  <conditionalFormatting sqref="C165:H192">
    <cfRule type="cellIs" dxfId="77" priority="37" stopIfTrue="1" operator="equal">
      <formula>0</formula>
    </cfRule>
  </conditionalFormatting>
  <conditionalFormatting sqref="D193:D204">
    <cfRule type="cellIs" dxfId="76" priority="181" stopIfTrue="1" operator="equal">
      <formula>0</formula>
    </cfRule>
  </conditionalFormatting>
  <conditionalFormatting sqref="G60:H60">
    <cfRule type="cellIs" dxfId="75" priority="121" stopIfTrue="1" operator="equal">
      <formula>0</formula>
    </cfRule>
  </conditionalFormatting>
  <conditionalFormatting sqref="G61:H91">
    <cfRule type="cellIs" dxfId="74" priority="179" stopIfTrue="1" operator="equal">
      <formula>0</formula>
    </cfRule>
  </conditionalFormatting>
  <conditionalFormatting sqref="G94:H94">
    <cfRule type="cellIs" dxfId="73" priority="89" stopIfTrue="1" operator="equal">
      <formula>0</formula>
    </cfRule>
  </conditionalFormatting>
  <conditionalFormatting sqref="G95:H125">
    <cfRule type="cellIs" dxfId="72" priority="88" stopIfTrue="1" operator="equal">
      <formula>0</formula>
    </cfRule>
  </conditionalFormatting>
  <conditionalFormatting sqref="G128:H128">
    <cfRule type="cellIs" dxfId="71" priority="53" stopIfTrue="1" operator="equal">
      <formula>0</formula>
    </cfRule>
  </conditionalFormatting>
  <conditionalFormatting sqref="G129:H159">
    <cfRule type="cellIs" dxfId="70" priority="69" stopIfTrue="1" operator="equal">
      <formula>0</formula>
    </cfRule>
  </conditionalFormatting>
  <conditionalFormatting sqref="K60:L60">
    <cfRule type="cellIs" dxfId="69" priority="174" stopIfTrue="1" operator="equal">
      <formula>0</formula>
    </cfRule>
  </conditionalFormatting>
  <conditionalFormatting sqref="K61:L91">
    <cfRule type="cellIs" dxfId="68" priority="178" stopIfTrue="1" operator="equal">
      <formula>0</formula>
    </cfRule>
  </conditionalFormatting>
  <conditionalFormatting sqref="K94:L94">
    <cfRule type="cellIs" dxfId="67" priority="86" stopIfTrue="1" operator="equal">
      <formula>0</formula>
    </cfRule>
  </conditionalFormatting>
  <conditionalFormatting sqref="K95:L125">
    <cfRule type="cellIs" dxfId="66" priority="85" stopIfTrue="1" operator="equal">
      <formula>0</formula>
    </cfRule>
  </conditionalFormatting>
  <conditionalFormatting sqref="K128:L128">
    <cfRule type="cellIs" dxfId="65" priority="52" stopIfTrue="1" operator="equal">
      <formula>0</formula>
    </cfRule>
  </conditionalFormatting>
  <conditionalFormatting sqref="K129:L159">
    <cfRule type="cellIs" dxfId="64" priority="67" stopIfTrue="1" operator="equal">
      <formula>0</formula>
    </cfRule>
  </conditionalFormatting>
  <conditionalFormatting sqref="O60:P60">
    <cfRule type="cellIs" dxfId="63" priority="173" stopIfTrue="1" operator="equal">
      <formula>0</formula>
    </cfRule>
  </conditionalFormatting>
  <conditionalFormatting sqref="O61:P91">
    <cfRule type="cellIs" dxfId="62" priority="177" stopIfTrue="1" operator="equal">
      <formula>0</formula>
    </cfRule>
  </conditionalFormatting>
  <conditionalFormatting sqref="O94:P94">
    <cfRule type="cellIs" dxfId="61" priority="84" stopIfTrue="1" operator="equal">
      <formula>0</formula>
    </cfRule>
  </conditionalFormatting>
  <conditionalFormatting sqref="O95:P125">
    <cfRule type="cellIs" dxfId="60" priority="83" stopIfTrue="1" operator="equal">
      <formula>0</formula>
    </cfRule>
  </conditionalFormatting>
  <conditionalFormatting sqref="O128:P128">
    <cfRule type="cellIs" dxfId="59" priority="51" stopIfTrue="1" operator="equal">
      <formula>0</formula>
    </cfRule>
  </conditionalFormatting>
  <conditionalFormatting sqref="O129:P159">
    <cfRule type="cellIs" dxfId="58" priority="65" stopIfTrue="1" operator="equal">
      <formula>0</formula>
    </cfRule>
  </conditionalFormatting>
  <conditionalFormatting sqref="S60:T60">
    <cfRule type="cellIs" dxfId="57" priority="172" stopIfTrue="1" operator="equal">
      <formula>0</formula>
    </cfRule>
  </conditionalFormatting>
  <conditionalFormatting sqref="S61:T91">
    <cfRule type="cellIs" dxfId="56" priority="176" stopIfTrue="1" operator="equal">
      <formula>0</formula>
    </cfRule>
  </conditionalFormatting>
  <conditionalFormatting sqref="S94:T94">
    <cfRule type="cellIs" dxfId="55" priority="82" stopIfTrue="1" operator="equal">
      <formula>0</formula>
    </cfRule>
  </conditionalFormatting>
  <conditionalFormatting sqref="S95:T125">
    <cfRule type="cellIs" dxfId="54" priority="81" stopIfTrue="1" operator="equal">
      <formula>0</formula>
    </cfRule>
  </conditionalFormatting>
  <conditionalFormatting sqref="S128:T128">
    <cfRule type="cellIs" dxfId="53" priority="50" stopIfTrue="1" operator="equal">
      <formula>0</formula>
    </cfRule>
  </conditionalFormatting>
  <conditionalFormatting sqref="S129:T159">
    <cfRule type="cellIs" dxfId="52" priority="63" stopIfTrue="1" operator="equal">
      <formula>0</formula>
    </cfRule>
  </conditionalFormatting>
  <conditionalFormatting sqref="W60:X60">
    <cfRule type="cellIs" dxfId="51" priority="167" stopIfTrue="1" operator="equal">
      <formula>0</formula>
    </cfRule>
  </conditionalFormatting>
  <conditionalFormatting sqref="W61:X91">
    <cfRule type="cellIs" dxfId="50" priority="168" stopIfTrue="1" operator="equal">
      <formula>0</formula>
    </cfRule>
  </conditionalFormatting>
  <conditionalFormatting sqref="W94:X94">
    <cfRule type="cellIs" dxfId="49" priority="80" stopIfTrue="1" operator="equal">
      <formula>0</formula>
    </cfRule>
  </conditionalFormatting>
  <conditionalFormatting sqref="W95:X125">
    <cfRule type="cellIs" dxfId="48" priority="79" stopIfTrue="1" operator="equal">
      <formula>0</formula>
    </cfRule>
  </conditionalFormatting>
  <conditionalFormatting sqref="W128:X128">
    <cfRule type="cellIs" dxfId="47" priority="49" stopIfTrue="1" operator="equal">
      <formula>0</formula>
    </cfRule>
  </conditionalFormatting>
  <conditionalFormatting sqref="W129:X159">
    <cfRule type="cellIs" dxfId="46" priority="61" stopIfTrue="1" operator="equal">
      <formula>0</formula>
    </cfRule>
  </conditionalFormatting>
  <conditionalFormatting sqref="AA60:AB60">
    <cfRule type="cellIs" dxfId="45" priority="171" stopIfTrue="1" operator="equal">
      <formula>0</formula>
    </cfRule>
  </conditionalFormatting>
  <conditionalFormatting sqref="AA61:AB91">
    <cfRule type="cellIs" dxfId="44" priority="170" stopIfTrue="1" operator="equal">
      <formula>0</formula>
    </cfRule>
  </conditionalFormatting>
  <conditionalFormatting sqref="AA94:AB94">
    <cfRule type="cellIs" dxfId="43" priority="78" stopIfTrue="1" operator="equal">
      <formula>0</formula>
    </cfRule>
  </conditionalFormatting>
  <conditionalFormatting sqref="AA95:AB125">
    <cfRule type="cellIs" dxfId="42" priority="77" stopIfTrue="1" operator="equal">
      <formula>0</formula>
    </cfRule>
  </conditionalFormatting>
  <conditionalFormatting sqref="AA128:AB128">
    <cfRule type="cellIs" dxfId="41" priority="48" stopIfTrue="1" operator="equal">
      <formula>0</formula>
    </cfRule>
  </conditionalFormatting>
  <conditionalFormatting sqref="AA129:AB159">
    <cfRule type="cellIs" dxfId="40" priority="59" stopIfTrue="1" operator="equal">
      <formula>0</formula>
    </cfRule>
  </conditionalFormatting>
  <conditionalFormatting sqref="AE60:AF60">
    <cfRule type="cellIs" dxfId="39" priority="165" stopIfTrue="1" operator="equal">
      <formula>0</formula>
    </cfRule>
  </conditionalFormatting>
  <conditionalFormatting sqref="AE61:AF91">
    <cfRule type="cellIs" dxfId="38" priority="164" stopIfTrue="1" operator="equal">
      <formula>0</formula>
    </cfRule>
  </conditionalFormatting>
  <conditionalFormatting sqref="AE94:AF94">
    <cfRule type="cellIs" dxfId="37" priority="76" stopIfTrue="1" operator="equal">
      <formula>0</formula>
    </cfRule>
  </conditionalFormatting>
  <conditionalFormatting sqref="AE95:AF125">
    <cfRule type="cellIs" dxfId="36" priority="75" stopIfTrue="1" operator="equal">
      <formula>0</formula>
    </cfRule>
  </conditionalFormatting>
  <conditionalFormatting sqref="AE128:AF128">
    <cfRule type="cellIs" dxfId="35" priority="47" stopIfTrue="1" operator="equal">
      <formula>0</formula>
    </cfRule>
  </conditionalFormatting>
  <conditionalFormatting sqref="AE129:AF159">
    <cfRule type="cellIs" dxfId="34" priority="57" stopIfTrue="1" operator="equal">
      <formula>0</formula>
    </cfRule>
  </conditionalFormatting>
  <conditionalFormatting sqref="AI60:AJ60">
    <cfRule type="cellIs" dxfId="33" priority="163" stopIfTrue="1" operator="equal">
      <formula>0</formula>
    </cfRule>
  </conditionalFormatting>
  <conditionalFormatting sqref="AI61:AJ91">
    <cfRule type="cellIs" dxfId="32" priority="162" stopIfTrue="1" operator="equal">
      <formula>0</formula>
    </cfRule>
  </conditionalFormatting>
  <conditionalFormatting sqref="AI94:AJ94">
    <cfRule type="cellIs" dxfId="31" priority="74" stopIfTrue="1" operator="equal">
      <formula>0</formula>
    </cfRule>
  </conditionalFormatting>
  <conditionalFormatting sqref="AI95:AJ125">
    <cfRule type="cellIs" dxfId="30" priority="73" stopIfTrue="1" operator="equal">
      <formula>0</formula>
    </cfRule>
  </conditionalFormatting>
  <conditionalFormatting sqref="AI128:AJ128">
    <cfRule type="cellIs" dxfId="29" priority="46" stopIfTrue="1" operator="equal">
      <formula>0</formula>
    </cfRule>
  </conditionalFormatting>
  <conditionalFormatting sqref="AI129:AJ159">
    <cfRule type="cellIs" dxfId="28" priority="55" stopIfTrue="1" operator="equal">
      <formula>0</formula>
    </cfRule>
  </conditionalFormatting>
  <conditionalFormatting sqref="AM60:AN60">
    <cfRule type="cellIs" dxfId="27" priority="12" stopIfTrue="1" operator="equal">
      <formula>0</formula>
    </cfRule>
  </conditionalFormatting>
  <conditionalFormatting sqref="AM61:AN91">
    <cfRule type="cellIs" dxfId="26" priority="35" stopIfTrue="1" operator="equal">
      <formula>0</formula>
    </cfRule>
  </conditionalFormatting>
  <conditionalFormatting sqref="AM94:AN94">
    <cfRule type="cellIs" dxfId="25" priority="28" stopIfTrue="1" operator="equal">
      <formula>0</formula>
    </cfRule>
  </conditionalFormatting>
  <conditionalFormatting sqref="AM95:AN125">
    <cfRule type="cellIs" dxfId="24" priority="27" stopIfTrue="1" operator="equal">
      <formula>0</formula>
    </cfRule>
  </conditionalFormatting>
  <conditionalFormatting sqref="AM128:AN128">
    <cfRule type="cellIs" dxfId="23" priority="41" stopIfTrue="1" operator="equal">
      <formula>0</formula>
    </cfRule>
  </conditionalFormatting>
  <conditionalFormatting sqref="AM129:AN159">
    <cfRule type="cellIs" dxfId="22" priority="43" stopIfTrue="1" operator="equal">
      <formula>0</formula>
    </cfRule>
  </conditionalFormatting>
  <conditionalFormatting sqref="AQ60:AR60">
    <cfRule type="cellIs" dxfId="21" priority="34" stopIfTrue="1" operator="equal">
      <formula>0</formula>
    </cfRule>
  </conditionalFormatting>
  <conditionalFormatting sqref="AQ61:AR91">
    <cfRule type="cellIs" dxfId="20" priority="33" stopIfTrue="1" operator="equal">
      <formula>0</formula>
    </cfRule>
  </conditionalFormatting>
  <conditionalFormatting sqref="AQ94:AR94">
    <cfRule type="cellIs" dxfId="19" priority="26" stopIfTrue="1" operator="equal">
      <formula>0</formula>
    </cfRule>
  </conditionalFormatting>
  <conditionalFormatting sqref="AQ95:AR125">
    <cfRule type="cellIs" dxfId="18" priority="25" stopIfTrue="1" operator="equal">
      <formula>0</formula>
    </cfRule>
  </conditionalFormatting>
  <conditionalFormatting sqref="AQ128:AR128">
    <cfRule type="cellIs" dxfId="17" priority="40" stopIfTrue="1" operator="equal">
      <formula>0</formula>
    </cfRule>
  </conditionalFormatting>
  <conditionalFormatting sqref="AQ129:AR159">
    <cfRule type="cellIs" dxfId="16" priority="42" stopIfTrue="1" operator="equal">
      <formula>0</formula>
    </cfRule>
  </conditionalFormatting>
  <conditionalFormatting sqref="AU60:AV60">
    <cfRule type="cellIs" dxfId="15" priority="32" stopIfTrue="1" operator="equal">
      <formula>0</formula>
    </cfRule>
  </conditionalFormatting>
  <conditionalFormatting sqref="AU61:AV91">
    <cfRule type="cellIs" dxfId="14" priority="31" stopIfTrue="1" operator="equal">
      <formula>0</formula>
    </cfRule>
  </conditionalFormatting>
  <conditionalFormatting sqref="AU94:AV94">
    <cfRule type="cellIs" dxfId="13" priority="24" stopIfTrue="1" operator="equal">
      <formula>0</formula>
    </cfRule>
  </conditionalFormatting>
  <conditionalFormatting sqref="AU95:AV125">
    <cfRule type="cellIs" dxfId="12" priority="23" stopIfTrue="1" operator="equal">
      <formula>0</formula>
    </cfRule>
  </conditionalFormatting>
  <conditionalFormatting sqref="AU128:AV128">
    <cfRule type="cellIs" dxfId="11" priority="11" stopIfTrue="1" operator="equal">
      <formula>0</formula>
    </cfRule>
  </conditionalFormatting>
  <conditionalFormatting sqref="AU129:AV159">
    <cfRule type="cellIs" dxfId="10" priority="10" stopIfTrue="1" operator="equal">
      <formula>0</formula>
    </cfRule>
  </conditionalFormatting>
  <conditionalFormatting sqref="AY60:AZ60">
    <cfRule type="cellIs" dxfId="9" priority="30" stopIfTrue="1" operator="equal">
      <formula>0</formula>
    </cfRule>
  </conditionalFormatting>
  <conditionalFormatting sqref="AY61:AZ91">
    <cfRule type="cellIs" dxfId="8" priority="29" stopIfTrue="1" operator="equal">
      <formula>0</formula>
    </cfRule>
  </conditionalFormatting>
  <conditionalFormatting sqref="AY94:AZ94">
    <cfRule type="cellIs" dxfId="7" priority="22" stopIfTrue="1" operator="equal">
      <formula>0</formula>
    </cfRule>
  </conditionalFormatting>
  <conditionalFormatting sqref="AY95:AZ125">
    <cfRule type="cellIs" dxfId="6" priority="21" stopIfTrue="1" operator="equal">
      <formula>0</formula>
    </cfRule>
  </conditionalFormatting>
  <conditionalFormatting sqref="AY128:AZ128">
    <cfRule type="cellIs" dxfId="5" priority="9" stopIfTrue="1" operator="equal">
      <formula>0</formula>
    </cfRule>
  </conditionalFormatting>
  <conditionalFormatting sqref="AY129:AZ159">
    <cfRule type="cellIs" dxfId="4" priority="8" stopIfTrue="1" operator="equal">
      <formula>0</formula>
    </cfRule>
  </conditionalFormatting>
  <conditionalFormatting sqref="BC128:BD128">
    <cfRule type="cellIs" dxfId="3" priority="7" stopIfTrue="1" operator="equal">
      <formula>0</formula>
    </cfRule>
  </conditionalFormatting>
  <conditionalFormatting sqref="BC129:BD159">
    <cfRule type="cellIs" dxfId="2" priority="6" stopIfTrue="1" operator="equal">
      <formula>0</formula>
    </cfRule>
  </conditionalFormatting>
  <conditionalFormatting sqref="BG128:BH128">
    <cfRule type="cellIs" dxfId="1" priority="5" stopIfTrue="1" operator="equal">
      <formula>0</formula>
    </cfRule>
  </conditionalFormatting>
  <conditionalFormatting sqref="BG129:BH159">
    <cfRule type="cellIs" dxfId="0" priority="4" stopIfTrue="1" operator="equal">
      <formula>0</formula>
    </cfRule>
  </conditionalFormatting>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rgb="FFFF0000"/>
  </sheetPr>
  <dimension ref="A1:IW133"/>
  <sheetViews>
    <sheetView topLeftCell="A15" zoomScale="70" zoomScaleNormal="70" workbookViewId="0">
      <selection activeCell="J13" sqref="J13"/>
    </sheetView>
  </sheetViews>
  <sheetFormatPr defaultColWidth="8.77734375" defaultRowHeight="14.4" x14ac:dyDescent="0.3"/>
  <cols>
    <col min="2" max="2" width="15.77734375" bestFit="1" customWidth="1"/>
    <col min="3" max="3" width="13.44140625" bestFit="1" customWidth="1"/>
    <col min="4" max="4" width="9" bestFit="1" customWidth="1"/>
    <col min="5" max="5" width="15.77734375" bestFit="1" customWidth="1"/>
    <col min="9" max="9" width="12" style="44" customWidth="1"/>
    <col min="10" max="10" width="10.5546875" bestFit="1" customWidth="1"/>
    <col min="11" max="11" width="9" bestFit="1" customWidth="1"/>
    <col min="12" max="12" width="15.77734375" bestFit="1" customWidth="1"/>
  </cols>
  <sheetData>
    <row r="1" spans="1:257" ht="15" thickBot="1" x14ac:dyDescent="0.35">
      <c r="A1" s="158"/>
      <c r="B1" s="213" t="s">
        <v>776</v>
      </c>
      <c r="C1" s="214"/>
      <c r="D1" s="214"/>
      <c r="E1" s="214"/>
      <c r="F1" s="214"/>
      <c r="G1" s="214"/>
      <c r="H1" s="214"/>
      <c r="I1" s="214"/>
      <c r="J1" s="214"/>
      <c r="K1" s="214"/>
      <c r="L1" s="214"/>
      <c r="M1" s="215"/>
      <c r="N1" s="158"/>
      <c r="O1" s="108"/>
      <c r="P1" s="108"/>
      <c r="Q1" s="108"/>
      <c r="R1" s="108"/>
      <c r="S1" s="108"/>
      <c r="T1" s="108"/>
      <c r="U1" s="108"/>
      <c r="V1" s="108"/>
      <c r="W1" s="108"/>
      <c r="X1" s="108"/>
      <c r="Y1" s="108"/>
      <c r="Z1" s="108"/>
      <c r="AA1" s="108"/>
      <c r="AB1" s="108"/>
      <c r="AC1" s="108"/>
      <c r="AD1" s="108"/>
      <c r="AE1" s="108"/>
      <c r="AF1" s="108"/>
      <c r="AG1" s="108"/>
      <c r="AH1" s="108"/>
      <c r="AI1" s="108"/>
      <c r="AJ1" s="108"/>
      <c r="AK1" s="108"/>
      <c r="AL1" s="108"/>
      <c r="AM1" s="108"/>
      <c r="AN1" s="108"/>
      <c r="AO1" s="108"/>
      <c r="AP1" s="108"/>
      <c r="AQ1" s="108"/>
      <c r="AR1" s="108"/>
      <c r="AS1" s="108"/>
      <c r="AT1" s="108"/>
      <c r="AU1" s="108"/>
      <c r="AV1" s="108"/>
      <c r="AW1" s="108"/>
      <c r="AX1" s="108"/>
      <c r="AY1" s="108"/>
      <c r="AZ1" s="108"/>
      <c r="BA1" s="108"/>
      <c r="BB1" s="108"/>
      <c r="BC1" s="108"/>
      <c r="BD1" s="108"/>
      <c r="BE1" s="108"/>
      <c r="BF1" s="108"/>
      <c r="BG1" s="108"/>
      <c r="BH1" s="108"/>
      <c r="BI1" s="108"/>
      <c r="BJ1" s="108"/>
      <c r="BK1" s="108"/>
      <c r="BL1" s="108"/>
      <c r="BM1" s="108"/>
      <c r="BN1" s="108"/>
      <c r="BO1" s="108"/>
      <c r="BP1" s="108"/>
      <c r="BQ1" s="108"/>
      <c r="BR1" s="108"/>
      <c r="BS1" s="108"/>
      <c r="BT1" s="108"/>
      <c r="BU1" s="108"/>
      <c r="BV1" s="108"/>
      <c r="BW1" s="108"/>
      <c r="BX1" s="108"/>
      <c r="BY1" s="108"/>
      <c r="BZ1" s="108"/>
      <c r="CA1" s="108"/>
      <c r="CB1" s="108"/>
      <c r="CC1" s="108"/>
      <c r="CD1" s="108"/>
      <c r="CE1" s="108"/>
      <c r="CF1" s="108"/>
      <c r="CG1" s="108"/>
      <c r="CH1" s="108"/>
      <c r="CI1" s="108"/>
      <c r="CJ1" s="108"/>
      <c r="CK1" s="108"/>
      <c r="CL1" s="108"/>
      <c r="CM1" s="108"/>
      <c r="CN1" s="108"/>
      <c r="CO1" s="108"/>
      <c r="CP1" s="108"/>
      <c r="CQ1" s="108"/>
      <c r="CR1" s="108"/>
      <c r="CS1" s="108"/>
      <c r="CT1" s="108"/>
      <c r="CU1" s="108"/>
      <c r="CV1" s="108"/>
      <c r="CW1" s="108"/>
      <c r="CX1" s="108"/>
      <c r="CY1" s="108"/>
      <c r="CZ1" s="108"/>
      <c r="DA1" s="108"/>
      <c r="DB1" s="108"/>
      <c r="DC1" s="108"/>
      <c r="DD1" s="108"/>
      <c r="DE1" s="108"/>
      <c r="DF1" s="108"/>
      <c r="DG1" s="108"/>
      <c r="DH1" s="108"/>
      <c r="DI1" s="108"/>
      <c r="DJ1" s="108"/>
      <c r="DK1" s="108"/>
      <c r="DL1" s="108"/>
      <c r="DM1" s="108"/>
      <c r="DN1" s="108"/>
      <c r="DO1" s="108"/>
      <c r="DP1" s="108"/>
      <c r="DQ1" s="108"/>
      <c r="DR1" s="108"/>
      <c r="DS1" s="108"/>
      <c r="DT1" s="108"/>
      <c r="DU1" s="108"/>
      <c r="DV1" s="108"/>
      <c r="DW1" s="108"/>
      <c r="DX1" s="108"/>
      <c r="DY1" s="108"/>
      <c r="DZ1" s="108"/>
      <c r="EA1" s="108"/>
      <c r="EB1" s="108"/>
      <c r="EC1" s="108"/>
      <c r="ED1" s="108"/>
      <c r="EE1" s="108"/>
      <c r="EF1" s="108"/>
      <c r="EG1" s="108"/>
      <c r="EH1" s="108"/>
      <c r="EI1" s="108"/>
      <c r="EJ1" s="108"/>
      <c r="EK1" s="108"/>
      <c r="EL1" s="108"/>
      <c r="EM1" s="108"/>
      <c r="EN1" s="108"/>
      <c r="EO1" s="108"/>
      <c r="EP1" s="108"/>
      <c r="EQ1" s="108"/>
      <c r="ER1" s="108"/>
      <c r="ES1" s="108"/>
      <c r="ET1" s="108"/>
      <c r="EU1" s="108"/>
      <c r="EV1" s="108"/>
      <c r="EW1" s="108"/>
      <c r="EX1" s="108"/>
      <c r="EY1" s="108"/>
      <c r="EZ1" s="108"/>
      <c r="FA1" s="108"/>
      <c r="FB1" s="108"/>
      <c r="FC1" s="108"/>
      <c r="FD1" s="108"/>
      <c r="FE1" s="108"/>
      <c r="FF1" s="108"/>
      <c r="FG1" s="108"/>
      <c r="FH1" s="108"/>
      <c r="FI1" s="108"/>
      <c r="FJ1" s="108"/>
      <c r="FK1" s="108"/>
      <c r="FL1" s="108"/>
      <c r="FM1" s="108"/>
      <c r="FN1" s="108"/>
      <c r="FO1" s="108"/>
      <c r="FP1" s="108"/>
      <c r="FQ1" s="108"/>
      <c r="FR1" s="108"/>
      <c r="FS1" s="108"/>
      <c r="FT1" s="108"/>
      <c r="FU1" s="108"/>
      <c r="FV1" s="108"/>
      <c r="FW1" s="108"/>
      <c r="FX1" s="108"/>
      <c r="FY1" s="108"/>
      <c r="FZ1" s="108"/>
      <c r="GA1" s="108"/>
      <c r="GB1" s="108"/>
      <c r="GC1" s="108"/>
      <c r="GD1" s="108"/>
      <c r="GE1" s="108"/>
      <c r="GF1" s="108"/>
      <c r="GG1" s="108"/>
      <c r="GH1" s="108"/>
      <c r="GI1" s="108"/>
      <c r="GJ1" s="108"/>
      <c r="GK1" s="108"/>
      <c r="GL1" s="108"/>
      <c r="GM1" s="108"/>
      <c r="GN1" s="108"/>
      <c r="GO1" s="108"/>
      <c r="GP1" s="108"/>
      <c r="GQ1" s="108"/>
      <c r="GR1" s="108"/>
      <c r="GS1" s="108"/>
      <c r="GT1" s="108"/>
      <c r="GU1" s="108"/>
      <c r="GV1" s="108"/>
      <c r="GW1" s="108"/>
      <c r="GX1" s="108"/>
      <c r="GY1" s="108"/>
      <c r="GZ1" s="108"/>
      <c r="HA1" s="108"/>
      <c r="HB1" s="108"/>
      <c r="HC1" s="108"/>
      <c r="HD1" s="108"/>
      <c r="HE1" s="108"/>
      <c r="HF1" s="108"/>
      <c r="HG1" s="108"/>
      <c r="HH1" s="108"/>
      <c r="HI1" s="108"/>
      <c r="HJ1" s="108"/>
      <c r="HK1" s="108"/>
      <c r="HL1" s="108"/>
      <c r="HM1" s="108"/>
      <c r="HN1" s="108"/>
      <c r="HO1" s="108"/>
      <c r="HP1" s="108"/>
      <c r="HQ1" s="108"/>
      <c r="HR1" s="108"/>
      <c r="HS1" s="108"/>
      <c r="HT1" s="108"/>
      <c r="HU1" s="108"/>
      <c r="HV1" s="108"/>
      <c r="HW1" s="108"/>
      <c r="HX1" s="108"/>
      <c r="HY1" s="108"/>
      <c r="HZ1" s="108"/>
      <c r="IA1" s="108"/>
      <c r="IB1" s="108"/>
      <c r="IC1" s="108"/>
      <c r="ID1" s="108"/>
      <c r="IE1" s="108"/>
      <c r="IF1" s="108"/>
      <c r="IG1" s="108"/>
      <c r="IH1" s="108"/>
      <c r="II1" s="108"/>
      <c r="IJ1" s="108"/>
      <c r="IK1" s="108"/>
      <c r="IL1" s="108"/>
      <c r="IM1" s="108"/>
      <c r="IN1" s="108"/>
      <c r="IO1" s="108"/>
      <c r="IP1" s="108"/>
      <c r="IQ1" s="108"/>
      <c r="IR1" s="108"/>
      <c r="IS1" s="108"/>
      <c r="IT1" s="108"/>
      <c r="IU1" s="108"/>
      <c r="IV1" s="108"/>
      <c r="IW1" s="108"/>
    </row>
    <row r="2" spans="1:257" ht="15" thickBot="1" x14ac:dyDescent="0.35">
      <c r="A2" s="158"/>
      <c r="B2" s="159"/>
      <c r="C2" s="160"/>
      <c r="D2" s="160"/>
      <c r="E2" s="160"/>
      <c r="F2" s="158"/>
      <c r="G2" s="158"/>
      <c r="H2" s="158"/>
      <c r="I2" s="176"/>
      <c r="J2" s="158"/>
      <c r="K2" s="158"/>
      <c r="L2" s="158"/>
      <c r="M2" s="158"/>
      <c r="N2" s="158"/>
      <c r="O2" s="108"/>
      <c r="P2" s="108"/>
      <c r="Q2" s="108"/>
      <c r="R2" s="108"/>
      <c r="S2" s="108"/>
      <c r="T2" s="108"/>
      <c r="U2" s="108"/>
      <c r="V2" s="108"/>
      <c r="W2" s="108"/>
      <c r="X2" s="108"/>
      <c r="Y2" s="108"/>
      <c r="Z2" s="108"/>
      <c r="AA2" s="108"/>
      <c r="AB2" s="108"/>
      <c r="AC2" s="108"/>
      <c r="AD2" s="108"/>
      <c r="AE2" s="108"/>
      <c r="AF2" s="108"/>
      <c r="AG2" s="108"/>
      <c r="AH2" s="108"/>
      <c r="AI2" s="108"/>
      <c r="AJ2" s="108"/>
      <c r="AK2" s="108"/>
      <c r="AL2" s="108"/>
      <c r="AM2" s="108"/>
      <c r="AN2" s="108"/>
      <c r="AO2" s="108"/>
      <c r="AP2" s="108"/>
      <c r="AQ2" s="108"/>
      <c r="AR2" s="108"/>
      <c r="AS2" s="108"/>
      <c r="AT2" s="108"/>
      <c r="AU2" s="108"/>
      <c r="AV2" s="108"/>
      <c r="AW2" s="108"/>
      <c r="AX2" s="108"/>
      <c r="AY2" s="108"/>
      <c r="AZ2" s="108"/>
      <c r="BA2" s="108"/>
      <c r="BB2" s="108"/>
      <c r="BC2" s="108"/>
      <c r="BD2" s="108"/>
      <c r="BE2" s="108"/>
      <c r="BF2" s="108"/>
      <c r="BG2" s="108"/>
      <c r="BH2" s="108"/>
      <c r="BI2" s="108"/>
      <c r="BJ2" s="108"/>
      <c r="BK2" s="108"/>
      <c r="BL2" s="108"/>
      <c r="BM2" s="108"/>
      <c r="BN2" s="108"/>
      <c r="BO2" s="108"/>
      <c r="BP2" s="108"/>
      <c r="BQ2" s="108"/>
      <c r="BR2" s="108"/>
      <c r="BS2" s="108"/>
      <c r="BT2" s="108"/>
      <c r="BU2" s="108"/>
      <c r="BV2" s="108"/>
      <c r="BW2" s="108"/>
      <c r="BX2" s="108"/>
      <c r="BY2" s="108"/>
      <c r="BZ2" s="108"/>
      <c r="CA2" s="108"/>
      <c r="CB2" s="108"/>
      <c r="CC2" s="108"/>
      <c r="CD2" s="108"/>
      <c r="CE2" s="108"/>
      <c r="CF2" s="108"/>
      <c r="CG2" s="108"/>
      <c r="CH2" s="108"/>
      <c r="CI2" s="108"/>
      <c r="CJ2" s="108"/>
      <c r="CK2" s="108"/>
      <c r="CL2" s="108"/>
      <c r="CM2" s="108"/>
      <c r="CN2" s="108"/>
      <c r="CO2" s="108"/>
      <c r="CP2" s="108"/>
      <c r="CQ2" s="108"/>
      <c r="CR2" s="108"/>
      <c r="CS2" s="108"/>
      <c r="CT2" s="108"/>
      <c r="CU2" s="108"/>
      <c r="CV2" s="108"/>
      <c r="CW2" s="108"/>
      <c r="CX2" s="108"/>
      <c r="CY2" s="108"/>
      <c r="CZ2" s="108"/>
      <c r="DA2" s="108"/>
      <c r="DB2" s="108"/>
      <c r="DC2" s="108"/>
      <c r="DD2" s="108"/>
      <c r="DE2" s="108"/>
      <c r="DF2" s="108"/>
      <c r="DG2" s="108"/>
      <c r="DH2" s="108"/>
      <c r="DI2" s="108"/>
      <c r="DJ2" s="108"/>
      <c r="DK2" s="108"/>
      <c r="DL2" s="108"/>
      <c r="DM2" s="108"/>
      <c r="DN2" s="108"/>
      <c r="DO2" s="108"/>
      <c r="DP2" s="108"/>
      <c r="DQ2" s="108"/>
      <c r="DR2" s="108"/>
      <c r="DS2" s="108"/>
      <c r="DT2" s="108"/>
      <c r="DU2" s="108"/>
      <c r="DV2" s="108"/>
      <c r="DW2" s="108"/>
      <c r="DX2" s="108"/>
      <c r="DY2" s="108"/>
      <c r="DZ2" s="108"/>
      <c r="EA2" s="108"/>
      <c r="EB2" s="108"/>
      <c r="EC2" s="108"/>
      <c r="ED2" s="108"/>
      <c r="EE2" s="108"/>
      <c r="EF2" s="108"/>
      <c r="EG2" s="108"/>
      <c r="EH2" s="108"/>
      <c r="EI2" s="108"/>
      <c r="EJ2" s="108"/>
      <c r="EK2" s="108"/>
      <c r="EL2" s="108"/>
      <c r="EM2" s="108"/>
      <c r="EN2" s="108"/>
      <c r="EO2" s="108"/>
      <c r="EP2" s="108"/>
      <c r="EQ2" s="108"/>
      <c r="ER2" s="108"/>
      <c r="ES2" s="108"/>
      <c r="ET2" s="108"/>
      <c r="EU2" s="108"/>
      <c r="EV2" s="108"/>
      <c r="EW2" s="108"/>
      <c r="EX2" s="108"/>
      <c r="EY2" s="108"/>
      <c r="EZ2" s="108"/>
      <c r="FA2" s="108"/>
      <c r="FB2" s="108"/>
      <c r="FC2" s="108"/>
      <c r="FD2" s="108"/>
      <c r="FE2" s="108"/>
      <c r="FF2" s="108"/>
      <c r="FG2" s="108"/>
      <c r="FH2" s="108"/>
      <c r="FI2" s="108"/>
      <c r="FJ2" s="108"/>
      <c r="FK2" s="108"/>
      <c r="FL2" s="108"/>
      <c r="FM2" s="108"/>
      <c r="FN2" s="108"/>
      <c r="FO2" s="108"/>
      <c r="FP2" s="108"/>
      <c r="FQ2" s="108"/>
      <c r="FR2" s="108"/>
      <c r="FS2" s="108"/>
      <c r="FT2" s="108"/>
      <c r="FU2" s="108"/>
      <c r="FV2" s="108"/>
      <c r="FW2" s="108"/>
      <c r="FX2" s="108"/>
      <c r="FY2" s="108"/>
      <c r="FZ2" s="108"/>
      <c r="GA2" s="108"/>
      <c r="GB2" s="108"/>
      <c r="GC2" s="108"/>
      <c r="GD2" s="108"/>
      <c r="GE2" s="108"/>
      <c r="GF2" s="108"/>
      <c r="GG2" s="108"/>
      <c r="GH2" s="108"/>
      <c r="GI2" s="108"/>
      <c r="GJ2" s="108"/>
      <c r="GK2" s="108"/>
      <c r="GL2" s="108"/>
      <c r="GM2" s="108"/>
      <c r="GN2" s="108"/>
      <c r="GO2" s="108"/>
      <c r="GP2" s="108"/>
      <c r="GQ2" s="108"/>
      <c r="GR2" s="108"/>
      <c r="GS2" s="108"/>
      <c r="GT2" s="108"/>
      <c r="GU2" s="108"/>
      <c r="GV2" s="108"/>
      <c r="GW2" s="108"/>
      <c r="GX2" s="108"/>
      <c r="GY2" s="108"/>
      <c r="GZ2" s="108"/>
      <c r="HA2" s="108"/>
      <c r="HB2" s="108"/>
      <c r="HC2" s="108"/>
      <c r="HD2" s="108"/>
      <c r="HE2" s="108"/>
      <c r="HF2" s="108"/>
      <c r="HG2" s="108"/>
      <c r="HH2" s="108"/>
      <c r="HI2" s="108"/>
      <c r="HJ2" s="108"/>
      <c r="HK2" s="108"/>
      <c r="HL2" s="108"/>
      <c r="HM2" s="108"/>
      <c r="HN2" s="108"/>
      <c r="HO2" s="108"/>
      <c r="HP2" s="108"/>
      <c r="HQ2" s="108"/>
      <c r="HR2" s="108"/>
      <c r="HS2" s="108"/>
      <c r="HT2" s="108"/>
      <c r="HU2" s="108"/>
      <c r="HV2" s="108"/>
      <c r="HW2" s="108"/>
      <c r="HX2" s="108"/>
      <c r="HY2" s="108"/>
      <c r="HZ2" s="108"/>
      <c r="IA2" s="108"/>
      <c r="IB2" s="108"/>
      <c r="IC2" s="108"/>
      <c r="ID2" s="108"/>
      <c r="IE2" s="108"/>
      <c r="IF2" s="108"/>
      <c r="IG2" s="108"/>
      <c r="IH2" s="108"/>
      <c r="II2" s="108"/>
      <c r="IJ2" s="108"/>
      <c r="IK2" s="108"/>
      <c r="IL2" s="108"/>
      <c r="IM2" s="108"/>
      <c r="IN2" s="108"/>
      <c r="IO2" s="108"/>
      <c r="IP2" s="108"/>
      <c r="IQ2" s="108"/>
      <c r="IR2" s="108"/>
      <c r="IS2" s="108"/>
      <c r="IT2" s="108"/>
      <c r="IU2" s="108"/>
      <c r="IV2" s="108"/>
      <c r="IW2" s="108"/>
    </row>
    <row r="3" spans="1:257" ht="16.8" thickBot="1" x14ac:dyDescent="0.4">
      <c r="A3" s="158"/>
      <c r="B3" s="161" t="s">
        <v>784</v>
      </c>
      <c r="C3" s="162">
        <f>'Sensitivity analysis'!C5</f>
        <v>-240790.03991918225</v>
      </c>
      <c r="D3" s="160"/>
      <c r="E3" s="160"/>
      <c r="F3" s="158"/>
      <c r="G3" s="158"/>
      <c r="H3" s="158"/>
      <c r="I3" s="185" t="s">
        <v>783</v>
      </c>
      <c r="J3" s="158"/>
      <c r="K3" s="158"/>
      <c r="L3" s="158"/>
      <c r="M3" s="158"/>
      <c r="N3" s="158"/>
      <c r="O3" s="108"/>
      <c r="P3" s="108"/>
      <c r="Q3" s="108"/>
      <c r="R3" s="108"/>
      <c r="S3" s="108"/>
      <c r="T3" s="108"/>
      <c r="U3" s="108"/>
      <c r="V3" s="108"/>
      <c r="W3" s="108"/>
      <c r="X3" s="108"/>
      <c r="Y3" s="108"/>
      <c r="Z3" s="108"/>
      <c r="AA3" s="108"/>
      <c r="AB3" s="108"/>
      <c r="AC3" s="108"/>
      <c r="AD3" s="108"/>
      <c r="AE3" s="108"/>
      <c r="AF3" s="108"/>
      <c r="AG3" s="108"/>
      <c r="AH3" s="108"/>
      <c r="AI3" s="108"/>
      <c r="AJ3" s="108"/>
      <c r="AK3" s="108"/>
      <c r="AL3" s="108"/>
      <c r="AM3" s="108"/>
      <c r="AN3" s="108"/>
      <c r="AO3" s="108"/>
      <c r="AP3" s="108"/>
      <c r="AQ3" s="108"/>
      <c r="AR3" s="108"/>
      <c r="AS3" s="108"/>
      <c r="AT3" s="108"/>
      <c r="AU3" s="108"/>
      <c r="AV3" s="108"/>
      <c r="AW3" s="108"/>
      <c r="AX3" s="108"/>
      <c r="AY3" s="108"/>
      <c r="AZ3" s="108"/>
      <c r="BA3" s="108"/>
      <c r="BB3" s="108"/>
      <c r="BC3" s="108"/>
      <c r="BD3" s="108"/>
      <c r="BE3" s="108"/>
      <c r="BF3" s="108"/>
      <c r="BG3" s="108"/>
      <c r="BH3" s="108"/>
      <c r="BI3" s="108"/>
      <c r="BJ3" s="108"/>
      <c r="BK3" s="108"/>
      <c r="BL3" s="108"/>
      <c r="BM3" s="108"/>
      <c r="BN3" s="108"/>
      <c r="BO3" s="108"/>
      <c r="BP3" s="108"/>
      <c r="BQ3" s="108"/>
      <c r="BR3" s="108"/>
      <c r="BS3" s="108"/>
      <c r="BT3" s="108"/>
      <c r="BU3" s="108"/>
      <c r="BV3" s="108"/>
      <c r="BW3" s="108"/>
      <c r="BX3" s="108"/>
      <c r="BY3" s="108"/>
      <c r="BZ3" s="108"/>
      <c r="CA3" s="108"/>
      <c r="CB3" s="108"/>
      <c r="CC3" s="108"/>
      <c r="CD3" s="108"/>
      <c r="CE3" s="108"/>
      <c r="CF3" s="108"/>
      <c r="CG3" s="108"/>
      <c r="CH3" s="108"/>
      <c r="CI3" s="108"/>
      <c r="CJ3" s="108"/>
      <c r="CK3" s="108"/>
      <c r="CL3" s="108"/>
      <c r="CM3" s="108"/>
      <c r="CN3" s="108"/>
      <c r="CO3" s="108"/>
      <c r="CP3" s="108"/>
      <c r="CQ3" s="108"/>
      <c r="CR3" s="108"/>
      <c r="CS3" s="108"/>
      <c r="CT3" s="108"/>
      <c r="CU3" s="108"/>
      <c r="CV3" s="108"/>
      <c r="CW3" s="108"/>
      <c r="CX3" s="108"/>
      <c r="CY3" s="108"/>
      <c r="CZ3" s="108"/>
      <c r="DA3" s="108"/>
      <c r="DB3" s="108"/>
      <c r="DC3" s="108"/>
      <c r="DD3" s="108"/>
      <c r="DE3" s="108"/>
      <c r="DF3" s="108"/>
      <c r="DG3" s="108"/>
      <c r="DH3" s="108"/>
      <c r="DI3" s="108"/>
      <c r="DJ3" s="108"/>
      <c r="DK3" s="108"/>
      <c r="DL3" s="108"/>
      <c r="DM3" s="108"/>
      <c r="DN3" s="108"/>
      <c r="DO3" s="108"/>
      <c r="DP3" s="108"/>
      <c r="DQ3" s="108"/>
      <c r="DR3" s="108"/>
      <c r="DS3" s="108"/>
      <c r="DT3" s="108"/>
      <c r="DU3" s="108"/>
      <c r="DV3" s="108"/>
      <c r="DW3" s="108"/>
      <c r="DX3" s="108"/>
      <c r="DY3" s="108"/>
      <c r="DZ3" s="108"/>
      <c r="EA3" s="108"/>
      <c r="EB3" s="108"/>
      <c r="EC3" s="108"/>
      <c r="ED3" s="108"/>
      <c r="EE3" s="108"/>
      <c r="EF3" s="108"/>
      <c r="EG3" s="108"/>
      <c r="EH3" s="108"/>
      <c r="EI3" s="108"/>
      <c r="EJ3" s="108"/>
      <c r="EK3" s="108"/>
      <c r="EL3" s="108"/>
      <c r="EM3" s="108"/>
      <c r="EN3" s="108"/>
      <c r="EO3" s="108"/>
      <c r="EP3" s="108"/>
      <c r="EQ3" s="108"/>
      <c r="ER3" s="108"/>
      <c r="ES3" s="108"/>
      <c r="ET3" s="108"/>
      <c r="EU3" s="108"/>
      <c r="EV3" s="108"/>
      <c r="EW3" s="108"/>
      <c r="EX3" s="108"/>
      <c r="EY3" s="108"/>
      <c r="EZ3" s="108"/>
      <c r="FA3" s="108"/>
      <c r="FB3" s="108"/>
      <c r="FC3" s="108"/>
      <c r="FD3" s="108"/>
      <c r="FE3" s="108"/>
      <c r="FF3" s="108"/>
      <c r="FG3" s="108"/>
      <c r="FH3" s="108"/>
      <c r="FI3" s="108"/>
      <c r="FJ3" s="108"/>
      <c r="FK3" s="108"/>
      <c r="FL3" s="108"/>
      <c r="FM3" s="108"/>
      <c r="FN3" s="108"/>
      <c r="FO3" s="108"/>
      <c r="FP3" s="108"/>
      <c r="FQ3" s="108"/>
      <c r="FR3" s="108"/>
      <c r="FS3" s="108"/>
      <c r="FT3" s="108"/>
      <c r="FU3" s="108"/>
      <c r="FV3" s="108"/>
      <c r="FW3" s="108"/>
      <c r="FX3" s="108"/>
      <c r="FY3" s="108"/>
      <c r="FZ3" s="108"/>
      <c r="GA3" s="108"/>
      <c r="GB3" s="108"/>
      <c r="GC3" s="108"/>
      <c r="GD3" s="108"/>
      <c r="GE3" s="108"/>
      <c r="GF3" s="108"/>
      <c r="GG3" s="108"/>
      <c r="GH3" s="108"/>
      <c r="GI3" s="108"/>
      <c r="GJ3" s="108"/>
      <c r="GK3" s="108"/>
      <c r="GL3" s="108"/>
      <c r="GM3" s="108"/>
      <c r="GN3" s="108"/>
      <c r="GO3" s="108"/>
      <c r="GP3" s="108"/>
      <c r="GQ3" s="108"/>
      <c r="GR3" s="108"/>
      <c r="GS3" s="108"/>
      <c r="GT3" s="108"/>
      <c r="GU3" s="108"/>
      <c r="GV3" s="108"/>
      <c r="GW3" s="108"/>
      <c r="GX3" s="108"/>
      <c r="GY3" s="108"/>
      <c r="GZ3" s="108"/>
      <c r="HA3" s="108"/>
      <c r="HB3" s="108"/>
      <c r="HC3" s="108"/>
      <c r="HD3" s="108"/>
      <c r="HE3" s="108"/>
      <c r="HF3" s="108"/>
      <c r="HG3" s="108"/>
      <c r="HH3" s="108"/>
      <c r="HI3" s="108"/>
      <c r="HJ3" s="108"/>
      <c r="HK3" s="108"/>
      <c r="HL3" s="108"/>
      <c r="HM3" s="108"/>
      <c r="HN3" s="108"/>
      <c r="HO3" s="108"/>
      <c r="HP3" s="108"/>
      <c r="HQ3" s="108"/>
      <c r="HR3" s="108"/>
      <c r="HS3" s="108"/>
      <c r="HT3" s="108"/>
      <c r="HU3" s="108"/>
      <c r="HV3" s="108"/>
      <c r="HW3" s="108"/>
      <c r="HX3" s="108"/>
      <c r="HY3" s="108"/>
      <c r="HZ3" s="108"/>
      <c r="IA3" s="108"/>
      <c r="IB3" s="108"/>
      <c r="IC3" s="108"/>
      <c r="ID3" s="108"/>
      <c r="IE3" s="108"/>
      <c r="IF3" s="108"/>
      <c r="IG3" s="108"/>
      <c r="IH3" s="108"/>
      <c r="II3" s="108"/>
      <c r="IJ3" s="108"/>
      <c r="IK3" s="108"/>
      <c r="IL3" s="108"/>
      <c r="IM3" s="108"/>
      <c r="IN3" s="108"/>
      <c r="IO3" s="108"/>
      <c r="IP3" s="108"/>
      <c r="IQ3" s="108"/>
      <c r="IR3" s="108"/>
      <c r="IS3" s="108"/>
      <c r="IT3" s="108"/>
      <c r="IU3" s="108"/>
      <c r="IV3" s="108"/>
      <c r="IW3" s="108"/>
    </row>
    <row r="4" spans="1:257" ht="16.2" x14ac:dyDescent="0.35">
      <c r="A4" s="164"/>
      <c r="B4" s="165"/>
      <c r="C4" s="165"/>
      <c r="D4" s="165"/>
      <c r="E4" s="165"/>
      <c r="F4" s="165"/>
      <c r="G4" s="165"/>
      <c r="H4" s="165"/>
      <c r="I4" s="183"/>
      <c r="J4" s="165"/>
      <c r="K4" s="165"/>
      <c r="L4" s="165"/>
      <c r="M4" s="165"/>
      <c r="N4" s="164"/>
      <c r="O4" s="108"/>
      <c r="P4" s="108"/>
      <c r="Q4" s="108"/>
      <c r="R4" s="108"/>
      <c r="S4" s="108"/>
      <c r="T4" s="108"/>
      <c r="U4" s="108"/>
      <c r="V4" s="108"/>
      <c r="W4" s="108"/>
      <c r="X4" s="108"/>
      <c r="Y4" s="108"/>
      <c r="Z4" s="108"/>
      <c r="AA4" s="108"/>
      <c r="AB4" s="108"/>
      <c r="AC4" s="108"/>
      <c r="AD4" s="108"/>
      <c r="AE4" s="108"/>
      <c r="AF4" s="108"/>
      <c r="AG4" s="108"/>
      <c r="AH4" s="108"/>
      <c r="AI4" s="108"/>
      <c r="AJ4" s="108"/>
      <c r="AK4" s="108"/>
      <c r="AL4" s="108"/>
      <c r="AM4" s="108"/>
      <c r="AN4" s="108"/>
      <c r="AO4" s="108"/>
      <c r="AP4" s="108"/>
      <c r="AQ4" s="108"/>
      <c r="AR4" s="108"/>
      <c r="AS4" s="108"/>
      <c r="AT4" s="108"/>
      <c r="AU4" s="108"/>
      <c r="AV4" s="108"/>
      <c r="AW4" s="108"/>
      <c r="AX4" s="108"/>
      <c r="AY4" s="108"/>
      <c r="AZ4" s="108"/>
      <c r="BA4" s="108"/>
      <c r="BB4" s="108"/>
      <c r="BC4" s="108"/>
      <c r="BD4" s="108"/>
      <c r="BE4" s="108"/>
      <c r="BF4" s="108"/>
      <c r="BG4" s="108"/>
      <c r="BH4" s="108"/>
      <c r="BI4" s="108"/>
      <c r="BJ4" s="108"/>
      <c r="BK4" s="108"/>
      <c r="BL4" s="108"/>
      <c r="BM4" s="108"/>
      <c r="BN4" s="108"/>
      <c r="BO4" s="108"/>
      <c r="BP4" s="108"/>
      <c r="BQ4" s="108"/>
      <c r="BR4" s="108"/>
      <c r="BS4" s="108"/>
      <c r="BT4" s="108"/>
      <c r="BU4" s="108"/>
      <c r="BV4" s="108"/>
      <c r="BW4" s="108"/>
      <c r="BX4" s="108"/>
      <c r="BY4" s="108"/>
      <c r="BZ4" s="108"/>
      <c r="CA4" s="108"/>
      <c r="CB4" s="108"/>
      <c r="CC4" s="108"/>
      <c r="CD4" s="108"/>
      <c r="CE4" s="108"/>
      <c r="CF4" s="108"/>
      <c r="CG4" s="108"/>
      <c r="CH4" s="108"/>
      <c r="CI4" s="108"/>
      <c r="CJ4" s="108"/>
      <c r="CK4" s="108"/>
      <c r="CL4" s="108"/>
      <c r="CM4" s="108"/>
      <c r="CN4" s="108"/>
      <c r="CO4" s="108"/>
      <c r="CP4" s="108"/>
      <c r="CQ4" s="108"/>
      <c r="CR4" s="108"/>
      <c r="CS4" s="108"/>
      <c r="CT4" s="108"/>
      <c r="CU4" s="108"/>
      <c r="CV4" s="108"/>
      <c r="CW4" s="108"/>
      <c r="CX4" s="108"/>
      <c r="CY4" s="108"/>
      <c r="CZ4" s="108"/>
      <c r="DA4" s="108"/>
      <c r="DB4" s="108"/>
      <c r="DC4" s="108"/>
      <c r="DD4" s="108"/>
      <c r="DE4" s="108"/>
      <c r="DF4" s="108"/>
      <c r="DG4" s="108"/>
      <c r="DH4" s="108"/>
      <c r="DI4" s="108"/>
      <c r="DJ4" s="108"/>
      <c r="DK4" s="108"/>
      <c r="DL4" s="108"/>
      <c r="DM4" s="108"/>
      <c r="DN4" s="108"/>
      <c r="DO4" s="108"/>
      <c r="DP4" s="108"/>
      <c r="DQ4" s="108"/>
      <c r="DR4" s="108"/>
      <c r="DS4" s="108"/>
      <c r="DT4" s="108"/>
      <c r="DU4" s="108"/>
      <c r="DV4" s="108"/>
      <c r="DW4" s="108"/>
      <c r="DX4" s="108"/>
      <c r="DY4" s="108"/>
      <c r="DZ4" s="108"/>
      <c r="EA4" s="108"/>
      <c r="EB4" s="108"/>
      <c r="EC4" s="108"/>
      <c r="ED4" s="108"/>
      <c r="EE4" s="108"/>
      <c r="EF4" s="108"/>
      <c r="EG4" s="108"/>
      <c r="EH4" s="108"/>
      <c r="EI4" s="108"/>
      <c r="EJ4" s="108"/>
      <c r="EK4" s="108"/>
      <c r="EL4" s="108"/>
      <c r="EM4" s="108"/>
      <c r="EN4" s="108"/>
      <c r="EO4" s="108"/>
      <c r="EP4" s="108"/>
      <c r="EQ4" s="108"/>
      <c r="ER4" s="108"/>
      <c r="ES4" s="108"/>
      <c r="ET4" s="108"/>
      <c r="EU4" s="108"/>
      <c r="EV4" s="108"/>
      <c r="EW4" s="108"/>
      <c r="EX4" s="108"/>
      <c r="EY4" s="108"/>
      <c r="EZ4" s="108"/>
      <c r="FA4" s="108"/>
      <c r="FB4" s="108"/>
      <c r="FC4" s="108"/>
      <c r="FD4" s="108"/>
      <c r="FE4" s="108"/>
      <c r="FF4" s="108"/>
      <c r="FG4" s="108"/>
      <c r="FH4" s="108"/>
      <c r="FI4" s="108"/>
      <c r="FJ4" s="108"/>
      <c r="FK4" s="108"/>
      <c r="FL4" s="108"/>
      <c r="FM4" s="108"/>
      <c r="FN4" s="108"/>
      <c r="FO4" s="108"/>
      <c r="FP4" s="108"/>
      <c r="FQ4" s="108"/>
      <c r="FR4" s="108"/>
      <c r="FS4" s="108"/>
      <c r="FT4" s="108"/>
      <c r="FU4" s="108"/>
      <c r="FV4" s="108"/>
      <c r="FW4" s="108"/>
      <c r="FX4" s="108"/>
      <c r="FY4" s="108"/>
      <c r="FZ4" s="108"/>
      <c r="GA4" s="108"/>
      <c r="GB4" s="108"/>
      <c r="GC4" s="108"/>
      <c r="GD4" s="108"/>
      <c r="GE4" s="108"/>
      <c r="GF4" s="108"/>
      <c r="GG4" s="108"/>
      <c r="GH4" s="108"/>
      <c r="GI4" s="108"/>
      <c r="GJ4" s="108"/>
      <c r="GK4" s="108"/>
      <c r="GL4" s="108"/>
      <c r="GM4" s="108"/>
      <c r="GN4" s="108"/>
      <c r="GO4" s="108"/>
      <c r="GP4" s="108"/>
      <c r="GQ4" s="108"/>
      <c r="GR4" s="108"/>
      <c r="GS4" s="108"/>
      <c r="GT4" s="108"/>
      <c r="GU4" s="108"/>
      <c r="GV4" s="108"/>
      <c r="GW4" s="108"/>
      <c r="GX4" s="108"/>
      <c r="GY4" s="108"/>
      <c r="GZ4" s="108"/>
      <c r="HA4" s="108"/>
      <c r="HB4" s="108"/>
      <c r="HC4" s="108"/>
      <c r="HD4" s="108"/>
      <c r="HE4" s="108"/>
      <c r="HF4" s="108"/>
      <c r="HG4" s="108"/>
      <c r="HH4" s="108"/>
      <c r="HI4" s="108"/>
      <c r="HJ4" s="108"/>
      <c r="HK4" s="108"/>
      <c r="HL4" s="108"/>
      <c r="HM4" s="108"/>
      <c r="HN4" s="108"/>
      <c r="HO4" s="108"/>
      <c r="HP4" s="108"/>
      <c r="HQ4" s="108"/>
      <c r="HR4" s="108"/>
      <c r="HS4" s="108"/>
      <c r="HT4" s="108"/>
      <c r="HU4" s="108"/>
      <c r="HV4" s="108"/>
      <c r="HW4" s="108"/>
      <c r="HX4" s="108"/>
      <c r="HY4" s="108"/>
      <c r="HZ4" s="108"/>
      <c r="IA4" s="108"/>
      <c r="IB4" s="108"/>
      <c r="IC4" s="108"/>
      <c r="ID4" s="108"/>
      <c r="IE4" s="108"/>
      <c r="IF4" s="108"/>
      <c r="IG4" s="108"/>
      <c r="IH4" s="108"/>
      <c r="II4" s="108"/>
      <c r="IJ4" s="108"/>
      <c r="IK4" s="108"/>
      <c r="IL4" s="108"/>
      <c r="IM4" s="108"/>
      <c r="IN4" s="108"/>
      <c r="IO4" s="108"/>
      <c r="IP4" s="108"/>
      <c r="IQ4" s="108"/>
      <c r="IR4" s="108"/>
      <c r="IS4" s="108"/>
      <c r="IT4" s="108"/>
      <c r="IU4" s="108"/>
      <c r="IV4" s="108"/>
      <c r="IW4" s="108"/>
    </row>
    <row r="5" spans="1:257" ht="15" thickBot="1" x14ac:dyDescent="0.35">
      <c r="A5" s="158"/>
      <c r="B5" s="166" t="s">
        <v>777</v>
      </c>
      <c r="C5" s="167" t="s">
        <v>778</v>
      </c>
      <c r="D5" s="168" t="s">
        <v>779</v>
      </c>
      <c r="E5" s="169" t="s">
        <v>780</v>
      </c>
      <c r="F5" s="158"/>
      <c r="G5" s="158"/>
      <c r="H5" s="158"/>
      <c r="I5" s="167" t="s">
        <v>777</v>
      </c>
      <c r="J5" s="167" t="s">
        <v>778</v>
      </c>
      <c r="K5" s="168" t="s">
        <v>779</v>
      </c>
      <c r="L5" s="169" t="s">
        <v>780</v>
      </c>
      <c r="M5" s="158"/>
      <c r="N5" s="158"/>
      <c r="O5" s="108"/>
      <c r="P5" s="108"/>
      <c r="Q5" s="108"/>
      <c r="R5" s="108"/>
      <c r="S5" s="108"/>
      <c r="T5" s="108"/>
      <c r="U5" s="108"/>
      <c r="V5" s="108"/>
      <c r="W5" s="108"/>
      <c r="X5" s="108"/>
      <c r="Y5" s="108"/>
      <c r="Z5" s="108"/>
      <c r="AA5" s="108"/>
      <c r="AB5" s="108"/>
      <c r="AC5" s="108"/>
      <c r="AD5" s="108"/>
      <c r="AE5" s="108"/>
      <c r="AF5" s="108"/>
      <c r="AG5" s="108"/>
      <c r="AH5" s="108"/>
      <c r="AI5" s="108"/>
      <c r="AJ5" s="108"/>
      <c r="AK5" s="108"/>
      <c r="AL5" s="108"/>
      <c r="AM5" s="108"/>
      <c r="AN5" s="108"/>
      <c r="AO5" s="108"/>
      <c r="AP5" s="108"/>
      <c r="AQ5" s="108"/>
      <c r="AR5" s="108"/>
      <c r="AS5" s="108"/>
      <c r="AT5" s="108"/>
      <c r="AU5" s="108"/>
      <c r="AV5" s="108"/>
      <c r="AW5" s="108"/>
      <c r="AX5" s="108"/>
      <c r="AY5" s="108"/>
      <c r="AZ5" s="108"/>
      <c r="BA5" s="108"/>
      <c r="BB5" s="108"/>
      <c r="BC5" s="108"/>
      <c r="BD5" s="108"/>
      <c r="BE5" s="108"/>
      <c r="BF5" s="108"/>
      <c r="BG5" s="108"/>
      <c r="BH5" s="108"/>
      <c r="BI5" s="108"/>
      <c r="BJ5" s="108"/>
      <c r="BK5" s="108"/>
      <c r="BL5" s="108"/>
      <c r="BM5" s="108"/>
      <c r="BN5" s="108"/>
      <c r="BO5" s="108"/>
      <c r="BP5" s="108"/>
      <c r="BQ5" s="108"/>
      <c r="BR5" s="108"/>
      <c r="BS5" s="108"/>
      <c r="BT5" s="108"/>
      <c r="BU5" s="108"/>
      <c r="BV5" s="108"/>
      <c r="BW5" s="108"/>
      <c r="BX5" s="108"/>
      <c r="BY5" s="108"/>
      <c r="BZ5" s="108"/>
      <c r="CA5" s="108"/>
      <c r="CB5" s="108"/>
      <c r="CC5" s="108"/>
      <c r="CD5" s="108"/>
      <c r="CE5" s="108"/>
      <c r="CF5" s="108"/>
      <c r="CG5" s="108"/>
      <c r="CH5" s="108"/>
      <c r="CI5" s="108"/>
      <c r="CJ5" s="108"/>
      <c r="CK5" s="108"/>
      <c r="CL5" s="108"/>
      <c r="CM5" s="108"/>
      <c r="CN5" s="108"/>
      <c r="CO5" s="108"/>
      <c r="CP5" s="108"/>
      <c r="CQ5" s="108"/>
      <c r="CR5" s="108"/>
      <c r="CS5" s="108"/>
      <c r="CT5" s="108"/>
      <c r="CU5" s="108"/>
      <c r="CV5" s="108"/>
      <c r="CW5" s="108"/>
      <c r="CX5" s="108"/>
      <c r="CY5" s="108"/>
      <c r="CZ5" s="108"/>
      <c r="DA5" s="108"/>
      <c r="DB5" s="108"/>
      <c r="DC5" s="108"/>
      <c r="DD5" s="108"/>
      <c r="DE5" s="108"/>
      <c r="DF5" s="108"/>
      <c r="DG5" s="108"/>
      <c r="DH5" s="108"/>
      <c r="DI5" s="108"/>
      <c r="DJ5" s="108"/>
      <c r="DK5" s="108"/>
      <c r="DL5" s="108"/>
      <c r="DM5" s="108"/>
      <c r="DN5" s="108"/>
      <c r="DO5" s="108"/>
      <c r="DP5" s="108"/>
      <c r="DQ5" s="108"/>
      <c r="DR5" s="108"/>
      <c r="DS5" s="108"/>
      <c r="DT5" s="108"/>
      <c r="DU5" s="108"/>
      <c r="DV5" s="108"/>
      <c r="DW5" s="108"/>
      <c r="DX5" s="108"/>
      <c r="DY5" s="108"/>
      <c r="DZ5" s="108"/>
      <c r="EA5" s="108"/>
      <c r="EB5" s="108"/>
      <c r="EC5" s="108"/>
      <c r="ED5" s="108"/>
      <c r="EE5" s="108"/>
      <c r="EF5" s="108"/>
      <c r="EG5" s="108"/>
      <c r="EH5" s="108"/>
      <c r="EI5" s="108"/>
      <c r="EJ5" s="108"/>
      <c r="EK5" s="108"/>
      <c r="EL5" s="108"/>
      <c r="EM5" s="108"/>
      <c r="EN5" s="108"/>
      <c r="EO5" s="108"/>
      <c r="EP5" s="108"/>
      <c r="EQ5" s="108"/>
      <c r="ER5" s="108"/>
      <c r="ES5" s="108"/>
      <c r="ET5" s="108"/>
      <c r="EU5" s="108"/>
      <c r="EV5" s="108"/>
      <c r="EW5" s="108"/>
      <c r="EX5" s="108"/>
      <c r="EY5" s="108"/>
      <c r="EZ5" s="108"/>
      <c r="FA5" s="108"/>
      <c r="FB5" s="108"/>
      <c r="FC5" s="108"/>
      <c r="FD5" s="108"/>
      <c r="FE5" s="108"/>
      <c r="FF5" s="108"/>
      <c r="FG5" s="108"/>
      <c r="FH5" s="108"/>
      <c r="FI5" s="108"/>
      <c r="FJ5" s="108"/>
      <c r="FK5" s="108"/>
      <c r="FL5" s="108"/>
      <c r="FM5" s="108"/>
      <c r="FN5" s="108"/>
      <c r="FO5" s="108"/>
      <c r="FP5" s="108"/>
      <c r="FQ5" s="108"/>
      <c r="FR5" s="108"/>
      <c r="FS5" s="108"/>
      <c r="FT5" s="108"/>
      <c r="FU5" s="108"/>
      <c r="FV5" s="108"/>
      <c r="FW5" s="108"/>
      <c r="FX5" s="108"/>
      <c r="FY5" s="108"/>
      <c r="FZ5" s="108"/>
      <c r="GA5" s="108"/>
      <c r="GB5" s="108"/>
      <c r="GC5" s="108"/>
      <c r="GD5" s="108"/>
      <c r="GE5" s="108"/>
      <c r="GF5" s="108"/>
      <c r="GG5" s="108"/>
      <c r="GH5" s="108"/>
      <c r="GI5" s="108"/>
      <c r="GJ5" s="108"/>
      <c r="GK5" s="108"/>
      <c r="GL5" s="108"/>
      <c r="GM5" s="108"/>
      <c r="GN5" s="108"/>
      <c r="GO5" s="108"/>
      <c r="GP5" s="108"/>
      <c r="GQ5" s="108"/>
      <c r="GR5" s="108"/>
      <c r="GS5" s="108"/>
      <c r="GT5" s="108"/>
      <c r="GU5" s="108"/>
      <c r="GV5" s="108"/>
      <c r="GW5" s="108"/>
      <c r="GX5" s="108"/>
      <c r="GY5" s="108"/>
      <c r="GZ5" s="108"/>
      <c r="HA5" s="108"/>
      <c r="HB5" s="108"/>
      <c r="HC5" s="108"/>
      <c r="HD5" s="108"/>
      <c r="HE5" s="108"/>
      <c r="HF5" s="108"/>
      <c r="HG5" s="108"/>
      <c r="HH5" s="108"/>
      <c r="HI5" s="108"/>
      <c r="HJ5" s="108"/>
      <c r="HK5" s="108"/>
      <c r="HL5" s="108"/>
      <c r="HM5" s="108"/>
      <c r="HN5" s="108"/>
      <c r="HO5" s="108"/>
      <c r="HP5" s="108"/>
      <c r="HQ5" s="108"/>
      <c r="HR5" s="108"/>
      <c r="HS5" s="108"/>
      <c r="HT5" s="108"/>
      <c r="HU5" s="108"/>
      <c r="HV5" s="108"/>
      <c r="HW5" s="108"/>
      <c r="HX5" s="108"/>
      <c r="HY5" s="108"/>
      <c r="HZ5" s="108"/>
      <c r="IA5" s="108"/>
      <c r="IB5" s="108"/>
      <c r="IC5" s="108"/>
      <c r="ID5" s="108"/>
      <c r="IE5" s="108"/>
      <c r="IF5" s="108"/>
      <c r="IG5" s="108"/>
      <c r="IH5" s="108"/>
      <c r="II5" s="108"/>
      <c r="IJ5" s="108"/>
      <c r="IK5" s="108"/>
      <c r="IL5" s="108"/>
      <c r="IM5" s="108"/>
      <c r="IN5" s="108"/>
      <c r="IO5" s="108"/>
      <c r="IP5" s="108"/>
      <c r="IQ5" s="108"/>
      <c r="IR5" s="108"/>
      <c r="IS5" s="108"/>
      <c r="IT5" s="108"/>
      <c r="IU5" s="108"/>
      <c r="IV5" s="108"/>
      <c r="IW5" s="108"/>
    </row>
    <row r="6" spans="1:257" ht="15" thickBot="1" x14ac:dyDescent="0.35">
      <c r="A6" s="158"/>
      <c r="B6" s="113" t="str">
        <f>'Sensitivity analysis'!B165</f>
        <v>PSG cost</v>
      </c>
      <c r="C6" s="170">
        <f>'Sensitivity analysis'!D165</f>
        <v>-249672.71262958451</v>
      </c>
      <c r="D6" s="171">
        <f>'Sensitivity analysis'!F165</f>
        <v>-231907.36720877906</v>
      </c>
      <c r="E6" s="172">
        <f>ABS(D6-C6)</f>
        <v>17765.345420805446</v>
      </c>
      <c r="F6" s="158"/>
      <c r="G6" s="158"/>
      <c r="H6" s="158"/>
      <c r="I6" s="184" t="s">
        <v>790</v>
      </c>
      <c r="J6" s="170">
        <v>-954323.32032763807</v>
      </c>
      <c r="K6" s="175">
        <v>-192319.5145706528</v>
      </c>
      <c r="L6" s="172">
        <v>762003.80575698521</v>
      </c>
      <c r="M6" s="158"/>
      <c r="N6" s="158"/>
      <c r="O6" s="108"/>
      <c r="P6" s="108"/>
      <c r="Q6" s="108"/>
      <c r="R6" s="108"/>
      <c r="S6" s="108"/>
      <c r="T6" s="108"/>
      <c r="U6" s="108"/>
      <c r="V6" s="108"/>
      <c r="W6" s="108"/>
      <c r="X6" s="108"/>
      <c r="Y6" s="108"/>
      <c r="Z6" s="108"/>
      <c r="AA6" s="108"/>
      <c r="AB6" s="108"/>
      <c r="AC6" s="108"/>
      <c r="AD6" s="108"/>
      <c r="AE6" s="108"/>
      <c r="AF6" s="108"/>
      <c r="AG6" s="108"/>
      <c r="AH6" s="108"/>
      <c r="AI6" s="108"/>
      <c r="AJ6" s="108"/>
      <c r="AK6" s="108"/>
      <c r="AL6" s="108"/>
      <c r="AM6" s="108"/>
      <c r="AN6" s="108"/>
      <c r="AO6" s="108"/>
      <c r="AP6" s="108"/>
      <c r="AQ6" s="108"/>
      <c r="AR6" s="108"/>
      <c r="AS6" s="108"/>
      <c r="AT6" s="108"/>
      <c r="AU6" s="108"/>
      <c r="AV6" s="108"/>
      <c r="AW6" s="108"/>
      <c r="AX6" s="108"/>
      <c r="AY6" s="108"/>
      <c r="AZ6" s="108"/>
      <c r="BA6" s="108"/>
      <c r="BB6" s="108"/>
      <c r="BC6" s="108"/>
      <c r="BD6" s="108"/>
      <c r="BE6" s="108"/>
      <c r="BF6" s="108"/>
      <c r="BG6" s="108"/>
      <c r="BH6" s="108"/>
      <c r="BI6" s="108"/>
      <c r="BJ6" s="108"/>
      <c r="BK6" s="108"/>
      <c r="BL6" s="108"/>
      <c r="BM6" s="108"/>
      <c r="BN6" s="108"/>
      <c r="BO6" s="108"/>
      <c r="BP6" s="108"/>
      <c r="BQ6" s="108"/>
      <c r="BR6" s="108"/>
      <c r="BS6" s="108"/>
      <c r="BT6" s="108"/>
      <c r="BU6" s="108"/>
      <c r="BV6" s="108"/>
      <c r="BW6" s="108"/>
      <c r="BX6" s="108"/>
      <c r="BY6" s="108"/>
      <c r="BZ6" s="108"/>
      <c r="CA6" s="108"/>
      <c r="CB6" s="108"/>
      <c r="CC6" s="108"/>
      <c r="CD6" s="108"/>
      <c r="CE6" s="108"/>
      <c r="CF6" s="108"/>
      <c r="CG6" s="108"/>
      <c r="CH6" s="108"/>
      <c r="CI6" s="108"/>
      <c r="CJ6" s="108"/>
      <c r="CK6" s="108"/>
      <c r="CL6" s="108"/>
      <c r="CM6" s="108"/>
      <c r="CN6" s="108"/>
      <c r="CO6" s="108"/>
      <c r="CP6" s="108"/>
      <c r="CQ6" s="108"/>
      <c r="CR6" s="108"/>
      <c r="CS6" s="108"/>
      <c r="CT6" s="108"/>
      <c r="CU6" s="108"/>
      <c r="CV6" s="108"/>
      <c r="CW6" s="108"/>
      <c r="CX6" s="108"/>
      <c r="CY6" s="108"/>
      <c r="CZ6" s="108"/>
      <c r="DA6" s="108"/>
      <c r="DB6" s="108"/>
      <c r="DC6" s="108"/>
      <c r="DD6" s="108"/>
      <c r="DE6" s="108"/>
      <c r="DF6" s="108"/>
      <c r="DG6" s="108"/>
      <c r="DH6" s="108"/>
      <c r="DI6" s="108"/>
      <c r="DJ6" s="108"/>
      <c r="DK6" s="108"/>
      <c r="DL6" s="108"/>
      <c r="DM6" s="108"/>
      <c r="DN6" s="108"/>
      <c r="DO6" s="108"/>
      <c r="DP6" s="108"/>
      <c r="DQ6" s="108"/>
      <c r="DR6" s="108"/>
      <c r="DS6" s="108"/>
      <c r="DT6" s="108"/>
      <c r="DU6" s="108"/>
      <c r="DV6" s="108"/>
      <c r="DW6" s="108"/>
      <c r="DX6" s="108"/>
      <c r="DY6" s="108"/>
      <c r="DZ6" s="108"/>
      <c r="EA6" s="108"/>
      <c r="EB6" s="108"/>
      <c r="EC6" s="108"/>
      <c r="ED6" s="108"/>
      <c r="EE6" s="108"/>
      <c r="EF6" s="108"/>
      <c r="EG6" s="108"/>
      <c r="EH6" s="108"/>
      <c r="EI6" s="108"/>
      <c r="EJ6" s="108"/>
      <c r="EK6" s="108"/>
      <c r="EL6" s="108"/>
      <c r="EM6" s="108"/>
      <c r="EN6" s="108"/>
      <c r="EO6" s="108"/>
      <c r="EP6" s="108"/>
      <c r="EQ6" s="108"/>
      <c r="ER6" s="108"/>
      <c r="ES6" s="108"/>
      <c r="ET6" s="108"/>
      <c r="EU6" s="108"/>
      <c r="EV6" s="108"/>
      <c r="EW6" s="108"/>
      <c r="EX6" s="108"/>
      <c r="EY6" s="108"/>
      <c r="EZ6" s="108"/>
      <c r="FA6" s="108"/>
      <c r="FB6" s="108"/>
      <c r="FC6" s="108"/>
      <c r="FD6" s="108"/>
      <c r="FE6" s="108"/>
      <c r="FF6" s="108"/>
      <c r="FG6" s="108"/>
      <c r="FH6" s="108"/>
      <c r="FI6" s="108"/>
      <c r="FJ6" s="108"/>
      <c r="FK6" s="108"/>
      <c r="FL6" s="108"/>
      <c r="FM6" s="108"/>
      <c r="FN6" s="108"/>
      <c r="FO6" s="108"/>
      <c r="FP6" s="108"/>
      <c r="FQ6" s="108"/>
      <c r="FR6" s="108"/>
      <c r="FS6" s="108"/>
      <c r="FT6" s="108"/>
      <c r="FU6" s="108"/>
      <c r="FV6" s="108"/>
      <c r="FW6" s="108"/>
      <c r="FX6" s="108"/>
      <c r="FY6" s="108"/>
      <c r="FZ6" s="108"/>
      <c r="GA6" s="108"/>
      <c r="GB6" s="108"/>
      <c r="GC6" s="108"/>
      <c r="GD6" s="108"/>
      <c r="GE6" s="108"/>
      <c r="GF6" s="108"/>
      <c r="GG6" s="108"/>
      <c r="GH6" s="108"/>
      <c r="GI6" s="108"/>
      <c r="GJ6" s="108"/>
      <c r="GK6" s="108"/>
      <c r="GL6" s="108"/>
      <c r="GM6" s="108"/>
      <c r="GN6" s="108"/>
      <c r="GO6" s="108"/>
      <c r="GP6" s="108"/>
      <c r="GQ6" s="108"/>
      <c r="GR6" s="108"/>
      <c r="GS6" s="108"/>
      <c r="GT6" s="108"/>
      <c r="GU6" s="108"/>
      <c r="GV6" s="108"/>
      <c r="GW6" s="108"/>
      <c r="GX6" s="108"/>
      <c r="GY6" s="108"/>
      <c r="GZ6" s="108"/>
      <c r="HA6" s="108"/>
      <c r="HB6" s="108"/>
      <c r="HC6" s="108"/>
      <c r="HD6" s="108"/>
      <c r="HE6" s="108"/>
      <c r="HF6" s="108"/>
      <c r="HG6" s="108"/>
      <c r="HH6" s="108"/>
      <c r="HI6" s="108"/>
      <c r="HJ6" s="108"/>
      <c r="HK6" s="108"/>
      <c r="HL6" s="108"/>
      <c r="HM6" s="108"/>
      <c r="HN6" s="108"/>
      <c r="HO6" s="108"/>
      <c r="HP6" s="108"/>
      <c r="HQ6" s="108"/>
      <c r="HR6" s="108"/>
      <c r="HS6" s="108"/>
      <c r="HT6" s="108"/>
      <c r="HU6" s="108"/>
      <c r="HV6" s="108"/>
      <c r="HW6" s="108"/>
      <c r="HX6" s="108"/>
      <c r="HY6" s="108"/>
      <c r="HZ6" s="108"/>
      <c r="IA6" s="108"/>
      <c r="IB6" s="108"/>
      <c r="IC6" s="108"/>
      <c r="ID6" s="108"/>
      <c r="IE6" s="108"/>
      <c r="IF6" s="108"/>
      <c r="IG6" s="108"/>
      <c r="IH6" s="108"/>
      <c r="II6" s="108"/>
      <c r="IJ6" s="108"/>
      <c r="IK6" s="108"/>
      <c r="IL6" s="108"/>
      <c r="IM6" s="108"/>
      <c r="IN6" s="108"/>
      <c r="IO6" s="108"/>
      <c r="IP6" s="108"/>
      <c r="IQ6" s="108"/>
      <c r="IR6" s="108"/>
      <c r="IS6" s="108"/>
      <c r="IT6" s="108"/>
      <c r="IU6" s="108"/>
      <c r="IV6" s="108"/>
      <c r="IW6" s="108"/>
    </row>
    <row r="7" spans="1:257" ht="15" thickBot="1" x14ac:dyDescent="0.35">
      <c r="A7" s="158"/>
      <c r="B7" s="113" t="str">
        <f>'Sensitivity analysis'!B166</f>
        <v>Increase in antenatal first visit coverage with a PSG</v>
      </c>
      <c r="C7" s="170">
        <f>'Sensitivity analysis'!D166</f>
        <v>-277644.07474450354</v>
      </c>
      <c r="D7" s="171">
        <f>'Sensitivity analysis'!F166</f>
        <v>-213335.93196634873</v>
      </c>
      <c r="E7" s="172">
        <f t="shared" ref="E7:E45" si="0">ABS(D7-C7)</f>
        <v>64308.142778154812</v>
      </c>
      <c r="F7" s="158"/>
      <c r="G7" s="158"/>
      <c r="H7" s="158"/>
      <c r="I7" s="184" t="s">
        <v>811</v>
      </c>
      <c r="J7" s="174">
        <v>3600</v>
      </c>
      <c r="K7" s="171">
        <v>-255550.02469313127</v>
      </c>
      <c r="L7" s="172">
        <v>259150.02469313127</v>
      </c>
      <c r="M7" s="158"/>
      <c r="N7" s="158"/>
      <c r="O7" s="108"/>
      <c r="P7" s="108"/>
      <c r="Q7" s="108"/>
      <c r="R7" s="108"/>
      <c r="S7" s="108"/>
      <c r="T7" s="108"/>
      <c r="U7" s="108"/>
      <c r="V7" s="108"/>
      <c r="W7" s="108"/>
      <c r="X7" s="108"/>
      <c r="Y7" s="108"/>
      <c r="Z7" s="108"/>
      <c r="AA7" s="108"/>
      <c r="AB7" s="108"/>
      <c r="AC7" s="108"/>
      <c r="AD7" s="108"/>
      <c r="AE7" s="108"/>
      <c r="AF7" s="108"/>
      <c r="AG7" s="108"/>
      <c r="AH7" s="108"/>
      <c r="AI7" s="108"/>
      <c r="AJ7" s="108"/>
      <c r="AK7" s="108"/>
      <c r="AL7" s="108"/>
      <c r="AM7" s="108"/>
      <c r="AN7" s="108"/>
      <c r="AO7" s="108"/>
      <c r="AP7" s="108"/>
      <c r="AQ7" s="108"/>
      <c r="AR7" s="108"/>
      <c r="AS7" s="108"/>
      <c r="AT7" s="108"/>
      <c r="AU7" s="108"/>
      <c r="AV7" s="108"/>
      <c r="AW7" s="108"/>
      <c r="AX7" s="108"/>
      <c r="AY7" s="108"/>
      <c r="AZ7" s="108"/>
      <c r="BA7" s="108"/>
      <c r="BB7" s="108"/>
      <c r="BC7" s="108"/>
      <c r="BD7" s="108"/>
      <c r="BE7" s="108"/>
      <c r="BF7" s="108"/>
      <c r="BG7" s="108"/>
      <c r="BH7" s="108"/>
      <c r="BI7" s="108"/>
      <c r="BJ7" s="108"/>
      <c r="BK7" s="108"/>
      <c r="BL7" s="108"/>
      <c r="BM7" s="108"/>
      <c r="BN7" s="108"/>
      <c r="BO7" s="108"/>
      <c r="BP7" s="108"/>
      <c r="BQ7" s="108"/>
      <c r="BR7" s="108"/>
      <c r="BS7" s="108"/>
      <c r="BT7" s="108"/>
      <c r="BU7" s="108"/>
      <c r="BV7" s="108"/>
      <c r="BW7" s="108"/>
      <c r="BX7" s="108"/>
      <c r="BY7" s="108"/>
      <c r="BZ7" s="108"/>
      <c r="CA7" s="108"/>
      <c r="CB7" s="108"/>
      <c r="CC7" s="108"/>
      <c r="CD7" s="108"/>
      <c r="CE7" s="108"/>
      <c r="CF7" s="108"/>
      <c r="CG7" s="108"/>
      <c r="CH7" s="108"/>
      <c r="CI7" s="108"/>
      <c r="CJ7" s="108"/>
      <c r="CK7" s="108"/>
      <c r="CL7" s="108"/>
      <c r="CM7" s="108"/>
      <c r="CN7" s="108"/>
      <c r="CO7" s="108"/>
      <c r="CP7" s="108"/>
      <c r="CQ7" s="108"/>
      <c r="CR7" s="108"/>
      <c r="CS7" s="108"/>
      <c r="CT7" s="108"/>
      <c r="CU7" s="108"/>
      <c r="CV7" s="108"/>
      <c r="CW7" s="108"/>
      <c r="CX7" s="108"/>
      <c r="CY7" s="108"/>
      <c r="CZ7" s="108"/>
      <c r="DA7" s="108"/>
      <c r="DB7" s="108"/>
      <c r="DC7" s="108"/>
      <c r="DD7" s="108"/>
      <c r="DE7" s="108"/>
      <c r="DF7" s="108"/>
      <c r="DG7" s="108"/>
      <c r="DH7" s="108"/>
      <c r="DI7" s="108"/>
      <c r="DJ7" s="108"/>
      <c r="DK7" s="108"/>
      <c r="DL7" s="108"/>
      <c r="DM7" s="108"/>
      <c r="DN7" s="108"/>
      <c r="DO7" s="108"/>
      <c r="DP7" s="108"/>
      <c r="DQ7" s="108"/>
      <c r="DR7" s="108"/>
      <c r="DS7" s="108"/>
      <c r="DT7" s="108"/>
      <c r="DU7" s="108"/>
      <c r="DV7" s="108"/>
      <c r="DW7" s="108"/>
      <c r="DX7" s="108"/>
      <c r="DY7" s="108"/>
      <c r="DZ7" s="108"/>
      <c r="EA7" s="108"/>
      <c r="EB7" s="108"/>
      <c r="EC7" s="108"/>
      <c r="ED7" s="108"/>
      <c r="EE7" s="108"/>
      <c r="EF7" s="108"/>
      <c r="EG7" s="108"/>
      <c r="EH7" s="108"/>
      <c r="EI7" s="108"/>
      <c r="EJ7" s="108"/>
      <c r="EK7" s="108"/>
      <c r="EL7" s="108"/>
      <c r="EM7" s="108"/>
      <c r="EN7" s="108"/>
      <c r="EO7" s="108"/>
      <c r="EP7" s="108"/>
      <c r="EQ7" s="108"/>
      <c r="ER7" s="108"/>
      <c r="ES7" s="108"/>
      <c r="ET7" s="108"/>
      <c r="EU7" s="108"/>
      <c r="EV7" s="108"/>
      <c r="EW7" s="108"/>
      <c r="EX7" s="108"/>
      <c r="EY7" s="108"/>
      <c r="EZ7" s="108"/>
      <c r="FA7" s="108"/>
      <c r="FB7" s="108"/>
      <c r="FC7" s="108"/>
      <c r="FD7" s="108"/>
      <c r="FE7" s="108"/>
      <c r="FF7" s="108"/>
      <c r="FG7" s="108"/>
      <c r="FH7" s="108"/>
      <c r="FI7" s="108"/>
      <c r="FJ7" s="108"/>
      <c r="FK7" s="108"/>
      <c r="FL7" s="108"/>
      <c r="FM7" s="108"/>
      <c r="FN7" s="108"/>
      <c r="FO7" s="108"/>
      <c r="FP7" s="108"/>
      <c r="FQ7" s="108"/>
      <c r="FR7" s="108"/>
      <c r="FS7" s="108"/>
      <c r="FT7" s="108"/>
      <c r="FU7" s="108"/>
      <c r="FV7" s="108"/>
      <c r="FW7" s="108"/>
      <c r="FX7" s="108"/>
      <c r="FY7" s="108"/>
      <c r="FZ7" s="108"/>
      <c r="GA7" s="108"/>
      <c r="GB7" s="108"/>
      <c r="GC7" s="108"/>
      <c r="GD7" s="108"/>
      <c r="GE7" s="108"/>
      <c r="GF7" s="108"/>
      <c r="GG7" s="108"/>
      <c r="GH7" s="108"/>
      <c r="GI7" s="108"/>
      <c r="GJ7" s="108"/>
      <c r="GK7" s="108"/>
      <c r="GL7" s="108"/>
      <c r="GM7" s="108"/>
      <c r="GN7" s="108"/>
      <c r="GO7" s="108"/>
      <c r="GP7" s="108"/>
      <c r="GQ7" s="108"/>
      <c r="GR7" s="108"/>
      <c r="GS7" s="108"/>
      <c r="GT7" s="108"/>
      <c r="GU7" s="108"/>
      <c r="GV7" s="108"/>
      <c r="GW7" s="108"/>
      <c r="GX7" s="108"/>
      <c r="GY7" s="108"/>
      <c r="GZ7" s="108"/>
      <c r="HA7" s="108"/>
      <c r="HB7" s="108"/>
      <c r="HC7" s="108"/>
      <c r="HD7" s="108"/>
      <c r="HE7" s="108"/>
      <c r="HF7" s="108"/>
      <c r="HG7" s="108"/>
      <c r="HH7" s="108"/>
      <c r="HI7" s="108"/>
      <c r="HJ7" s="108"/>
      <c r="HK7" s="108"/>
      <c r="HL7" s="108"/>
      <c r="HM7" s="108"/>
      <c r="HN7" s="108"/>
      <c r="HO7" s="108"/>
      <c r="HP7" s="108"/>
      <c r="HQ7" s="108"/>
      <c r="HR7" s="108"/>
      <c r="HS7" s="108"/>
      <c r="HT7" s="108"/>
      <c r="HU7" s="108"/>
      <c r="HV7" s="108"/>
      <c r="HW7" s="108"/>
      <c r="HX7" s="108"/>
      <c r="HY7" s="108"/>
      <c r="HZ7" s="108"/>
      <c r="IA7" s="108"/>
      <c r="IB7" s="108"/>
      <c r="IC7" s="108"/>
      <c r="ID7" s="108"/>
      <c r="IE7" s="108"/>
      <c r="IF7" s="108"/>
      <c r="IG7" s="108"/>
      <c r="IH7" s="108"/>
      <c r="II7" s="108"/>
      <c r="IJ7" s="108"/>
      <c r="IK7" s="108"/>
      <c r="IL7" s="108"/>
      <c r="IM7" s="108"/>
      <c r="IN7" s="108"/>
      <c r="IO7" s="108"/>
      <c r="IP7" s="108"/>
      <c r="IQ7" s="108"/>
      <c r="IR7" s="108"/>
      <c r="IS7" s="108"/>
      <c r="IT7" s="108"/>
      <c r="IU7" s="108"/>
      <c r="IV7" s="108"/>
      <c r="IW7" s="108"/>
    </row>
    <row r="8" spans="1:257" ht="15" thickBot="1" x14ac:dyDescent="0.35">
      <c r="A8" s="158"/>
      <c r="B8" s="113" t="str">
        <f>'Sensitivity analysis'!B167</f>
        <v xml:space="preserve">Reduction in preterm birth with a PSG </v>
      </c>
      <c r="C8" s="170">
        <f>'Sensitivity analysis'!D167</f>
        <v>-232947.95305592759</v>
      </c>
      <c r="D8" s="171">
        <f>'Sensitivity analysis'!F167</f>
        <v>-250413.43672888493</v>
      </c>
      <c r="E8" s="172">
        <f t="shared" si="0"/>
        <v>17465.483672957344</v>
      </c>
      <c r="F8" s="158"/>
      <c r="G8" s="158"/>
      <c r="H8" s="158"/>
      <c r="I8" s="184" t="s">
        <v>816</v>
      </c>
      <c r="J8" s="174">
        <v>-90951.817145484267</v>
      </c>
      <c r="K8" s="171">
        <v>-276138.07534962945</v>
      </c>
      <c r="L8" s="172">
        <v>185186.25820414518</v>
      </c>
      <c r="M8" s="158"/>
      <c r="N8" s="158"/>
      <c r="O8" s="108"/>
      <c r="P8" s="108"/>
      <c r="Q8" s="108"/>
      <c r="R8" s="108"/>
      <c r="S8" s="108"/>
      <c r="T8" s="108"/>
      <c r="U8" s="108"/>
      <c r="V8" s="108"/>
      <c r="W8" s="108"/>
      <c r="X8" s="108"/>
      <c r="Y8" s="108"/>
      <c r="Z8" s="108"/>
      <c r="AA8" s="108"/>
      <c r="AB8" s="108"/>
      <c r="AC8" s="108"/>
      <c r="AD8" s="108"/>
      <c r="AE8" s="108"/>
      <c r="AF8" s="108"/>
      <c r="AG8" s="108"/>
      <c r="AH8" s="108"/>
      <c r="AI8" s="108"/>
      <c r="AJ8" s="108"/>
      <c r="AK8" s="108"/>
      <c r="AL8" s="108"/>
      <c r="AM8" s="108"/>
      <c r="AN8" s="108"/>
      <c r="AO8" s="108"/>
      <c r="AP8" s="108"/>
      <c r="AQ8" s="108"/>
      <c r="AR8" s="108"/>
      <c r="AS8" s="108"/>
      <c r="AT8" s="108"/>
      <c r="AU8" s="108"/>
      <c r="AV8" s="108"/>
      <c r="AW8" s="108"/>
      <c r="AX8" s="108"/>
      <c r="AY8" s="108"/>
      <c r="AZ8" s="108"/>
      <c r="BA8" s="108"/>
      <c r="BB8" s="108"/>
      <c r="BC8" s="108"/>
      <c r="BD8" s="108"/>
      <c r="BE8" s="108"/>
      <c r="BF8" s="108"/>
      <c r="BG8" s="108"/>
      <c r="BH8" s="108"/>
      <c r="BI8" s="108"/>
      <c r="BJ8" s="108"/>
      <c r="BK8" s="108"/>
      <c r="BL8" s="108"/>
      <c r="BM8" s="108"/>
      <c r="BN8" s="108"/>
      <c r="BO8" s="108"/>
      <c r="BP8" s="108"/>
      <c r="BQ8" s="108"/>
      <c r="BR8" s="108"/>
      <c r="BS8" s="108"/>
      <c r="BT8" s="108"/>
      <c r="BU8" s="108"/>
      <c r="BV8" s="108"/>
      <c r="BW8" s="108"/>
      <c r="BX8" s="108"/>
      <c r="BY8" s="108"/>
      <c r="BZ8" s="108"/>
      <c r="CA8" s="108"/>
      <c r="CB8" s="108"/>
      <c r="CC8" s="108"/>
      <c r="CD8" s="108"/>
      <c r="CE8" s="108"/>
      <c r="CF8" s="108"/>
      <c r="CG8" s="108"/>
      <c r="CH8" s="108"/>
      <c r="CI8" s="108"/>
      <c r="CJ8" s="108"/>
      <c r="CK8" s="108"/>
      <c r="CL8" s="108"/>
      <c r="CM8" s="108"/>
      <c r="CN8" s="108"/>
      <c r="CO8" s="108"/>
      <c r="CP8" s="108"/>
      <c r="CQ8" s="108"/>
      <c r="CR8" s="108"/>
      <c r="CS8" s="108"/>
      <c r="CT8" s="108"/>
      <c r="CU8" s="108"/>
      <c r="CV8" s="108"/>
      <c r="CW8" s="108"/>
      <c r="CX8" s="108"/>
      <c r="CY8" s="108"/>
      <c r="CZ8" s="108"/>
      <c r="DA8" s="108"/>
      <c r="DB8" s="108"/>
      <c r="DC8" s="108"/>
      <c r="DD8" s="108"/>
      <c r="DE8" s="108"/>
      <c r="DF8" s="108"/>
      <c r="DG8" s="108"/>
      <c r="DH8" s="108"/>
      <c r="DI8" s="108"/>
      <c r="DJ8" s="108"/>
      <c r="DK8" s="108"/>
      <c r="DL8" s="108"/>
      <c r="DM8" s="108"/>
      <c r="DN8" s="108"/>
      <c r="DO8" s="108"/>
      <c r="DP8" s="108"/>
      <c r="DQ8" s="108"/>
      <c r="DR8" s="108"/>
      <c r="DS8" s="108"/>
      <c r="DT8" s="108"/>
      <c r="DU8" s="108"/>
      <c r="DV8" s="108"/>
      <c r="DW8" s="108"/>
      <c r="DX8" s="108"/>
      <c r="DY8" s="108"/>
      <c r="DZ8" s="108"/>
      <c r="EA8" s="108"/>
      <c r="EB8" s="108"/>
      <c r="EC8" s="108"/>
      <c r="ED8" s="108"/>
      <c r="EE8" s="108"/>
      <c r="EF8" s="108"/>
      <c r="EG8" s="108"/>
      <c r="EH8" s="108"/>
      <c r="EI8" s="108"/>
      <c r="EJ8" s="108"/>
      <c r="EK8" s="108"/>
      <c r="EL8" s="108"/>
      <c r="EM8" s="108"/>
      <c r="EN8" s="108"/>
      <c r="EO8" s="108"/>
      <c r="EP8" s="108"/>
      <c r="EQ8" s="108"/>
      <c r="ER8" s="108"/>
      <c r="ES8" s="108"/>
      <c r="ET8" s="108"/>
      <c r="EU8" s="108"/>
      <c r="EV8" s="108"/>
      <c r="EW8" s="108"/>
      <c r="EX8" s="108"/>
      <c r="EY8" s="108"/>
      <c r="EZ8" s="108"/>
      <c r="FA8" s="108"/>
      <c r="FB8" s="108"/>
      <c r="FC8" s="108"/>
      <c r="FD8" s="108"/>
      <c r="FE8" s="108"/>
      <c r="FF8" s="108"/>
      <c r="FG8" s="108"/>
      <c r="FH8" s="108"/>
      <c r="FI8" s="108"/>
      <c r="FJ8" s="108"/>
      <c r="FK8" s="108"/>
      <c r="FL8" s="108"/>
      <c r="FM8" s="108"/>
      <c r="FN8" s="108"/>
      <c r="FO8" s="108"/>
      <c r="FP8" s="108"/>
      <c r="FQ8" s="108"/>
      <c r="FR8" s="108"/>
      <c r="FS8" s="108"/>
      <c r="FT8" s="108"/>
      <c r="FU8" s="108"/>
      <c r="FV8" s="108"/>
      <c r="FW8" s="108"/>
      <c r="FX8" s="108"/>
      <c r="FY8" s="108"/>
      <c r="FZ8" s="108"/>
      <c r="GA8" s="108"/>
      <c r="GB8" s="108"/>
      <c r="GC8" s="108"/>
      <c r="GD8" s="108"/>
      <c r="GE8" s="108"/>
      <c r="GF8" s="108"/>
      <c r="GG8" s="108"/>
      <c r="GH8" s="108"/>
      <c r="GI8" s="108"/>
      <c r="GJ8" s="108"/>
      <c r="GK8" s="108"/>
      <c r="GL8" s="108"/>
      <c r="GM8" s="108"/>
      <c r="GN8" s="108"/>
      <c r="GO8" s="108"/>
      <c r="GP8" s="108"/>
      <c r="GQ8" s="108"/>
      <c r="GR8" s="108"/>
      <c r="GS8" s="108"/>
      <c r="GT8" s="108"/>
      <c r="GU8" s="108"/>
      <c r="GV8" s="108"/>
      <c r="GW8" s="108"/>
      <c r="GX8" s="108"/>
      <c r="GY8" s="108"/>
      <c r="GZ8" s="108"/>
      <c r="HA8" s="108"/>
      <c r="HB8" s="108"/>
      <c r="HC8" s="108"/>
      <c r="HD8" s="108"/>
      <c r="HE8" s="108"/>
      <c r="HF8" s="108"/>
      <c r="HG8" s="108"/>
      <c r="HH8" s="108"/>
      <c r="HI8" s="108"/>
      <c r="HJ8" s="108"/>
      <c r="HK8" s="108"/>
      <c r="HL8" s="108"/>
      <c r="HM8" s="108"/>
      <c r="HN8" s="108"/>
      <c r="HO8" s="108"/>
      <c r="HP8" s="108"/>
      <c r="HQ8" s="108"/>
      <c r="HR8" s="108"/>
      <c r="HS8" s="108"/>
      <c r="HT8" s="108"/>
      <c r="HU8" s="108"/>
      <c r="HV8" s="108"/>
      <c r="HW8" s="108"/>
      <c r="HX8" s="108"/>
      <c r="HY8" s="108"/>
      <c r="HZ8" s="108"/>
      <c r="IA8" s="108"/>
      <c r="IB8" s="108"/>
      <c r="IC8" s="108"/>
      <c r="ID8" s="108"/>
      <c r="IE8" s="108"/>
      <c r="IF8" s="108"/>
      <c r="IG8" s="108"/>
      <c r="IH8" s="108"/>
      <c r="II8" s="108"/>
      <c r="IJ8" s="108"/>
      <c r="IK8" s="108"/>
      <c r="IL8" s="108"/>
      <c r="IM8" s="108"/>
      <c r="IN8" s="108"/>
      <c r="IO8" s="108"/>
      <c r="IP8" s="108"/>
      <c r="IQ8" s="108"/>
      <c r="IR8" s="108"/>
      <c r="IS8" s="108"/>
      <c r="IT8" s="108"/>
      <c r="IU8" s="108"/>
      <c r="IV8" s="108"/>
      <c r="IW8" s="108"/>
    </row>
    <row r="9" spans="1:257" ht="15" thickBot="1" x14ac:dyDescent="0.35">
      <c r="A9" s="158"/>
      <c r="B9" s="113" t="str">
        <f>'Sensitivity analysis'!B168</f>
        <v xml:space="preserve">Reduction in LBW with a PSG </v>
      </c>
      <c r="C9" s="170">
        <f>'Sensitivity analysis'!D168</f>
        <v>-288221.23031509353</v>
      </c>
      <c r="D9" s="171">
        <f>'Sensitivity analysis'!F168</f>
        <v>-168165.1349030727</v>
      </c>
      <c r="E9" s="172">
        <f t="shared" si="0"/>
        <v>120056.09541202083</v>
      </c>
      <c r="F9" s="158"/>
      <c r="G9" s="158"/>
      <c r="H9" s="158"/>
      <c r="I9" s="184" t="s">
        <v>810</v>
      </c>
      <c r="J9" s="174">
        <v>-288221.23031509353</v>
      </c>
      <c r="K9" s="171">
        <v>-168165.1349030727</v>
      </c>
      <c r="L9" s="172">
        <v>120056.09541202083</v>
      </c>
      <c r="M9" s="158"/>
      <c r="N9" s="158"/>
      <c r="O9" s="108"/>
      <c r="P9" s="108"/>
      <c r="Q9" s="108"/>
      <c r="R9" s="108"/>
      <c r="S9" s="108"/>
      <c r="T9" s="108"/>
      <c r="U9" s="108"/>
      <c r="V9" s="108"/>
      <c r="W9" s="108"/>
      <c r="X9" s="108"/>
      <c r="Y9" s="108"/>
      <c r="Z9" s="108"/>
      <c r="AA9" s="108"/>
      <c r="AB9" s="108"/>
      <c r="AC9" s="108"/>
      <c r="AD9" s="108"/>
      <c r="AE9" s="108"/>
      <c r="AF9" s="108"/>
      <c r="AG9" s="108"/>
      <c r="AH9" s="108"/>
      <c r="AI9" s="108"/>
      <c r="AJ9" s="108"/>
      <c r="AK9" s="108"/>
      <c r="AL9" s="108"/>
      <c r="AM9" s="108"/>
      <c r="AN9" s="108"/>
      <c r="AO9" s="108"/>
      <c r="AP9" s="108"/>
      <c r="AQ9" s="108"/>
      <c r="AR9" s="108"/>
      <c r="AS9" s="108"/>
      <c r="AT9" s="108"/>
      <c r="AU9" s="108"/>
      <c r="AV9" s="108"/>
      <c r="AW9" s="108"/>
      <c r="AX9" s="108"/>
      <c r="AY9" s="108"/>
      <c r="AZ9" s="108"/>
      <c r="BA9" s="108"/>
      <c r="BB9" s="108"/>
      <c r="BC9" s="108"/>
      <c r="BD9" s="108"/>
      <c r="BE9" s="108"/>
      <c r="BF9" s="108"/>
      <c r="BG9" s="108"/>
      <c r="BH9" s="108"/>
      <c r="BI9" s="108"/>
      <c r="BJ9" s="108"/>
      <c r="BK9" s="108"/>
      <c r="BL9" s="108"/>
      <c r="BM9" s="108"/>
      <c r="BN9" s="108"/>
      <c r="BO9" s="108"/>
      <c r="BP9" s="108"/>
      <c r="BQ9" s="108"/>
      <c r="BR9" s="108"/>
      <c r="BS9" s="108"/>
      <c r="BT9" s="108"/>
      <c r="BU9" s="108"/>
      <c r="BV9" s="108"/>
      <c r="BW9" s="108"/>
      <c r="BX9" s="108"/>
      <c r="BY9" s="108"/>
      <c r="BZ9" s="108"/>
      <c r="CA9" s="108"/>
      <c r="CB9" s="108"/>
      <c r="CC9" s="108"/>
      <c r="CD9" s="108"/>
      <c r="CE9" s="108"/>
      <c r="CF9" s="108"/>
      <c r="CG9" s="108"/>
      <c r="CH9" s="108"/>
      <c r="CI9" s="108"/>
      <c r="CJ9" s="108"/>
      <c r="CK9" s="108"/>
      <c r="CL9" s="108"/>
      <c r="CM9" s="108"/>
      <c r="CN9" s="108"/>
      <c r="CO9" s="108"/>
      <c r="CP9" s="108"/>
      <c r="CQ9" s="108"/>
      <c r="CR9" s="108"/>
      <c r="CS9" s="108"/>
      <c r="CT9" s="108"/>
      <c r="CU9" s="108"/>
      <c r="CV9" s="108"/>
      <c r="CW9" s="108"/>
      <c r="CX9" s="108"/>
      <c r="CY9" s="108"/>
      <c r="CZ9" s="108"/>
      <c r="DA9" s="108"/>
      <c r="DB9" s="108"/>
      <c r="DC9" s="108"/>
      <c r="DD9" s="108"/>
      <c r="DE9" s="108"/>
      <c r="DF9" s="108"/>
      <c r="DG9" s="108"/>
      <c r="DH9" s="108"/>
      <c r="DI9" s="108"/>
      <c r="DJ9" s="108"/>
      <c r="DK9" s="108"/>
      <c r="DL9" s="108"/>
      <c r="DM9" s="108"/>
      <c r="DN9" s="108"/>
      <c r="DO9" s="108"/>
      <c r="DP9" s="108"/>
      <c r="DQ9" s="108"/>
      <c r="DR9" s="108"/>
      <c r="DS9" s="108"/>
      <c r="DT9" s="108"/>
      <c r="DU9" s="108"/>
      <c r="DV9" s="108"/>
      <c r="DW9" s="108"/>
      <c r="DX9" s="108"/>
      <c r="DY9" s="108"/>
      <c r="DZ9" s="108"/>
      <c r="EA9" s="108"/>
      <c r="EB9" s="108"/>
      <c r="EC9" s="108"/>
      <c r="ED9" s="108"/>
      <c r="EE9" s="108"/>
      <c r="EF9" s="108"/>
      <c r="EG9" s="108"/>
      <c r="EH9" s="108"/>
      <c r="EI9" s="108"/>
      <c r="EJ9" s="108"/>
      <c r="EK9" s="108"/>
      <c r="EL9" s="108"/>
      <c r="EM9" s="108"/>
      <c r="EN9" s="108"/>
      <c r="EO9" s="108"/>
      <c r="EP9" s="108"/>
      <c r="EQ9" s="108"/>
      <c r="ER9" s="108"/>
      <c r="ES9" s="108"/>
      <c r="ET9" s="108"/>
      <c r="EU9" s="108"/>
      <c r="EV9" s="108"/>
      <c r="EW9" s="108"/>
      <c r="EX9" s="108"/>
      <c r="EY9" s="108"/>
      <c r="EZ9" s="108"/>
      <c r="FA9" s="108"/>
      <c r="FB9" s="108"/>
      <c r="FC9" s="108"/>
      <c r="FD9" s="108"/>
      <c r="FE9" s="108"/>
      <c r="FF9" s="108"/>
      <c r="FG9" s="108"/>
      <c r="FH9" s="108"/>
      <c r="FI9" s="108"/>
      <c r="FJ9" s="108"/>
      <c r="FK9" s="108"/>
      <c r="FL9" s="108"/>
      <c r="FM9" s="108"/>
      <c r="FN9" s="108"/>
      <c r="FO9" s="108"/>
      <c r="FP9" s="108"/>
      <c r="FQ9" s="108"/>
      <c r="FR9" s="108"/>
      <c r="FS9" s="108"/>
      <c r="FT9" s="108"/>
      <c r="FU9" s="108"/>
      <c r="FV9" s="108"/>
      <c r="FW9" s="108"/>
      <c r="FX9" s="108"/>
      <c r="FY9" s="108"/>
      <c r="FZ9" s="108"/>
      <c r="GA9" s="108"/>
      <c r="GB9" s="108"/>
      <c r="GC9" s="108"/>
      <c r="GD9" s="108"/>
      <c r="GE9" s="108"/>
      <c r="GF9" s="108"/>
      <c r="GG9" s="108"/>
      <c r="GH9" s="108"/>
      <c r="GI9" s="108"/>
      <c r="GJ9" s="108"/>
      <c r="GK9" s="108"/>
      <c r="GL9" s="108"/>
      <c r="GM9" s="108"/>
      <c r="GN9" s="108"/>
      <c r="GO9" s="108"/>
      <c r="GP9" s="108"/>
      <c r="GQ9" s="108"/>
      <c r="GR9" s="108"/>
      <c r="GS9" s="108"/>
      <c r="GT9" s="108"/>
      <c r="GU9" s="108"/>
      <c r="GV9" s="108"/>
      <c r="GW9" s="108"/>
      <c r="GX9" s="108"/>
      <c r="GY9" s="108"/>
      <c r="GZ9" s="108"/>
      <c r="HA9" s="108"/>
      <c r="HB9" s="108"/>
      <c r="HC9" s="108"/>
      <c r="HD9" s="108"/>
      <c r="HE9" s="108"/>
      <c r="HF9" s="108"/>
      <c r="HG9" s="108"/>
      <c r="HH9" s="108"/>
      <c r="HI9" s="108"/>
      <c r="HJ9" s="108"/>
      <c r="HK9" s="108"/>
      <c r="HL9" s="108"/>
      <c r="HM9" s="108"/>
      <c r="HN9" s="108"/>
      <c r="HO9" s="108"/>
      <c r="HP9" s="108"/>
      <c r="HQ9" s="108"/>
      <c r="HR9" s="108"/>
      <c r="HS9" s="108"/>
      <c r="HT9" s="108"/>
      <c r="HU9" s="108"/>
      <c r="HV9" s="108"/>
      <c r="HW9" s="108"/>
      <c r="HX9" s="108"/>
      <c r="HY9" s="108"/>
      <c r="HZ9" s="108"/>
      <c r="IA9" s="108"/>
      <c r="IB9" s="108"/>
      <c r="IC9" s="108"/>
      <c r="ID9" s="108"/>
      <c r="IE9" s="108"/>
      <c r="IF9" s="108"/>
      <c r="IG9" s="108"/>
      <c r="IH9" s="108"/>
      <c r="II9" s="108"/>
      <c r="IJ9" s="108"/>
      <c r="IK9" s="108"/>
      <c r="IL9" s="108"/>
      <c r="IM9" s="108"/>
      <c r="IN9" s="108"/>
      <c r="IO9" s="108"/>
      <c r="IP9" s="108"/>
      <c r="IQ9" s="108"/>
      <c r="IR9" s="108"/>
      <c r="IS9" s="108"/>
      <c r="IT9" s="108"/>
      <c r="IU9" s="108"/>
      <c r="IV9" s="108"/>
      <c r="IW9" s="108"/>
    </row>
    <row r="10" spans="1:257" ht="15" thickBot="1" x14ac:dyDescent="0.35">
      <c r="A10" s="158"/>
      <c r="B10" s="113" t="str">
        <f>'Sensitivity analysis'!B169</f>
        <v xml:space="preserve">Reduction in SGA with a PSG </v>
      </c>
      <c r="C10" s="170">
        <v>3600</v>
      </c>
      <c r="D10" s="171">
        <f>'Sensitivity analysis'!F169</f>
        <v>-255550.02469313127</v>
      </c>
      <c r="E10" s="172">
        <f t="shared" si="0"/>
        <v>259150.02469313127</v>
      </c>
      <c r="F10" s="158"/>
      <c r="G10" s="158"/>
      <c r="H10" s="158"/>
      <c r="I10" s="176" t="s">
        <v>793</v>
      </c>
      <c r="J10" s="170">
        <v>-183280.19016067553</v>
      </c>
      <c r="K10" s="171">
        <v>-291005.37373456144</v>
      </c>
      <c r="L10" s="172">
        <v>107725.18357388591</v>
      </c>
      <c r="M10" s="158"/>
      <c r="N10" s="158"/>
      <c r="O10" s="108"/>
      <c r="P10" s="108"/>
      <c r="Q10" s="108"/>
      <c r="R10" s="108"/>
      <c r="S10" s="108"/>
      <c r="T10" s="108"/>
      <c r="U10" s="108"/>
      <c r="V10" s="108"/>
      <c r="W10" s="108"/>
      <c r="X10" s="108"/>
      <c r="Y10" s="108"/>
      <c r="Z10" s="108"/>
      <c r="AA10" s="108"/>
      <c r="AB10" s="108"/>
      <c r="AC10" s="108"/>
      <c r="AD10" s="108"/>
      <c r="AE10" s="108"/>
      <c r="AF10" s="108"/>
      <c r="AG10" s="108"/>
      <c r="AH10" s="108"/>
      <c r="AI10" s="108"/>
      <c r="AJ10" s="108"/>
      <c r="AK10" s="108"/>
      <c r="AL10" s="108"/>
      <c r="AM10" s="108"/>
      <c r="AN10" s="108"/>
      <c r="AO10" s="108"/>
      <c r="AP10" s="108"/>
      <c r="AQ10" s="108"/>
      <c r="AR10" s="108"/>
      <c r="AS10" s="108"/>
      <c r="AT10" s="108"/>
      <c r="AU10" s="108"/>
      <c r="AV10" s="108"/>
      <c r="AW10" s="108"/>
      <c r="AX10" s="108"/>
      <c r="AY10" s="108"/>
      <c r="AZ10" s="108"/>
      <c r="BA10" s="108"/>
      <c r="BB10" s="108"/>
      <c r="BC10" s="108"/>
      <c r="BD10" s="108"/>
      <c r="BE10" s="108"/>
      <c r="BF10" s="108"/>
      <c r="BG10" s="108"/>
      <c r="BH10" s="108"/>
      <c r="BI10" s="108"/>
      <c r="BJ10" s="108"/>
      <c r="BK10" s="108"/>
      <c r="BL10" s="108"/>
      <c r="BM10" s="108"/>
      <c r="BN10" s="108"/>
      <c r="BO10" s="108"/>
      <c r="BP10" s="108"/>
      <c r="BQ10" s="108"/>
      <c r="BR10" s="108"/>
      <c r="BS10" s="108"/>
      <c r="BT10" s="108"/>
      <c r="BU10" s="108"/>
      <c r="BV10" s="108"/>
      <c r="BW10" s="108"/>
      <c r="BX10" s="108"/>
      <c r="BY10" s="108"/>
      <c r="BZ10" s="108"/>
      <c r="CA10" s="108"/>
      <c r="CB10" s="108"/>
      <c r="CC10" s="108"/>
      <c r="CD10" s="108"/>
      <c r="CE10" s="108"/>
      <c r="CF10" s="108"/>
      <c r="CG10" s="108"/>
      <c r="CH10" s="108"/>
      <c r="CI10" s="108"/>
      <c r="CJ10" s="108"/>
      <c r="CK10" s="108"/>
      <c r="CL10" s="108"/>
      <c r="CM10" s="108"/>
      <c r="CN10" s="108"/>
      <c r="CO10" s="108"/>
      <c r="CP10" s="108"/>
      <c r="CQ10" s="108"/>
      <c r="CR10" s="108"/>
      <c r="CS10" s="108"/>
      <c r="CT10" s="108"/>
      <c r="CU10" s="108"/>
      <c r="CV10" s="108"/>
      <c r="CW10" s="108"/>
      <c r="CX10" s="108"/>
      <c r="CY10" s="108"/>
      <c r="CZ10" s="108"/>
      <c r="DA10" s="108"/>
      <c r="DB10" s="108"/>
      <c r="DC10" s="108"/>
      <c r="DD10" s="108"/>
      <c r="DE10" s="108"/>
      <c r="DF10" s="108"/>
      <c r="DG10" s="108"/>
      <c r="DH10" s="108"/>
      <c r="DI10" s="108"/>
      <c r="DJ10" s="108"/>
      <c r="DK10" s="108"/>
      <c r="DL10" s="108"/>
      <c r="DM10" s="108"/>
      <c r="DN10" s="108"/>
      <c r="DO10" s="108"/>
      <c r="DP10" s="108"/>
      <c r="DQ10" s="108"/>
      <c r="DR10" s="108"/>
      <c r="DS10" s="108"/>
      <c r="DT10" s="108"/>
      <c r="DU10" s="108"/>
      <c r="DV10" s="108"/>
      <c r="DW10" s="108"/>
      <c r="DX10" s="108"/>
      <c r="DY10" s="108"/>
      <c r="DZ10" s="108"/>
      <c r="EA10" s="108"/>
      <c r="EB10" s="108"/>
      <c r="EC10" s="108"/>
      <c r="ED10" s="108"/>
      <c r="EE10" s="108"/>
      <c r="EF10" s="108"/>
      <c r="EG10" s="108"/>
      <c r="EH10" s="108"/>
      <c r="EI10" s="108"/>
      <c r="EJ10" s="108"/>
      <c r="EK10" s="108"/>
      <c r="EL10" s="108"/>
      <c r="EM10" s="108"/>
      <c r="EN10" s="108"/>
      <c r="EO10" s="108"/>
      <c r="EP10" s="108"/>
      <c r="EQ10" s="108"/>
      <c r="ER10" s="108"/>
      <c r="ES10" s="108"/>
      <c r="ET10" s="108"/>
      <c r="EU10" s="108"/>
      <c r="EV10" s="108"/>
      <c r="EW10" s="108"/>
      <c r="EX10" s="108"/>
      <c r="EY10" s="108"/>
      <c r="EZ10" s="108"/>
      <c r="FA10" s="108"/>
      <c r="FB10" s="108"/>
      <c r="FC10" s="108"/>
      <c r="FD10" s="108"/>
      <c r="FE10" s="108"/>
      <c r="FF10" s="108"/>
      <c r="FG10" s="108"/>
      <c r="FH10" s="108"/>
      <c r="FI10" s="108"/>
      <c r="FJ10" s="108"/>
      <c r="FK10" s="108"/>
      <c r="FL10" s="108"/>
      <c r="FM10" s="108"/>
      <c r="FN10" s="108"/>
      <c r="FO10" s="108"/>
      <c r="FP10" s="108"/>
      <c r="FQ10" s="108"/>
      <c r="FR10" s="108"/>
      <c r="FS10" s="108"/>
      <c r="FT10" s="108"/>
      <c r="FU10" s="108"/>
      <c r="FV10" s="108"/>
      <c r="FW10" s="108"/>
      <c r="FX10" s="108"/>
      <c r="FY10" s="108"/>
      <c r="FZ10" s="108"/>
      <c r="GA10" s="108"/>
      <c r="GB10" s="108"/>
      <c r="GC10" s="108"/>
      <c r="GD10" s="108"/>
      <c r="GE10" s="108"/>
      <c r="GF10" s="108"/>
      <c r="GG10" s="108"/>
      <c r="GH10" s="108"/>
      <c r="GI10" s="108"/>
      <c r="GJ10" s="108"/>
      <c r="GK10" s="108"/>
      <c r="GL10" s="108"/>
      <c r="GM10" s="108"/>
      <c r="GN10" s="108"/>
      <c r="GO10" s="108"/>
      <c r="GP10" s="108"/>
      <c r="GQ10" s="108"/>
      <c r="GR10" s="108"/>
      <c r="GS10" s="108"/>
      <c r="GT10" s="108"/>
      <c r="GU10" s="108"/>
      <c r="GV10" s="108"/>
      <c r="GW10" s="108"/>
      <c r="GX10" s="108"/>
      <c r="GY10" s="108"/>
      <c r="GZ10" s="108"/>
      <c r="HA10" s="108"/>
      <c r="HB10" s="108"/>
      <c r="HC10" s="108"/>
      <c r="HD10" s="108"/>
      <c r="HE10" s="108"/>
      <c r="HF10" s="108"/>
      <c r="HG10" s="108"/>
      <c r="HH10" s="108"/>
      <c r="HI10" s="108"/>
      <c r="HJ10" s="108"/>
      <c r="HK10" s="108"/>
      <c r="HL10" s="108"/>
      <c r="HM10" s="108"/>
      <c r="HN10" s="108"/>
      <c r="HO10" s="108"/>
      <c r="HP10" s="108"/>
      <c r="HQ10" s="108"/>
      <c r="HR10" s="108"/>
      <c r="HS10" s="108"/>
      <c r="HT10" s="108"/>
      <c r="HU10" s="108"/>
      <c r="HV10" s="108"/>
      <c r="HW10" s="108"/>
      <c r="HX10" s="108"/>
      <c r="HY10" s="108"/>
      <c r="HZ10" s="108"/>
      <c r="IA10" s="108"/>
      <c r="IB10" s="108"/>
      <c r="IC10" s="108"/>
      <c r="ID10" s="108"/>
      <c r="IE10" s="108"/>
      <c r="IF10" s="108"/>
      <c r="IG10" s="108"/>
      <c r="IH10" s="108"/>
      <c r="II10" s="108"/>
      <c r="IJ10" s="108"/>
      <c r="IK10" s="108"/>
      <c r="IL10" s="108"/>
      <c r="IM10" s="108"/>
      <c r="IN10" s="108"/>
      <c r="IO10" s="108"/>
      <c r="IP10" s="108"/>
      <c r="IQ10" s="108"/>
      <c r="IR10" s="108"/>
      <c r="IS10" s="108"/>
      <c r="IT10" s="108"/>
      <c r="IU10" s="108"/>
      <c r="IV10" s="108"/>
      <c r="IW10" s="108"/>
    </row>
    <row r="11" spans="1:257" ht="15" thickBot="1" x14ac:dyDescent="0.35">
      <c r="A11" s="158"/>
      <c r="B11" s="113" t="str">
        <f>'Sensitivity analysis'!B170</f>
        <v>Reduction in infant death with a PSG</v>
      </c>
      <c r="C11" s="170">
        <f>'Sensitivity analysis'!D170</f>
        <v>-264099.00219339295</v>
      </c>
      <c r="D11" s="171">
        <f>'Sensitivity analysis'!F170</f>
        <v>-222449.75834357357</v>
      </c>
      <c r="E11" s="172">
        <f t="shared" si="0"/>
        <v>41649.243849819381</v>
      </c>
      <c r="F11" s="158"/>
      <c r="G11" s="158"/>
      <c r="H11" s="158"/>
      <c r="I11" s="176" t="s">
        <v>788</v>
      </c>
      <c r="J11" s="170">
        <v>-299722.23099884705</v>
      </c>
      <c r="K11" s="171">
        <v>-204100.95405053452</v>
      </c>
      <c r="L11" s="172">
        <v>95621.27694831253</v>
      </c>
      <c r="M11" s="158"/>
      <c r="N11" s="158"/>
      <c r="O11" s="108"/>
      <c r="P11" s="108"/>
      <c r="Q11" s="108"/>
      <c r="R11" s="108"/>
      <c r="S11" s="108"/>
      <c r="T11" s="108"/>
      <c r="U11" s="108"/>
      <c r="V11" s="108"/>
      <c r="W11" s="108"/>
      <c r="X11" s="108"/>
      <c r="Y11" s="108"/>
      <c r="Z11" s="108"/>
      <c r="AA11" s="108"/>
      <c r="AB11" s="108"/>
      <c r="AC11" s="108"/>
      <c r="AD11" s="108"/>
      <c r="AE11" s="108"/>
      <c r="AF11" s="108"/>
      <c r="AG11" s="108"/>
      <c r="AH11" s="108"/>
      <c r="AI11" s="108"/>
      <c r="AJ11" s="108"/>
      <c r="AK11" s="108"/>
      <c r="AL11" s="108"/>
      <c r="AM11" s="108"/>
      <c r="AN11" s="108"/>
      <c r="AO11" s="108"/>
      <c r="AP11" s="108"/>
      <c r="AQ11" s="108"/>
      <c r="AR11" s="108"/>
      <c r="AS11" s="108"/>
      <c r="AT11" s="108"/>
      <c r="AU11" s="108"/>
      <c r="AV11" s="108"/>
      <c r="AW11" s="108"/>
      <c r="AX11" s="108"/>
      <c r="AY11" s="108"/>
      <c r="AZ11" s="108"/>
      <c r="BA11" s="108"/>
      <c r="BB11" s="108"/>
      <c r="BC11" s="108"/>
      <c r="BD11" s="108"/>
      <c r="BE11" s="108"/>
      <c r="BF11" s="108"/>
      <c r="BG11" s="108"/>
      <c r="BH11" s="108"/>
      <c r="BI11" s="108"/>
      <c r="BJ11" s="108"/>
      <c r="BK11" s="108"/>
      <c r="BL11" s="108"/>
      <c r="BM11" s="108"/>
      <c r="BN11" s="108"/>
      <c r="BO11" s="108"/>
      <c r="BP11" s="108"/>
      <c r="BQ11" s="108"/>
      <c r="BR11" s="108"/>
      <c r="BS11" s="108"/>
      <c r="BT11" s="108"/>
      <c r="BU11" s="108"/>
      <c r="BV11" s="108"/>
      <c r="BW11" s="108"/>
      <c r="BX11" s="108"/>
      <c r="BY11" s="108"/>
      <c r="BZ11" s="108"/>
      <c r="CA11" s="108"/>
      <c r="CB11" s="108"/>
      <c r="CC11" s="108"/>
      <c r="CD11" s="108"/>
      <c r="CE11" s="108"/>
      <c r="CF11" s="108"/>
      <c r="CG11" s="108"/>
      <c r="CH11" s="108"/>
      <c r="CI11" s="108"/>
      <c r="CJ11" s="108"/>
      <c r="CK11" s="108"/>
      <c r="CL11" s="108"/>
      <c r="CM11" s="108"/>
      <c r="CN11" s="108"/>
      <c r="CO11" s="108"/>
      <c r="CP11" s="108"/>
      <c r="CQ11" s="108"/>
      <c r="CR11" s="108"/>
      <c r="CS11" s="108"/>
      <c r="CT11" s="108"/>
      <c r="CU11" s="108"/>
      <c r="CV11" s="108"/>
      <c r="CW11" s="108"/>
      <c r="CX11" s="108"/>
      <c r="CY11" s="108"/>
      <c r="CZ11" s="108"/>
      <c r="DA11" s="108"/>
      <c r="DB11" s="108"/>
      <c r="DC11" s="108"/>
      <c r="DD11" s="108"/>
      <c r="DE11" s="108"/>
      <c r="DF11" s="108"/>
      <c r="DG11" s="108"/>
      <c r="DH11" s="108"/>
      <c r="DI11" s="108"/>
      <c r="DJ11" s="108"/>
      <c r="DK11" s="108"/>
      <c r="DL11" s="108"/>
      <c r="DM11" s="108"/>
      <c r="DN11" s="108"/>
      <c r="DO11" s="108"/>
      <c r="DP11" s="108"/>
      <c r="DQ11" s="108"/>
      <c r="DR11" s="108"/>
      <c r="DS11" s="108"/>
      <c r="DT11" s="108"/>
      <c r="DU11" s="108"/>
      <c r="DV11" s="108"/>
      <c r="DW11" s="108"/>
      <c r="DX11" s="108"/>
      <c r="DY11" s="108"/>
      <c r="DZ11" s="108"/>
      <c r="EA11" s="108"/>
      <c r="EB11" s="108"/>
      <c r="EC11" s="108"/>
      <c r="ED11" s="108"/>
      <c r="EE11" s="108"/>
      <c r="EF11" s="108"/>
      <c r="EG11" s="108"/>
      <c r="EH11" s="108"/>
      <c r="EI11" s="108"/>
      <c r="EJ11" s="108"/>
      <c r="EK11" s="108"/>
      <c r="EL11" s="108"/>
      <c r="EM11" s="108"/>
      <c r="EN11" s="108"/>
      <c r="EO11" s="108"/>
      <c r="EP11" s="108"/>
      <c r="EQ11" s="108"/>
      <c r="ER11" s="108"/>
      <c r="ES11" s="108"/>
      <c r="ET11" s="108"/>
      <c r="EU11" s="108"/>
      <c r="EV11" s="108"/>
      <c r="EW11" s="108"/>
      <c r="EX11" s="108"/>
      <c r="EY11" s="108"/>
      <c r="EZ11" s="108"/>
      <c r="FA11" s="108"/>
      <c r="FB11" s="108"/>
      <c r="FC11" s="108"/>
      <c r="FD11" s="108"/>
      <c r="FE11" s="108"/>
      <c r="FF11" s="108"/>
      <c r="FG11" s="108"/>
      <c r="FH11" s="108"/>
      <c r="FI11" s="108"/>
      <c r="FJ11" s="108"/>
      <c r="FK11" s="108"/>
      <c r="FL11" s="108"/>
      <c r="FM11" s="108"/>
      <c r="FN11" s="108"/>
      <c r="FO11" s="108"/>
      <c r="FP11" s="108"/>
      <c r="FQ11" s="108"/>
      <c r="FR11" s="108"/>
      <c r="FS11" s="108"/>
      <c r="FT11" s="108"/>
      <c r="FU11" s="108"/>
      <c r="FV11" s="108"/>
      <c r="FW11" s="108"/>
      <c r="FX11" s="108"/>
      <c r="FY11" s="108"/>
      <c r="FZ11" s="108"/>
      <c r="GA11" s="108"/>
      <c r="GB11" s="108"/>
      <c r="GC11" s="108"/>
      <c r="GD11" s="108"/>
      <c r="GE11" s="108"/>
      <c r="GF11" s="108"/>
      <c r="GG11" s="108"/>
      <c r="GH11" s="108"/>
      <c r="GI11" s="108"/>
      <c r="GJ11" s="108"/>
      <c r="GK11" s="108"/>
      <c r="GL11" s="108"/>
      <c r="GM11" s="108"/>
      <c r="GN11" s="108"/>
      <c r="GO11" s="108"/>
      <c r="GP11" s="108"/>
      <c r="GQ11" s="108"/>
      <c r="GR11" s="108"/>
      <c r="GS11" s="108"/>
      <c r="GT11" s="108"/>
      <c r="GU11" s="108"/>
      <c r="GV11" s="108"/>
      <c r="GW11" s="108"/>
      <c r="GX11" s="108"/>
      <c r="GY11" s="108"/>
      <c r="GZ11" s="108"/>
      <c r="HA11" s="108"/>
      <c r="HB11" s="108"/>
      <c r="HC11" s="108"/>
      <c r="HD11" s="108"/>
      <c r="HE11" s="108"/>
      <c r="HF11" s="108"/>
      <c r="HG11" s="108"/>
      <c r="HH11" s="108"/>
      <c r="HI11" s="108"/>
      <c r="HJ11" s="108"/>
      <c r="HK11" s="108"/>
      <c r="HL11" s="108"/>
      <c r="HM11" s="108"/>
      <c r="HN11" s="108"/>
      <c r="HO11" s="108"/>
      <c r="HP11" s="108"/>
      <c r="HQ11" s="108"/>
      <c r="HR11" s="108"/>
      <c r="HS11" s="108"/>
      <c r="HT11" s="108"/>
      <c r="HU11" s="108"/>
      <c r="HV11" s="108"/>
      <c r="HW11" s="108"/>
      <c r="HX11" s="108"/>
      <c r="HY11" s="108"/>
      <c r="HZ11" s="108"/>
      <c r="IA11" s="108"/>
      <c r="IB11" s="108"/>
      <c r="IC11" s="108"/>
      <c r="ID11" s="108"/>
      <c r="IE11" s="108"/>
      <c r="IF11" s="108"/>
      <c r="IG11" s="108"/>
      <c r="IH11" s="108"/>
      <c r="II11" s="108"/>
      <c r="IJ11" s="108"/>
      <c r="IK11" s="108"/>
      <c r="IL11" s="108"/>
      <c r="IM11" s="108"/>
      <c r="IN11" s="108"/>
      <c r="IO11" s="108"/>
      <c r="IP11" s="108"/>
      <c r="IQ11" s="108"/>
      <c r="IR11" s="108"/>
      <c r="IS11" s="108"/>
      <c r="IT11" s="108"/>
      <c r="IU11" s="108"/>
      <c r="IV11" s="108"/>
      <c r="IW11" s="108"/>
    </row>
    <row r="12" spans="1:257" ht="15" thickBot="1" x14ac:dyDescent="0.35">
      <c r="A12" s="158"/>
      <c r="B12" s="113" t="str">
        <f>'Sensitivity analysis'!B171</f>
        <v>Chronic lung disease DW</v>
      </c>
      <c r="C12" s="170">
        <f>'Sensitivity analysis'!D171</f>
        <v>-252641.29999125088</v>
      </c>
      <c r="D12" s="171">
        <f>'Sensitivity analysis'!F171</f>
        <v>-227399.33251336243</v>
      </c>
      <c r="E12" s="172">
        <f t="shared" si="0"/>
        <v>25241.967477888451</v>
      </c>
      <c r="F12" s="158"/>
      <c r="G12" s="158"/>
      <c r="H12" s="158"/>
      <c r="I12" s="176" t="s">
        <v>796</v>
      </c>
      <c r="J12" s="170">
        <v>-291647.70608759526</v>
      </c>
      <c r="K12" s="171">
        <v>-204951.48347598288</v>
      </c>
      <c r="L12" s="172">
        <v>86696.222611612378</v>
      </c>
      <c r="M12" s="158"/>
      <c r="N12" s="158"/>
      <c r="O12" s="108"/>
      <c r="P12" s="108"/>
      <c r="Q12" s="108"/>
      <c r="R12" s="108"/>
      <c r="S12" s="108"/>
      <c r="T12" s="108"/>
      <c r="U12" s="108"/>
      <c r="V12" s="108"/>
      <c r="W12" s="108"/>
      <c r="X12" s="108"/>
      <c r="Y12" s="108"/>
      <c r="Z12" s="108"/>
      <c r="AA12" s="108"/>
      <c r="AB12" s="108"/>
      <c r="AC12" s="108"/>
      <c r="AD12" s="108"/>
      <c r="AE12" s="108"/>
      <c r="AF12" s="108"/>
      <c r="AG12" s="108"/>
      <c r="AH12" s="108"/>
      <c r="AI12" s="108"/>
      <c r="AJ12" s="108"/>
      <c r="AK12" s="108"/>
      <c r="AL12" s="108"/>
      <c r="AM12" s="108"/>
      <c r="AN12" s="108"/>
      <c r="AO12" s="108"/>
      <c r="AP12" s="108"/>
      <c r="AQ12" s="108"/>
      <c r="AR12" s="108"/>
      <c r="AS12" s="108"/>
      <c r="AT12" s="108"/>
      <c r="AU12" s="108"/>
      <c r="AV12" s="108"/>
      <c r="AW12" s="108"/>
      <c r="AX12" s="108"/>
      <c r="AY12" s="108"/>
      <c r="AZ12" s="108"/>
      <c r="BA12" s="108"/>
      <c r="BB12" s="108"/>
      <c r="BC12" s="108"/>
      <c r="BD12" s="108"/>
      <c r="BE12" s="108"/>
      <c r="BF12" s="108"/>
      <c r="BG12" s="108"/>
      <c r="BH12" s="108"/>
      <c r="BI12" s="108"/>
      <c r="BJ12" s="108"/>
      <c r="BK12" s="108"/>
      <c r="BL12" s="108"/>
      <c r="BM12" s="108"/>
      <c r="BN12" s="108"/>
      <c r="BO12" s="108"/>
      <c r="BP12" s="108"/>
      <c r="BQ12" s="108"/>
      <c r="BR12" s="108"/>
      <c r="BS12" s="108"/>
      <c r="BT12" s="108"/>
      <c r="BU12" s="108"/>
      <c r="BV12" s="108"/>
      <c r="BW12" s="108"/>
      <c r="BX12" s="108"/>
      <c r="BY12" s="108"/>
      <c r="BZ12" s="108"/>
      <c r="CA12" s="108"/>
      <c r="CB12" s="108"/>
      <c r="CC12" s="108"/>
      <c r="CD12" s="108"/>
      <c r="CE12" s="108"/>
      <c r="CF12" s="108"/>
      <c r="CG12" s="108"/>
      <c r="CH12" s="108"/>
      <c r="CI12" s="108"/>
      <c r="CJ12" s="108"/>
      <c r="CK12" s="108"/>
      <c r="CL12" s="108"/>
      <c r="CM12" s="108"/>
      <c r="CN12" s="108"/>
      <c r="CO12" s="108"/>
      <c r="CP12" s="108"/>
      <c r="CQ12" s="108"/>
      <c r="CR12" s="108"/>
      <c r="CS12" s="108"/>
      <c r="CT12" s="108"/>
      <c r="CU12" s="108"/>
      <c r="CV12" s="108"/>
      <c r="CW12" s="108"/>
      <c r="CX12" s="108"/>
      <c r="CY12" s="108"/>
      <c r="CZ12" s="108"/>
      <c r="DA12" s="108"/>
      <c r="DB12" s="108"/>
      <c r="DC12" s="108"/>
      <c r="DD12" s="108"/>
      <c r="DE12" s="108"/>
      <c r="DF12" s="108"/>
      <c r="DG12" s="108"/>
      <c r="DH12" s="108"/>
      <c r="DI12" s="108"/>
      <c r="DJ12" s="108"/>
      <c r="DK12" s="108"/>
      <c r="DL12" s="108"/>
      <c r="DM12" s="108"/>
      <c r="DN12" s="108"/>
      <c r="DO12" s="108"/>
      <c r="DP12" s="108"/>
      <c r="DQ12" s="108"/>
      <c r="DR12" s="108"/>
      <c r="DS12" s="108"/>
      <c r="DT12" s="108"/>
      <c r="DU12" s="108"/>
      <c r="DV12" s="108"/>
      <c r="DW12" s="108"/>
      <c r="DX12" s="108"/>
      <c r="DY12" s="108"/>
      <c r="DZ12" s="108"/>
      <c r="EA12" s="108"/>
      <c r="EB12" s="108"/>
      <c r="EC12" s="108"/>
      <c r="ED12" s="108"/>
      <c r="EE12" s="108"/>
      <c r="EF12" s="108"/>
      <c r="EG12" s="108"/>
      <c r="EH12" s="108"/>
      <c r="EI12" s="108"/>
      <c r="EJ12" s="108"/>
      <c r="EK12" s="108"/>
      <c r="EL12" s="108"/>
      <c r="EM12" s="108"/>
      <c r="EN12" s="108"/>
      <c r="EO12" s="108"/>
      <c r="EP12" s="108"/>
      <c r="EQ12" s="108"/>
      <c r="ER12" s="108"/>
      <c r="ES12" s="108"/>
      <c r="ET12" s="108"/>
      <c r="EU12" s="108"/>
      <c r="EV12" s="108"/>
      <c r="EW12" s="108"/>
      <c r="EX12" s="108"/>
      <c r="EY12" s="108"/>
      <c r="EZ12" s="108"/>
      <c r="FA12" s="108"/>
      <c r="FB12" s="108"/>
      <c r="FC12" s="108"/>
      <c r="FD12" s="108"/>
      <c r="FE12" s="108"/>
      <c r="FF12" s="108"/>
      <c r="FG12" s="108"/>
      <c r="FH12" s="108"/>
      <c r="FI12" s="108"/>
      <c r="FJ12" s="108"/>
      <c r="FK12" s="108"/>
      <c r="FL12" s="108"/>
      <c r="FM12" s="108"/>
      <c r="FN12" s="108"/>
      <c r="FO12" s="108"/>
      <c r="FP12" s="108"/>
      <c r="FQ12" s="108"/>
      <c r="FR12" s="108"/>
      <c r="FS12" s="108"/>
      <c r="FT12" s="108"/>
      <c r="FU12" s="108"/>
      <c r="FV12" s="108"/>
      <c r="FW12" s="108"/>
      <c r="FX12" s="108"/>
      <c r="FY12" s="108"/>
      <c r="FZ12" s="108"/>
      <c r="GA12" s="108"/>
      <c r="GB12" s="108"/>
      <c r="GC12" s="108"/>
      <c r="GD12" s="108"/>
      <c r="GE12" s="108"/>
      <c r="GF12" s="108"/>
      <c r="GG12" s="108"/>
      <c r="GH12" s="108"/>
      <c r="GI12" s="108"/>
      <c r="GJ12" s="108"/>
      <c r="GK12" s="108"/>
      <c r="GL12" s="108"/>
      <c r="GM12" s="108"/>
      <c r="GN12" s="108"/>
      <c r="GO12" s="108"/>
      <c r="GP12" s="108"/>
      <c r="GQ12" s="108"/>
      <c r="GR12" s="108"/>
      <c r="GS12" s="108"/>
      <c r="GT12" s="108"/>
      <c r="GU12" s="108"/>
      <c r="GV12" s="108"/>
      <c r="GW12" s="108"/>
      <c r="GX12" s="108"/>
      <c r="GY12" s="108"/>
      <c r="GZ12" s="108"/>
      <c r="HA12" s="108"/>
      <c r="HB12" s="108"/>
      <c r="HC12" s="108"/>
      <c r="HD12" s="108"/>
      <c r="HE12" s="108"/>
      <c r="HF12" s="108"/>
      <c r="HG12" s="108"/>
      <c r="HH12" s="108"/>
      <c r="HI12" s="108"/>
      <c r="HJ12" s="108"/>
      <c r="HK12" s="108"/>
      <c r="HL12" s="108"/>
      <c r="HM12" s="108"/>
      <c r="HN12" s="108"/>
      <c r="HO12" s="108"/>
      <c r="HP12" s="108"/>
      <c r="HQ12" s="108"/>
      <c r="HR12" s="108"/>
      <c r="HS12" s="108"/>
      <c r="HT12" s="108"/>
      <c r="HU12" s="108"/>
      <c r="HV12" s="108"/>
      <c r="HW12" s="108"/>
      <c r="HX12" s="108"/>
      <c r="HY12" s="108"/>
      <c r="HZ12" s="108"/>
      <c r="IA12" s="108"/>
      <c r="IB12" s="108"/>
      <c r="IC12" s="108"/>
      <c r="ID12" s="108"/>
      <c r="IE12" s="108"/>
      <c r="IF12" s="108"/>
      <c r="IG12" s="108"/>
      <c r="IH12" s="108"/>
      <c r="II12" s="108"/>
      <c r="IJ12" s="108"/>
      <c r="IK12" s="108"/>
      <c r="IL12" s="108"/>
      <c r="IM12" s="108"/>
      <c r="IN12" s="108"/>
      <c r="IO12" s="108"/>
      <c r="IP12" s="108"/>
      <c r="IQ12" s="108"/>
      <c r="IR12" s="108"/>
      <c r="IS12" s="108"/>
      <c r="IT12" s="108"/>
      <c r="IU12" s="108"/>
      <c r="IV12" s="108"/>
      <c r="IW12" s="108"/>
    </row>
    <row r="13" spans="1:257" ht="15" thickBot="1" x14ac:dyDescent="0.35">
      <c r="A13" s="158"/>
      <c r="B13" s="113" t="str">
        <f>'Sensitivity analysis'!B172</f>
        <v>Motor impairment DW</v>
      </c>
      <c r="C13" s="170">
        <f>'Sensitivity analysis'!D172</f>
        <v>-241001.13417427562</v>
      </c>
      <c r="D13" s="171">
        <f>'Sensitivity analysis'!F172</f>
        <v>-240525.52240763765</v>
      </c>
      <c r="E13" s="172">
        <f t="shared" si="0"/>
        <v>475.61176663797232</v>
      </c>
      <c r="F13" s="158"/>
      <c r="G13" s="158"/>
      <c r="H13" s="158"/>
      <c r="I13" s="184" t="s">
        <v>808</v>
      </c>
      <c r="J13" s="170">
        <v>-277644.07474450354</v>
      </c>
      <c r="K13" s="175">
        <v>-213335.93196634873</v>
      </c>
      <c r="L13" s="172">
        <v>64308.142778154812</v>
      </c>
      <c r="M13" s="158"/>
      <c r="N13" s="158"/>
      <c r="O13" s="108"/>
      <c r="P13" s="108"/>
      <c r="Q13" s="108"/>
      <c r="R13" s="108"/>
      <c r="S13" s="108"/>
      <c r="T13" s="108"/>
      <c r="U13" s="108"/>
      <c r="V13" s="108"/>
      <c r="W13" s="108"/>
      <c r="X13" s="108"/>
      <c r="Y13" s="108"/>
      <c r="Z13" s="108"/>
      <c r="AA13" s="108"/>
      <c r="AB13" s="108"/>
      <c r="AC13" s="108"/>
      <c r="AD13" s="108"/>
      <c r="AE13" s="108"/>
      <c r="AF13" s="108"/>
      <c r="AG13" s="108"/>
      <c r="AH13" s="108"/>
      <c r="AI13" s="108"/>
      <c r="AJ13" s="108"/>
      <c r="AK13" s="108"/>
      <c r="AL13" s="108"/>
      <c r="AM13" s="108"/>
      <c r="AN13" s="108"/>
      <c r="AO13" s="108"/>
      <c r="AP13" s="108"/>
      <c r="AQ13" s="108"/>
      <c r="AR13" s="108"/>
      <c r="AS13" s="108"/>
      <c r="AT13" s="108"/>
      <c r="AU13" s="108"/>
      <c r="AV13" s="108"/>
      <c r="AW13" s="108"/>
      <c r="AX13" s="108"/>
      <c r="AY13" s="108"/>
      <c r="AZ13" s="108"/>
      <c r="BA13" s="108"/>
      <c r="BB13" s="108"/>
      <c r="BC13" s="108"/>
      <c r="BD13" s="108"/>
      <c r="BE13" s="108"/>
      <c r="BF13" s="108"/>
      <c r="BG13" s="108"/>
      <c r="BH13" s="108"/>
      <c r="BI13" s="108"/>
      <c r="BJ13" s="108"/>
      <c r="BK13" s="108"/>
      <c r="BL13" s="108"/>
      <c r="BM13" s="108"/>
      <c r="BN13" s="108"/>
      <c r="BO13" s="108"/>
      <c r="BP13" s="108"/>
      <c r="BQ13" s="108"/>
      <c r="BR13" s="108"/>
      <c r="BS13" s="108"/>
      <c r="BT13" s="108"/>
      <c r="BU13" s="108"/>
      <c r="BV13" s="108"/>
      <c r="BW13" s="108"/>
      <c r="BX13" s="108"/>
      <c r="BY13" s="108"/>
      <c r="BZ13" s="108"/>
      <c r="CA13" s="108"/>
      <c r="CB13" s="108"/>
      <c r="CC13" s="108"/>
      <c r="CD13" s="108"/>
      <c r="CE13" s="108"/>
      <c r="CF13" s="108"/>
      <c r="CG13" s="108"/>
      <c r="CH13" s="108"/>
      <c r="CI13" s="108"/>
      <c r="CJ13" s="108"/>
      <c r="CK13" s="108"/>
      <c r="CL13" s="108"/>
      <c r="CM13" s="108"/>
      <c r="CN13" s="108"/>
      <c r="CO13" s="108"/>
      <c r="CP13" s="108"/>
      <c r="CQ13" s="108"/>
      <c r="CR13" s="108"/>
      <c r="CS13" s="108"/>
      <c r="CT13" s="108"/>
      <c r="CU13" s="108"/>
      <c r="CV13" s="108"/>
      <c r="CW13" s="108"/>
      <c r="CX13" s="108"/>
      <c r="CY13" s="108"/>
      <c r="CZ13" s="108"/>
      <c r="DA13" s="108"/>
      <c r="DB13" s="108"/>
      <c r="DC13" s="108"/>
      <c r="DD13" s="108"/>
      <c r="DE13" s="108"/>
      <c r="DF13" s="108"/>
      <c r="DG13" s="108"/>
      <c r="DH13" s="108"/>
      <c r="DI13" s="108"/>
      <c r="DJ13" s="108"/>
      <c r="DK13" s="108"/>
      <c r="DL13" s="108"/>
      <c r="DM13" s="108"/>
      <c r="DN13" s="108"/>
      <c r="DO13" s="108"/>
      <c r="DP13" s="108"/>
      <c r="DQ13" s="108"/>
      <c r="DR13" s="108"/>
      <c r="DS13" s="108"/>
      <c r="DT13" s="108"/>
      <c r="DU13" s="108"/>
      <c r="DV13" s="108"/>
      <c r="DW13" s="108"/>
      <c r="DX13" s="108"/>
      <c r="DY13" s="108"/>
      <c r="DZ13" s="108"/>
      <c r="EA13" s="108"/>
      <c r="EB13" s="108"/>
      <c r="EC13" s="108"/>
      <c r="ED13" s="108"/>
      <c r="EE13" s="108"/>
      <c r="EF13" s="108"/>
      <c r="EG13" s="108"/>
      <c r="EH13" s="108"/>
      <c r="EI13" s="108"/>
      <c r="EJ13" s="108"/>
      <c r="EK13" s="108"/>
      <c r="EL13" s="108"/>
      <c r="EM13" s="108"/>
      <c r="EN13" s="108"/>
      <c r="EO13" s="108"/>
      <c r="EP13" s="108"/>
      <c r="EQ13" s="108"/>
      <c r="ER13" s="108"/>
      <c r="ES13" s="108"/>
      <c r="ET13" s="108"/>
      <c r="EU13" s="108"/>
      <c r="EV13" s="108"/>
      <c r="EW13" s="108"/>
      <c r="EX13" s="108"/>
      <c r="EY13" s="108"/>
      <c r="EZ13" s="108"/>
      <c r="FA13" s="108"/>
      <c r="FB13" s="108"/>
      <c r="FC13" s="108"/>
      <c r="FD13" s="108"/>
      <c r="FE13" s="108"/>
      <c r="FF13" s="108"/>
      <c r="FG13" s="108"/>
      <c r="FH13" s="108"/>
      <c r="FI13" s="108"/>
      <c r="FJ13" s="108"/>
      <c r="FK13" s="108"/>
      <c r="FL13" s="108"/>
      <c r="FM13" s="108"/>
      <c r="FN13" s="108"/>
      <c r="FO13" s="108"/>
      <c r="FP13" s="108"/>
      <c r="FQ13" s="108"/>
      <c r="FR13" s="108"/>
      <c r="FS13" s="108"/>
      <c r="FT13" s="108"/>
      <c r="FU13" s="108"/>
      <c r="FV13" s="108"/>
      <c r="FW13" s="108"/>
      <c r="FX13" s="108"/>
      <c r="FY13" s="108"/>
      <c r="FZ13" s="108"/>
      <c r="GA13" s="108"/>
      <c r="GB13" s="108"/>
      <c r="GC13" s="108"/>
      <c r="GD13" s="108"/>
      <c r="GE13" s="108"/>
      <c r="GF13" s="108"/>
      <c r="GG13" s="108"/>
      <c r="GH13" s="108"/>
      <c r="GI13" s="108"/>
      <c r="GJ13" s="108"/>
      <c r="GK13" s="108"/>
      <c r="GL13" s="108"/>
      <c r="GM13" s="108"/>
      <c r="GN13" s="108"/>
      <c r="GO13" s="108"/>
      <c r="GP13" s="108"/>
      <c r="GQ13" s="108"/>
      <c r="GR13" s="108"/>
      <c r="GS13" s="108"/>
      <c r="GT13" s="108"/>
      <c r="GU13" s="108"/>
      <c r="GV13" s="108"/>
      <c r="GW13" s="108"/>
      <c r="GX13" s="108"/>
      <c r="GY13" s="108"/>
      <c r="GZ13" s="108"/>
      <c r="HA13" s="108"/>
      <c r="HB13" s="108"/>
      <c r="HC13" s="108"/>
      <c r="HD13" s="108"/>
      <c r="HE13" s="108"/>
      <c r="HF13" s="108"/>
      <c r="HG13" s="108"/>
      <c r="HH13" s="108"/>
      <c r="HI13" s="108"/>
      <c r="HJ13" s="108"/>
      <c r="HK13" s="108"/>
      <c r="HL13" s="108"/>
      <c r="HM13" s="108"/>
      <c r="HN13" s="108"/>
      <c r="HO13" s="108"/>
      <c r="HP13" s="108"/>
      <c r="HQ13" s="108"/>
      <c r="HR13" s="108"/>
      <c r="HS13" s="108"/>
      <c r="HT13" s="108"/>
      <c r="HU13" s="108"/>
      <c r="HV13" s="108"/>
      <c r="HW13" s="108"/>
      <c r="HX13" s="108"/>
      <c r="HY13" s="108"/>
      <c r="HZ13" s="108"/>
      <c r="IA13" s="108"/>
      <c r="IB13" s="108"/>
      <c r="IC13" s="108"/>
      <c r="ID13" s="108"/>
      <c r="IE13" s="108"/>
      <c r="IF13" s="108"/>
      <c r="IG13" s="108"/>
      <c r="IH13" s="108"/>
      <c r="II13" s="108"/>
      <c r="IJ13" s="108"/>
      <c r="IK13" s="108"/>
      <c r="IL13" s="108"/>
      <c r="IM13" s="108"/>
      <c r="IN13" s="108"/>
      <c r="IO13" s="108"/>
      <c r="IP13" s="108"/>
      <c r="IQ13" s="108"/>
      <c r="IR13" s="108"/>
      <c r="IS13" s="108"/>
      <c r="IT13" s="108"/>
      <c r="IU13" s="108"/>
      <c r="IV13" s="108"/>
      <c r="IW13" s="108"/>
    </row>
    <row r="14" spans="1:257" ht="15" thickBot="1" x14ac:dyDescent="0.35">
      <c r="A14" s="158"/>
      <c r="B14" s="113" t="str">
        <f>'Sensitivity analysis'!B173</f>
        <v>Antenatal care</v>
      </c>
      <c r="C14" s="170">
        <f>'Sensitivity analysis'!D173</f>
        <v>-252739.02798609648</v>
      </c>
      <c r="D14" s="171">
        <f>'Sensitivity analysis'!F173</f>
        <v>-228121.08194292747</v>
      </c>
      <c r="E14" s="172">
        <f t="shared" si="0"/>
        <v>24617.946043169009</v>
      </c>
      <c r="F14" s="158"/>
      <c r="G14" s="158"/>
      <c r="H14" s="158"/>
      <c r="I14" s="184" t="s">
        <v>791</v>
      </c>
      <c r="J14" s="170">
        <v>-273434.38044743403</v>
      </c>
      <c r="K14" s="175">
        <v>-219669.06740325264</v>
      </c>
      <c r="L14" s="172">
        <v>53765.313044181385</v>
      </c>
      <c r="M14" s="158"/>
      <c r="N14" s="158"/>
      <c r="O14" s="108"/>
      <c r="P14" s="108"/>
      <c r="Q14" s="108"/>
      <c r="R14" s="108"/>
      <c r="S14" s="108"/>
      <c r="T14" s="108"/>
      <c r="U14" s="108"/>
      <c r="V14" s="108"/>
      <c r="W14" s="108"/>
      <c r="X14" s="108"/>
      <c r="Y14" s="108"/>
      <c r="Z14" s="108"/>
      <c r="AA14" s="108"/>
      <c r="AB14" s="108"/>
      <c r="AC14" s="108"/>
      <c r="AD14" s="108"/>
      <c r="AE14" s="108"/>
      <c r="AF14" s="108"/>
      <c r="AG14" s="108"/>
      <c r="AH14" s="108"/>
      <c r="AI14" s="108"/>
      <c r="AJ14" s="108"/>
      <c r="AK14" s="108"/>
      <c r="AL14" s="108"/>
      <c r="AM14" s="108"/>
      <c r="AN14" s="108"/>
      <c r="AO14" s="108"/>
      <c r="AP14" s="108"/>
      <c r="AQ14" s="108"/>
      <c r="AR14" s="108"/>
      <c r="AS14" s="108"/>
      <c r="AT14" s="108"/>
      <c r="AU14" s="108"/>
      <c r="AV14" s="108"/>
      <c r="AW14" s="108"/>
      <c r="AX14" s="108"/>
      <c r="AY14" s="108"/>
      <c r="AZ14" s="108"/>
      <c r="BA14" s="108"/>
      <c r="BB14" s="108"/>
      <c r="BC14" s="108"/>
      <c r="BD14" s="108"/>
      <c r="BE14" s="108"/>
      <c r="BF14" s="108"/>
      <c r="BG14" s="108"/>
      <c r="BH14" s="108"/>
      <c r="BI14" s="108"/>
      <c r="BJ14" s="108"/>
      <c r="BK14" s="108"/>
      <c r="BL14" s="108"/>
      <c r="BM14" s="108"/>
      <c r="BN14" s="108"/>
      <c r="BO14" s="108"/>
      <c r="BP14" s="108"/>
      <c r="BQ14" s="108"/>
      <c r="BR14" s="108"/>
      <c r="BS14" s="108"/>
      <c r="BT14" s="108"/>
      <c r="BU14" s="108"/>
      <c r="BV14" s="108"/>
      <c r="BW14" s="108"/>
      <c r="BX14" s="108"/>
      <c r="BY14" s="108"/>
      <c r="BZ14" s="108"/>
      <c r="CA14" s="108"/>
      <c r="CB14" s="108"/>
      <c r="CC14" s="108"/>
      <c r="CD14" s="108"/>
      <c r="CE14" s="108"/>
      <c r="CF14" s="108"/>
      <c r="CG14" s="108"/>
      <c r="CH14" s="108"/>
      <c r="CI14" s="108"/>
      <c r="CJ14" s="108"/>
      <c r="CK14" s="108"/>
      <c r="CL14" s="108"/>
      <c r="CM14" s="108"/>
      <c r="CN14" s="108"/>
      <c r="CO14" s="108"/>
      <c r="CP14" s="108"/>
      <c r="CQ14" s="108"/>
      <c r="CR14" s="108"/>
      <c r="CS14" s="108"/>
      <c r="CT14" s="108"/>
      <c r="CU14" s="108"/>
      <c r="CV14" s="108"/>
      <c r="CW14" s="108"/>
      <c r="CX14" s="108"/>
      <c r="CY14" s="108"/>
      <c r="CZ14" s="108"/>
      <c r="DA14" s="108"/>
      <c r="DB14" s="108"/>
      <c r="DC14" s="108"/>
      <c r="DD14" s="108"/>
      <c r="DE14" s="108"/>
      <c r="DF14" s="108"/>
      <c r="DG14" s="108"/>
      <c r="DH14" s="108"/>
      <c r="DI14" s="108"/>
      <c r="DJ14" s="108"/>
      <c r="DK14" s="108"/>
      <c r="DL14" s="108"/>
      <c r="DM14" s="108"/>
      <c r="DN14" s="108"/>
      <c r="DO14" s="108"/>
      <c r="DP14" s="108"/>
      <c r="DQ14" s="108"/>
      <c r="DR14" s="108"/>
      <c r="DS14" s="108"/>
      <c r="DT14" s="108"/>
      <c r="DU14" s="108"/>
      <c r="DV14" s="108"/>
      <c r="DW14" s="108"/>
      <c r="DX14" s="108"/>
      <c r="DY14" s="108"/>
      <c r="DZ14" s="108"/>
      <c r="EA14" s="108"/>
      <c r="EB14" s="108"/>
      <c r="EC14" s="108"/>
      <c r="ED14" s="108"/>
      <c r="EE14" s="108"/>
      <c r="EF14" s="108"/>
      <c r="EG14" s="108"/>
      <c r="EH14" s="108"/>
      <c r="EI14" s="108"/>
      <c r="EJ14" s="108"/>
      <c r="EK14" s="108"/>
      <c r="EL14" s="108"/>
      <c r="EM14" s="108"/>
      <c r="EN14" s="108"/>
      <c r="EO14" s="108"/>
      <c r="EP14" s="108"/>
      <c r="EQ14" s="108"/>
      <c r="ER14" s="108"/>
      <c r="ES14" s="108"/>
      <c r="ET14" s="108"/>
      <c r="EU14" s="108"/>
      <c r="EV14" s="108"/>
      <c r="EW14" s="108"/>
      <c r="EX14" s="108"/>
      <c r="EY14" s="108"/>
      <c r="EZ14" s="108"/>
      <c r="FA14" s="108"/>
      <c r="FB14" s="108"/>
      <c r="FC14" s="108"/>
      <c r="FD14" s="108"/>
      <c r="FE14" s="108"/>
      <c r="FF14" s="108"/>
      <c r="FG14" s="108"/>
      <c r="FH14" s="108"/>
      <c r="FI14" s="108"/>
      <c r="FJ14" s="108"/>
      <c r="FK14" s="108"/>
      <c r="FL14" s="108"/>
      <c r="FM14" s="108"/>
      <c r="FN14" s="108"/>
      <c r="FO14" s="108"/>
      <c r="FP14" s="108"/>
      <c r="FQ14" s="108"/>
      <c r="FR14" s="108"/>
      <c r="FS14" s="108"/>
      <c r="FT14" s="108"/>
      <c r="FU14" s="108"/>
      <c r="FV14" s="108"/>
      <c r="FW14" s="108"/>
      <c r="FX14" s="108"/>
      <c r="FY14" s="108"/>
      <c r="FZ14" s="108"/>
      <c r="GA14" s="108"/>
      <c r="GB14" s="108"/>
      <c r="GC14" s="108"/>
      <c r="GD14" s="108"/>
      <c r="GE14" s="108"/>
      <c r="GF14" s="108"/>
      <c r="GG14" s="108"/>
      <c r="GH14" s="108"/>
      <c r="GI14" s="108"/>
      <c r="GJ14" s="108"/>
      <c r="GK14" s="108"/>
      <c r="GL14" s="108"/>
      <c r="GM14" s="108"/>
      <c r="GN14" s="108"/>
      <c r="GO14" s="108"/>
      <c r="GP14" s="108"/>
      <c r="GQ14" s="108"/>
      <c r="GR14" s="108"/>
      <c r="GS14" s="108"/>
      <c r="GT14" s="108"/>
      <c r="GU14" s="108"/>
      <c r="GV14" s="108"/>
      <c r="GW14" s="108"/>
      <c r="GX14" s="108"/>
      <c r="GY14" s="108"/>
      <c r="GZ14" s="108"/>
      <c r="HA14" s="108"/>
      <c r="HB14" s="108"/>
      <c r="HC14" s="108"/>
      <c r="HD14" s="108"/>
      <c r="HE14" s="108"/>
      <c r="HF14" s="108"/>
      <c r="HG14" s="108"/>
      <c r="HH14" s="108"/>
      <c r="HI14" s="108"/>
      <c r="HJ14" s="108"/>
      <c r="HK14" s="108"/>
      <c r="HL14" s="108"/>
      <c r="HM14" s="108"/>
      <c r="HN14" s="108"/>
      <c r="HO14" s="108"/>
      <c r="HP14" s="108"/>
      <c r="HQ14" s="108"/>
      <c r="HR14" s="108"/>
      <c r="HS14" s="108"/>
      <c r="HT14" s="108"/>
      <c r="HU14" s="108"/>
      <c r="HV14" s="108"/>
      <c r="HW14" s="108"/>
      <c r="HX14" s="108"/>
      <c r="HY14" s="108"/>
      <c r="HZ14" s="108"/>
      <c r="IA14" s="108"/>
      <c r="IB14" s="108"/>
      <c r="IC14" s="108"/>
      <c r="ID14" s="108"/>
      <c r="IE14" s="108"/>
      <c r="IF14" s="108"/>
      <c r="IG14" s="108"/>
      <c r="IH14" s="108"/>
      <c r="II14" s="108"/>
      <c r="IJ14" s="108"/>
      <c r="IK14" s="108"/>
      <c r="IL14" s="108"/>
      <c r="IM14" s="108"/>
      <c r="IN14" s="108"/>
      <c r="IO14" s="108"/>
      <c r="IP14" s="108"/>
      <c r="IQ14" s="108"/>
      <c r="IR14" s="108"/>
      <c r="IS14" s="108"/>
      <c r="IT14" s="108"/>
      <c r="IU14" s="108"/>
      <c r="IV14" s="108"/>
      <c r="IW14" s="108"/>
    </row>
    <row r="15" spans="1:257" ht="15" thickBot="1" x14ac:dyDescent="0.35">
      <c r="A15" s="158"/>
      <c r="B15" s="113" t="str">
        <f>'Sensitivity analysis'!B174</f>
        <v>Live birth with antenatal care</v>
      </c>
      <c r="C15" s="170">
        <f>'Sensitivity analysis'!D174</f>
        <v>-299722.23099884705</v>
      </c>
      <c r="D15" s="171">
        <f>'Sensitivity analysis'!F174</f>
        <v>-204100.95405053452</v>
      </c>
      <c r="E15" s="172">
        <f t="shared" si="0"/>
        <v>95621.27694831253</v>
      </c>
      <c r="F15" s="158"/>
      <c r="G15" s="158"/>
      <c r="H15" s="158"/>
      <c r="I15" s="176" t="s">
        <v>797</v>
      </c>
      <c r="J15" s="170">
        <v>-268914.58610774338</v>
      </c>
      <c r="K15" s="171">
        <v>-217973.11759919606</v>
      </c>
      <c r="L15" s="172">
        <v>50941.468508547317</v>
      </c>
      <c r="M15" s="158"/>
      <c r="N15" s="158"/>
      <c r="O15" s="108"/>
      <c r="P15" s="108"/>
      <c r="Q15" s="108"/>
      <c r="R15" s="108"/>
      <c r="S15" s="108"/>
      <c r="T15" s="108"/>
      <c r="U15" s="108"/>
      <c r="V15" s="108"/>
      <c r="W15" s="108"/>
      <c r="X15" s="108"/>
      <c r="Y15" s="108"/>
      <c r="Z15" s="108"/>
      <c r="AA15" s="108"/>
      <c r="AB15" s="108"/>
      <c r="AC15" s="108"/>
      <c r="AD15" s="108"/>
      <c r="AE15" s="108"/>
      <c r="AF15" s="108"/>
      <c r="AG15" s="108"/>
      <c r="AH15" s="108"/>
      <c r="AI15" s="108"/>
      <c r="AJ15" s="108"/>
      <c r="AK15" s="108"/>
      <c r="AL15" s="108"/>
      <c r="AM15" s="108"/>
      <c r="AN15" s="108"/>
      <c r="AO15" s="108"/>
      <c r="AP15" s="108"/>
      <c r="AQ15" s="108"/>
      <c r="AR15" s="108"/>
      <c r="AS15" s="108"/>
      <c r="AT15" s="108"/>
      <c r="AU15" s="108"/>
      <c r="AV15" s="108"/>
      <c r="AW15" s="108"/>
      <c r="AX15" s="108"/>
      <c r="AY15" s="108"/>
      <c r="AZ15" s="108"/>
      <c r="BA15" s="108"/>
      <c r="BB15" s="108"/>
      <c r="BC15" s="108"/>
      <c r="BD15" s="108"/>
      <c r="BE15" s="108"/>
      <c r="BF15" s="108"/>
      <c r="BG15" s="108"/>
      <c r="BH15" s="108"/>
      <c r="BI15" s="108"/>
      <c r="BJ15" s="108"/>
      <c r="BK15" s="108"/>
      <c r="BL15" s="108"/>
      <c r="BM15" s="108"/>
      <c r="BN15" s="108"/>
      <c r="BO15" s="108"/>
      <c r="BP15" s="108"/>
      <c r="BQ15" s="108"/>
      <c r="BR15" s="108"/>
      <c r="BS15" s="108"/>
      <c r="BT15" s="108"/>
      <c r="BU15" s="108"/>
      <c r="BV15" s="108"/>
      <c r="BW15" s="108"/>
      <c r="BX15" s="108"/>
      <c r="BY15" s="108"/>
      <c r="BZ15" s="108"/>
      <c r="CA15" s="108"/>
      <c r="CB15" s="108"/>
      <c r="CC15" s="108"/>
      <c r="CD15" s="108"/>
      <c r="CE15" s="108"/>
      <c r="CF15" s="108"/>
      <c r="CG15" s="108"/>
      <c r="CH15" s="108"/>
      <c r="CI15" s="108"/>
      <c r="CJ15" s="108"/>
      <c r="CK15" s="108"/>
      <c r="CL15" s="108"/>
      <c r="CM15" s="108"/>
      <c r="CN15" s="108"/>
      <c r="CO15" s="108"/>
      <c r="CP15" s="108"/>
      <c r="CQ15" s="108"/>
      <c r="CR15" s="108"/>
      <c r="CS15" s="108"/>
      <c r="CT15" s="108"/>
      <c r="CU15" s="108"/>
      <c r="CV15" s="108"/>
      <c r="CW15" s="108"/>
      <c r="CX15" s="108"/>
      <c r="CY15" s="108"/>
      <c r="CZ15" s="108"/>
      <c r="DA15" s="108"/>
      <c r="DB15" s="108"/>
      <c r="DC15" s="108"/>
      <c r="DD15" s="108"/>
      <c r="DE15" s="108"/>
      <c r="DF15" s="108"/>
      <c r="DG15" s="108"/>
      <c r="DH15" s="108"/>
      <c r="DI15" s="108"/>
      <c r="DJ15" s="108"/>
      <c r="DK15" s="108"/>
      <c r="DL15" s="108"/>
      <c r="DM15" s="108"/>
      <c r="DN15" s="108"/>
      <c r="DO15" s="108"/>
      <c r="DP15" s="108"/>
      <c r="DQ15" s="108"/>
      <c r="DR15" s="108"/>
      <c r="DS15" s="108"/>
      <c r="DT15" s="108"/>
      <c r="DU15" s="108"/>
      <c r="DV15" s="108"/>
      <c r="DW15" s="108"/>
      <c r="DX15" s="108"/>
      <c r="DY15" s="108"/>
      <c r="DZ15" s="108"/>
      <c r="EA15" s="108"/>
      <c r="EB15" s="108"/>
      <c r="EC15" s="108"/>
      <c r="ED15" s="108"/>
      <c r="EE15" s="108"/>
      <c r="EF15" s="108"/>
      <c r="EG15" s="108"/>
      <c r="EH15" s="108"/>
      <c r="EI15" s="108"/>
      <c r="EJ15" s="108"/>
      <c r="EK15" s="108"/>
      <c r="EL15" s="108"/>
      <c r="EM15" s="108"/>
      <c r="EN15" s="108"/>
      <c r="EO15" s="108"/>
      <c r="EP15" s="108"/>
      <c r="EQ15" s="108"/>
      <c r="ER15" s="108"/>
      <c r="ES15" s="108"/>
      <c r="ET15" s="108"/>
      <c r="EU15" s="108"/>
      <c r="EV15" s="108"/>
      <c r="EW15" s="108"/>
      <c r="EX15" s="108"/>
      <c r="EY15" s="108"/>
      <c r="EZ15" s="108"/>
      <c r="FA15" s="108"/>
      <c r="FB15" s="108"/>
      <c r="FC15" s="108"/>
      <c r="FD15" s="108"/>
      <c r="FE15" s="108"/>
      <c r="FF15" s="108"/>
      <c r="FG15" s="108"/>
      <c r="FH15" s="108"/>
      <c r="FI15" s="108"/>
      <c r="FJ15" s="108"/>
      <c r="FK15" s="108"/>
      <c r="FL15" s="108"/>
      <c r="FM15" s="108"/>
      <c r="FN15" s="108"/>
      <c r="FO15" s="108"/>
      <c r="FP15" s="108"/>
      <c r="FQ15" s="108"/>
      <c r="FR15" s="108"/>
      <c r="FS15" s="108"/>
      <c r="FT15" s="108"/>
      <c r="FU15" s="108"/>
      <c r="FV15" s="108"/>
      <c r="FW15" s="108"/>
      <c r="FX15" s="108"/>
      <c r="FY15" s="108"/>
      <c r="FZ15" s="108"/>
      <c r="GA15" s="108"/>
      <c r="GB15" s="108"/>
      <c r="GC15" s="108"/>
      <c r="GD15" s="108"/>
      <c r="GE15" s="108"/>
      <c r="GF15" s="108"/>
      <c r="GG15" s="108"/>
      <c r="GH15" s="108"/>
      <c r="GI15" s="108"/>
      <c r="GJ15" s="108"/>
      <c r="GK15" s="108"/>
      <c r="GL15" s="108"/>
      <c r="GM15" s="108"/>
      <c r="GN15" s="108"/>
      <c r="GO15" s="108"/>
      <c r="GP15" s="108"/>
      <c r="GQ15" s="108"/>
      <c r="GR15" s="108"/>
      <c r="GS15" s="108"/>
      <c r="GT15" s="108"/>
      <c r="GU15" s="108"/>
      <c r="GV15" s="108"/>
      <c r="GW15" s="108"/>
      <c r="GX15" s="108"/>
      <c r="GY15" s="108"/>
      <c r="GZ15" s="108"/>
      <c r="HA15" s="108"/>
      <c r="HB15" s="108"/>
      <c r="HC15" s="108"/>
      <c r="HD15" s="108"/>
      <c r="HE15" s="108"/>
      <c r="HF15" s="108"/>
      <c r="HG15" s="108"/>
      <c r="HH15" s="108"/>
      <c r="HI15" s="108"/>
      <c r="HJ15" s="108"/>
      <c r="HK15" s="108"/>
      <c r="HL15" s="108"/>
      <c r="HM15" s="108"/>
      <c r="HN15" s="108"/>
      <c r="HO15" s="108"/>
      <c r="HP15" s="108"/>
      <c r="HQ15" s="108"/>
      <c r="HR15" s="108"/>
      <c r="HS15" s="108"/>
      <c r="HT15" s="108"/>
      <c r="HU15" s="108"/>
      <c r="HV15" s="108"/>
      <c r="HW15" s="108"/>
      <c r="HX15" s="108"/>
      <c r="HY15" s="108"/>
      <c r="HZ15" s="108"/>
      <c r="IA15" s="108"/>
      <c r="IB15" s="108"/>
      <c r="IC15" s="108"/>
      <c r="ID15" s="108"/>
      <c r="IE15" s="108"/>
      <c r="IF15" s="108"/>
      <c r="IG15" s="108"/>
      <c r="IH15" s="108"/>
      <c r="II15" s="108"/>
      <c r="IJ15" s="108"/>
      <c r="IK15" s="108"/>
      <c r="IL15" s="108"/>
      <c r="IM15" s="108"/>
      <c r="IN15" s="108"/>
      <c r="IO15" s="108"/>
      <c r="IP15" s="108"/>
      <c r="IQ15" s="108"/>
      <c r="IR15" s="108"/>
      <c r="IS15" s="108"/>
      <c r="IT15" s="108"/>
      <c r="IU15" s="108"/>
      <c r="IV15" s="108"/>
      <c r="IW15" s="108"/>
    </row>
    <row r="16" spans="1:257" ht="15" thickBot="1" x14ac:dyDescent="0.35">
      <c r="A16" s="158"/>
      <c r="B16" s="113" t="str">
        <f>'Sensitivity analysis'!B175</f>
        <v>Live birth among unbooked</v>
      </c>
      <c r="C16" s="170">
        <f>'Sensitivity analysis'!D175</f>
        <v>-243363.82954335347</v>
      </c>
      <c r="D16" s="171">
        <f>'Sensitivity analysis'!F175</f>
        <v>-238499.31332450197</v>
      </c>
      <c r="E16" s="172">
        <f t="shared" si="0"/>
        <v>4864.5162188514951</v>
      </c>
      <c r="F16" s="158"/>
      <c r="G16" s="158"/>
      <c r="H16" s="158"/>
      <c r="I16" s="176" t="s">
        <v>792</v>
      </c>
      <c r="J16" s="170">
        <v>-212292.18812313635</v>
      </c>
      <c r="K16" s="171">
        <v>-262851.16131760809</v>
      </c>
      <c r="L16" s="172">
        <v>50558.973194471735</v>
      </c>
      <c r="M16" s="158"/>
      <c r="N16" s="158"/>
      <c r="O16" s="108"/>
      <c r="P16" s="108"/>
      <c r="Q16" s="108"/>
      <c r="R16" s="108"/>
      <c r="S16" s="108"/>
      <c r="T16" s="108"/>
      <c r="U16" s="108"/>
      <c r="V16" s="108"/>
      <c r="W16" s="108"/>
      <c r="X16" s="108"/>
      <c r="Y16" s="108"/>
      <c r="Z16" s="108"/>
      <c r="AA16" s="108"/>
      <c r="AB16" s="108"/>
      <c r="AC16" s="108"/>
      <c r="AD16" s="108"/>
      <c r="AE16" s="108"/>
      <c r="AF16" s="108"/>
      <c r="AG16" s="108"/>
      <c r="AH16" s="108"/>
      <c r="AI16" s="108"/>
      <c r="AJ16" s="108"/>
      <c r="AK16" s="108"/>
      <c r="AL16" s="108"/>
      <c r="AM16" s="108"/>
      <c r="AN16" s="108"/>
      <c r="AO16" s="108"/>
      <c r="AP16" s="108"/>
      <c r="AQ16" s="108"/>
      <c r="AR16" s="108"/>
      <c r="AS16" s="108"/>
      <c r="AT16" s="108"/>
      <c r="AU16" s="108"/>
      <c r="AV16" s="108"/>
      <c r="AW16" s="108"/>
      <c r="AX16" s="108"/>
      <c r="AY16" s="108"/>
      <c r="AZ16" s="108"/>
      <c r="BA16" s="108"/>
      <c r="BB16" s="108"/>
      <c r="BC16" s="108"/>
      <c r="BD16" s="108"/>
      <c r="BE16" s="108"/>
      <c r="BF16" s="108"/>
      <c r="BG16" s="108"/>
      <c r="BH16" s="108"/>
      <c r="BI16" s="108"/>
      <c r="BJ16" s="108"/>
      <c r="BK16" s="108"/>
      <c r="BL16" s="108"/>
      <c r="BM16" s="108"/>
      <c r="BN16" s="108"/>
      <c r="BO16" s="108"/>
      <c r="BP16" s="108"/>
      <c r="BQ16" s="108"/>
      <c r="BR16" s="108"/>
      <c r="BS16" s="108"/>
      <c r="BT16" s="108"/>
      <c r="BU16" s="108"/>
      <c r="BV16" s="108"/>
      <c r="BW16" s="108"/>
      <c r="BX16" s="108"/>
      <c r="BY16" s="108"/>
      <c r="BZ16" s="108"/>
      <c r="CA16" s="108"/>
      <c r="CB16" s="108"/>
      <c r="CC16" s="108"/>
      <c r="CD16" s="108"/>
      <c r="CE16" s="108"/>
      <c r="CF16" s="108"/>
      <c r="CG16" s="108"/>
      <c r="CH16" s="108"/>
      <c r="CI16" s="108"/>
      <c r="CJ16" s="108"/>
      <c r="CK16" s="108"/>
      <c r="CL16" s="108"/>
      <c r="CM16" s="108"/>
      <c r="CN16" s="108"/>
      <c r="CO16" s="108"/>
      <c r="CP16" s="108"/>
      <c r="CQ16" s="108"/>
      <c r="CR16" s="108"/>
      <c r="CS16" s="108"/>
      <c r="CT16" s="108"/>
      <c r="CU16" s="108"/>
      <c r="CV16" s="108"/>
      <c r="CW16" s="108"/>
      <c r="CX16" s="108"/>
      <c r="CY16" s="108"/>
      <c r="CZ16" s="108"/>
      <c r="DA16" s="108"/>
      <c r="DB16" s="108"/>
      <c r="DC16" s="108"/>
      <c r="DD16" s="108"/>
      <c r="DE16" s="108"/>
      <c r="DF16" s="108"/>
      <c r="DG16" s="108"/>
      <c r="DH16" s="108"/>
      <c r="DI16" s="108"/>
      <c r="DJ16" s="108"/>
      <c r="DK16" s="108"/>
      <c r="DL16" s="108"/>
      <c r="DM16" s="108"/>
      <c r="DN16" s="108"/>
      <c r="DO16" s="108"/>
      <c r="DP16" s="108"/>
      <c r="DQ16" s="108"/>
      <c r="DR16" s="108"/>
      <c r="DS16" s="108"/>
      <c r="DT16" s="108"/>
      <c r="DU16" s="108"/>
      <c r="DV16" s="108"/>
      <c r="DW16" s="108"/>
      <c r="DX16" s="108"/>
      <c r="DY16" s="108"/>
      <c r="DZ16" s="108"/>
      <c r="EA16" s="108"/>
      <c r="EB16" s="108"/>
      <c r="EC16" s="108"/>
      <c r="ED16" s="108"/>
      <c r="EE16" s="108"/>
      <c r="EF16" s="108"/>
      <c r="EG16" s="108"/>
      <c r="EH16" s="108"/>
      <c r="EI16" s="108"/>
      <c r="EJ16" s="108"/>
      <c r="EK16" s="108"/>
      <c r="EL16" s="108"/>
      <c r="EM16" s="108"/>
      <c r="EN16" s="108"/>
      <c r="EO16" s="108"/>
      <c r="EP16" s="108"/>
      <c r="EQ16" s="108"/>
      <c r="ER16" s="108"/>
      <c r="ES16" s="108"/>
      <c r="ET16" s="108"/>
      <c r="EU16" s="108"/>
      <c r="EV16" s="108"/>
      <c r="EW16" s="108"/>
      <c r="EX16" s="108"/>
      <c r="EY16" s="108"/>
      <c r="EZ16" s="108"/>
      <c r="FA16" s="108"/>
      <c r="FB16" s="108"/>
      <c r="FC16" s="108"/>
      <c r="FD16" s="108"/>
      <c r="FE16" s="108"/>
      <c r="FF16" s="108"/>
      <c r="FG16" s="108"/>
      <c r="FH16" s="108"/>
      <c r="FI16" s="108"/>
      <c r="FJ16" s="108"/>
      <c r="FK16" s="108"/>
      <c r="FL16" s="108"/>
      <c r="FM16" s="108"/>
      <c r="FN16" s="108"/>
      <c r="FO16" s="108"/>
      <c r="FP16" s="108"/>
      <c r="FQ16" s="108"/>
      <c r="FR16" s="108"/>
      <c r="FS16" s="108"/>
      <c r="FT16" s="108"/>
      <c r="FU16" s="108"/>
      <c r="FV16" s="108"/>
      <c r="FW16" s="108"/>
      <c r="FX16" s="108"/>
      <c r="FY16" s="108"/>
      <c r="FZ16" s="108"/>
      <c r="GA16" s="108"/>
      <c r="GB16" s="108"/>
      <c r="GC16" s="108"/>
      <c r="GD16" s="108"/>
      <c r="GE16" s="108"/>
      <c r="GF16" s="108"/>
      <c r="GG16" s="108"/>
      <c r="GH16" s="108"/>
      <c r="GI16" s="108"/>
      <c r="GJ16" s="108"/>
      <c r="GK16" s="108"/>
      <c r="GL16" s="108"/>
      <c r="GM16" s="108"/>
      <c r="GN16" s="108"/>
      <c r="GO16" s="108"/>
      <c r="GP16" s="108"/>
      <c r="GQ16" s="108"/>
      <c r="GR16" s="108"/>
      <c r="GS16" s="108"/>
      <c r="GT16" s="108"/>
      <c r="GU16" s="108"/>
      <c r="GV16" s="108"/>
      <c r="GW16" s="108"/>
      <c r="GX16" s="108"/>
      <c r="GY16" s="108"/>
      <c r="GZ16" s="108"/>
      <c r="HA16" s="108"/>
      <c r="HB16" s="108"/>
      <c r="HC16" s="108"/>
      <c r="HD16" s="108"/>
      <c r="HE16" s="108"/>
      <c r="HF16" s="108"/>
      <c r="HG16" s="108"/>
      <c r="HH16" s="108"/>
      <c r="HI16" s="108"/>
      <c r="HJ16" s="108"/>
      <c r="HK16" s="108"/>
      <c r="HL16" s="108"/>
      <c r="HM16" s="108"/>
      <c r="HN16" s="108"/>
      <c r="HO16" s="108"/>
      <c r="HP16" s="108"/>
      <c r="HQ16" s="108"/>
      <c r="HR16" s="108"/>
      <c r="HS16" s="108"/>
      <c r="HT16" s="108"/>
      <c r="HU16" s="108"/>
      <c r="HV16" s="108"/>
      <c r="HW16" s="108"/>
      <c r="HX16" s="108"/>
      <c r="HY16" s="108"/>
      <c r="HZ16" s="108"/>
      <c r="IA16" s="108"/>
      <c r="IB16" s="108"/>
      <c r="IC16" s="108"/>
      <c r="ID16" s="108"/>
      <c r="IE16" s="108"/>
      <c r="IF16" s="108"/>
      <c r="IG16" s="108"/>
      <c r="IH16" s="108"/>
      <c r="II16" s="108"/>
      <c r="IJ16" s="108"/>
      <c r="IK16" s="108"/>
      <c r="IL16" s="108"/>
      <c r="IM16" s="108"/>
      <c r="IN16" s="108"/>
      <c r="IO16" s="108"/>
      <c r="IP16" s="108"/>
      <c r="IQ16" s="108"/>
      <c r="IR16" s="108"/>
      <c r="IS16" s="108"/>
      <c r="IT16" s="108"/>
      <c r="IU16" s="108"/>
      <c r="IV16" s="108"/>
      <c r="IW16" s="108"/>
    </row>
    <row r="17" spans="1:257" ht="15" thickBot="1" x14ac:dyDescent="0.35">
      <c r="A17" s="158"/>
      <c r="B17" s="113" t="str">
        <f>'Sensitivity analysis'!B176</f>
        <v>Term birth with antenatal care</v>
      </c>
      <c r="C17" s="170">
        <f>'Sensitivity analysis'!D176</f>
        <v>-954323.32032763807</v>
      </c>
      <c r="D17" s="171">
        <f>'Sensitivity analysis'!F176</f>
        <v>-192319.5145706528</v>
      </c>
      <c r="E17" s="172">
        <f t="shared" si="0"/>
        <v>762003.80575698521</v>
      </c>
      <c r="F17" s="158"/>
      <c r="G17" s="158"/>
      <c r="H17" s="158"/>
      <c r="I17" s="176" t="s">
        <v>794</v>
      </c>
      <c r="J17" s="170">
        <v>-268571.58363006753</v>
      </c>
      <c r="K17" s="171">
        <v>-218187.57571999758</v>
      </c>
      <c r="L17" s="172">
        <v>50384.007910069951</v>
      </c>
      <c r="M17" s="158"/>
      <c r="N17" s="158"/>
      <c r="O17" s="108"/>
      <c r="P17" s="108"/>
      <c r="Q17" s="108"/>
      <c r="R17" s="108"/>
      <c r="S17" s="108"/>
      <c r="T17" s="108"/>
      <c r="U17" s="108"/>
      <c r="V17" s="108"/>
      <c r="W17" s="108"/>
      <c r="X17" s="108"/>
      <c r="Y17" s="108"/>
      <c r="Z17" s="108"/>
      <c r="AA17" s="108"/>
      <c r="AB17" s="108"/>
      <c r="AC17" s="108"/>
      <c r="AD17" s="108"/>
      <c r="AE17" s="108"/>
      <c r="AF17" s="108"/>
      <c r="AG17" s="108"/>
      <c r="AH17" s="108"/>
      <c r="AI17" s="108"/>
      <c r="AJ17" s="108"/>
      <c r="AK17" s="108"/>
      <c r="AL17" s="108"/>
      <c r="AM17" s="108"/>
      <c r="AN17" s="108"/>
      <c r="AO17" s="108"/>
      <c r="AP17" s="108"/>
      <c r="AQ17" s="108"/>
      <c r="AR17" s="108"/>
      <c r="AS17" s="108"/>
      <c r="AT17" s="108"/>
      <c r="AU17" s="108"/>
      <c r="AV17" s="108"/>
      <c r="AW17" s="108"/>
      <c r="AX17" s="108"/>
      <c r="AY17" s="108"/>
      <c r="AZ17" s="108"/>
      <c r="BA17" s="108"/>
      <c r="BB17" s="108"/>
      <c r="BC17" s="108"/>
      <c r="BD17" s="108"/>
      <c r="BE17" s="108"/>
      <c r="BF17" s="108"/>
      <c r="BG17" s="108"/>
      <c r="BH17" s="108"/>
      <c r="BI17" s="108"/>
      <c r="BJ17" s="108"/>
      <c r="BK17" s="108"/>
      <c r="BL17" s="108"/>
      <c r="BM17" s="108"/>
      <c r="BN17" s="108"/>
      <c r="BO17" s="108"/>
      <c r="BP17" s="108"/>
      <c r="BQ17" s="108"/>
      <c r="BR17" s="108"/>
      <c r="BS17" s="108"/>
      <c r="BT17" s="108"/>
      <c r="BU17" s="108"/>
      <c r="BV17" s="108"/>
      <c r="BW17" s="108"/>
      <c r="BX17" s="108"/>
      <c r="BY17" s="108"/>
      <c r="BZ17" s="108"/>
      <c r="CA17" s="108"/>
      <c r="CB17" s="108"/>
      <c r="CC17" s="108"/>
      <c r="CD17" s="108"/>
      <c r="CE17" s="108"/>
      <c r="CF17" s="108"/>
      <c r="CG17" s="108"/>
      <c r="CH17" s="108"/>
      <c r="CI17" s="108"/>
      <c r="CJ17" s="108"/>
      <c r="CK17" s="108"/>
      <c r="CL17" s="108"/>
      <c r="CM17" s="108"/>
      <c r="CN17" s="108"/>
      <c r="CO17" s="108"/>
      <c r="CP17" s="108"/>
      <c r="CQ17" s="108"/>
      <c r="CR17" s="108"/>
      <c r="CS17" s="108"/>
      <c r="CT17" s="108"/>
      <c r="CU17" s="108"/>
      <c r="CV17" s="108"/>
      <c r="CW17" s="108"/>
      <c r="CX17" s="108"/>
      <c r="CY17" s="108"/>
      <c r="CZ17" s="108"/>
      <c r="DA17" s="108"/>
      <c r="DB17" s="108"/>
      <c r="DC17" s="108"/>
      <c r="DD17" s="108"/>
      <c r="DE17" s="108"/>
      <c r="DF17" s="108"/>
      <c r="DG17" s="108"/>
      <c r="DH17" s="108"/>
      <c r="DI17" s="108"/>
      <c r="DJ17" s="108"/>
      <c r="DK17" s="108"/>
      <c r="DL17" s="108"/>
      <c r="DM17" s="108"/>
      <c r="DN17" s="108"/>
      <c r="DO17" s="108"/>
      <c r="DP17" s="108"/>
      <c r="DQ17" s="108"/>
      <c r="DR17" s="108"/>
      <c r="DS17" s="108"/>
      <c r="DT17" s="108"/>
      <c r="DU17" s="108"/>
      <c r="DV17" s="108"/>
      <c r="DW17" s="108"/>
      <c r="DX17" s="108"/>
      <c r="DY17" s="108"/>
      <c r="DZ17" s="108"/>
      <c r="EA17" s="108"/>
      <c r="EB17" s="108"/>
      <c r="EC17" s="108"/>
      <c r="ED17" s="108"/>
      <c r="EE17" s="108"/>
      <c r="EF17" s="108"/>
      <c r="EG17" s="108"/>
      <c r="EH17" s="108"/>
      <c r="EI17" s="108"/>
      <c r="EJ17" s="108"/>
      <c r="EK17" s="108"/>
      <c r="EL17" s="108"/>
      <c r="EM17" s="108"/>
      <c r="EN17" s="108"/>
      <c r="EO17" s="108"/>
      <c r="EP17" s="108"/>
      <c r="EQ17" s="108"/>
      <c r="ER17" s="108"/>
      <c r="ES17" s="108"/>
      <c r="ET17" s="108"/>
      <c r="EU17" s="108"/>
      <c r="EV17" s="108"/>
      <c r="EW17" s="108"/>
      <c r="EX17" s="108"/>
      <c r="EY17" s="108"/>
      <c r="EZ17" s="108"/>
      <c r="FA17" s="108"/>
      <c r="FB17" s="108"/>
      <c r="FC17" s="108"/>
      <c r="FD17" s="108"/>
      <c r="FE17" s="108"/>
      <c r="FF17" s="108"/>
      <c r="FG17" s="108"/>
      <c r="FH17" s="108"/>
      <c r="FI17" s="108"/>
      <c r="FJ17" s="108"/>
      <c r="FK17" s="108"/>
      <c r="FL17" s="108"/>
      <c r="FM17" s="108"/>
      <c r="FN17" s="108"/>
      <c r="FO17" s="108"/>
      <c r="FP17" s="108"/>
      <c r="FQ17" s="108"/>
      <c r="FR17" s="108"/>
      <c r="FS17" s="108"/>
      <c r="FT17" s="108"/>
      <c r="FU17" s="108"/>
      <c r="FV17" s="108"/>
      <c r="FW17" s="108"/>
      <c r="FX17" s="108"/>
      <c r="FY17" s="108"/>
      <c r="FZ17" s="108"/>
      <c r="GA17" s="108"/>
      <c r="GB17" s="108"/>
      <c r="GC17" s="108"/>
      <c r="GD17" s="108"/>
      <c r="GE17" s="108"/>
      <c r="GF17" s="108"/>
      <c r="GG17" s="108"/>
      <c r="GH17" s="108"/>
      <c r="GI17" s="108"/>
      <c r="GJ17" s="108"/>
      <c r="GK17" s="108"/>
      <c r="GL17" s="108"/>
      <c r="GM17" s="108"/>
      <c r="GN17" s="108"/>
      <c r="GO17" s="108"/>
      <c r="GP17" s="108"/>
      <c r="GQ17" s="108"/>
      <c r="GR17" s="108"/>
      <c r="GS17" s="108"/>
      <c r="GT17" s="108"/>
      <c r="GU17" s="108"/>
      <c r="GV17" s="108"/>
      <c r="GW17" s="108"/>
      <c r="GX17" s="108"/>
      <c r="GY17" s="108"/>
      <c r="GZ17" s="108"/>
      <c r="HA17" s="108"/>
      <c r="HB17" s="108"/>
      <c r="HC17" s="108"/>
      <c r="HD17" s="108"/>
      <c r="HE17" s="108"/>
      <c r="HF17" s="108"/>
      <c r="HG17" s="108"/>
      <c r="HH17" s="108"/>
      <c r="HI17" s="108"/>
      <c r="HJ17" s="108"/>
      <c r="HK17" s="108"/>
      <c r="HL17" s="108"/>
      <c r="HM17" s="108"/>
      <c r="HN17" s="108"/>
      <c r="HO17" s="108"/>
      <c r="HP17" s="108"/>
      <c r="HQ17" s="108"/>
      <c r="HR17" s="108"/>
      <c r="HS17" s="108"/>
      <c r="HT17" s="108"/>
      <c r="HU17" s="108"/>
      <c r="HV17" s="108"/>
      <c r="HW17" s="108"/>
      <c r="HX17" s="108"/>
      <c r="HY17" s="108"/>
      <c r="HZ17" s="108"/>
      <c r="IA17" s="108"/>
      <c r="IB17" s="108"/>
      <c r="IC17" s="108"/>
      <c r="ID17" s="108"/>
      <c r="IE17" s="108"/>
      <c r="IF17" s="108"/>
      <c r="IG17" s="108"/>
      <c r="IH17" s="108"/>
      <c r="II17" s="108"/>
      <c r="IJ17" s="108"/>
      <c r="IK17" s="108"/>
      <c r="IL17" s="108"/>
      <c r="IM17" s="108"/>
      <c r="IN17" s="108"/>
      <c r="IO17" s="108"/>
      <c r="IP17" s="108"/>
      <c r="IQ17" s="108"/>
      <c r="IR17" s="108"/>
      <c r="IS17" s="108"/>
      <c r="IT17" s="108"/>
      <c r="IU17" s="108"/>
      <c r="IV17" s="108"/>
      <c r="IW17" s="108"/>
    </row>
    <row r="18" spans="1:257" ht="15" thickBot="1" x14ac:dyDescent="0.35">
      <c r="A18" s="158"/>
      <c r="B18" s="113" t="str">
        <f>'Sensitivity analysis'!B177</f>
        <v>Term birth in the unbooked</v>
      </c>
      <c r="C18" s="170">
        <f>'Sensitivity analysis'!D177</f>
        <v>-273434.38044743403</v>
      </c>
      <c r="D18" s="171">
        <f>'Sensitivity analysis'!F177</f>
        <v>-219669.06740325264</v>
      </c>
      <c r="E18" s="172">
        <f t="shared" si="0"/>
        <v>53765.313044181385</v>
      </c>
      <c r="F18" s="158"/>
      <c r="G18" s="158"/>
      <c r="H18" s="158"/>
      <c r="I18" s="184" t="s">
        <v>804</v>
      </c>
      <c r="J18" s="170">
        <v>-266715.35207454505</v>
      </c>
      <c r="K18" s="175">
        <v>-219459.88127228606</v>
      </c>
      <c r="L18" s="172">
        <v>47255.470802258991</v>
      </c>
      <c r="M18" s="158"/>
      <c r="N18" s="158"/>
      <c r="O18" s="108"/>
      <c r="P18" s="108"/>
      <c r="Q18" s="108"/>
      <c r="R18" s="108"/>
      <c r="S18" s="108"/>
      <c r="T18" s="108"/>
      <c r="U18" s="108"/>
      <c r="V18" s="108"/>
      <c r="W18" s="108"/>
      <c r="X18" s="108"/>
      <c r="Y18" s="108"/>
      <c r="Z18" s="108"/>
      <c r="AA18" s="108"/>
      <c r="AB18" s="108"/>
      <c r="AC18" s="108"/>
      <c r="AD18" s="108"/>
      <c r="AE18" s="108"/>
      <c r="AF18" s="108"/>
      <c r="AG18" s="108"/>
      <c r="AH18" s="108"/>
      <c r="AI18" s="108"/>
      <c r="AJ18" s="108"/>
      <c r="AK18" s="108"/>
      <c r="AL18" s="108"/>
      <c r="AM18" s="108"/>
      <c r="AN18" s="108"/>
      <c r="AO18" s="108"/>
      <c r="AP18" s="108"/>
      <c r="AQ18" s="108"/>
      <c r="AR18" s="108"/>
      <c r="AS18" s="108"/>
      <c r="AT18" s="108"/>
      <c r="AU18" s="108"/>
      <c r="AV18" s="108"/>
      <c r="AW18" s="108"/>
      <c r="AX18" s="108"/>
      <c r="AY18" s="108"/>
      <c r="AZ18" s="108"/>
      <c r="BA18" s="108"/>
      <c r="BB18" s="108"/>
      <c r="BC18" s="108"/>
      <c r="BD18" s="108"/>
      <c r="BE18" s="108"/>
      <c r="BF18" s="108"/>
      <c r="BG18" s="108"/>
      <c r="BH18" s="108"/>
      <c r="BI18" s="108"/>
      <c r="BJ18" s="108"/>
      <c r="BK18" s="108"/>
      <c r="BL18" s="108"/>
      <c r="BM18" s="108"/>
      <c r="BN18" s="108"/>
      <c r="BO18" s="108"/>
      <c r="BP18" s="108"/>
      <c r="BQ18" s="108"/>
      <c r="BR18" s="108"/>
      <c r="BS18" s="108"/>
      <c r="BT18" s="108"/>
      <c r="BU18" s="108"/>
      <c r="BV18" s="108"/>
      <c r="BW18" s="108"/>
      <c r="BX18" s="108"/>
      <c r="BY18" s="108"/>
      <c r="BZ18" s="108"/>
      <c r="CA18" s="108"/>
      <c r="CB18" s="108"/>
      <c r="CC18" s="108"/>
      <c r="CD18" s="108"/>
      <c r="CE18" s="108"/>
      <c r="CF18" s="108"/>
      <c r="CG18" s="108"/>
      <c r="CH18" s="108"/>
      <c r="CI18" s="108"/>
      <c r="CJ18" s="108"/>
      <c r="CK18" s="108"/>
      <c r="CL18" s="108"/>
      <c r="CM18" s="108"/>
      <c r="CN18" s="108"/>
      <c r="CO18" s="108"/>
      <c r="CP18" s="108"/>
      <c r="CQ18" s="108"/>
      <c r="CR18" s="108"/>
      <c r="CS18" s="108"/>
      <c r="CT18" s="108"/>
      <c r="CU18" s="108"/>
      <c r="CV18" s="108"/>
      <c r="CW18" s="108"/>
      <c r="CX18" s="108"/>
      <c r="CY18" s="108"/>
      <c r="CZ18" s="108"/>
      <c r="DA18" s="108"/>
      <c r="DB18" s="108"/>
      <c r="DC18" s="108"/>
      <c r="DD18" s="108"/>
      <c r="DE18" s="108"/>
      <c r="DF18" s="108"/>
      <c r="DG18" s="108"/>
      <c r="DH18" s="108"/>
      <c r="DI18" s="108"/>
      <c r="DJ18" s="108"/>
      <c r="DK18" s="108"/>
      <c r="DL18" s="108"/>
      <c r="DM18" s="108"/>
      <c r="DN18" s="108"/>
      <c r="DO18" s="108"/>
      <c r="DP18" s="108"/>
      <c r="DQ18" s="108"/>
      <c r="DR18" s="108"/>
      <c r="DS18" s="108"/>
      <c r="DT18" s="108"/>
      <c r="DU18" s="108"/>
      <c r="DV18" s="108"/>
      <c r="DW18" s="108"/>
      <c r="DX18" s="108"/>
      <c r="DY18" s="108"/>
      <c r="DZ18" s="108"/>
      <c r="EA18" s="108"/>
      <c r="EB18" s="108"/>
      <c r="EC18" s="108"/>
      <c r="ED18" s="108"/>
      <c r="EE18" s="108"/>
      <c r="EF18" s="108"/>
      <c r="EG18" s="108"/>
      <c r="EH18" s="108"/>
      <c r="EI18" s="108"/>
      <c r="EJ18" s="108"/>
      <c r="EK18" s="108"/>
      <c r="EL18" s="108"/>
      <c r="EM18" s="108"/>
      <c r="EN18" s="108"/>
      <c r="EO18" s="108"/>
      <c r="EP18" s="108"/>
      <c r="EQ18" s="108"/>
      <c r="ER18" s="108"/>
      <c r="ES18" s="108"/>
      <c r="ET18" s="108"/>
      <c r="EU18" s="108"/>
      <c r="EV18" s="108"/>
      <c r="EW18" s="108"/>
      <c r="EX18" s="108"/>
      <c r="EY18" s="108"/>
      <c r="EZ18" s="108"/>
      <c r="FA18" s="108"/>
      <c r="FB18" s="108"/>
      <c r="FC18" s="108"/>
      <c r="FD18" s="108"/>
      <c r="FE18" s="108"/>
      <c r="FF18" s="108"/>
      <c r="FG18" s="108"/>
      <c r="FH18" s="108"/>
      <c r="FI18" s="108"/>
      <c r="FJ18" s="108"/>
      <c r="FK18" s="108"/>
      <c r="FL18" s="108"/>
      <c r="FM18" s="108"/>
      <c r="FN18" s="108"/>
      <c r="FO18" s="108"/>
      <c r="FP18" s="108"/>
      <c r="FQ18" s="108"/>
      <c r="FR18" s="108"/>
      <c r="FS18" s="108"/>
      <c r="FT18" s="108"/>
      <c r="FU18" s="108"/>
      <c r="FV18" s="108"/>
      <c r="FW18" s="108"/>
      <c r="FX18" s="108"/>
      <c r="FY18" s="108"/>
      <c r="FZ18" s="108"/>
      <c r="GA18" s="108"/>
      <c r="GB18" s="108"/>
      <c r="GC18" s="108"/>
      <c r="GD18" s="108"/>
      <c r="GE18" s="108"/>
      <c r="GF18" s="108"/>
      <c r="GG18" s="108"/>
      <c r="GH18" s="108"/>
      <c r="GI18" s="108"/>
      <c r="GJ18" s="108"/>
      <c r="GK18" s="108"/>
      <c r="GL18" s="108"/>
      <c r="GM18" s="108"/>
      <c r="GN18" s="108"/>
      <c r="GO18" s="108"/>
      <c r="GP18" s="108"/>
      <c r="GQ18" s="108"/>
      <c r="GR18" s="108"/>
      <c r="GS18" s="108"/>
      <c r="GT18" s="108"/>
      <c r="GU18" s="108"/>
      <c r="GV18" s="108"/>
      <c r="GW18" s="108"/>
      <c r="GX18" s="108"/>
      <c r="GY18" s="108"/>
      <c r="GZ18" s="108"/>
      <c r="HA18" s="108"/>
      <c r="HB18" s="108"/>
      <c r="HC18" s="108"/>
      <c r="HD18" s="108"/>
      <c r="HE18" s="108"/>
      <c r="HF18" s="108"/>
      <c r="HG18" s="108"/>
      <c r="HH18" s="108"/>
      <c r="HI18" s="108"/>
      <c r="HJ18" s="108"/>
      <c r="HK18" s="108"/>
      <c r="HL18" s="108"/>
      <c r="HM18" s="108"/>
      <c r="HN18" s="108"/>
      <c r="HO18" s="108"/>
      <c r="HP18" s="108"/>
      <c r="HQ18" s="108"/>
      <c r="HR18" s="108"/>
      <c r="HS18" s="108"/>
      <c r="HT18" s="108"/>
      <c r="HU18" s="108"/>
      <c r="HV18" s="108"/>
      <c r="HW18" s="108"/>
      <c r="HX18" s="108"/>
      <c r="HY18" s="108"/>
      <c r="HZ18" s="108"/>
      <c r="IA18" s="108"/>
      <c r="IB18" s="108"/>
      <c r="IC18" s="108"/>
      <c r="ID18" s="108"/>
      <c r="IE18" s="108"/>
      <c r="IF18" s="108"/>
      <c r="IG18" s="108"/>
      <c r="IH18" s="108"/>
      <c r="II18" s="108"/>
      <c r="IJ18" s="108"/>
      <c r="IK18" s="108"/>
      <c r="IL18" s="108"/>
      <c r="IM18" s="108"/>
      <c r="IN18" s="108"/>
      <c r="IO18" s="108"/>
      <c r="IP18" s="108"/>
      <c r="IQ18" s="108"/>
      <c r="IR18" s="108"/>
      <c r="IS18" s="108"/>
      <c r="IT18" s="108"/>
      <c r="IU18" s="108"/>
      <c r="IV18" s="108"/>
      <c r="IW18" s="108"/>
    </row>
    <row r="19" spans="1:257" ht="15" thickBot="1" x14ac:dyDescent="0.35">
      <c r="A19" s="158"/>
      <c r="B19" s="113" t="str">
        <f>'Sensitivity analysis'!B178</f>
        <v>LBW and preterm</v>
      </c>
      <c r="C19" s="170">
        <f>'Sensitivity analysis'!D178</f>
        <v>-212292.18812313635</v>
      </c>
      <c r="D19" s="171">
        <f>'Sensitivity analysis'!F178</f>
        <v>-262851.16131760809</v>
      </c>
      <c r="E19" s="172">
        <f t="shared" si="0"/>
        <v>50558.973194471735</v>
      </c>
      <c r="F19" s="158"/>
      <c r="G19" s="158"/>
      <c r="H19" s="158"/>
      <c r="I19" s="184" t="s">
        <v>812</v>
      </c>
      <c r="J19" s="170">
        <v>-264099.00219339295</v>
      </c>
      <c r="K19" s="175">
        <v>-222449.75834357357</v>
      </c>
      <c r="L19" s="172">
        <v>41649.243849819381</v>
      </c>
      <c r="M19" s="158"/>
      <c r="N19" s="158"/>
      <c r="O19" s="108"/>
      <c r="P19" s="108"/>
      <c r="Q19" s="108"/>
      <c r="R19" s="108"/>
      <c r="S19" s="108"/>
      <c r="T19" s="108"/>
      <c r="U19" s="108"/>
      <c r="V19" s="108"/>
      <c r="W19" s="108"/>
      <c r="X19" s="108"/>
      <c r="Y19" s="108"/>
      <c r="Z19" s="108"/>
      <c r="AA19" s="108"/>
      <c r="AB19" s="108"/>
      <c r="AC19" s="108"/>
      <c r="AD19" s="108"/>
      <c r="AE19" s="108"/>
      <c r="AF19" s="108"/>
      <c r="AG19" s="108"/>
      <c r="AH19" s="108"/>
      <c r="AI19" s="108"/>
      <c r="AJ19" s="108"/>
      <c r="AK19" s="108"/>
      <c r="AL19" s="108"/>
      <c r="AM19" s="108"/>
      <c r="AN19" s="108"/>
      <c r="AO19" s="108"/>
      <c r="AP19" s="108"/>
      <c r="AQ19" s="108"/>
      <c r="AR19" s="108"/>
      <c r="AS19" s="108"/>
      <c r="AT19" s="108"/>
      <c r="AU19" s="108"/>
      <c r="AV19" s="108"/>
      <c r="AW19" s="108"/>
      <c r="AX19" s="108"/>
      <c r="AY19" s="108"/>
      <c r="AZ19" s="108"/>
      <c r="BA19" s="108"/>
      <c r="BB19" s="108"/>
      <c r="BC19" s="108"/>
      <c r="BD19" s="108"/>
      <c r="BE19" s="108"/>
      <c r="BF19" s="108"/>
      <c r="BG19" s="108"/>
      <c r="BH19" s="108"/>
      <c r="BI19" s="108"/>
      <c r="BJ19" s="108"/>
      <c r="BK19" s="108"/>
      <c r="BL19" s="108"/>
      <c r="BM19" s="108"/>
      <c r="BN19" s="108"/>
      <c r="BO19" s="108"/>
      <c r="BP19" s="108"/>
      <c r="BQ19" s="108"/>
      <c r="BR19" s="108"/>
      <c r="BS19" s="108"/>
      <c r="BT19" s="108"/>
      <c r="BU19" s="108"/>
      <c r="BV19" s="108"/>
      <c r="BW19" s="108"/>
      <c r="BX19" s="108"/>
      <c r="BY19" s="108"/>
      <c r="BZ19" s="108"/>
      <c r="CA19" s="108"/>
      <c r="CB19" s="108"/>
      <c r="CC19" s="108"/>
      <c r="CD19" s="108"/>
      <c r="CE19" s="108"/>
      <c r="CF19" s="108"/>
      <c r="CG19" s="108"/>
      <c r="CH19" s="108"/>
      <c r="CI19" s="108"/>
      <c r="CJ19" s="108"/>
      <c r="CK19" s="108"/>
      <c r="CL19" s="108"/>
      <c r="CM19" s="108"/>
      <c r="CN19" s="108"/>
      <c r="CO19" s="108"/>
      <c r="CP19" s="108"/>
      <c r="CQ19" s="108"/>
      <c r="CR19" s="108"/>
      <c r="CS19" s="108"/>
      <c r="CT19" s="108"/>
      <c r="CU19" s="108"/>
      <c r="CV19" s="108"/>
      <c r="CW19" s="108"/>
      <c r="CX19" s="108"/>
      <c r="CY19" s="108"/>
      <c r="CZ19" s="108"/>
      <c r="DA19" s="108"/>
      <c r="DB19" s="108"/>
      <c r="DC19" s="108"/>
      <c r="DD19" s="108"/>
      <c r="DE19" s="108"/>
      <c r="DF19" s="108"/>
      <c r="DG19" s="108"/>
      <c r="DH19" s="108"/>
      <c r="DI19" s="108"/>
      <c r="DJ19" s="108"/>
      <c r="DK19" s="108"/>
      <c r="DL19" s="108"/>
      <c r="DM19" s="108"/>
      <c r="DN19" s="108"/>
      <c r="DO19" s="108"/>
      <c r="DP19" s="108"/>
      <c r="DQ19" s="108"/>
      <c r="DR19" s="108"/>
      <c r="DS19" s="108"/>
      <c r="DT19" s="108"/>
      <c r="DU19" s="108"/>
      <c r="DV19" s="108"/>
      <c r="DW19" s="108"/>
      <c r="DX19" s="108"/>
      <c r="DY19" s="108"/>
      <c r="DZ19" s="108"/>
      <c r="EA19" s="108"/>
      <c r="EB19" s="108"/>
      <c r="EC19" s="108"/>
      <c r="ED19" s="108"/>
      <c r="EE19" s="108"/>
      <c r="EF19" s="108"/>
      <c r="EG19" s="108"/>
      <c r="EH19" s="108"/>
      <c r="EI19" s="108"/>
      <c r="EJ19" s="108"/>
      <c r="EK19" s="108"/>
      <c r="EL19" s="108"/>
      <c r="EM19" s="108"/>
      <c r="EN19" s="108"/>
      <c r="EO19" s="108"/>
      <c r="EP19" s="108"/>
      <c r="EQ19" s="108"/>
      <c r="ER19" s="108"/>
      <c r="ES19" s="108"/>
      <c r="ET19" s="108"/>
      <c r="EU19" s="108"/>
      <c r="EV19" s="108"/>
      <c r="EW19" s="108"/>
      <c r="EX19" s="108"/>
      <c r="EY19" s="108"/>
      <c r="EZ19" s="108"/>
      <c r="FA19" s="108"/>
      <c r="FB19" s="108"/>
      <c r="FC19" s="108"/>
      <c r="FD19" s="108"/>
      <c r="FE19" s="108"/>
      <c r="FF19" s="108"/>
      <c r="FG19" s="108"/>
      <c r="FH19" s="108"/>
      <c r="FI19" s="108"/>
      <c r="FJ19" s="108"/>
      <c r="FK19" s="108"/>
      <c r="FL19" s="108"/>
      <c r="FM19" s="108"/>
      <c r="FN19" s="108"/>
      <c r="FO19" s="108"/>
      <c r="FP19" s="108"/>
      <c r="FQ19" s="108"/>
      <c r="FR19" s="108"/>
      <c r="FS19" s="108"/>
      <c r="FT19" s="108"/>
      <c r="FU19" s="108"/>
      <c r="FV19" s="108"/>
      <c r="FW19" s="108"/>
      <c r="FX19" s="108"/>
      <c r="FY19" s="108"/>
      <c r="FZ19" s="108"/>
      <c r="GA19" s="108"/>
      <c r="GB19" s="108"/>
      <c r="GC19" s="108"/>
      <c r="GD19" s="108"/>
      <c r="GE19" s="108"/>
      <c r="GF19" s="108"/>
      <c r="GG19" s="108"/>
      <c r="GH19" s="108"/>
      <c r="GI19" s="108"/>
      <c r="GJ19" s="108"/>
      <c r="GK19" s="108"/>
      <c r="GL19" s="108"/>
      <c r="GM19" s="108"/>
      <c r="GN19" s="108"/>
      <c r="GO19" s="108"/>
      <c r="GP19" s="108"/>
      <c r="GQ19" s="108"/>
      <c r="GR19" s="108"/>
      <c r="GS19" s="108"/>
      <c r="GT19" s="108"/>
      <c r="GU19" s="108"/>
      <c r="GV19" s="108"/>
      <c r="GW19" s="108"/>
      <c r="GX19" s="108"/>
      <c r="GY19" s="108"/>
      <c r="GZ19" s="108"/>
      <c r="HA19" s="108"/>
      <c r="HB19" s="108"/>
      <c r="HC19" s="108"/>
      <c r="HD19" s="108"/>
      <c r="HE19" s="108"/>
      <c r="HF19" s="108"/>
      <c r="HG19" s="108"/>
      <c r="HH19" s="108"/>
      <c r="HI19" s="108"/>
      <c r="HJ19" s="108"/>
      <c r="HK19" s="108"/>
      <c r="HL19" s="108"/>
      <c r="HM19" s="108"/>
      <c r="HN19" s="108"/>
      <c r="HO19" s="108"/>
      <c r="HP19" s="108"/>
      <c r="HQ19" s="108"/>
      <c r="HR19" s="108"/>
      <c r="HS19" s="108"/>
      <c r="HT19" s="108"/>
      <c r="HU19" s="108"/>
      <c r="HV19" s="108"/>
      <c r="HW19" s="108"/>
      <c r="HX19" s="108"/>
      <c r="HY19" s="108"/>
      <c r="HZ19" s="108"/>
      <c r="IA19" s="108"/>
      <c r="IB19" s="108"/>
      <c r="IC19" s="108"/>
      <c r="ID19" s="108"/>
      <c r="IE19" s="108"/>
      <c r="IF19" s="108"/>
      <c r="IG19" s="108"/>
      <c r="IH19" s="108"/>
      <c r="II19" s="108"/>
      <c r="IJ19" s="108"/>
      <c r="IK19" s="108"/>
      <c r="IL19" s="108"/>
      <c r="IM19" s="108"/>
      <c r="IN19" s="108"/>
      <c r="IO19" s="108"/>
      <c r="IP19" s="108"/>
      <c r="IQ19" s="108"/>
      <c r="IR19" s="108"/>
      <c r="IS19" s="108"/>
      <c r="IT19" s="108"/>
      <c r="IU19" s="108"/>
      <c r="IV19" s="108"/>
      <c r="IW19" s="108"/>
    </row>
    <row r="20" spans="1:257" ht="15" thickBot="1" x14ac:dyDescent="0.35">
      <c r="A20" s="158"/>
      <c r="B20" s="113" t="str">
        <f>'Sensitivity analysis'!B179</f>
        <v>LBW term infants</v>
      </c>
      <c r="C20" s="170">
        <f>'Sensitivity analysis'!D179</f>
        <v>-183280.19016067553</v>
      </c>
      <c r="D20" s="171">
        <f>'Sensitivity analysis'!F179</f>
        <v>-291005.37373456144</v>
      </c>
      <c r="E20" s="172">
        <f t="shared" si="0"/>
        <v>107725.18357388591</v>
      </c>
      <c r="F20" s="158"/>
      <c r="G20" s="158"/>
      <c r="H20" s="158"/>
      <c r="I20" s="184" t="s">
        <v>805</v>
      </c>
      <c r="J20" s="170">
        <v>-224003.69147256657</v>
      </c>
      <c r="K20" s="175">
        <v>-258897.4743041457</v>
      </c>
      <c r="L20" s="172">
        <v>34893.782831579127</v>
      </c>
      <c r="M20" s="158"/>
      <c r="N20" s="158"/>
      <c r="O20" s="108"/>
      <c r="P20" s="108"/>
      <c r="Q20" s="108"/>
      <c r="R20" s="108"/>
      <c r="S20" s="108"/>
      <c r="T20" s="108"/>
      <c r="U20" s="108"/>
      <c r="V20" s="108"/>
      <c r="W20" s="108"/>
      <c r="X20" s="108"/>
      <c r="Y20" s="108"/>
      <c r="Z20" s="108"/>
      <c r="AA20" s="108"/>
      <c r="AB20" s="108"/>
      <c r="AC20" s="108"/>
      <c r="AD20" s="108"/>
      <c r="AE20" s="108"/>
      <c r="AF20" s="108"/>
      <c r="AG20" s="108"/>
      <c r="AH20" s="108"/>
      <c r="AI20" s="108"/>
      <c r="AJ20" s="108"/>
      <c r="AK20" s="108"/>
      <c r="AL20" s="108"/>
      <c r="AM20" s="108"/>
      <c r="AN20" s="108"/>
      <c r="AO20" s="108"/>
      <c r="AP20" s="108"/>
      <c r="AQ20" s="108"/>
      <c r="AR20" s="108"/>
      <c r="AS20" s="108"/>
      <c r="AT20" s="108"/>
      <c r="AU20" s="108"/>
      <c r="AV20" s="108"/>
      <c r="AW20" s="108"/>
      <c r="AX20" s="108"/>
      <c r="AY20" s="108"/>
      <c r="AZ20" s="108"/>
      <c r="BA20" s="108"/>
      <c r="BB20" s="108"/>
      <c r="BC20" s="108"/>
      <c r="BD20" s="108"/>
      <c r="BE20" s="108"/>
      <c r="BF20" s="108"/>
      <c r="BG20" s="108"/>
      <c r="BH20" s="108"/>
      <c r="BI20" s="108"/>
      <c r="BJ20" s="108"/>
      <c r="BK20" s="108"/>
      <c r="BL20" s="108"/>
      <c r="BM20" s="108"/>
      <c r="BN20" s="108"/>
      <c r="BO20" s="108"/>
      <c r="BP20" s="108"/>
      <c r="BQ20" s="108"/>
      <c r="BR20" s="108"/>
      <c r="BS20" s="108"/>
      <c r="BT20" s="108"/>
      <c r="BU20" s="108"/>
      <c r="BV20" s="108"/>
      <c r="BW20" s="108"/>
      <c r="BX20" s="108"/>
      <c r="BY20" s="108"/>
      <c r="BZ20" s="108"/>
      <c r="CA20" s="108"/>
      <c r="CB20" s="108"/>
      <c r="CC20" s="108"/>
      <c r="CD20" s="108"/>
      <c r="CE20" s="108"/>
      <c r="CF20" s="108"/>
      <c r="CG20" s="108"/>
      <c r="CH20" s="108"/>
      <c r="CI20" s="108"/>
      <c r="CJ20" s="108"/>
      <c r="CK20" s="108"/>
      <c r="CL20" s="108"/>
      <c r="CM20" s="108"/>
      <c r="CN20" s="108"/>
      <c r="CO20" s="108"/>
      <c r="CP20" s="108"/>
      <c r="CQ20" s="108"/>
      <c r="CR20" s="108"/>
      <c r="CS20" s="108"/>
      <c r="CT20" s="108"/>
      <c r="CU20" s="108"/>
      <c r="CV20" s="108"/>
      <c r="CW20" s="108"/>
      <c r="CX20" s="108"/>
      <c r="CY20" s="108"/>
      <c r="CZ20" s="108"/>
      <c r="DA20" s="108"/>
      <c r="DB20" s="108"/>
      <c r="DC20" s="108"/>
      <c r="DD20" s="108"/>
      <c r="DE20" s="108"/>
      <c r="DF20" s="108"/>
      <c r="DG20" s="108"/>
      <c r="DH20" s="108"/>
      <c r="DI20" s="108"/>
      <c r="DJ20" s="108"/>
      <c r="DK20" s="108"/>
      <c r="DL20" s="108"/>
      <c r="DM20" s="108"/>
      <c r="DN20" s="108"/>
      <c r="DO20" s="108"/>
      <c r="DP20" s="108"/>
      <c r="DQ20" s="108"/>
      <c r="DR20" s="108"/>
      <c r="DS20" s="108"/>
      <c r="DT20" s="108"/>
      <c r="DU20" s="108"/>
      <c r="DV20" s="108"/>
      <c r="DW20" s="108"/>
      <c r="DX20" s="108"/>
      <c r="DY20" s="108"/>
      <c r="DZ20" s="108"/>
      <c r="EA20" s="108"/>
      <c r="EB20" s="108"/>
      <c r="EC20" s="108"/>
      <c r="ED20" s="108"/>
      <c r="EE20" s="108"/>
      <c r="EF20" s="108"/>
      <c r="EG20" s="108"/>
      <c r="EH20" s="108"/>
      <c r="EI20" s="108"/>
      <c r="EJ20" s="108"/>
      <c r="EK20" s="108"/>
      <c r="EL20" s="108"/>
      <c r="EM20" s="108"/>
      <c r="EN20" s="108"/>
      <c r="EO20" s="108"/>
      <c r="EP20" s="108"/>
      <c r="EQ20" s="108"/>
      <c r="ER20" s="108"/>
      <c r="ES20" s="108"/>
      <c r="ET20" s="108"/>
      <c r="EU20" s="108"/>
      <c r="EV20" s="108"/>
      <c r="EW20" s="108"/>
      <c r="EX20" s="108"/>
      <c r="EY20" s="108"/>
      <c r="EZ20" s="108"/>
      <c r="FA20" s="108"/>
      <c r="FB20" s="108"/>
      <c r="FC20" s="108"/>
      <c r="FD20" s="108"/>
      <c r="FE20" s="108"/>
      <c r="FF20" s="108"/>
      <c r="FG20" s="108"/>
      <c r="FH20" s="108"/>
      <c r="FI20" s="108"/>
      <c r="FJ20" s="108"/>
      <c r="FK20" s="108"/>
      <c r="FL20" s="108"/>
      <c r="FM20" s="108"/>
      <c r="FN20" s="108"/>
      <c r="FO20" s="108"/>
      <c r="FP20" s="108"/>
      <c r="FQ20" s="108"/>
      <c r="FR20" s="108"/>
      <c r="FS20" s="108"/>
      <c r="FT20" s="108"/>
      <c r="FU20" s="108"/>
      <c r="FV20" s="108"/>
      <c r="FW20" s="108"/>
      <c r="FX20" s="108"/>
      <c r="FY20" s="108"/>
      <c r="FZ20" s="108"/>
      <c r="GA20" s="108"/>
      <c r="GB20" s="108"/>
      <c r="GC20" s="108"/>
      <c r="GD20" s="108"/>
      <c r="GE20" s="108"/>
      <c r="GF20" s="108"/>
      <c r="GG20" s="108"/>
      <c r="GH20" s="108"/>
      <c r="GI20" s="108"/>
      <c r="GJ20" s="108"/>
      <c r="GK20" s="108"/>
      <c r="GL20" s="108"/>
      <c r="GM20" s="108"/>
      <c r="GN20" s="108"/>
      <c r="GO20" s="108"/>
      <c r="GP20" s="108"/>
      <c r="GQ20" s="108"/>
      <c r="GR20" s="108"/>
      <c r="GS20" s="108"/>
      <c r="GT20" s="108"/>
      <c r="GU20" s="108"/>
      <c r="GV20" s="108"/>
      <c r="GW20" s="108"/>
      <c r="GX20" s="108"/>
      <c r="GY20" s="108"/>
      <c r="GZ20" s="108"/>
      <c r="HA20" s="108"/>
      <c r="HB20" s="108"/>
      <c r="HC20" s="108"/>
      <c r="HD20" s="108"/>
      <c r="HE20" s="108"/>
      <c r="HF20" s="108"/>
      <c r="HG20" s="108"/>
      <c r="HH20" s="108"/>
      <c r="HI20" s="108"/>
      <c r="HJ20" s="108"/>
      <c r="HK20" s="108"/>
      <c r="HL20" s="108"/>
      <c r="HM20" s="108"/>
      <c r="HN20" s="108"/>
      <c r="HO20" s="108"/>
      <c r="HP20" s="108"/>
      <c r="HQ20" s="108"/>
      <c r="HR20" s="108"/>
      <c r="HS20" s="108"/>
      <c r="HT20" s="108"/>
      <c r="HU20" s="108"/>
      <c r="HV20" s="108"/>
      <c r="HW20" s="108"/>
      <c r="HX20" s="108"/>
      <c r="HY20" s="108"/>
      <c r="HZ20" s="108"/>
      <c r="IA20" s="108"/>
      <c r="IB20" s="108"/>
      <c r="IC20" s="108"/>
      <c r="ID20" s="108"/>
      <c r="IE20" s="108"/>
      <c r="IF20" s="108"/>
      <c r="IG20" s="108"/>
      <c r="IH20" s="108"/>
      <c r="II20" s="108"/>
      <c r="IJ20" s="108"/>
      <c r="IK20" s="108"/>
      <c r="IL20" s="108"/>
      <c r="IM20" s="108"/>
      <c r="IN20" s="108"/>
      <c r="IO20" s="108"/>
      <c r="IP20" s="108"/>
      <c r="IQ20" s="108"/>
      <c r="IR20" s="108"/>
      <c r="IS20" s="108"/>
      <c r="IT20" s="108"/>
      <c r="IU20" s="108"/>
      <c r="IV20" s="108"/>
      <c r="IW20" s="108"/>
    </row>
    <row r="21" spans="1:257" ht="15" thickBot="1" x14ac:dyDescent="0.35">
      <c r="A21" s="158"/>
      <c r="B21" s="113" t="str">
        <f>'Sensitivity analysis'!B180</f>
        <v>SGA among preterm LBW infants</v>
      </c>
      <c r="C21" s="170">
        <f>'Sensitivity analysis'!D180</f>
        <v>-268571.58363006753</v>
      </c>
      <c r="D21" s="171">
        <f>'Sensitivity analysis'!F180</f>
        <v>-218187.57571999758</v>
      </c>
      <c r="E21" s="172">
        <f t="shared" si="0"/>
        <v>50384.007910069951</v>
      </c>
      <c r="F21" s="158"/>
      <c r="G21" s="158"/>
      <c r="H21" s="158"/>
      <c r="I21" s="184" t="s">
        <v>798</v>
      </c>
      <c r="J21" s="170">
        <v>-256323.93342968877</v>
      </c>
      <c r="K21" s="175">
        <v>-227018.21649344172</v>
      </c>
      <c r="L21" s="172">
        <v>29305.716936247045</v>
      </c>
      <c r="M21" s="158"/>
      <c r="N21" s="158"/>
      <c r="O21" s="108"/>
      <c r="P21" s="108"/>
      <c r="Q21" s="108"/>
      <c r="R21" s="108"/>
      <c r="S21" s="108"/>
      <c r="T21" s="108"/>
      <c r="U21" s="108"/>
      <c r="V21" s="108"/>
      <c r="W21" s="108"/>
      <c r="X21" s="108"/>
      <c r="Y21" s="108"/>
      <c r="Z21" s="108"/>
      <c r="AA21" s="108"/>
      <c r="AB21" s="108"/>
      <c r="AC21" s="108"/>
      <c r="AD21" s="108"/>
      <c r="AE21" s="108"/>
      <c r="AF21" s="108"/>
      <c r="AG21" s="108"/>
      <c r="AH21" s="108"/>
      <c r="AI21" s="108"/>
      <c r="AJ21" s="108"/>
      <c r="AK21" s="108"/>
      <c r="AL21" s="108"/>
      <c r="AM21" s="108"/>
      <c r="AN21" s="108"/>
      <c r="AO21" s="108"/>
      <c r="AP21" s="108"/>
      <c r="AQ21" s="108"/>
      <c r="AR21" s="108"/>
      <c r="AS21" s="108"/>
      <c r="AT21" s="108"/>
      <c r="AU21" s="108"/>
      <c r="AV21" s="108"/>
      <c r="AW21" s="108"/>
      <c r="AX21" s="108"/>
      <c r="AY21" s="108"/>
      <c r="AZ21" s="108"/>
      <c r="BA21" s="108"/>
      <c r="BB21" s="108"/>
      <c r="BC21" s="108"/>
      <c r="BD21" s="108"/>
      <c r="BE21" s="108"/>
      <c r="BF21" s="108"/>
      <c r="BG21" s="108"/>
      <c r="BH21" s="108"/>
      <c r="BI21" s="108"/>
      <c r="BJ21" s="108"/>
      <c r="BK21" s="108"/>
      <c r="BL21" s="108"/>
      <c r="BM21" s="108"/>
      <c r="BN21" s="108"/>
      <c r="BO21" s="108"/>
      <c r="BP21" s="108"/>
      <c r="BQ21" s="108"/>
      <c r="BR21" s="108"/>
      <c r="BS21" s="108"/>
      <c r="BT21" s="108"/>
      <c r="BU21" s="108"/>
      <c r="BV21" s="108"/>
      <c r="BW21" s="108"/>
      <c r="BX21" s="108"/>
      <c r="BY21" s="108"/>
      <c r="BZ21" s="108"/>
      <c r="CA21" s="108"/>
      <c r="CB21" s="108"/>
      <c r="CC21" s="108"/>
      <c r="CD21" s="108"/>
      <c r="CE21" s="108"/>
      <c r="CF21" s="108"/>
      <c r="CG21" s="108"/>
      <c r="CH21" s="108"/>
      <c r="CI21" s="108"/>
      <c r="CJ21" s="108"/>
      <c r="CK21" s="108"/>
      <c r="CL21" s="108"/>
      <c r="CM21" s="108"/>
      <c r="CN21" s="108"/>
      <c r="CO21" s="108"/>
      <c r="CP21" s="108"/>
      <c r="CQ21" s="108"/>
      <c r="CR21" s="108"/>
      <c r="CS21" s="108"/>
      <c r="CT21" s="108"/>
      <c r="CU21" s="108"/>
      <c r="CV21" s="108"/>
      <c r="CW21" s="108"/>
      <c r="CX21" s="108"/>
      <c r="CY21" s="108"/>
      <c r="CZ21" s="108"/>
      <c r="DA21" s="108"/>
      <c r="DB21" s="108"/>
      <c r="DC21" s="108"/>
      <c r="DD21" s="108"/>
      <c r="DE21" s="108"/>
      <c r="DF21" s="108"/>
      <c r="DG21" s="108"/>
      <c r="DH21" s="108"/>
      <c r="DI21" s="108"/>
      <c r="DJ21" s="108"/>
      <c r="DK21" s="108"/>
      <c r="DL21" s="108"/>
      <c r="DM21" s="108"/>
      <c r="DN21" s="108"/>
      <c r="DO21" s="108"/>
      <c r="DP21" s="108"/>
      <c r="DQ21" s="108"/>
      <c r="DR21" s="108"/>
      <c r="DS21" s="108"/>
      <c r="DT21" s="108"/>
      <c r="DU21" s="108"/>
      <c r="DV21" s="108"/>
      <c r="DW21" s="108"/>
      <c r="DX21" s="108"/>
      <c r="DY21" s="108"/>
      <c r="DZ21" s="108"/>
      <c r="EA21" s="108"/>
      <c r="EB21" s="108"/>
      <c r="EC21" s="108"/>
      <c r="ED21" s="108"/>
      <c r="EE21" s="108"/>
      <c r="EF21" s="108"/>
      <c r="EG21" s="108"/>
      <c r="EH21" s="108"/>
      <c r="EI21" s="108"/>
      <c r="EJ21" s="108"/>
      <c r="EK21" s="108"/>
      <c r="EL21" s="108"/>
      <c r="EM21" s="108"/>
      <c r="EN21" s="108"/>
      <c r="EO21" s="108"/>
      <c r="EP21" s="108"/>
      <c r="EQ21" s="108"/>
      <c r="ER21" s="108"/>
      <c r="ES21" s="108"/>
      <c r="ET21" s="108"/>
      <c r="EU21" s="108"/>
      <c r="EV21" s="108"/>
      <c r="EW21" s="108"/>
      <c r="EX21" s="108"/>
      <c r="EY21" s="108"/>
      <c r="EZ21" s="108"/>
      <c r="FA21" s="108"/>
      <c r="FB21" s="108"/>
      <c r="FC21" s="108"/>
      <c r="FD21" s="108"/>
      <c r="FE21" s="108"/>
      <c r="FF21" s="108"/>
      <c r="FG21" s="108"/>
      <c r="FH21" s="108"/>
      <c r="FI21" s="108"/>
      <c r="FJ21" s="108"/>
      <c r="FK21" s="108"/>
      <c r="FL21" s="108"/>
      <c r="FM21" s="108"/>
      <c r="FN21" s="108"/>
      <c r="FO21" s="108"/>
      <c r="FP21" s="108"/>
      <c r="FQ21" s="108"/>
      <c r="FR21" s="108"/>
      <c r="FS21" s="108"/>
      <c r="FT21" s="108"/>
      <c r="FU21" s="108"/>
      <c r="FV21" s="108"/>
      <c r="FW21" s="108"/>
      <c r="FX21" s="108"/>
      <c r="FY21" s="108"/>
      <c r="FZ21" s="108"/>
      <c r="GA21" s="108"/>
      <c r="GB21" s="108"/>
      <c r="GC21" s="108"/>
      <c r="GD21" s="108"/>
      <c r="GE21" s="108"/>
      <c r="GF21" s="108"/>
      <c r="GG21" s="108"/>
      <c r="GH21" s="108"/>
      <c r="GI21" s="108"/>
      <c r="GJ21" s="108"/>
      <c r="GK21" s="108"/>
      <c r="GL21" s="108"/>
      <c r="GM21" s="108"/>
      <c r="GN21" s="108"/>
      <c r="GO21" s="108"/>
      <c r="GP21" s="108"/>
      <c r="GQ21" s="108"/>
      <c r="GR21" s="108"/>
      <c r="GS21" s="108"/>
      <c r="GT21" s="108"/>
      <c r="GU21" s="108"/>
      <c r="GV21" s="108"/>
      <c r="GW21" s="108"/>
      <c r="GX21" s="108"/>
      <c r="GY21" s="108"/>
      <c r="GZ21" s="108"/>
      <c r="HA21" s="108"/>
      <c r="HB21" s="108"/>
      <c r="HC21" s="108"/>
      <c r="HD21" s="108"/>
      <c r="HE21" s="108"/>
      <c r="HF21" s="108"/>
      <c r="HG21" s="108"/>
      <c r="HH21" s="108"/>
      <c r="HI21" s="108"/>
      <c r="HJ21" s="108"/>
      <c r="HK21" s="108"/>
      <c r="HL21" s="108"/>
      <c r="HM21" s="108"/>
      <c r="HN21" s="108"/>
      <c r="HO21" s="108"/>
      <c r="HP21" s="108"/>
      <c r="HQ21" s="108"/>
      <c r="HR21" s="108"/>
      <c r="HS21" s="108"/>
      <c r="HT21" s="108"/>
      <c r="HU21" s="108"/>
      <c r="HV21" s="108"/>
      <c r="HW21" s="108"/>
      <c r="HX21" s="108"/>
      <c r="HY21" s="108"/>
      <c r="HZ21" s="108"/>
      <c r="IA21" s="108"/>
      <c r="IB21" s="108"/>
      <c r="IC21" s="108"/>
      <c r="ID21" s="108"/>
      <c r="IE21" s="108"/>
      <c r="IF21" s="108"/>
      <c r="IG21" s="108"/>
      <c r="IH21" s="108"/>
      <c r="II21" s="108"/>
      <c r="IJ21" s="108"/>
      <c r="IK21" s="108"/>
      <c r="IL21" s="108"/>
      <c r="IM21" s="108"/>
      <c r="IN21" s="108"/>
      <c r="IO21" s="108"/>
      <c r="IP21" s="108"/>
      <c r="IQ21" s="108"/>
      <c r="IR21" s="108"/>
      <c r="IS21" s="108"/>
      <c r="IT21" s="108"/>
      <c r="IU21" s="108"/>
      <c r="IV21" s="108"/>
      <c r="IW21" s="108"/>
    </row>
    <row r="22" spans="1:257" ht="15" thickBot="1" x14ac:dyDescent="0.35">
      <c r="A22" s="158"/>
      <c r="B22" s="113" t="str">
        <f>'Sensitivity analysis'!B181</f>
        <v>AGA among term normal birth weight infants</v>
      </c>
      <c r="C22" s="170">
        <f>'Sensitivity analysis'!D181</f>
        <v>-241975.22258393143</v>
      </c>
      <c r="D22" s="171">
        <f>'Sensitivity analysis'!F181</f>
        <v>-239694.84429313315</v>
      </c>
      <c r="E22" s="172">
        <f t="shared" si="0"/>
        <v>2280.3782907982823</v>
      </c>
      <c r="F22" s="158"/>
      <c r="G22" s="158"/>
      <c r="H22" s="158"/>
      <c r="I22" s="184" t="s">
        <v>806</v>
      </c>
      <c r="J22" s="170">
        <v>-252641.29999125088</v>
      </c>
      <c r="K22" s="175">
        <v>-227399.33251336243</v>
      </c>
      <c r="L22" s="172">
        <v>25241.967477888451</v>
      </c>
      <c r="M22" s="158"/>
      <c r="N22" s="158"/>
      <c r="O22" s="108"/>
      <c r="P22" s="108"/>
      <c r="Q22" s="108"/>
      <c r="R22" s="108"/>
      <c r="S22" s="108"/>
      <c r="T22" s="108"/>
      <c r="U22" s="108"/>
      <c r="V22" s="108"/>
      <c r="W22" s="108"/>
      <c r="X22" s="108"/>
      <c r="Y22" s="108"/>
      <c r="Z22" s="108"/>
      <c r="AA22" s="108"/>
      <c r="AB22" s="108"/>
      <c r="AC22" s="108"/>
      <c r="AD22" s="108"/>
      <c r="AE22" s="108"/>
      <c r="AF22" s="108"/>
      <c r="AG22" s="108"/>
      <c r="AH22" s="108"/>
      <c r="AI22" s="108"/>
      <c r="AJ22" s="108"/>
      <c r="AK22" s="108"/>
      <c r="AL22" s="108"/>
      <c r="AM22" s="108"/>
      <c r="AN22" s="108"/>
      <c r="AO22" s="108"/>
      <c r="AP22" s="108"/>
      <c r="AQ22" s="108"/>
      <c r="AR22" s="108"/>
      <c r="AS22" s="108"/>
      <c r="AT22" s="108"/>
      <c r="AU22" s="108"/>
      <c r="AV22" s="108"/>
      <c r="AW22" s="108"/>
      <c r="AX22" s="108"/>
      <c r="AY22" s="108"/>
      <c r="AZ22" s="108"/>
      <c r="BA22" s="108"/>
      <c r="BB22" s="108"/>
      <c r="BC22" s="108"/>
      <c r="BD22" s="108"/>
      <c r="BE22" s="108"/>
      <c r="BF22" s="108"/>
      <c r="BG22" s="108"/>
      <c r="BH22" s="108"/>
      <c r="BI22" s="108"/>
      <c r="BJ22" s="108"/>
      <c r="BK22" s="108"/>
      <c r="BL22" s="108"/>
      <c r="BM22" s="108"/>
      <c r="BN22" s="108"/>
      <c r="BO22" s="108"/>
      <c r="BP22" s="108"/>
      <c r="BQ22" s="108"/>
      <c r="BR22" s="108"/>
      <c r="BS22" s="108"/>
      <c r="BT22" s="108"/>
      <c r="BU22" s="108"/>
      <c r="BV22" s="108"/>
      <c r="BW22" s="108"/>
      <c r="BX22" s="108"/>
      <c r="BY22" s="108"/>
      <c r="BZ22" s="108"/>
      <c r="CA22" s="108"/>
      <c r="CB22" s="108"/>
      <c r="CC22" s="108"/>
      <c r="CD22" s="108"/>
      <c r="CE22" s="108"/>
      <c r="CF22" s="108"/>
      <c r="CG22" s="108"/>
      <c r="CH22" s="108"/>
      <c r="CI22" s="108"/>
      <c r="CJ22" s="108"/>
      <c r="CK22" s="108"/>
      <c r="CL22" s="108"/>
      <c r="CM22" s="108"/>
      <c r="CN22" s="108"/>
      <c r="CO22" s="108"/>
      <c r="CP22" s="108"/>
      <c r="CQ22" s="108"/>
      <c r="CR22" s="108"/>
      <c r="CS22" s="108"/>
      <c r="CT22" s="108"/>
      <c r="CU22" s="108"/>
      <c r="CV22" s="108"/>
      <c r="CW22" s="108"/>
      <c r="CX22" s="108"/>
      <c r="CY22" s="108"/>
      <c r="CZ22" s="108"/>
      <c r="DA22" s="108"/>
      <c r="DB22" s="108"/>
      <c r="DC22" s="108"/>
      <c r="DD22" s="108"/>
      <c r="DE22" s="108"/>
      <c r="DF22" s="108"/>
      <c r="DG22" s="108"/>
      <c r="DH22" s="108"/>
      <c r="DI22" s="108"/>
      <c r="DJ22" s="108"/>
      <c r="DK22" s="108"/>
      <c r="DL22" s="108"/>
      <c r="DM22" s="108"/>
      <c r="DN22" s="108"/>
      <c r="DO22" s="108"/>
      <c r="DP22" s="108"/>
      <c r="DQ22" s="108"/>
      <c r="DR22" s="108"/>
      <c r="DS22" s="108"/>
      <c r="DT22" s="108"/>
      <c r="DU22" s="108"/>
      <c r="DV22" s="108"/>
      <c r="DW22" s="108"/>
      <c r="DX22" s="108"/>
      <c r="DY22" s="108"/>
      <c r="DZ22" s="108"/>
      <c r="EA22" s="108"/>
      <c r="EB22" s="108"/>
      <c r="EC22" s="108"/>
      <c r="ED22" s="108"/>
      <c r="EE22" s="108"/>
      <c r="EF22" s="108"/>
      <c r="EG22" s="108"/>
      <c r="EH22" s="108"/>
      <c r="EI22" s="108"/>
      <c r="EJ22" s="108"/>
      <c r="EK22" s="108"/>
      <c r="EL22" s="108"/>
      <c r="EM22" s="108"/>
      <c r="EN22" s="108"/>
      <c r="EO22" s="108"/>
      <c r="EP22" s="108"/>
      <c r="EQ22" s="108"/>
      <c r="ER22" s="108"/>
      <c r="ES22" s="108"/>
      <c r="ET22" s="108"/>
      <c r="EU22" s="108"/>
      <c r="EV22" s="108"/>
      <c r="EW22" s="108"/>
      <c r="EX22" s="108"/>
      <c r="EY22" s="108"/>
      <c r="EZ22" s="108"/>
      <c r="FA22" s="108"/>
      <c r="FB22" s="108"/>
      <c r="FC22" s="108"/>
      <c r="FD22" s="108"/>
      <c r="FE22" s="108"/>
      <c r="FF22" s="108"/>
      <c r="FG22" s="108"/>
      <c r="FH22" s="108"/>
      <c r="FI22" s="108"/>
      <c r="FJ22" s="108"/>
      <c r="FK22" s="108"/>
      <c r="FL22" s="108"/>
      <c r="FM22" s="108"/>
      <c r="FN22" s="108"/>
      <c r="FO22" s="108"/>
      <c r="FP22" s="108"/>
      <c r="FQ22" s="108"/>
      <c r="FR22" s="108"/>
      <c r="FS22" s="108"/>
      <c r="FT22" s="108"/>
      <c r="FU22" s="108"/>
      <c r="FV22" s="108"/>
      <c r="FW22" s="108"/>
      <c r="FX22" s="108"/>
      <c r="FY22" s="108"/>
      <c r="FZ22" s="108"/>
      <c r="GA22" s="108"/>
      <c r="GB22" s="108"/>
      <c r="GC22" s="108"/>
      <c r="GD22" s="108"/>
      <c r="GE22" s="108"/>
      <c r="GF22" s="108"/>
      <c r="GG22" s="108"/>
      <c r="GH22" s="108"/>
      <c r="GI22" s="108"/>
      <c r="GJ22" s="108"/>
      <c r="GK22" s="108"/>
      <c r="GL22" s="108"/>
      <c r="GM22" s="108"/>
      <c r="GN22" s="108"/>
      <c r="GO22" s="108"/>
      <c r="GP22" s="108"/>
      <c r="GQ22" s="108"/>
      <c r="GR22" s="108"/>
      <c r="GS22" s="108"/>
      <c r="GT22" s="108"/>
      <c r="GU22" s="108"/>
      <c r="GV22" s="108"/>
      <c r="GW22" s="108"/>
      <c r="GX22" s="108"/>
      <c r="GY22" s="108"/>
      <c r="GZ22" s="108"/>
      <c r="HA22" s="108"/>
      <c r="HB22" s="108"/>
      <c r="HC22" s="108"/>
      <c r="HD22" s="108"/>
      <c r="HE22" s="108"/>
      <c r="HF22" s="108"/>
      <c r="HG22" s="108"/>
      <c r="HH22" s="108"/>
      <c r="HI22" s="108"/>
      <c r="HJ22" s="108"/>
      <c r="HK22" s="108"/>
      <c r="HL22" s="108"/>
      <c r="HM22" s="108"/>
      <c r="HN22" s="108"/>
      <c r="HO22" s="108"/>
      <c r="HP22" s="108"/>
      <c r="HQ22" s="108"/>
      <c r="HR22" s="108"/>
      <c r="HS22" s="108"/>
      <c r="HT22" s="108"/>
      <c r="HU22" s="108"/>
      <c r="HV22" s="108"/>
      <c r="HW22" s="108"/>
      <c r="HX22" s="108"/>
      <c r="HY22" s="108"/>
      <c r="HZ22" s="108"/>
      <c r="IA22" s="108"/>
      <c r="IB22" s="108"/>
      <c r="IC22" s="108"/>
      <c r="ID22" s="108"/>
      <c r="IE22" s="108"/>
      <c r="IF22" s="108"/>
      <c r="IG22" s="108"/>
      <c r="IH22" s="108"/>
      <c r="II22" s="108"/>
      <c r="IJ22" s="108"/>
      <c r="IK22" s="108"/>
      <c r="IL22" s="108"/>
      <c r="IM22" s="108"/>
      <c r="IN22" s="108"/>
      <c r="IO22" s="108"/>
      <c r="IP22" s="108"/>
      <c r="IQ22" s="108"/>
      <c r="IR22" s="108"/>
      <c r="IS22" s="108"/>
      <c r="IT22" s="108"/>
      <c r="IU22" s="108"/>
      <c r="IV22" s="108"/>
      <c r="IW22" s="108"/>
    </row>
    <row r="23" spans="1:257" ht="15" thickBot="1" x14ac:dyDescent="0.35">
      <c r="A23" s="158"/>
      <c r="B23" s="113" t="str">
        <f>'Sensitivity analysis'!B182</f>
        <v>Death among preterm SGA infants</v>
      </c>
      <c r="C23" s="170">
        <f>'Sensitivity analysis'!D182</f>
        <v>-291647.70608759526</v>
      </c>
      <c r="D23" s="171">
        <f>'Sensitivity analysis'!F182</f>
        <v>-204951.48347598288</v>
      </c>
      <c r="E23" s="172">
        <f t="shared" si="0"/>
        <v>86696.222611612378</v>
      </c>
      <c r="F23" s="158"/>
      <c r="G23" s="158"/>
      <c r="H23" s="158"/>
      <c r="I23" s="176" t="s">
        <v>787</v>
      </c>
      <c r="J23" s="170">
        <v>-252739.02798609648</v>
      </c>
      <c r="K23" s="171">
        <v>-228121.08194292747</v>
      </c>
      <c r="L23" s="172">
        <v>24617.946043169009</v>
      </c>
      <c r="M23" s="158"/>
      <c r="N23" s="158"/>
      <c r="O23" s="108"/>
      <c r="P23" s="108"/>
      <c r="Q23" s="108"/>
      <c r="R23" s="108"/>
      <c r="S23" s="108"/>
      <c r="T23" s="108"/>
      <c r="U23" s="108"/>
      <c r="V23" s="108"/>
      <c r="W23" s="108"/>
      <c r="X23" s="108"/>
      <c r="Y23" s="108"/>
      <c r="Z23" s="108"/>
      <c r="AA23" s="108"/>
      <c r="AB23" s="108"/>
      <c r="AC23" s="108"/>
      <c r="AD23" s="108"/>
      <c r="AE23" s="108"/>
      <c r="AF23" s="108"/>
      <c r="AG23" s="108"/>
      <c r="AH23" s="108"/>
      <c r="AI23" s="108"/>
      <c r="AJ23" s="108"/>
      <c r="AK23" s="108"/>
      <c r="AL23" s="108"/>
      <c r="AM23" s="108"/>
      <c r="AN23" s="108"/>
      <c r="AO23" s="108"/>
      <c r="AP23" s="108"/>
      <c r="AQ23" s="108"/>
      <c r="AR23" s="108"/>
      <c r="AS23" s="108"/>
      <c r="AT23" s="108"/>
      <c r="AU23" s="108"/>
      <c r="AV23" s="108"/>
      <c r="AW23" s="108"/>
      <c r="AX23" s="108"/>
      <c r="AY23" s="108"/>
      <c r="AZ23" s="108"/>
      <c r="BA23" s="108"/>
      <c r="BB23" s="108"/>
      <c r="BC23" s="108"/>
      <c r="BD23" s="108"/>
      <c r="BE23" s="108"/>
      <c r="BF23" s="108"/>
      <c r="BG23" s="108"/>
      <c r="BH23" s="108"/>
      <c r="BI23" s="108"/>
      <c r="BJ23" s="108"/>
      <c r="BK23" s="108"/>
      <c r="BL23" s="108"/>
      <c r="BM23" s="108"/>
      <c r="BN23" s="108"/>
      <c r="BO23" s="108"/>
      <c r="BP23" s="108"/>
      <c r="BQ23" s="108"/>
      <c r="BR23" s="108"/>
      <c r="BS23" s="108"/>
      <c r="BT23" s="108"/>
      <c r="BU23" s="108"/>
      <c r="BV23" s="108"/>
      <c r="BW23" s="108"/>
      <c r="BX23" s="108"/>
      <c r="BY23" s="108"/>
      <c r="BZ23" s="108"/>
      <c r="CA23" s="108"/>
      <c r="CB23" s="108"/>
      <c r="CC23" s="108"/>
      <c r="CD23" s="108"/>
      <c r="CE23" s="108"/>
      <c r="CF23" s="108"/>
      <c r="CG23" s="108"/>
      <c r="CH23" s="108"/>
      <c r="CI23" s="108"/>
      <c r="CJ23" s="108"/>
      <c r="CK23" s="108"/>
      <c r="CL23" s="108"/>
      <c r="CM23" s="108"/>
      <c r="CN23" s="108"/>
      <c r="CO23" s="108"/>
      <c r="CP23" s="108"/>
      <c r="CQ23" s="108"/>
      <c r="CR23" s="108"/>
      <c r="CS23" s="108"/>
      <c r="CT23" s="108"/>
      <c r="CU23" s="108"/>
      <c r="CV23" s="108"/>
      <c r="CW23" s="108"/>
      <c r="CX23" s="108"/>
      <c r="CY23" s="108"/>
      <c r="CZ23" s="108"/>
      <c r="DA23" s="108"/>
      <c r="DB23" s="108"/>
      <c r="DC23" s="108"/>
      <c r="DD23" s="108"/>
      <c r="DE23" s="108"/>
      <c r="DF23" s="108"/>
      <c r="DG23" s="108"/>
      <c r="DH23" s="108"/>
      <c r="DI23" s="108"/>
      <c r="DJ23" s="108"/>
      <c r="DK23" s="108"/>
      <c r="DL23" s="108"/>
      <c r="DM23" s="108"/>
      <c r="DN23" s="108"/>
      <c r="DO23" s="108"/>
      <c r="DP23" s="108"/>
      <c r="DQ23" s="108"/>
      <c r="DR23" s="108"/>
      <c r="DS23" s="108"/>
      <c r="DT23" s="108"/>
      <c r="DU23" s="108"/>
      <c r="DV23" s="108"/>
      <c r="DW23" s="108"/>
      <c r="DX23" s="108"/>
      <c r="DY23" s="108"/>
      <c r="DZ23" s="108"/>
      <c r="EA23" s="108"/>
      <c r="EB23" s="108"/>
      <c r="EC23" s="108"/>
      <c r="ED23" s="108"/>
      <c r="EE23" s="108"/>
      <c r="EF23" s="108"/>
      <c r="EG23" s="108"/>
      <c r="EH23" s="108"/>
      <c r="EI23" s="108"/>
      <c r="EJ23" s="108"/>
      <c r="EK23" s="108"/>
      <c r="EL23" s="108"/>
      <c r="EM23" s="108"/>
      <c r="EN23" s="108"/>
      <c r="EO23" s="108"/>
      <c r="EP23" s="108"/>
      <c r="EQ23" s="108"/>
      <c r="ER23" s="108"/>
      <c r="ES23" s="108"/>
      <c r="ET23" s="108"/>
      <c r="EU23" s="108"/>
      <c r="EV23" s="108"/>
      <c r="EW23" s="108"/>
      <c r="EX23" s="108"/>
      <c r="EY23" s="108"/>
      <c r="EZ23" s="108"/>
      <c r="FA23" s="108"/>
      <c r="FB23" s="108"/>
      <c r="FC23" s="108"/>
      <c r="FD23" s="108"/>
      <c r="FE23" s="108"/>
      <c r="FF23" s="108"/>
      <c r="FG23" s="108"/>
      <c r="FH23" s="108"/>
      <c r="FI23" s="108"/>
      <c r="FJ23" s="108"/>
      <c r="FK23" s="108"/>
      <c r="FL23" s="108"/>
      <c r="FM23" s="108"/>
      <c r="FN23" s="108"/>
      <c r="FO23" s="108"/>
      <c r="FP23" s="108"/>
      <c r="FQ23" s="108"/>
      <c r="FR23" s="108"/>
      <c r="FS23" s="108"/>
      <c r="FT23" s="108"/>
      <c r="FU23" s="108"/>
      <c r="FV23" s="108"/>
      <c r="FW23" s="108"/>
      <c r="FX23" s="108"/>
      <c r="FY23" s="108"/>
      <c r="FZ23" s="108"/>
      <c r="GA23" s="108"/>
      <c r="GB23" s="108"/>
      <c r="GC23" s="108"/>
      <c r="GD23" s="108"/>
      <c r="GE23" s="108"/>
      <c r="GF23" s="108"/>
      <c r="GG23" s="108"/>
      <c r="GH23" s="108"/>
      <c r="GI23" s="108"/>
      <c r="GJ23" s="108"/>
      <c r="GK23" s="108"/>
      <c r="GL23" s="108"/>
      <c r="GM23" s="108"/>
      <c r="GN23" s="108"/>
      <c r="GO23" s="108"/>
      <c r="GP23" s="108"/>
      <c r="GQ23" s="108"/>
      <c r="GR23" s="108"/>
      <c r="GS23" s="108"/>
      <c r="GT23" s="108"/>
      <c r="GU23" s="108"/>
      <c r="GV23" s="108"/>
      <c r="GW23" s="108"/>
      <c r="GX23" s="108"/>
      <c r="GY23" s="108"/>
      <c r="GZ23" s="108"/>
      <c r="HA23" s="108"/>
      <c r="HB23" s="108"/>
      <c r="HC23" s="108"/>
      <c r="HD23" s="108"/>
      <c r="HE23" s="108"/>
      <c r="HF23" s="108"/>
      <c r="HG23" s="108"/>
      <c r="HH23" s="108"/>
      <c r="HI23" s="108"/>
      <c r="HJ23" s="108"/>
      <c r="HK23" s="108"/>
      <c r="HL23" s="108"/>
      <c r="HM23" s="108"/>
      <c r="HN23" s="108"/>
      <c r="HO23" s="108"/>
      <c r="HP23" s="108"/>
      <c r="HQ23" s="108"/>
      <c r="HR23" s="108"/>
      <c r="HS23" s="108"/>
      <c r="HT23" s="108"/>
      <c r="HU23" s="108"/>
      <c r="HV23" s="108"/>
      <c r="HW23" s="108"/>
      <c r="HX23" s="108"/>
      <c r="HY23" s="108"/>
      <c r="HZ23" s="108"/>
      <c r="IA23" s="108"/>
      <c r="IB23" s="108"/>
      <c r="IC23" s="108"/>
      <c r="ID23" s="108"/>
      <c r="IE23" s="108"/>
      <c r="IF23" s="108"/>
      <c r="IG23" s="108"/>
      <c r="IH23" s="108"/>
      <c r="II23" s="108"/>
      <c r="IJ23" s="108"/>
      <c r="IK23" s="108"/>
      <c r="IL23" s="108"/>
      <c r="IM23" s="108"/>
      <c r="IN23" s="108"/>
      <c r="IO23" s="108"/>
      <c r="IP23" s="108"/>
      <c r="IQ23" s="108"/>
      <c r="IR23" s="108"/>
      <c r="IS23" s="108"/>
      <c r="IT23" s="108"/>
      <c r="IU23" s="108"/>
      <c r="IV23" s="108"/>
      <c r="IW23" s="108"/>
    </row>
    <row r="24" spans="1:257" ht="15" thickBot="1" x14ac:dyDescent="0.35">
      <c r="A24" s="158"/>
      <c r="B24" s="113" t="str">
        <f>'Sensitivity analysis'!B183</f>
        <v>Death among term SGA infants</v>
      </c>
      <c r="C24" s="170">
        <f>'Sensitivity analysis'!D183</f>
        <v>-268914.58610774338</v>
      </c>
      <c r="D24" s="171">
        <f>'Sensitivity analysis'!F183</f>
        <v>-217973.11759919606</v>
      </c>
      <c r="E24" s="172">
        <f t="shared" si="0"/>
        <v>50941.468508547317</v>
      </c>
      <c r="F24" s="158"/>
      <c r="G24" s="158"/>
      <c r="H24" s="158"/>
      <c r="I24" s="176" t="s">
        <v>803</v>
      </c>
      <c r="J24" s="170">
        <v>-252560.70794827366</v>
      </c>
      <c r="K24" s="171">
        <v>-231131.55618180562</v>
      </c>
      <c r="L24" s="172">
        <v>21429.151766468043</v>
      </c>
      <c r="M24" s="158"/>
      <c r="N24" s="158"/>
      <c r="O24" s="108"/>
      <c r="P24" s="108"/>
      <c r="Q24" s="108"/>
      <c r="R24" s="108"/>
      <c r="S24" s="108"/>
      <c r="T24" s="108"/>
      <c r="U24" s="108"/>
      <c r="V24" s="108"/>
      <c r="W24" s="108"/>
      <c r="X24" s="108"/>
      <c r="Y24" s="108"/>
      <c r="Z24" s="108"/>
      <c r="AA24" s="108"/>
      <c r="AB24" s="108"/>
      <c r="AC24" s="108"/>
      <c r="AD24" s="108"/>
      <c r="AE24" s="108"/>
      <c r="AF24" s="108"/>
      <c r="AG24" s="108"/>
      <c r="AH24" s="108"/>
      <c r="AI24" s="108"/>
      <c r="AJ24" s="108"/>
      <c r="AK24" s="108"/>
      <c r="AL24" s="108"/>
      <c r="AM24" s="108"/>
      <c r="AN24" s="108"/>
      <c r="AO24" s="108"/>
      <c r="AP24" s="108"/>
      <c r="AQ24" s="108"/>
      <c r="AR24" s="108"/>
      <c r="AS24" s="108"/>
      <c r="AT24" s="108"/>
      <c r="AU24" s="108"/>
      <c r="AV24" s="108"/>
      <c r="AW24" s="108"/>
      <c r="AX24" s="108"/>
      <c r="AY24" s="108"/>
      <c r="AZ24" s="108"/>
      <c r="BA24" s="108"/>
      <c r="BB24" s="108"/>
      <c r="BC24" s="108"/>
      <c r="BD24" s="108"/>
      <c r="BE24" s="108"/>
      <c r="BF24" s="108"/>
      <c r="BG24" s="108"/>
      <c r="BH24" s="108"/>
      <c r="BI24" s="108"/>
      <c r="BJ24" s="108"/>
      <c r="BK24" s="108"/>
      <c r="BL24" s="108"/>
      <c r="BM24" s="108"/>
      <c r="BN24" s="108"/>
      <c r="BO24" s="108"/>
      <c r="BP24" s="108"/>
      <c r="BQ24" s="108"/>
      <c r="BR24" s="108"/>
      <c r="BS24" s="108"/>
      <c r="BT24" s="108"/>
      <c r="BU24" s="108"/>
      <c r="BV24" s="108"/>
      <c r="BW24" s="108"/>
      <c r="BX24" s="108"/>
      <c r="BY24" s="108"/>
      <c r="BZ24" s="108"/>
      <c r="CA24" s="108"/>
      <c r="CB24" s="108"/>
      <c r="CC24" s="108"/>
      <c r="CD24" s="108"/>
      <c r="CE24" s="108"/>
      <c r="CF24" s="108"/>
      <c r="CG24" s="108"/>
      <c r="CH24" s="108"/>
      <c r="CI24" s="108"/>
      <c r="CJ24" s="108"/>
      <c r="CK24" s="108"/>
      <c r="CL24" s="108"/>
      <c r="CM24" s="108"/>
      <c r="CN24" s="108"/>
      <c r="CO24" s="108"/>
      <c r="CP24" s="108"/>
      <c r="CQ24" s="108"/>
      <c r="CR24" s="108"/>
      <c r="CS24" s="108"/>
      <c r="CT24" s="108"/>
      <c r="CU24" s="108"/>
      <c r="CV24" s="108"/>
      <c r="CW24" s="108"/>
      <c r="CX24" s="108"/>
      <c r="CY24" s="108"/>
      <c r="CZ24" s="108"/>
      <c r="DA24" s="108"/>
      <c r="DB24" s="108"/>
      <c r="DC24" s="108"/>
      <c r="DD24" s="108"/>
      <c r="DE24" s="108"/>
      <c r="DF24" s="108"/>
      <c r="DG24" s="108"/>
      <c r="DH24" s="108"/>
      <c r="DI24" s="108"/>
      <c r="DJ24" s="108"/>
      <c r="DK24" s="108"/>
      <c r="DL24" s="108"/>
      <c r="DM24" s="108"/>
      <c r="DN24" s="108"/>
      <c r="DO24" s="108"/>
      <c r="DP24" s="108"/>
      <c r="DQ24" s="108"/>
      <c r="DR24" s="108"/>
      <c r="DS24" s="108"/>
      <c r="DT24" s="108"/>
      <c r="DU24" s="108"/>
      <c r="DV24" s="108"/>
      <c r="DW24" s="108"/>
      <c r="DX24" s="108"/>
      <c r="DY24" s="108"/>
      <c r="DZ24" s="108"/>
      <c r="EA24" s="108"/>
      <c r="EB24" s="108"/>
      <c r="EC24" s="108"/>
      <c r="ED24" s="108"/>
      <c r="EE24" s="108"/>
      <c r="EF24" s="108"/>
      <c r="EG24" s="108"/>
      <c r="EH24" s="108"/>
      <c r="EI24" s="108"/>
      <c r="EJ24" s="108"/>
      <c r="EK24" s="108"/>
      <c r="EL24" s="108"/>
      <c r="EM24" s="108"/>
      <c r="EN24" s="108"/>
      <c r="EO24" s="108"/>
      <c r="EP24" s="108"/>
      <c r="EQ24" s="108"/>
      <c r="ER24" s="108"/>
      <c r="ES24" s="108"/>
      <c r="ET24" s="108"/>
      <c r="EU24" s="108"/>
      <c r="EV24" s="108"/>
      <c r="EW24" s="108"/>
      <c r="EX24" s="108"/>
      <c r="EY24" s="108"/>
      <c r="EZ24" s="108"/>
      <c r="FA24" s="108"/>
      <c r="FB24" s="108"/>
      <c r="FC24" s="108"/>
      <c r="FD24" s="108"/>
      <c r="FE24" s="108"/>
      <c r="FF24" s="108"/>
      <c r="FG24" s="108"/>
      <c r="FH24" s="108"/>
      <c r="FI24" s="108"/>
      <c r="FJ24" s="108"/>
      <c r="FK24" s="108"/>
      <c r="FL24" s="108"/>
      <c r="FM24" s="108"/>
      <c r="FN24" s="108"/>
      <c r="FO24" s="108"/>
      <c r="FP24" s="108"/>
      <c r="FQ24" s="108"/>
      <c r="FR24" s="108"/>
      <c r="FS24" s="108"/>
      <c r="FT24" s="108"/>
      <c r="FU24" s="108"/>
      <c r="FV24" s="108"/>
      <c r="FW24" s="108"/>
      <c r="FX24" s="108"/>
      <c r="FY24" s="108"/>
      <c r="FZ24" s="108"/>
      <c r="GA24" s="108"/>
      <c r="GB24" s="108"/>
      <c r="GC24" s="108"/>
      <c r="GD24" s="108"/>
      <c r="GE24" s="108"/>
      <c r="GF24" s="108"/>
      <c r="GG24" s="108"/>
      <c r="GH24" s="108"/>
      <c r="GI24" s="108"/>
      <c r="GJ24" s="108"/>
      <c r="GK24" s="108"/>
      <c r="GL24" s="108"/>
      <c r="GM24" s="108"/>
      <c r="GN24" s="108"/>
      <c r="GO24" s="108"/>
      <c r="GP24" s="108"/>
      <c r="GQ24" s="108"/>
      <c r="GR24" s="108"/>
      <c r="GS24" s="108"/>
      <c r="GT24" s="108"/>
      <c r="GU24" s="108"/>
      <c r="GV24" s="108"/>
      <c r="GW24" s="108"/>
      <c r="GX24" s="108"/>
      <c r="GY24" s="108"/>
      <c r="GZ24" s="108"/>
      <c r="HA24" s="108"/>
      <c r="HB24" s="108"/>
      <c r="HC24" s="108"/>
      <c r="HD24" s="108"/>
      <c r="HE24" s="108"/>
      <c r="HF24" s="108"/>
      <c r="HG24" s="108"/>
      <c r="HH24" s="108"/>
      <c r="HI24" s="108"/>
      <c r="HJ24" s="108"/>
      <c r="HK24" s="108"/>
      <c r="HL24" s="108"/>
      <c r="HM24" s="108"/>
      <c r="HN24" s="108"/>
      <c r="HO24" s="108"/>
      <c r="HP24" s="108"/>
      <c r="HQ24" s="108"/>
      <c r="HR24" s="108"/>
      <c r="HS24" s="108"/>
      <c r="HT24" s="108"/>
      <c r="HU24" s="108"/>
      <c r="HV24" s="108"/>
      <c r="HW24" s="108"/>
      <c r="HX24" s="108"/>
      <c r="HY24" s="108"/>
      <c r="HZ24" s="108"/>
      <c r="IA24" s="108"/>
      <c r="IB24" s="108"/>
      <c r="IC24" s="108"/>
      <c r="ID24" s="108"/>
      <c r="IE24" s="108"/>
      <c r="IF24" s="108"/>
      <c r="IG24" s="108"/>
      <c r="IH24" s="108"/>
      <c r="II24" s="108"/>
      <c r="IJ24" s="108"/>
      <c r="IK24" s="108"/>
      <c r="IL24" s="108"/>
      <c r="IM24" s="108"/>
      <c r="IN24" s="108"/>
      <c r="IO24" s="108"/>
      <c r="IP24" s="108"/>
      <c r="IQ24" s="108"/>
      <c r="IR24" s="108"/>
      <c r="IS24" s="108"/>
      <c r="IT24" s="108"/>
      <c r="IU24" s="108"/>
      <c r="IV24" s="108"/>
      <c r="IW24" s="108"/>
    </row>
    <row r="25" spans="1:257" ht="15" thickBot="1" x14ac:dyDescent="0.35">
      <c r="A25" s="158"/>
      <c r="B25" s="113" t="str">
        <f>'Sensitivity analysis'!B184</f>
        <v>Death among preterm AGA infants</v>
      </c>
      <c r="C25" s="170">
        <f>'Sensitivity analysis'!D184</f>
        <v>-256323.93342968877</v>
      </c>
      <c r="D25" s="171">
        <f>'Sensitivity analysis'!F184</f>
        <v>-227018.21649344172</v>
      </c>
      <c r="E25" s="172">
        <f t="shared" si="0"/>
        <v>29305.716936247045</v>
      </c>
      <c r="F25" s="158"/>
      <c r="G25" s="158"/>
      <c r="H25" s="158"/>
      <c r="I25" s="184" t="s">
        <v>825</v>
      </c>
      <c r="J25" s="174">
        <v>-249672.71262958451</v>
      </c>
      <c r="K25" s="171">
        <v>-231907.36720877906</v>
      </c>
      <c r="L25" s="172">
        <v>17765.345420805446</v>
      </c>
      <c r="M25" s="158"/>
      <c r="N25" s="158"/>
      <c r="O25" s="108"/>
      <c r="P25" s="108"/>
      <c r="Q25" s="108"/>
      <c r="R25" s="108"/>
      <c r="S25" s="108"/>
      <c r="T25" s="108"/>
      <c r="U25" s="108"/>
      <c r="V25" s="108"/>
      <c r="W25" s="108"/>
      <c r="X25" s="108"/>
      <c r="Y25" s="108"/>
      <c r="Z25" s="108"/>
      <c r="AA25" s="108"/>
      <c r="AB25" s="108"/>
      <c r="AC25" s="108"/>
      <c r="AD25" s="108"/>
      <c r="AE25" s="108"/>
      <c r="AF25" s="108"/>
      <c r="AG25" s="108"/>
      <c r="AH25" s="108"/>
      <c r="AI25" s="108"/>
      <c r="AJ25" s="108"/>
      <c r="AK25" s="108"/>
      <c r="AL25" s="108"/>
      <c r="AM25" s="108"/>
      <c r="AN25" s="108"/>
      <c r="AO25" s="108"/>
      <c r="AP25" s="108"/>
      <c r="AQ25" s="108"/>
      <c r="AR25" s="108"/>
      <c r="AS25" s="108"/>
      <c r="AT25" s="108"/>
      <c r="AU25" s="108"/>
      <c r="AV25" s="108"/>
      <c r="AW25" s="108"/>
      <c r="AX25" s="108"/>
      <c r="AY25" s="108"/>
      <c r="AZ25" s="108"/>
      <c r="BA25" s="108"/>
      <c r="BB25" s="108"/>
      <c r="BC25" s="108"/>
      <c r="BD25" s="108"/>
      <c r="BE25" s="108"/>
      <c r="BF25" s="108"/>
      <c r="BG25" s="108"/>
      <c r="BH25" s="108"/>
      <c r="BI25" s="108"/>
      <c r="BJ25" s="108"/>
      <c r="BK25" s="108"/>
      <c r="BL25" s="108"/>
      <c r="BM25" s="108"/>
      <c r="BN25" s="108"/>
      <c r="BO25" s="108"/>
      <c r="BP25" s="108"/>
      <c r="BQ25" s="108"/>
      <c r="BR25" s="108"/>
      <c r="BS25" s="108"/>
      <c r="BT25" s="108"/>
      <c r="BU25" s="108"/>
      <c r="BV25" s="108"/>
      <c r="BW25" s="108"/>
      <c r="BX25" s="108"/>
      <c r="BY25" s="108"/>
      <c r="BZ25" s="108"/>
      <c r="CA25" s="108"/>
      <c r="CB25" s="108"/>
      <c r="CC25" s="108"/>
      <c r="CD25" s="108"/>
      <c r="CE25" s="108"/>
      <c r="CF25" s="108"/>
      <c r="CG25" s="108"/>
      <c r="CH25" s="108"/>
      <c r="CI25" s="108"/>
      <c r="CJ25" s="108"/>
      <c r="CK25" s="108"/>
      <c r="CL25" s="108"/>
      <c r="CM25" s="108"/>
      <c r="CN25" s="108"/>
      <c r="CO25" s="108"/>
      <c r="CP25" s="108"/>
      <c r="CQ25" s="108"/>
      <c r="CR25" s="108"/>
      <c r="CS25" s="108"/>
      <c r="CT25" s="108"/>
      <c r="CU25" s="108"/>
      <c r="CV25" s="108"/>
      <c r="CW25" s="108"/>
      <c r="CX25" s="108"/>
      <c r="CY25" s="108"/>
      <c r="CZ25" s="108"/>
      <c r="DA25" s="108"/>
      <c r="DB25" s="108"/>
      <c r="DC25" s="108"/>
      <c r="DD25" s="108"/>
      <c r="DE25" s="108"/>
      <c r="DF25" s="108"/>
      <c r="DG25" s="108"/>
      <c r="DH25" s="108"/>
      <c r="DI25" s="108"/>
      <c r="DJ25" s="108"/>
      <c r="DK25" s="108"/>
      <c r="DL25" s="108"/>
      <c r="DM25" s="108"/>
      <c r="DN25" s="108"/>
      <c r="DO25" s="108"/>
      <c r="DP25" s="108"/>
      <c r="DQ25" s="108"/>
      <c r="DR25" s="108"/>
      <c r="DS25" s="108"/>
      <c r="DT25" s="108"/>
      <c r="DU25" s="108"/>
      <c r="DV25" s="108"/>
      <c r="DW25" s="108"/>
      <c r="DX25" s="108"/>
      <c r="DY25" s="108"/>
      <c r="DZ25" s="108"/>
      <c r="EA25" s="108"/>
      <c r="EB25" s="108"/>
      <c r="EC25" s="108"/>
      <c r="ED25" s="108"/>
      <c r="EE25" s="108"/>
      <c r="EF25" s="108"/>
      <c r="EG25" s="108"/>
      <c r="EH25" s="108"/>
      <c r="EI25" s="108"/>
      <c r="EJ25" s="108"/>
      <c r="EK25" s="108"/>
      <c r="EL25" s="108"/>
      <c r="EM25" s="108"/>
      <c r="EN25" s="108"/>
      <c r="EO25" s="108"/>
      <c r="EP25" s="108"/>
      <c r="EQ25" s="108"/>
      <c r="ER25" s="108"/>
      <c r="ES25" s="108"/>
      <c r="ET25" s="108"/>
      <c r="EU25" s="108"/>
      <c r="EV25" s="108"/>
      <c r="EW25" s="108"/>
      <c r="EX25" s="108"/>
      <c r="EY25" s="108"/>
      <c r="EZ25" s="108"/>
      <c r="FA25" s="108"/>
      <c r="FB25" s="108"/>
      <c r="FC25" s="108"/>
      <c r="FD25" s="108"/>
      <c r="FE25" s="108"/>
      <c r="FF25" s="108"/>
      <c r="FG25" s="108"/>
      <c r="FH25" s="108"/>
      <c r="FI25" s="108"/>
      <c r="FJ25" s="108"/>
      <c r="FK25" s="108"/>
      <c r="FL25" s="108"/>
      <c r="FM25" s="108"/>
      <c r="FN25" s="108"/>
      <c r="FO25" s="108"/>
      <c r="FP25" s="108"/>
      <c r="FQ25" s="108"/>
      <c r="FR25" s="108"/>
      <c r="FS25" s="108"/>
      <c r="FT25" s="108"/>
      <c r="FU25" s="108"/>
      <c r="FV25" s="108"/>
      <c r="FW25" s="108"/>
      <c r="FX25" s="108"/>
      <c r="FY25" s="108"/>
      <c r="FZ25" s="108"/>
      <c r="GA25" s="108"/>
      <c r="GB25" s="108"/>
      <c r="GC25" s="108"/>
      <c r="GD25" s="108"/>
      <c r="GE25" s="108"/>
      <c r="GF25" s="108"/>
      <c r="GG25" s="108"/>
      <c r="GH25" s="108"/>
      <c r="GI25" s="108"/>
      <c r="GJ25" s="108"/>
      <c r="GK25" s="108"/>
      <c r="GL25" s="108"/>
      <c r="GM25" s="108"/>
      <c r="GN25" s="108"/>
      <c r="GO25" s="108"/>
      <c r="GP25" s="108"/>
      <c r="GQ25" s="108"/>
      <c r="GR25" s="108"/>
      <c r="GS25" s="108"/>
      <c r="GT25" s="108"/>
      <c r="GU25" s="108"/>
      <c r="GV25" s="108"/>
      <c r="GW25" s="108"/>
      <c r="GX25" s="108"/>
      <c r="GY25" s="108"/>
      <c r="GZ25" s="108"/>
      <c r="HA25" s="108"/>
      <c r="HB25" s="108"/>
      <c r="HC25" s="108"/>
      <c r="HD25" s="108"/>
      <c r="HE25" s="108"/>
      <c r="HF25" s="108"/>
      <c r="HG25" s="108"/>
      <c r="HH25" s="108"/>
      <c r="HI25" s="108"/>
      <c r="HJ25" s="108"/>
      <c r="HK25" s="108"/>
      <c r="HL25" s="108"/>
      <c r="HM25" s="108"/>
      <c r="HN25" s="108"/>
      <c r="HO25" s="108"/>
      <c r="HP25" s="108"/>
      <c r="HQ25" s="108"/>
      <c r="HR25" s="108"/>
      <c r="HS25" s="108"/>
      <c r="HT25" s="108"/>
      <c r="HU25" s="108"/>
      <c r="HV25" s="108"/>
      <c r="HW25" s="108"/>
      <c r="HX25" s="108"/>
      <c r="HY25" s="108"/>
      <c r="HZ25" s="108"/>
      <c r="IA25" s="108"/>
      <c r="IB25" s="108"/>
      <c r="IC25" s="108"/>
      <c r="ID25" s="108"/>
      <c r="IE25" s="108"/>
      <c r="IF25" s="108"/>
      <c r="IG25" s="108"/>
      <c r="IH25" s="108"/>
      <c r="II25" s="108"/>
      <c r="IJ25" s="108"/>
      <c r="IK25" s="108"/>
      <c r="IL25" s="108"/>
      <c r="IM25" s="108"/>
      <c r="IN25" s="108"/>
      <c r="IO25" s="108"/>
      <c r="IP25" s="108"/>
      <c r="IQ25" s="108"/>
      <c r="IR25" s="108"/>
      <c r="IS25" s="108"/>
      <c r="IT25" s="108"/>
      <c r="IU25" s="108"/>
      <c r="IV25" s="108"/>
      <c r="IW25" s="108"/>
    </row>
    <row r="26" spans="1:257" ht="15" thickBot="1" x14ac:dyDescent="0.35">
      <c r="A26" s="158"/>
      <c r="B26" s="113" t="str">
        <f>'Sensitivity analysis'!B185</f>
        <v>Death among term AGA infants</v>
      </c>
      <c r="C26" s="170">
        <f>'Sensitivity analysis'!D185</f>
        <v>-233058.44792579053</v>
      </c>
      <c r="D26" s="171">
        <f>'Sensitivity analysis'!F185</f>
        <v>-249051.35323752239</v>
      </c>
      <c r="E26" s="172">
        <f t="shared" si="0"/>
        <v>15992.905311731854</v>
      </c>
      <c r="F26" s="158"/>
      <c r="G26" s="158"/>
      <c r="H26" s="158"/>
      <c r="I26" s="176" t="s">
        <v>809</v>
      </c>
      <c r="J26" s="170">
        <v>-232947.95305592759</v>
      </c>
      <c r="K26" s="171">
        <v>-250413.43672888493</v>
      </c>
      <c r="L26" s="172">
        <v>17465.483672957344</v>
      </c>
      <c r="M26" s="158"/>
      <c r="N26" s="158"/>
      <c r="O26" s="108"/>
      <c r="P26" s="108"/>
      <c r="Q26" s="108"/>
      <c r="R26" s="108"/>
      <c r="S26" s="108"/>
      <c r="T26" s="108"/>
      <c r="U26" s="108"/>
      <c r="V26" s="108"/>
      <c r="W26" s="108"/>
      <c r="X26" s="108"/>
      <c r="Y26" s="108"/>
      <c r="Z26" s="108"/>
      <c r="AA26" s="108"/>
      <c r="AB26" s="108"/>
      <c r="AC26" s="108"/>
      <c r="AD26" s="108"/>
      <c r="AE26" s="108"/>
      <c r="AF26" s="108"/>
      <c r="AG26" s="108"/>
      <c r="AH26" s="108"/>
      <c r="AI26" s="108"/>
      <c r="AJ26" s="108"/>
      <c r="AK26" s="108"/>
      <c r="AL26" s="108"/>
      <c r="AM26" s="108"/>
      <c r="AN26" s="108"/>
      <c r="AO26" s="108"/>
      <c r="AP26" s="108"/>
      <c r="AQ26" s="108"/>
      <c r="AR26" s="108"/>
      <c r="AS26" s="108"/>
      <c r="AT26" s="108"/>
      <c r="AU26" s="108"/>
      <c r="AV26" s="108"/>
      <c r="AW26" s="108"/>
      <c r="AX26" s="108"/>
      <c r="AY26" s="108"/>
      <c r="AZ26" s="108"/>
      <c r="BA26" s="108"/>
      <c r="BB26" s="108"/>
      <c r="BC26" s="108"/>
      <c r="BD26" s="108"/>
      <c r="BE26" s="108"/>
      <c r="BF26" s="108"/>
      <c r="BG26" s="108"/>
      <c r="BH26" s="108"/>
      <c r="BI26" s="108"/>
      <c r="BJ26" s="108"/>
      <c r="BK26" s="108"/>
      <c r="BL26" s="108"/>
      <c r="BM26" s="108"/>
      <c r="BN26" s="108"/>
      <c r="BO26" s="108"/>
      <c r="BP26" s="108"/>
      <c r="BQ26" s="108"/>
      <c r="BR26" s="108"/>
      <c r="BS26" s="108"/>
      <c r="BT26" s="108"/>
      <c r="BU26" s="108"/>
      <c r="BV26" s="108"/>
      <c r="BW26" s="108"/>
      <c r="BX26" s="108"/>
      <c r="BY26" s="108"/>
      <c r="BZ26" s="108"/>
      <c r="CA26" s="108"/>
      <c r="CB26" s="108"/>
      <c r="CC26" s="108"/>
      <c r="CD26" s="108"/>
      <c r="CE26" s="108"/>
      <c r="CF26" s="108"/>
      <c r="CG26" s="108"/>
      <c r="CH26" s="108"/>
      <c r="CI26" s="108"/>
      <c r="CJ26" s="108"/>
      <c r="CK26" s="108"/>
      <c r="CL26" s="108"/>
      <c r="CM26" s="108"/>
      <c r="CN26" s="108"/>
      <c r="CO26" s="108"/>
      <c r="CP26" s="108"/>
      <c r="CQ26" s="108"/>
      <c r="CR26" s="108"/>
      <c r="CS26" s="108"/>
      <c r="CT26" s="108"/>
      <c r="CU26" s="108"/>
      <c r="CV26" s="108"/>
      <c r="CW26" s="108"/>
      <c r="CX26" s="108"/>
      <c r="CY26" s="108"/>
      <c r="CZ26" s="108"/>
      <c r="DA26" s="108"/>
      <c r="DB26" s="108"/>
      <c r="DC26" s="108"/>
      <c r="DD26" s="108"/>
      <c r="DE26" s="108"/>
      <c r="DF26" s="108"/>
      <c r="DG26" s="108"/>
      <c r="DH26" s="108"/>
      <c r="DI26" s="108"/>
      <c r="DJ26" s="108"/>
      <c r="DK26" s="108"/>
      <c r="DL26" s="108"/>
      <c r="DM26" s="108"/>
      <c r="DN26" s="108"/>
      <c r="DO26" s="108"/>
      <c r="DP26" s="108"/>
      <c r="DQ26" s="108"/>
      <c r="DR26" s="108"/>
      <c r="DS26" s="108"/>
      <c r="DT26" s="108"/>
      <c r="DU26" s="108"/>
      <c r="DV26" s="108"/>
      <c r="DW26" s="108"/>
      <c r="DX26" s="108"/>
      <c r="DY26" s="108"/>
      <c r="DZ26" s="108"/>
      <c r="EA26" s="108"/>
      <c r="EB26" s="108"/>
      <c r="EC26" s="108"/>
      <c r="ED26" s="108"/>
      <c r="EE26" s="108"/>
      <c r="EF26" s="108"/>
      <c r="EG26" s="108"/>
      <c r="EH26" s="108"/>
      <c r="EI26" s="108"/>
      <c r="EJ26" s="108"/>
      <c r="EK26" s="108"/>
      <c r="EL26" s="108"/>
      <c r="EM26" s="108"/>
      <c r="EN26" s="108"/>
      <c r="EO26" s="108"/>
      <c r="EP26" s="108"/>
      <c r="EQ26" s="108"/>
      <c r="ER26" s="108"/>
      <c r="ES26" s="108"/>
      <c r="ET26" s="108"/>
      <c r="EU26" s="108"/>
      <c r="EV26" s="108"/>
      <c r="EW26" s="108"/>
      <c r="EX26" s="108"/>
      <c r="EY26" s="108"/>
      <c r="EZ26" s="108"/>
      <c r="FA26" s="108"/>
      <c r="FB26" s="108"/>
      <c r="FC26" s="108"/>
      <c r="FD26" s="108"/>
      <c r="FE26" s="108"/>
      <c r="FF26" s="108"/>
      <c r="FG26" s="108"/>
      <c r="FH26" s="108"/>
      <c r="FI26" s="108"/>
      <c r="FJ26" s="108"/>
      <c r="FK26" s="108"/>
      <c r="FL26" s="108"/>
      <c r="FM26" s="108"/>
      <c r="FN26" s="108"/>
      <c r="FO26" s="108"/>
      <c r="FP26" s="108"/>
      <c r="FQ26" s="108"/>
      <c r="FR26" s="108"/>
      <c r="FS26" s="108"/>
      <c r="FT26" s="108"/>
      <c r="FU26" s="108"/>
      <c r="FV26" s="108"/>
      <c r="FW26" s="108"/>
      <c r="FX26" s="108"/>
      <c r="FY26" s="108"/>
      <c r="FZ26" s="108"/>
      <c r="GA26" s="108"/>
      <c r="GB26" s="108"/>
      <c r="GC26" s="108"/>
      <c r="GD26" s="108"/>
      <c r="GE26" s="108"/>
      <c r="GF26" s="108"/>
      <c r="GG26" s="108"/>
      <c r="GH26" s="108"/>
      <c r="GI26" s="108"/>
      <c r="GJ26" s="108"/>
      <c r="GK26" s="108"/>
      <c r="GL26" s="108"/>
      <c r="GM26" s="108"/>
      <c r="GN26" s="108"/>
      <c r="GO26" s="108"/>
      <c r="GP26" s="108"/>
      <c r="GQ26" s="108"/>
      <c r="GR26" s="108"/>
      <c r="GS26" s="108"/>
      <c r="GT26" s="108"/>
      <c r="GU26" s="108"/>
      <c r="GV26" s="108"/>
      <c r="GW26" s="108"/>
      <c r="GX26" s="108"/>
      <c r="GY26" s="108"/>
      <c r="GZ26" s="108"/>
      <c r="HA26" s="108"/>
      <c r="HB26" s="108"/>
      <c r="HC26" s="108"/>
      <c r="HD26" s="108"/>
      <c r="HE26" s="108"/>
      <c r="HF26" s="108"/>
      <c r="HG26" s="108"/>
      <c r="HH26" s="108"/>
      <c r="HI26" s="108"/>
      <c r="HJ26" s="108"/>
      <c r="HK26" s="108"/>
      <c r="HL26" s="108"/>
      <c r="HM26" s="108"/>
      <c r="HN26" s="108"/>
      <c r="HO26" s="108"/>
      <c r="HP26" s="108"/>
      <c r="HQ26" s="108"/>
      <c r="HR26" s="108"/>
      <c r="HS26" s="108"/>
      <c r="HT26" s="108"/>
      <c r="HU26" s="108"/>
      <c r="HV26" s="108"/>
      <c r="HW26" s="108"/>
      <c r="HX26" s="108"/>
      <c r="HY26" s="108"/>
      <c r="HZ26" s="108"/>
      <c r="IA26" s="108"/>
      <c r="IB26" s="108"/>
      <c r="IC26" s="108"/>
      <c r="ID26" s="108"/>
      <c r="IE26" s="108"/>
      <c r="IF26" s="108"/>
      <c r="IG26" s="108"/>
      <c r="IH26" s="108"/>
      <c r="II26" s="108"/>
      <c r="IJ26" s="108"/>
      <c r="IK26" s="108"/>
      <c r="IL26" s="108"/>
      <c r="IM26" s="108"/>
      <c r="IN26" s="108"/>
      <c r="IO26" s="108"/>
      <c r="IP26" s="108"/>
      <c r="IQ26" s="108"/>
      <c r="IR26" s="108"/>
      <c r="IS26" s="108"/>
      <c r="IT26" s="108"/>
      <c r="IU26" s="108"/>
      <c r="IV26" s="108"/>
      <c r="IW26" s="108"/>
    </row>
    <row r="27" spans="1:257" ht="15" thickBot="1" x14ac:dyDescent="0.35">
      <c r="A27" s="158"/>
      <c r="B27" s="113" t="str">
        <f>'Sensitivity analysis'!B186</f>
        <v>RDS among preterm infants</v>
      </c>
      <c r="C27" s="170">
        <f>'Sensitivity analysis'!D186</f>
        <v>-239954.29899758461</v>
      </c>
      <c r="D27" s="171">
        <f>'Sensitivity analysis'!F186</f>
        <v>-241559.49883339283</v>
      </c>
      <c r="E27" s="172">
        <f t="shared" si="0"/>
        <v>1605.1998358082201</v>
      </c>
      <c r="F27" s="158"/>
      <c r="G27" s="158"/>
      <c r="H27" s="158"/>
      <c r="I27" s="184" t="s">
        <v>799</v>
      </c>
      <c r="J27" s="170">
        <v>-233058.44792579053</v>
      </c>
      <c r="K27" s="175">
        <v>-249051.35323752239</v>
      </c>
      <c r="L27" s="172">
        <v>15992.905311731854</v>
      </c>
      <c r="M27" s="158"/>
      <c r="N27" s="158"/>
      <c r="O27" s="108"/>
      <c r="P27" s="108"/>
      <c r="Q27" s="108"/>
      <c r="R27" s="108"/>
      <c r="S27" s="108"/>
      <c r="T27" s="108"/>
      <c r="U27" s="108"/>
      <c r="V27" s="108"/>
      <c r="W27" s="108"/>
      <c r="X27" s="108"/>
      <c r="Y27" s="108"/>
      <c r="Z27" s="108"/>
      <c r="AA27" s="108"/>
      <c r="AB27" s="108"/>
      <c r="AC27" s="108"/>
      <c r="AD27" s="108"/>
      <c r="AE27" s="108"/>
      <c r="AF27" s="108"/>
      <c r="AG27" s="108"/>
      <c r="AH27" s="108"/>
      <c r="AI27" s="108"/>
      <c r="AJ27" s="108"/>
      <c r="AK27" s="108"/>
      <c r="AL27" s="108"/>
      <c r="AM27" s="108"/>
      <c r="AN27" s="108"/>
      <c r="AO27" s="108"/>
      <c r="AP27" s="108"/>
      <c r="AQ27" s="108"/>
      <c r="AR27" s="108"/>
      <c r="AS27" s="108"/>
      <c r="AT27" s="108"/>
      <c r="AU27" s="108"/>
      <c r="AV27" s="108"/>
      <c r="AW27" s="108"/>
      <c r="AX27" s="108"/>
      <c r="AY27" s="108"/>
      <c r="AZ27" s="108"/>
      <c r="BA27" s="108"/>
      <c r="BB27" s="108"/>
      <c r="BC27" s="108"/>
      <c r="BD27" s="108"/>
      <c r="BE27" s="108"/>
      <c r="BF27" s="108"/>
      <c r="BG27" s="108"/>
      <c r="BH27" s="108"/>
      <c r="BI27" s="108"/>
      <c r="BJ27" s="108"/>
      <c r="BK27" s="108"/>
      <c r="BL27" s="108"/>
      <c r="BM27" s="108"/>
      <c r="BN27" s="108"/>
      <c r="BO27" s="108"/>
      <c r="BP27" s="108"/>
      <c r="BQ27" s="108"/>
      <c r="BR27" s="108"/>
      <c r="BS27" s="108"/>
      <c r="BT27" s="108"/>
      <c r="BU27" s="108"/>
      <c r="BV27" s="108"/>
      <c r="BW27" s="108"/>
      <c r="BX27" s="108"/>
      <c r="BY27" s="108"/>
      <c r="BZ27" s="108"/>
      <c r="CA27" s="108"/>
      <c r="CB27" s="108"/>
      <c r="CC27" s="108"/>
      <c r="CD27" s="108"/>
      <c r="CE27" s="108"/>
      <c r="CF27" s="108"/>
      <c r="CG27" s="108"/>
      <c r="CH27" s="108"/>
      <c r="CI27" s="108"/>
      <c r="CJ27" s="108"/>
      <c r="CK27" s="108"/>
      <c r="CL27" s="108"/>
      <c r="CM27" s="108"/>
      <c r="CN27" s="108"/>
      <c r="CO27" s="108"/>
      <c r="CP27" s="108"/>
      <c r="CQ27" s="108"/>
      <c r="CR27" s="108"/>
      <c r="CS27" s="108"/>
      <c r="CT27" s="108"/>
      <c r="CU27" s="108"/>
      <c r="CV27" s="108"/>
      <c r="CW27" s="108"/>
      <c r="CX27" s="108"/>
      <c r="CY27" s="108"/>
      <c r="CZ27" s="108"/>
      <c r="DA27" s="108"/>
      <c r="DB27" s="108"/>
      <c r="DC27" s="108"/>
      <c r="DD27" s="108"/>
      <c r="DE27" s="108"/>
      <c r="DF27" s="108"/>
      <c r="DG27" s="108"/>
      <c r="DH27" s="108"/>
      <c r="DI27" s="108"/>
      <c r="DJ27" s="108"/>
      <c r="DK27" s="108"/>
      <c r="DL27" s="108"/>
      <c r="DM27" s="108"/>
      <c r="DN27" s="108"/>
      <c r="DO27" s="108"/>
      <c r="DP27" s="108"/>
      <c r="DQ27" s="108"/>
      <c r="DR27" s="108"/>
      <c r="DS27" s="108"/>
      <c r="DT27" s="108"/>
      <c r="DU27" s="108"/>
      <c r="DV27" s="108"/>
      <c r="DW27" s="108"/>
      <c r="DX27" s="108"/>
      <c r="DY27" s="108"/>
      <c r="DZ27" s="108"/>
      <c r="EA27" s="108"/>
      <c r="EB27" s="108"/>
      <c r="EC27" s="108"/>
      <c r="ED27" s="108"/>
      <c r="EE27" s="108"/>
      <c r="EF27" s="108"/>
      <c r="EG27" s="108"/>
      <c r="EH27" s="108"/>
      <c r="EI27" s="108"/>
      <c r="EJ27" s="108"/>
      <c r="EK27" s="108"/>
      <c r="EL27" s="108"/>
      <c r="EM27" s="108"/>
      <c r="EN27" s="108"/>
      <c r="EO27" s="108"/>
      <c r="EP27" s="108"/>
      <c r="EQ27" s="108"/>
      <c r="ER27" s="108"/>
      <c r="ES27" s="108"/>
      <c r="ET27" s="108"/>
      <c r="EU27" s="108"/>
      <c r="EV27" s="108"/>
      <c r="EW27" s="108"/>
      <c r="EX27" s="108"/>
      <c r="EY27" s="108"/>
      <c r="EZ27" s="108"/>
      <c r="FA27" s="108"/>
      <c r="FB27" s="108"/>
      <c r="FC27" s="108"/>
      <c r="FD27" s="108"/>
      <c r="FE27" s="108"/>
      <c r="FF27" s="108"/>
      <c r="FG27" s="108"/>
      <c r="FH27" s="108"/>
      <c r="FI27" s="108"/>
      <c r="FJ27" s="108"/>
      <c r="FK27" s="108"/>
      <c r="FL27" s="108"/>
      <c r="FM27" s="108"/>
      <c r="FN27" s="108"/>
      <c r="FO27" s="108"/>
      <c r="FP27" s="108"/>
      <c r="FQ27" s="108"/>
      <c r="FR27" s="108"/>
      <c r="FS27" s="108"/>
      <c r="FT27" s="108"/>
      <c r="FU27" s="108"/>
      <c r="FV27" s="108"/>
      <c r="FW27" s="108"/>
      <c r="FX27" s="108"/>
      <c r="FY27" s="108"/>
      <c r="FZ27" s="108"/>
      <c r="GA27" s="108"/>
      <c r="GB27" s="108"/>
      <c r="GC27" s="108"/>
      <c r="GD27" s="108"/>
      <c r="GE27" s="108"/>
      <c r="GF27" s="108"/>
      <c r="GG27" s="108"/>
      <c r="GH27" s="108"/>
      <c r="GI27" s="108"/>
      <c r="GJ27" s="108"/>
      <c r="GK27" s="108"/>
      <c r="GL27" s="108"/>
      <c r="GM27" s="108"/>
      <c r="GN27" s="108"/>
      <c r="GO27" s="108"/>
      <c r="GP27" s="108"/>
      <c r="GQ27" s="108"/>
      <c r="GR27" s="108"/>
      <c r="GS27" s="108"/>
      <c r="GT27" s="108"/>
      <c r="GU27" s="108"/>
      <c r="GV27" s="108"/>
      <c r="GW27" s="108"/>
      <c r="GX27" s="108"/>
      <c r="GY27" s="108"/>
      <c r="GZ27" s="108"/>
      <c r="HA27" s="108"/>
      <c r="HB27" s="108"/>
      <c r="HC27" s="108"/>
      <c r="HD27" s="108"/>
      <c r="HE27" s="108"/>
      <c r="HF27" s="108"/>
      <c r="HG27" s="108"/>
      <c r="HH27" s="108"/>
      <c r="HI27" s="108"/>
      <c r="HJ27" s="108"/>
      <c r="HK27" s="108"/>
      <c r="HL27" s="108"/>
      <c r="HM27" s="108"/>
      <c r="HN27" s="108"/>
      <c r="HO27" s="108"/>
      <c r="HP27" s="108"/>
      <c r="HQ27" s="108"/>
      <c r="HR27" s="108"/>
      <c r="HS27" s="108"/>
      <c r="HT27" s="108"/>
      <c r="HU27" s="108"/>
      <c r="HV27" s="108"/>
      <c r="HW27" s="108"/>
      <c r="HX27" s="108"/>
      <c r="HY27" s="108"/>
      <c r="HZ27" s="108"/>
      <c r="IA27" s="108"/>
      <c r="IB27" s="108"/>
      <c r="IC27" s="108"/>
      <c r="ID27" s="108"/>
      <c r="IE27" s="108"/>
      <c r="IF27" s="108"/>
      <c r="IG27" s="108"/>
      <c r="IH27" s="108"/>
      <c r="II27" s="108"/>
      <c r="IJ27" s="108"/>
      <c r="IK27" s="108"/>
      <c r="IL27" s="108"/>
      <c r="IM27" s="108"/>
      <c r="IN27" s="108"/>
      <c r="IO27" s="108"/>
      <c r="IP27" s="108"/>
      <c r="IQ27" s="108"/>
      <c r="IR27" s="108"/>
      <c r="IS27" s="108"/>
      <c r="IT27" s="108"/>
      <c r="IU27" s="108"/>
      <c r="IV27" s="108"/>
      <c r="IW27" s="108"/>
    </row>
    <row r="28" spans="1:257" ht="15" thickBot="1" x14ac:dyDescent="0.35">
      <c r="A28" s="158"/>
      <c r="B28" s="113" t="str">
        <f>'Sensitivity analysis'!B187</f>
        <v>Hypoglycaemia among preterm SGA infants</v>
      </c>
      <c r="C28" s="170">
        <f>'Sensitivity analysis'!D187</f>
        <v>-242266.2231405541</v>
      </c>
      <c r="D28" s="171">
        <f>'Sensitivity analysis'!F187</f>
        <v>-239332.45648579186</v>
      </c>
      <c r="E28" s="172">
        <f t="shared" si="0"/>
        <v>2933.7666547622357</v>
      </c>
      <c r="F28" s="158"/>
      <c r="G28" s="158"/>
      <c r="H28" s="158"/>
      <c r="I28" s="184" t="s">
        <v>802</v>
      </c>
      <c r="J28" s="174">
        <v>-246912.91334326664</v>
      </c>
      <c r="K28" s="171">
        <v>-234974.94290533321</v>
      </c>
      <c r="L28" s="172">
        <v>11937.970437933429</v>
      </c>
      <c r="M28" s="158"/>
      <c r="N28" s="158"/>
      <c r="O28" s="108"/>
      <c r="P28" s="108"/>
      <c r="Q28" s="108"/>
      <c r="R28" s="108"/>
      <c r="S28" s="108"/>
      <c r="T28" s="108"/>
      <c r="U28" s="108"/>
      <c r="V28" s="108"/>
      <c r="W28" s="108"/>
      <c r="X28" s="108"/>
      <c r="Y28" s="108"/>
      <c r="Z28" s="108"/>
      <c r="AA28" s="108"/>
      <c r="AB28" s="108"/>
      <c r="AC28" s="108"/>
      <c r="AD28" s="108"/>
      <c r="AE28" s="108"/>
      <c r="AF28" s="108"/>
      <c r="AG28" s="108"/>
      <c r="AH28" s="108"/>
      <c r="AI28" s="108"/>
      <c r="AJ28" s="108"/>
      <c r="AK28" s="108"/>
      <c r="AL28" s="108"/>
      <c r="AM28" s="108"/>
      <c r="AN28" s="108"/>
      <c r="AO28" s="108"/>
      <c r="AP28" s="108"/>
      <c r="AQ28" s="108"/>
      <c r="AR28" s="108"/>
      <c r="AS28" s="108"/>
      <c r="AT28" s="108"/>
      <c r="AU28" s="108"/>
      <c r="AV28" s="108"/>
      <c r="AW28" s="108"/>
      <c r="AX28" s="108"/>
      <c r="AY28" s="108"/>
      <c r="AZ28" s="108"/>
      <c r="BA28" s="108"/>
      <c r="BB28" s="108"/>
      <c r="BC28" s="108"/>
      <c r="BD28" s="108"/>
      <c r="BE28" s="108"/>
      <c r="BF28" s="108"/>
      <c r="BG28" s="108"/>
      <c r="BH28" s="108"/>
      <c r="BI28" s="108"/>
      <c r="BJ28" s="108"/>
      <c r="BK28" s="108"/>
      <c r="BL28" s="108"/>
      <c r="BM28" s="108"/>
      <c r="BN28" s="108"/>
      <c r="BO28" s="108"/>
      <c r="BP28" s="108"/>
      <c r="BQ28" s="108"/>
      <c r="BR28" s="108"/>
      <c r="BS28" s="108"/>
      <c r="BT28" s="108"/>
      <c r="BU28" s="108"/>
      <c r="BV28" s="108"/>
      <c r="BW28" s="108"/>
      <c r="BX28" s="108"/>
      <c r="BY28" s="108"/>
      <c r="BZ28" s="108"/>
      <c r="CA28" s="108"/>
      <c r="CB28" s="108"/>
      <c r="CC28" s="108"/>
      <c r="CD28" s="108"/>
      <c r="CE28" s="108"/>
      <c r="CF28" s="108"/>
      <c r="CG28" s="108"/>
      <c r="CH28" s="108"/>
      <c r="CI28" s="108"/>
      <c r="CJ28" s="108"/>
      <c r="CK28" s="108"/>
      <c r="CL28" s="108"/>
      <c r="CM28" s="108"/>
      <c r="CN28" s="108"/>
      <c r="CO28" s="108"/>
      <c r="CP28" s="108"/>
      <c r="CQ28" s="108"/>
      <c r="CR28" s="108"/>
      <c r="CS28" s="108"/>
      <c r="CT28" s="108"/>
      <c r="CU28" s="108"/>
      <c r="CV28" s="108"/>
      <c r="CW28" s="108"/>
      <c r="CX28" s="108"/>
      <c r="CY28" s="108"/>
      <c r="CZ28" s="108"/>
      <c r="DA28" s="108"/>
      <c r="DB28" s="108"/>
      <c r="DC28" s="108"/>
      <c r="DD28" s="108"/>
      <c r="DE28" s="108"/>
      <c r="DF28" s="108"/>
      <c r="DG28" s="108"/>
      <c r="DH28" s="108"/>
      <c r="DI28" s="108"/>
      <c r="DJ28" s="108"/>
      <c r="DK28" s="108"/>
      <c r="DL28" s="108"/>
      <c r="DM28" s="108"/>
      <c r="DN28" s="108"/>
      <c r="DO28" s="108"/>
      <c r="DP28" s="108"/>
      <c r="DQ28" s="108"/>
      <c r="DR28" s="108"/>
      <c r="DS28" s="108"/>
      <c r="DT28" s="108"/>
      <c r="DU28" s="108"/>
      <c r="DV28" s="108"/>
      <c r="DW28" s="108"/>
      <c r="DX28" s="108"/>
      <c r="DY28" s="108"/>
      <c r="DZ28" s="108"/>
      <c r="EA28" s="108"/>
      <c r="EB28" s="108"/>
      <c r="EC28" s="108"/>
      <c r="ED28" s="108"/>
      <c r="EE28" s="108"/>
      <c r="EF28" s="108"/>
      <c r="EG28" s="108"/>
      <c r="EH28" s="108"/>
      <c r="EI28" s="108"/>
      <c r="EJ28" s="108"/>
      <c r="EK28" s="108"/>
      <c r="EL28" s="108"/>
      <c r="EM28" s="108"/>
      <c r="EN28" s="108"/>
      <c r="EO28" s="108"/>
      <c r="EP28" s="108"/>
      <c r="EQ28" s="108"/>
      <c r="ER28" s="108"/>
      <c r="ES28" s="108"/>
      <c r="ET28" s="108"/>
      <c r="EU28" s="108"/>
      <c r="EV28" s="108"/>
      <c r="EW28" s="108"/>
      <c r="EX28" s="108"/>
      <c r="EY28" s="108"/>
      <c r="EZ28" s="108"/>
      <c r="FA28" s="108"/>
      <c r="FB28" s="108"/>
      <c r="FC28" s="108"/>
      <c r="FD28" s="108"/>
      <c r="FE28" s="108"/>
      <c r="FF28" s="108"/>
      <c r="FG28" s="108"/>
      <c r="FH28" s="108"/>
      <c r="FI28" s="108"/>
      <c r="FJ28" s="108"/>
      <c r="FK28" s="108"/>
      <c r="FL28" s="108"/>
      <c r="FM28" s="108"/>
      <c r="FN28" s="108"/>
      <c r="FO28" s="108"/>
      <c r="FP28" s="108"/>
      <c r="FQ28" s="108"/>
      <c r="FR28" s="108"/>
      <c r="FS28" s="108"/>
      <c r="FT28" s="108"/>
      <c r="FU28" s="108"/>
      <c r="FV28" s="108"/>
      <c r="FW28" s="108"/>
      <c r="FX28" s="108"/>
      <c r="FY28" s="108"/>
      <c r="FZ28" s="108"/>
      <c r="GA28" s="108"/>
      <c r="GB28" s="108"/>
      <c r="GC28" s="108"/>
      <c r="GD28" s="108"/>
      <c r="GE28" s="108"/>
      <c r="GF28" s="108"/>
      <c r="GG28" s="108"/>
      <c r="GH28" s="108"/>
      <c r="GI28" s="108"/>
      <c r="GJ28" s="108"/>
      <c r="GK28" s="108"/>
      <c r="GL28" s="108"/>
      <c r="GM28" s="108"/>
      <c r="GN28" s="108"/>
      <c r="GO28" s="108"/>
      <c r="GP28" s="108"/>
      <c r="GQ28" s="108"/>
      <c r="GR28" s="108"/>
      <c r="GS28" s="108"/>
      <c r="GT28" s="108"/>
      <c r="GU28" s="108"/>
      <c r="GV28" s="108"/>
      <c r="GW28" s="108"/>
      <c r="GX28" s="108"/>
      <c r="GY28" s="108"/>
      <c r="GZ28" s="108"/>
      <c r="HA28" s="108"/>
      <c r="HB28" s="108"/>
      <c r="HC28" s="108"/>
      <c r="HD28" s="108"/>
      <c r="HE28" s="108"/>
      <c r="HF28" s="108"/>
      <c r="HG28" s="108"/>
      <c r="HH28" s="108"/>
      <c r="HI28" s="108"/>
      <c r="HJ28" s="108"/>
      <c r="HK28" s="108"/>
      <c r="HL28" s="108"/>
      <c r="HM28" s="108"/>
      <c r="HN28" s="108"/>
      <c r="HO28" s="108"/>
      <c r="HP28" s="108"/>
      <c r="HQ28" s="108"/>
      <c r="HR28" s="108"/>
      <c r="HS28" s="108"/>
      <c r="HT28" s="108"/>
      <c r="HU28" s="108"/>
      <c r="HV28" s="108"/>
      <c r="HW28" s="108"/>
      <c r="HX28" s="108"/>
      <c r="HY28" s="108"/>
      <c r="HZ28" s="108"/>
      <c r="IA28" s="108"/>
      <c r="IB28" s="108"/>
      <c r="IC28" s="108"/>
      <c r="ID28" s="108"/>
      <c r="IE28" s="108"/>
      <c r="IF28" s="108"/>
      <c r="IG28" s="108"/>
      <c r="IH28" s="108"/>
      <c r="II28" s="108"/>
      <c r="IJ28" s="108"/>
      <c r="IK28" s="108"/>
      <c r="IL28" s="108"/>
      <c r="IM28" s="108"/>
      <c r="IN28" s="108"/>
      <c r="IO28" s="108"/>
      <c r="IP28" s="108"/>
      <c r="IQ28" s="108"/>
      <c r="IR28" s="108"/>
      <c r="IS28" s="108"/>
      <c r="IT28" s="108"/>
      <c r="IU28" s="108"/>
      <c r="IV28" s="108"/>
      <c r="IW28" s="108"/>
    </row>
    <row r="29" spans="1:257" ht="15" thickBot="1" x14ac:dyDescent="0.35">
      <c r="A29" s="158"/>
      <c r="B29" s="113" t="str">
        <f>'Sensitivity analysis'!B188</f>
        <v>Hypoglycaemia among term SGA infants</v>
      </c>
      <c r="C29" s="170">
        <f>'Sensitivity analysis'!D188</f>
        <v>-246912.91334326664</v>
      </c>
      <c r="D29" s="171">
        <f>'Sensitivity analysis'!F188</f>
        <v>-234974.94290533321</v>
      </c>
      <c r="E29" s="172">
        <f t="shared" si="0"/>
        <v>11937.970437933429</v>
      </c>
      <c r="F29" s="158"/>
      <c r="G29" s="158"/>
      <c r="H29" s="158"/>
      <c r="I29" s="184" t="s">
        <v>821</v>
      </c>
      <c r="J29" s="170">
        <v>-235503.90927592217</v>
      </c>
      <c r="K29" s="175">
        <v>-245723.76185289206</v>
      </c>
      <c r="L29" s="172">
        <v>10219.85257696989</v>
      </c>
      <c r="M29" s="158"/>
      <c r="N29" s="158"/>
      <c r="O29" s="108"/>
      <c r="P29" s="108"/>
      <c r="Q29" s="108"/>
      <c r="R29" s="108"/>
      <c r="S29" s="108"/>
      <c r="T29" s="108"/>
      <c r="U29" s="108"/>
      <c r="V29" s="108"/>
      <c r="W29" s="108"/>
      <c r="X29" s="108"/>
      <c r="Y29" s="108"/>
      <c r="Z29" s="108"/>
      <c r="AA29" s="108"/>
      <c r="AB29" s="108"/>
      <c r="AC29" s="108"/>
      <c r="AD29" s="108"/>
      <c r="AE29" s="108"/>
      <c r="AF29" s="108"/>
      <c r="AG29" s="108"/>
      <c r="AH29" s="108"/>
      <c r="AI29" s="108"/>
      <c r="AJ29" s="108"/>
      <c r="AK29" s="108"/>
      <c r="AL29" s="108"/>
      <c r="AM29" s="108"/>
      <c r="AN29" s="108"/>
      <c r="AO29" s="108"/>
      <c r="AP29" s="108"/>
      <c r="AQ29" s="108"/>
      <c r="AR29" s="108"/>
      <c r="AS29" s="108"/>
      <c r="AT29" s="108"/>
      <c r="AU29" s="108"/>
      <c r="AV29" s="108"/>
      <c r="AW29" s="108"/>
      <c r="AX29" s="108"/>
      <c r="AY29" s="108"/>
      <c r="AZ29" s="108"/>
      <c r="BA29" s="108"/>
      <c r="BB29" s="108"/>
      <c r="BC29" s="108"/>
      <c r="BD29" s="108"/>
      <c r="BE29" s="108"/>
      <c r="BF29" s="108"/>
      <c r="BG29" s="108"/>
      <c r="BH29" s="108"/>
      <c r="BI29" s="108"/>
      <c r="BJ29" s="108"/>
      <c r="BK29" s="108"/>
      <c r="BL29" s="108"/>
      <c r="BM29" s="108"/>
      <c r="BN29" s="108"/>
      <c r="BO29" s="108"/>
      <c r="BP29" s="108"/>
      <c r="BQ29" s="108"/>
      <c r="BR29" s="108"/>
      <c r="BS29" s="108"/>
      <c r="BT29" s="108"/>
      <c r="BU29" s="108"/>
      <c r="BV29" s="108"/>
      <c r="BW29" s="108"/>
      <c r="BX29" s="108"/>
      <c r="BY29" s="108"/>
      <c r="BZ29" s="108"/>
      <c r="CA29" s="108"/>
      <c r="CB29" s="108"/>
      <c r="CC29" s="108"/>
      <c r="CD29" s="108"/>
      <c r="CE29" s="108"/>
      <c r="CF29" s="108"/>
      <c r="CG29" s="108"/>
      <c r="CH29" s="108"/>
      <c r="CI29" s="108"/>
      <c r="CJ29" s="108"/>
      <c r="CK29" s="108"/>
      <c r="CL29" s="108"/>
      <c r="CM29" s="108"/>
      <c r="CN29" s="108"/>
      <c r="CO29" s="108"/>
      <c r="CP29" s="108"/>
      <c r="CQ29" s="108"/>
      <c r="CR29" s="108"/>
      <c r="CS29" s="108"/>
      <c r="CT29" s="108"/>
      <c r="CU29" s="108"/>
      <c r="CV29" s="108"/>
      <c r="CW29" s="108"/>
      <c r="CX29" s="108"/>
      <c r="CY29" s="108"/>
      <c r="CZ29" s="108"/>
      <c r="DA29" s="108"/>
      <c r="DB29" s="108"/>
      <c r="DC29" s="108"/>
      <c r="DD29" s="108"/>
      <c r="DE29" s="108"/>
      <c r="DF29" s="108"/>
      <c r="DG29" s="108"/>
      <c r="DH29" s="108"/>
      <c r="DI29" s="108"/>
      <c r="DJ29" s="108"/>
      <c r="DK29" s="108"/>
      <c r="DL29" s="108"/>
      <c r="DM29" s="108"/>
      <c r="DN29" s="108"/>
      <c r="DO29" s="108"/>
      <c r="DP29" s="108"/>
      <c r="DQ29" s="108"/>
      <c r="DR29" s="108"/>
      <c r="DS29" s="108"/>
      <c r="DT29" s="108"/>
      <c r="DU29" s="108"/>
      <c r="DV29" s="108"/>
      <c r="DW29" s="108"/>
      <c r="DX29" s="108"/>
      <c r="DY29" s="108"/>
      <c r="DZ29" s="108"/>
      <c r="EA29" s="108"/>
      <c r="EB29" s="108"/>
      <c r="EC29" s="108"/>
      <c r="ED29" s="108"/>
      <c r="EE29" s="108"/>
      <c r="EF29" s="108"/>
      <c r="EG29" s="108"/>
      <c r="EH29" s="108"/>
      <c r="EI29" s="108"/>
      <c r="EJ29" s="108"/>
      <c r="EK29" s="108"/>
      <c r="EL29" s="108"/>
      <c r="EM29" s="108"/>
      <c r="EN29" s="108"/>
      <c r="EO29" s="108"/>
      <c r="EP29" s="108"/>
      <c r="EQ29" s="108"/>
      <c r="ER29" s="108"/>
      <c r="ES29" s="108"/>
      <c r="ET29" s="108"/>
      <c r="EU29" s="108"/>
      <c r="EV29" s="108"/>
      <c r="EW29" s="108"/>
      <c r="EX29" s="108"/>
      <c r="EY29" s="108"/>
      <c r="EZ29" s="108"/>
      <c r="FA29" s="108"/>
      <c r="FB29" s="108"/>
      <c r="FC29" s="108"/>
      <c r="FD29" s="108"/>
      <c r="FE29" s="108"/>
      <c r="FF29" s="108"/>
      <c r="FG29" s="108"/>
      <c r="FH29" s="108"/>
      <c r="FI29" s="108"/>
      <c r="FJ29" s="108"/>
      <c r="FK29" s="108"/>
      <c r="FL29" s="108"/>
      <c r="FM29" s="108"/>
      <c r="FN29" s="108"/>
      <c r="FO29" s="108"/>
      <c r="FP29" s="108"/>
      <c r="FQ29" s="108"/>
      <c r="FR29" s="108"/>
      <c r="FS29" s="108"/>
      <c r="FT29" s="108"/>
      <c r="FU29" s="108"/>
      <c r="FV29" s="108"/>
      <c r="FW29" s="108"/>
      <c r="FX29" s="108"/>
      <c r="FY29" s="108"/>
      <c r="FZ29" s="108"/>
      <c r="GA29" s="108"/>
      <c r="GB29" s="108"/>
      <c r="GC29" s="108"/>
      <c r="GD29" s="108"/>
      <c r="GE29" s="108"/>
      <c r="GF29" s="108"/>
      <c r="GG29" s="108"/>
      <c r="GH29" s="108"/>
      <c r="GI29" s="108"/>
      <c r="GJ29" s="108"/>
      <c r="GK29" s="108"/>
      <c r="GL29" s="108"/>
      <c r="GM29" s="108"/>
      <c r="GN29" s="108"/>
      <c r="GO29" s="108"/>
      <c r="GP29" s="108"/>
      <c r="GQ29" s="108"/>
      <c r="GR29" s="108"/>
      <c r="GS29" s="108"/>
      <c r="GT29" s="108"/>
      <c r="GU29" s="108"/>
      <c r="GV29" s="108"/>
      <c r="GW29" s="108"/>
      <c r="GX29" s="108"/>
      <c r="GY29" s="108"/>
      <c r="GZ29" s="108"/>
      <c r="HA29" s="108"/>
      <c r="HB29" s="108"/>
      <c r="HC29" s="108"/>
      <c r="HD29" s="108"/>
      <c r="HE29" s="108"/>
      <c r="HF29" s="108"/>
      <c r="HG29" s="108"/>
      <c r="HH29" s="108"/>
      <c r="HI29" s="108"/>
      <c r="HJ29" s="108"/>
      <c r="HK29" s="108"/>
      <c r="HL29" s="108"/>
      <c r="HM29" s="108"/>
      <c r="HN29" s="108"/>
      <c r="HO29" s="108"/>
      <c r="HP29" s="108"/>
      <c r="HQ29" s="108"/>
      <c r="HR29" s="108"/>
      <c r="HS29" s="108"/>
      <c r="HT29" s="108"/>
      <c r="HU29" s="108"/>
      <c r="HV29" s="108"/>
      <c r="HW29" s="108"/>
      <c r="HX29" s="108"/>
      <c r="HY29" s="108"/>
      <c r="HZ29" s="108"/>
      <c r="IA29" s="108"/>
      <c r="IB29" s="108"/>
      <c r="IC29" s="108"/>
      <c r="ID29" s="108"/>
      <c r="IE29" s="108"/>
      <c r="IF29" s="108"/>
      <c r="IG29" s="108"/>
      <c r="IH29" s="108"/>
      <c r="II29" s="108"/>
      <c r="IJ29" s="108"/>
      <c r="IK29" s="108"/>
      <c r="IL29" s="108"/>
      <c r="IM29" s="108"/>
      <c r="IN29" s="108"/>
      <c r="IO29" s="108"/>
      <c r="IP29" s="108"/>
      <c r="IQ29" s="108"/>
      <c r="IR29" s="108"/>
      <c r="IS29" s="108"/>
      <c r="IT29" s="108"/>
      <c r="IU29" s="108"/>
      <c r="IV29" s="108"/>
      <c r="IW29" s="108"/>
    </row>
    <row r="30" spans="1:257" ht="15" thickBot="1" x14ac:dyDescent="0.35">
      <c r="A30" s="158"/>
      <c r="B30" s="113" t="str">
        <f>'Sensitivity analysis'!B189</f>
        <v>Hypoglycaemia among preterm SGA infants</v>
      </c>
      <c r="C30" s="170">
        <f>'Sensitivity analysis'!D189</f>
        <v>-241357.18981738423</v>
      </c>
      <c r="D30" s="171">
        <f>'Sensitivity analysis'!F189</f>
        <v>-240263.19701714168</v>
      </c>
      <c r="E30" s="172">
        <f t="shared" si="0"/>
        <v>1093.9928002425586</v>
      </c>
      <c r="F30" s="158"/>
      <c r="G30" s="158"/>
      <c r="H30" s="158"/>
      <c r="I30" s="184" t="s">
        <v>789</v>
      </c>
      <c r="J30" s="170">
        <v>-243363.82954335347</v>
      </c>
      <c r="K30" s="175">
        <v>-238499.31332450197</v>
      </c>
      <c r="L30" s="172">
        <v>4864.5162188514951</v>
      </c>
      <c r="M30" s="158"/>
      <c r="N30" s="158"/>
      <c r="O30" s="108"/>
      <c r="P30" s="108"/>
      <c r="Q30" s="108"/>
      <c r="R30" s="108"/>
      <c r="S30" s="108"/>
      <c r="T30" s="108"/>
      <c r="U30" s="108"/>
      <c r="V30" s="108"/>
      <c r="W30" s="108"/>
      <c r="X30" s="108"/>
      <c r="Y30" s="108"/>
      <c r="Z30" s="108"/>
      <c r="AA30" s="108"/>
      <c r="AB30" s="108"/>
      <c r="AC30" s="108"/>
      <c r="AD30" s="108"/>
      <c r="AE30" s="108"/>
      <c r="AF30" s="108"/>
      <c r="AG30" s="108"/>
      <c r="AH30" s="108"/>
      <c r="AI30" s="108"/>
      <c r="AJ30" s="108"/>
      <c r="AK30" s="108"/>
      <c r="AL30" s="108"/>
      <c r="AM30" s="108"/>
      <c r="AN30" s="108"/>
      <c r="AO30" s="108"/>
      <c r="AP30" s="108"/>
      <c r="AQ30" s="108"/>
      <c r="AR30" s="108"/>
      <c r="AS30" s="108"/>
      <c r="AT30" s="108"/>
      <c r="AU30" s="108"/>
      <c r="AV30" s="108"/>
      <c r="AW30" s="108"/>
      <c r="AX30" s="108"/>
      <c r="AY30" s="108"/>
      <c r="AZ30" s="108"/>
      <c r="BA30" s="108"/>
      <c r="BB30" s="108"/>
      <c r="BC30" s="108"/>
      <c r="BD30" s="108"/>
      <c r="BE30" s="108"/>
      <c r="BF30" s="108"/>
      <c r="BG30" s="108"/>
      <c r="BH30" s="108"/>
      <c r="BI30" s="108"/>
      <c r="BJ30" s="108"/>
      <c r="BK30" s="108"/>
      <c r="BL30" s="108"/>
      <c r="BM30" s="108"/>
      <c r="BN30" s="108"/>
      <c r="BO30" s="108"/>
      <c r="BP30" s="108"/>
      <c r="BQ30" s="108"/>
      <c r="BR30" s="108"/>
      <c r="BS30" s="108"/>
      <c r="BT30" s="108"/>
      <c r="BU30" s="108"/>
      <c r="BV30" s="108"/>
      <c r="BW30" s="108"/>
      <c r="BX30" s="108"/>
      <c r="BY30" s="108"/>
      <c r="BZ30" s="108"/>
      <c r="CA30" s="108"/>
      <c r="CB30" s="108"/>
      <c r="CC30" s="108"/>
      <c r="CD30" s="108"/>
      <c r="CE30" s="108"/>
      <c r="CF30" s="108"/>
      <c r="CG30" s="108"/>
      <c r="CH30" s="108"/>
      <c r="CI30" s="108"/>
      <c r="CJ30" s="108"/>
      <c r="CK30" s="108"/>
      <c r="CL30" s="108"/>
      <c r="CM30" s="108"/>
      <c r="CN30" s="108"/>
      <c r="CO30" s="108"/>
      <c r="CP30" s="108"/>
      <c r="CQ30" s="108"/>
      <c r="CR30" s="108"/>
      <c r="CS30" s="108"/>
      <c r="CT30" s="108"/>
      <c r="CU30" s="108"/>
      <c r="CV30" s="108"/>
      <c r="CW30" s="108"/>
      <c r="CX30" s="108"/>
      <c r="CY30" s="108"/>
      <c r="CZ30" s="108"/>
      <c r="DA30" s="108"/>
      <c r="DB30" s="108"/>
      <c r="DC30" s="108"/>
      <c r="DD30" s="108"/>
      <c r="DE30" s="108"/>
      <c r="DF30" s="108"/>
      <c r="DG30" s="108"/>
      <c r="DH30" s="108"/>
      <c r="DI30" s="108"/>
      <c r="DJ30" s="108"/>
      <c r="DK30" s="108"/>
      <c r="DL30" s="108"/>
      <c r="DM30" s="108"/>
      <c r="DN30" s="108"/>
      <c r="DO30" s="108"/>
      <c r="DP30" s="108"/>
      <c r="DQ30" s="108"/>
      <c r="DR30" s="108"/>
      <c r="DS30" s="108"/>
      <c r="DT30" s="108"/>
      <c r="DU30" s="108"/>
      <c r="DV30" s="108"/>
      <c r="DW30" s="108"/>
      <c r="DX30" s="108"/>
      <c r="DY30" s="108"/>
      <c r="DZ30" s="108"/>
      <c r="EA30" s="108"/>
      <c r="EB30" s="108"/>
      <c r="EC30" s="108"/>
      <c r="ED30" s="108"/>
      <c r="EE30" s="108"/>
      <c r="EF30" s="108"/>
      <c r="EG30" s="108"/>
      <c r="EH30" s="108"/>
      <c r="EI30" s="108"/>
      <c r="EJ30" s="108"/>
      <c r="EK30" s="108"/>
      <c r="EL30" s="108"/>
      <c r="EM30" s="108"/>
      <c r="EN30" s="108"/>
      <c r="EO30" s="108"/>
      <c r="EP30" s="108"/>
      <c r="EQ30" s="108"/>
      <c r="ER30" s="108"/>
      <c r="ES30" s="108"/>
      <c r="ET30" s="108"/>
      <c r="EU30" s="108"/>
      <c r="EV30" s="108"/>
      <c r="EW30" s="108"/>
      <c r="EX30" s="108"/>
      <c r="EY30" s="108"/>
      <c r="EZ30" s="108"/>
      <c r="FA30" s="108"/>
      <c r="FB30" s="108"/>
      <c r="FC30" s="108"/>
      <c r="FD30" s="108"/>
      <c r="FE30" s="108"/>
      <c r="FF30" s="108"/>
      <c r="FG30" s="108"/>
      <c r="FH30" s="108"/>
      <c r="FI30" s="108"/>
      <c r="FJ30" s="108"/>
      <c r="FK30" s="108"/>
      <c r="FL30" s="108"/>
      <c r="FM30" s="108"/>
      <c r="FN30" s="108"/>
      <c r="FO30" s="108"/>
      <c r="FP30" s="108"/>
      <c r="FQ30" s="108"/>
      <c r="FR30" s="108"/>
      <c r="FS30" s="108"/>
      <c r="FT30" s="108"/>
      <c r="FU30" s="108"/>
      <c r="FV30" s="108"/>
      <c r="FW30" s="108"/>
      <c r="FX30" s="108"/>
      <c r="FY30" s="108"/>
      <c r="FZ30" s="108"/>
      <c r="GA30" s="108"/>
      <c r="GB30" s="108"/>
      <c r="GC30" s="108"/>
      <c r="GD30" s="108"/>
      <c r="GE30" s="108"/>
      <c r="GF30" s="108"/>
      <c r="GG30" s="108"/>
      <c r="GH30" s="108"/>
      <c r="GI30" s="108"/>
      <c r="GJ30" s="108"/>
      <c r="GK30" s="108"/>
      <c r="GL30" s="108"/>
      <c r="GM30" s="108"/>
      <c r="GN30" s="108"/>
      <c r="GO30" s="108"/>
      <c r="GP30" s="108"/>
      <c r="GQ30" s="108"/>
      <c r="GR30" s="108"/>
      <c r="GS30" s="108"/>
      <c r="GT30" s="108"/>
      <c r="GU30" s="108"/>
      <c r="GV30" s="108"/>
      <c r="GW30" s="108"/>
      <c r="GX30" s="108"/>
      <c r="GY30" s="108"/>
      <c r="GZ30" s="108"/>
      <c r="HA30" s="108"/>
      <c r="HB30" s="108"/>
      <c r="HC30" s="108"/>
      <c r="HD30" s="108"/>
      <c r="HE30" s="108"/>
      <c r="HF30" s="108"/>
      <c r="HG30" s="108"/>
      <c r="HH30" s="108"/>
      <c r="HI30" s="108"/>
      <c r="HJ30" s="108"/>
      <c r="HK30" s="108"/>
      <c r="HL30" s="108"/>
      <c r="HM30" s="108"/>
      <c r="HN30" s="108"/>
      <c r="HO30" s="108"/>
      <c r="HP30" s="108"/>
      <c r="HQ30" s="108"/>
      <c r="HR30" s="108"/>
      <c r="HS30" s="108"/>
      <c r="HT30" s="108"/>
      <c r="HU30" s="108"/>
      <c r="HV30" s="108"/>
      <c r="HW30" s="108"/>
      <c r="HX30" s="108"/>
      <c r="HY30" s="108"/>
      <c r="HZ30" s="108"/>
      <c r="IA30" s="108"/>
      <c r="IB30" s="108"/>
      <c r="IC30" s="108"/>
      <c r="ID30" s="108"/>
      <c r="IE30" s="108"/>
      <c r="IF30" s="108"/>
      <c r="IG30" s="108"/>
      <c r="IH30" s="108"/>
      <c r="II30" s="108"/>
      <c r="IJ30" s="108"/>
      <c r="IK30" s="108"/>
      <c r="IL30" s="108"/>
      <c r="IM30" s="108"/>
      <c r="IN30" s="108"/>
      <c r="IO30" s="108"/>
      <c r="IP30" s="108"/>
      <c r="IQ30" s="108"/>
      <c r="IR30" s="108"/>
      <c r="IS30" s="108"/>
      <c r="IT30" s="108"/>
      <c r="IU30" s="108"/>
      <c r="IV30" s="108"/>
      <c r="IW30" s="108"/>
    </row>
    <row r="31" spans="1:257" ht="15" thickBot="1" x14ac:dyDescent="0.35">
      <c r="A31" s="158"/>
      <c r="B31" s="113" t="str">
        <f>'Sensitivity analysis'!B190</f>
        <v>Chronic lung disease among infants with RDS</v>
      </c>
      <c r="C31" s="170">
        <f>'Sensitivity analysis'!D190</f>
        <v>-252560.70794827366</v>
      </c>
      <c r="D31" s="171">
        <f>'Sensitivity analysis'!F190</f>
        <v>-231131.55618180562</v>
      </c>
      <c r="E31" s="172">
        <f t="shared" si="0"/>
        <v>21429.151766468043</v>
      </c>
      <c r="F31" s="158"/>
      <c r="G31" s="158"/>
      <c r="H31" s="158"/>
      <c r="I31" s="184" t="s">
        <v>819</v>
      </c>
      <c r="J31" s="170">
        <v>-238792.51123504271</v>
      </c>
      <c r="K31" s="175">
        <v>-242654.40002437847</v>
      </c>
      <c r="L31" s="172">
        <v>3861.8887893357605</v>
      </c>
      <c r="M31" s="158"/>
      <c r="N31" s="158"/>
      <c r="O31" s="108"/>
      <c r="P31" s="108"/>
      <c r="Q31" s="108"/>
      <c r="R31" s="108"/>
      <c r="S31" s="108"/>
      <c r="T31" s="108"/>
      <c r="U31" s="108"/>
      <c r="V31" s="108"/>
      <c r="W31" s="108"/>
      <c r="X31" s="108"/>
      <c r="Y31" s="108"/>
      <c r="Z31" s="108"/>
      <c r="AA31" s="108"/>
      <c r="AB31" s="108"/>
      <c r="AC31" s="108"/>
      <c r="AD31" s="108"/>
      <c r="AE31" s="108"/>
      <c r="AF31" s="108"/>
      <c r="AG31" s="108"/>
      <c r="AH31" s="108"/>
      <c r="AI31" s="108"/>
      <c r="AJ31" s="108"/>
      <c r="AK31" s="108"/>
      <c r="AL31" s="108"/>
      <c r="AM31" s="108"/>
      <c r="AN31" s="108"/>
      <c r="AO31" s="108"/>
      <c r="AP31" s="108"/>
      <c r="AQ31" s="108"/>
      <c r="AR31" s="108"/>
      <c r="AS31" s="108"/>
      <c r="AT31" s="108"/>
      <c r="AU31" s="108"/>
      <c r="AV31" s="108"/>
      <c r="AW31" s="108"/>
      <c r="AX31" s="108"/>
      <c r="AY31" s="108"/>
      <c r="AZ31" s="108"/>
      <c r="BA31" s="108"/>
      <c r="BB31" s="108"/>
      <c r="BC31" s="108"/>
      <c r="BD31" s="108"/>
      <c r="BE31" s="108"/>
      <c r="BF31" s="108"/>
      <c r="BG31" s="108"/>
      <c r="BH31" s="108"/>
      <c r="BI31" s="108"/>
      <c r="BJ31" s="108"/>
      <c r="BK31" s="108"/>
      <c r="BL31" s="108"/>
      <c r="BM31" s="108"/>
      <c r="BN31" s="108"/>
      <c r="BO31" s="108"/>
      <c r="BP31" s="108"/>
      <c r="BQ31" s="108"/>
      <c r="BR31" s="108"/>
      <c r="BS31" s="108"/>
      <c r="BT31" s="108"/>
      <c r="BU31" s="108"/>
      <c r="BV31" s="108"/>
      <c r="BW31" s="108"/>
      <c r="BX31" s="108"/>
      <c r="BY31" s="108"/>
      <c r="BZ31" s="108"/>
      <c r="CA31" s="108"/>
      <c r="CB31" s="108"/>
      <c r="CC31" s="108"/>
      <c r="CD31" s="108"/>
      <c r="CE31" s="108"/>
      <c r="CF31" s="108"/>
      <c r="CG31" s="108"/>
      <c r="CH31" s="108"/>
      <c r="CI31" s="108"/>
      <c r="CJ31" s="108"/>
      <c r="CK31" s="108"/>
      <c r="CL31" s="108"/>
      <c r="CM31" s="108"/>
      <c r="CN31" s="108"/>
      <c r="CO31" s="108"/>
      <c r="CP31" s="108"/>
      <c r="CQ31" s="108"/>
      <c r="CR31" s="108"/>
      <c r="CS31" s="108"/>
      <c r="CT31" s="108"/>
      <c r="CU31" s="108"/>
      <c r="CV31" s="108"/>
      <c r="CW31" s="108"/>
      <c r="CX31" s="108"/>
      <c r="CY31" s="108"/>
      <c r="CZ31" s="108"/>
      <c r="DA31" s="108"/>
      <c r="DB31" s="108"/>
      <c r="DC31" s="108"/>
      <c r="DD31" s="108"/>
      <c r="DE31" s="108"/>
      <c r="DF31" s="108"/>
      <c r="DG31" s="108"/>
      <c r="DH31" s="108"/>
      <c r="DI31" s="108"/>
      <c r="DJ31" s="108"/>
      <c r="DK31" s="108"/>
      <c r="DL31" s="108"/>
      <c r="DM31" s="108"/>
      <c r="DN31" s="108"/>
      <c r="DO31" s="108"/>
      <c r="DP31" s="108"/>
      <c r="DQ31" s="108"/>
      <c r="DR31" s="108"/>
      <c r="DS31" s="108"/>
      <c r="DT31" s="108"/>
      <c r="DU31" s="108"/>
      <c r="DV31" s="108"/>
      <c r="DW31" s="108"/>
      <c r="DX31" s="108"/>
      <c r="DY31" s="108"/>
      <c r="DZ31" s="108"/>
      <c r="EA31" s="108"/>
      <c r="EB31" s="108"/>
      <c r="EC31" s="108"/>
      <c r="ED31" s="108"/>
      <c r="EE31" s="108"/>
      <c r="EF31" s="108"/>
      <c r="EG31" s="108"/>
      <c r="EH31" s="108"/>
      <c r="EI31" s="108"/>
      <c r="EJ31" s="108"/>
      <c r="EK31" s="108"/>
      <c r="EL31" s="108"/>
      <c r="EM31" s="108"/>
      <c r="EN31" s="108"/>
      <c r="EO31" s="108"/>
      <c r="EP31" s="108"/>
      <c r="EQ31" s="108"/>
      <c r="ER31" s="108"/>
      <c r="ES31" s="108"/>
      <c r="ET31" s="108"/>
      <c r="EU31" s="108"/>
      <c r="EV31" s="108"/>
      <c r="EW31" s="108"/>
      <c r="EX31" s="108"/>
      <c r="EY31" s="108"/>
      <c r="EZ31" s="108"/>
      <c r="FA31" s="108"/>
      <c r="FB31" s="108"/>
      <c r="FC31" s="108"/>
      <c r="FD31" s="108"/>
      <c r="FE31" s="108"/>
      <c r="FF31" s="108"/>
      <c r="FG31" s="108"/>
      <c r="FH31" s="108"/>
      <c r="FI31" s="108"/>
      <c r="FJ31" s="108"/>
      <c r="FK31" s="108"/>
      <c r="FL31" s="108"/>
      <c r="FM31" s="108"/>
      <c r="FN31" s="108"/>
      <c r="FO31" s="108"/>
      <c r="FP31" s="108"/>
      <c r="FQ31" s="108"/>
      <c r="FR31" s="108"/>
      <c r="FS31" s="108"/>
      <c r="FT31" s="108"/>
      <c r="FU31" s="108"/>
      <c r="FV31" s="108"/>
      <c r="FW31" s="108"/>
      <c r="FX31" s="108"/>
      <c r="FY31" s="108"/>
      <c r="FZ31" s="108"/>
      <c r="GA31" s="108"/>
      <c r="GB31" s="108"/>
      <c r="GC31" s="108"/>
      <c r="GD31" s="108"/>
      <c r="GE31" s="108"/>
      <c r="GF31" s="108"/>
      <c r="GG31" s="108"/>
      <c r="GH31" s="108"/>
      <c r="GI31" s="108"/>
      <c r="GJ31" s="108"/>
      <c r="GK31" s="108"/>
      <c r="GL31" s="108"/>
      <c r="GM31" s="108"/>
      <c r="GN31" s="108"/>
      <c r="GO31" s="108"/>
      <c r="GP31" s="108"/>
      <c r="GQ31" s="108"/>
      <c r="GR31" s="108"/>
      <c r="GS31" s="108"/>
      <c r="GT31" s="108"/>
      <c r="GU31" s="108"/>
      <c r="GV31" s="108"/>
      <c r="GW31" s="108"/>
      <c r="GX31" s="108"/>
      <c r="GY31" s="108"/>
      <c r="GZ31" s="108"/>
      <c r="HA31" s="108"/>
      <c r="HB31" s="108"/>
      <c r="HC31" s="108"/>
      <c r="HD31" s="108"/>
      <c r="HE31" s="108"/>
      <c r="HF31" s="108"/>
      <c r="HG31" s="108"/>
      <c r="HH31" s="108"/>
      <c r="HI31" s="108"/>
      <c r="HJ31" s="108"/>
      <c r="HK31" s="108"/>
      <c r="HL31" s="108"/>
      <c r="HM31" s="108"/>
      <c r="HN31" s="108"/>
      <c r="HO31" s="108"/>
      <c r="HP31" s="108"/>
      <c r="HQ31" s="108"/>
      <c r="HR31" s="108"/>
      <c r="HS31" s="108"/>
      <c r="HT31" s="108"/>
      <c r="HU31" s="108"/>
      <c r="HV31" s="108"/>
      <c r="HW31" s="108"/>
      <c r="HX31" s="108"/>
      <c r="HY31" s="108"/>
      <c r="HZ31" s="108"/>
      <c r="IA31" s="108"/>
      <c r="IB31" s="108"/>
      <c r="IC31" s="108"/>
      <c r="ID31" s="108"/>
      <c r="IE31" s="108"/>
      <c r="IF31" s="108"/>
      <c r="IG31" s="108"/>
      <c r="IH31" s="108"/>
      <c r="II31" s="108"/>
      <c r="IJ31" s="108"/>
      <c r="IK31" s="108"/>
      <c r="IL31" s="108"/>
      <c r="IM31" s="108"/>
      <c r="IN31" s="108"/>
      <c r="IO31" s="108"/>
      <c r="IP31" s="108"/>
      <c r="IQ31" s="108"/>
      <c r="IR31" s="108"/>
      <c r="IS31" s="108"/>
      <c r="IT31" s="108"/>
      <c r="IU31" s="108"/>
      <c r="IV31" s="108"/>
      <c r="IW31" s="108"/>
    </row>
    <row r="32" spans="1:257" ht="15" thickBot="1" x14ac:dyDescent="0.35">
      <c r="A32" s="158"/>
      <c r="B32" s="113" t="str">
        <f>'Sensitivity analysis'!B191</f>
        <v>Motor impairment among infants with hypoglycaemia</v>
      </c>
      <c r="C32" s="170">
        <f>'Sensitivity analysis'!D191</f>
        <v>-266715.35207454505</v>
      </c>
      <c r="D32" s="171">
        <f>'Sensitivity analysis'!F191</f>
        <v>-219459.88127228606</v>
      </c>
      <c r="E32" s="172">
        <f t="shared" si="0"/>
        <v>47255.470802258991</v>
      </c>
      <c r="F32" s="158"/>
      <c r="G32" s="158"/>
      <c r="H32" s="158"/>
      <c r="I32" s="184" t="s">
        <v>817</v>
      </c>
      <c r="J32" s="170">
        <v>-240503.39835045193</v>
      </c>
      <c r="K32" s="175">
        <v>-237484.54359070459</v>
      </c>
      <c r="L32" s="172">
        <v>3018.8547597473371</v>
      </c>
      <c r="M32" s="158"/>
      <c r="N32" s="158"/>
      <c r="O32" s="108"/>
      <c r="P32" s="108"/>
      <c r="Q32" s="108"/>
      <c r="R32" s="108"/>
      <c r="S32" s="108"/>
      <c r="T32" s="108"/>
      <c r="U32" s="108"/>
      <c r="V32" s="108"/>
      <c r="W32" s="108"/>
      <c r="X32" s="108"/>
      <c r="Y32" s="108"/>
      <c r="Z32" s="108"/>
      <c r="AA32" s="108"/>
      <c r="AB32" s="108"/>
      <c r="AC32" s="108"/>
      <c r="AD32" s="108"/>
      <c r="AE32" s="108"/>
      <c r="AF32" s="108"/>
      <c r="AG32" s="108"/>
      <c r="AH32" s="108"/>
      <c r="AI32" s="108"/>
      <c r="AJ32" s="108"/>
      <c r="AK32" s="108"/>
      <c r="AL32" s="108"/>
      <c r="AM32" s="108"/>
      <c r="AN32" s="108"/>
      <c r="AO32" s="108"/>
      <c r="AP32" s="108"/>
      <c r="AQ32" s="108"/>
      <c r="AR32" s="108"/>
      <c r="AS32" s="108"/>
      <c r="AT32" s="108"/>
      <c r="AU32" s="108"/>
      <c r="AV32" s="108"/>
      <c r="AW32" s="108"/>
      <c r="AX32" s="108"/>
      <c r="AY32" s="108"/>
      <c r="AZ32" s="108"/>
      <c r="BA32" s="108"/>
      <c r="BB32" s="108"/>
      <c r="BC32" s="108"/>
      <c r="BD32" s="108"/>
      <c r="BE32" s="108"/>
      <c r="BF32" s="108"/>
      <c r="BG32" s="108"/>
      <c r="BH32" s="108"/>
      <c r="BI32" s="108"/>
      <c r="BJ32" s="108"/>
      <c r="BK32" s="108"/>
      <c r="BL32" s="108"/>
      <c r="BM32" s="108"/>
      <c r="BN32" s="108"/>
      <c r="BO32" s="108"/>
      <c r="BP32" s="108"/>
      <c r="BQ32" s="108"/>
      <c r="BR32" s="108"/>
      <c r="BS32" s="108"/>
      <c r="BT32" s="108"/>
      <c r="BU32" s="108"/>
      <c r="BV32" s="108"/>
      <c r="BW32" s="108"/>
      <c r="BX32" s="108"/>
      <c r="BY32" s="108"/>
      <c r="BZ32" s="108"/>
      <c r="CA32" s="108"/>
      <c r="CB32" s="108"/>
      <c r="CC32" s="108"/>
      <c r="CD32" s="108"/>
      <c r="CE32" s="108"/>
      <c r="CF32" s="108"/>
      <c r="CG32" s="108"/>
      <c r="CH32" s="108"/>
      <c r="CI32" s="108"/>
      <c r="CJ32" s="108"/>
      <c r="CK32" s="108"/>
      <c r="CL32" s="108"/>
      <c r="CM32" s="108"/>
      <c r="CN32" s="108"/>
      <c r="CO32" s="108"/>
      <c r="CP32" s="108"/>
      <c r="CQ32" s="108"/>
      <c r="CR32" s="108"/>
      <c r="CS32" s="108"/>
      <c r="CT32" s="108"/>
      <c r="CU32" s="108"/>
      <c r="CV32" s="108"/>
      <c r="CW32" s="108"/>
      <c r="CX32" s="108"/>
      <c r="CY32" s="108"/>
      <c r="CZ32" s="108"/>
      <c r="DA32" s="108"/>
      <c r="DB32" s="108"/>
      <c r="DC32" s="108"/>
      <c r="DD32" s="108"/>
      <c r="DE32" s="108"/>
      <c r="DF32" s="108"/>
      <c r="DG32" s="108"/>
      <c r="DH32" s="108"/>
      <c r="DI32" s="108"/>
      <c r="DJ32" s="108"/>
      <c r="DK32" s="108"/>
      <c r="DL32" s="108"/>
      <c r="DM32" s="108"/>
      <c r="DN32" s="108"/>
      <c r="DO32" s="108"/>
      <c r="DP32" s="108"/>
      <c r="DQ32" s="108"/>
      <c r="DR32" s="108"/>
      <c r="DS32" s="108"/>
      <c r="DT32" s="108"/>
      <c r="DU32" s="108"/>
      <c r="DV32" s="108"/>
      <c r="DW32" s="108"/>
      <c r="DX32" s="108"/>
      <c r="DY32" s="108"/>
      <c r="DZ32" s="108"/>
      <c r="EA32" s="108"/>
      <c r="EB32" s="108"/>
      <c r="EC32" s="108"/>
      <c r="ED32" s="108"/>
      <c r="EE32" s="108"/>
      <c r="EF32" s="108"/>
      <c r="EG32" s="108"/>
      <c r="EH32" s="108"/>
      <c r="EI32" s="108"/>
      <c r="EJ32" s="108"/>
      <c r="EK32" s="108"/>
      <c r="EL32" s="108"/>
      <c r="EM32" s="108"/>
      <c r="EN32" s="108"/>
      <c r="EO32" s="108"/>
      <c r="EP32" s="108"/>
      <c r="EQ32" s="108"/>
      <c r="ER32" s="108"/>
      <c r="ES32" s="108"/>
      <c r="ET32" s="108"/>
      <c r="EU32" s="108"/>
      <c r="EV32" s="108"/>
      <c r="EW32" s="108"/>
      <c r="EX32" s="108"/>
      <c r="EY32" s="108"/>
      <c r="EZ32" s="108"/>
      <c r="FA32" s="108"/>
      <c r="FB32" s="108"/>
      <c r="FC32" s="108"/>
      <c r="FD32" s="108"/>
      <c r="FE32" s="108"/>
      <c r="FF32" s="108"/>
      <c r="FG32" s="108"/>
      <c r="FH32" s="108"/>
      <c r="FI32" s="108"/>
      <c r="FJ32" s="108"/>
      <c r="FK32" s="108"/>
      <c r="FL32" s="108"/>
      <c r="FM32" s="108"/>
      <c r="FN32" s="108"/>
      <c r="FO32" s="108"/>
      <c r="FP32" s="108"/>
      <c r="FQ32" s="108"/>
      <c r="FR32" s="108"/>
      <c r="FS32" s="108"/>
      <c r="FT32" s="108"/>
      <c r="FU32" s="108"/>
      <c r="FV32" s="108"/>
      <c r="FW32" s="108"/>
      <c r="FX32" s="108"/>
      <c r="FY32" s="108"/>
      <c r="FZ32" s="108"/>
      <c r="GA32" s="108"/>
      <c r="GB32" s="108"/>
      <c r="GC32" s="108"/>
      <c r="GD32" s="108"/>
      <c r="GE32" s="108"/>
      <c r="GF32" s="108"/>
      <c r="GG32" s="108"/>
      <c r="GH32" s="108"/>
      <c r="GI32" s="108"/>
      <c r="GJ32" s="108"/>
      <c r="GK32" s="108"/>
      <c r="GL32" s="108"/>
      <c r="GM32" s="108"/>
      <c r="GN32" s="108"/>
      <c r="GO32" s="108"/>
      <c r="GP32" s="108"/>
      <c r="GQ32" s="108"/>
      <c r="GR32" s="108"/>
      <c r="GS32" s="108"/>
      <c r="GT32" s="108"/>
      <c r="GU32" s="108"/>
      <c r="GV32" s="108"/>
      <c r="GW32" s="108"/>
      <c r="GX32" s="108"/>
      <c r="GY32" s="108"/>
      <c r="GZ32" s="108"/>
      <c r="HA32" s="108"/>
      <c r="HB32" s="108"/>
      <c r="HC32" s="108"/>
      <c r="HD32" s="108"/>
      <c r="HE32" s="108"/>
      <c r="HF32" s="108"/>
      <c r="HG32" s="108"/>
      <c r="HH32" s="108"/>
      <c r="HI32" s="108"/>
      <c r="HJ32" s="108"/>
      <c r="HK32" s="108"/>
      <c r="HL32" s="108"/>
      <c r="HM32" s="108"/>
      <c r="HN32" s="108"/>
      <c r="HO32" s="108"/>
      <c r="HP32" s="108"/>
      <c r="HQ32" s="108"/>
      <c r="HR32" s="108"/>
      <c r="HS32" s="108"/>
      <c r="HT32" s="108"/>
      <c r="HU32" s="108"/>
      <c r="HV32" s="108"/>
      <c r="HW32" s="108"/>
      <c r="HX32" s="108"/>
      <c r="HY32" s="108"/>
      <c r="HZ32" s="108"/>
      <c r="IA32" s="108"/>
      <c r="IB32" s="108"/>
      <c r="IC32" s="108"/>
      <c r="ID32" s="108"/>
      <c r="IE32" s="108"/>
      <c r="IF32" s="108"/>
      <c r="IG32" s="108"/>
      <c r="IH32" s="108"/>
      <c r="II32" s="108"/>
      <c r="IJ32" s="108"/>
      <c r="IK32" s="108"/>
      <c r="IL32" s="108"/>
      <c r="IM32" s="108"/>
      <c r="IN32" s="108"/>
      <c r="IO32" s="108"/>
      <c r="IP32" s="108"/>
      <c r="IQ32" s="108"/>
      <c r="IR32" s="108"/>
      <c r="IS32" s="108"/>
      <c r="IT32" s="108"/>
      <c r="IU32" s="108"/>
      <c r="IV32" s="108"/>
      <c r="IW32" s="108"/>
    </row>
    <row r="33" spans="1:257" ht="15" thickBot="1" x14ac:dyDescent="0.35">
      <c r="A33" s="158"/>
      <c r="B33" s="113" t="str">
        <f>'Sensitivity analysis'!B192</f>
        <v>Motor impairment among infants without hypoglycaemia</v>
      </c>
      <c r="C33" s="170">
        <f>'Sensitivity analysis'!D192</f>
        <v>-224003.69147256657</v>
      </c>
      <c r="D33" s="171">
        <f>'Sensitivity analysis'!F192</f>
        <v>-258897.4743041457</v>
      </c>
      <c r="E33" s="172">
        <f t="shared" si="0"/>
        <v>34893.782831579127</v>
      </c>
      <c r="F33" s="158"/>
      <c r="G33" s="158"/>
      <c r="H33" s="158"/>
      <c r="I33" s="184" t="s">
        <v>801</v>
      </c>
      <c r="J33" s="170">
        <v>-242266.2231405541</v>
      </c>
      <c r="K33" s="175">
        <v>-239332.45648579186</v>
      </c>
      <c r="L33" s="172">
        <v>2933.7666547622357</v>
      </c>
      <c r="M33" s="158"/>
      <c r="N33" s="158"/>
      <c r="O33" s="108"/>
      <c r="P33" s="108"/>
      <c r="Q33" s="108"/>
      <c r="R33" s="108"/>
      <c r="S33" s="108"/>
      <c r="T33" s="108"/>
      <c r="U33" s="108"/>
      <c r="V33" s="108"/>
      <c r="W33" s="108"/>
      <c r="X33" s="108"/>
      <c r="Y33" s="108"/>
      <c r="Z33" s="108"/>
      <c r="AA33" s="108"/>
      <c r="AB33" s="108"/>
      <c r="AC33" s="108"/>
      <c r="AD33" s="108"/>
      <c r="AE33" s="108"/>
      <c r="AF33" s="108"/>
      <c r="AG33" s="108"/>
      <c r="AH33" s="108"/>
      <c r="AI33" s="108"/>
      <c r="AJ33" s="108"/>
      <c r="AK33" s="108"/>
      <c r="AL33" s="108"/>
      <c r="AM33" s="108"/>
      <c r="AN33" s="108"/>
      <c r="AO33" s="108"/>
      <c r="AP33" s="108"/>
      <c r="AQ33" s="108"/>
      <c r="AR33" s="108"/>
      <c r="AS33" s="108"/>
      <c r="AT33" s="108"/>
      <c r="AU33" s="108"/>
      <c r="AV33" s="108"/>
      <c r="AW33" s="108"/>
      <c r="AX33" s="108"/>
      <c r="AY33" s="108"/>
      <c r="AZ33" s="108"/>
      <c r="BA33" s="108"/>
      <c r="BB33" s="108"/>
      <c r="BC33" s="108"/>
      <c r="BD33" s="108"/>
      <c r="BE33" s="108"/>
      <c r="BF33" s="108"/>
      <c r="BG33" s="108"/>
      <c r="BH33" s="108"/>
      <c r="BI33" s="108"/>
      <c r="BJ33" s="108"/>
      <c r="BK33" s="108"/>
      <c r="BL33" s="108"/>
      <c r="BM33" s="108"/>
      <c r="BN33" s="108"/>
      <c r="BO33" s="108"/>
      <c r="BP33" s="108"/>
      <c r="BQ33" s="108"/>
      <c r="BR33" s="108"/>
      <c r="BS33" s="108"/>
      <c r="BT33" s="108"/>
      <c r="BU33" s="108"/>
      <c r="BV33" s="108"/>
      <c r="BW33" s="108"/>
      <c r="BX33" s="108"/>
      <c r="BY33" s="108"/>
      <c r="BZ33" s="108"/>
      <c r="CA33" s="108"/>
      <c r="CB33" s="108"/>
      <c r="CC33" s="108"/>
      <c r="CD33" s="108"/>
      <c r="CE33" s="108"/>
      <c r="CF33" s="108"/>
      <c r="CG33" s="108"/>
      <c r="CH33" s="108"/>
      <c r="CI33" s="108"/>
      <c r="CJ33" s="108"/>
      <c r="CK33" s="108"/>
      <c r="CL33" s="108"/>
      <c r="CM33" s="108"/>
      <c r="CN33" s="108"/>
      <c r="CO33" s="108"/>
      <c r="CP33" s="108"/>
      <c r="CQ33" s="108"/>
      <c r="CR33" s="108"/>
      <c r="CS33" s="108"/>
      <c r="CT33" s="108"/>
      <c r="CU33" s="108"/>
      <c r="CV33" s="108"/>
      <c r="CW33" s="108"/>
      <c r="CX33" s="108"/>
      <c r="CY33" s="108"/>
      <c r="CZ33" s="108"/>
      <c r="DA33" s="108"/>
      <c r="DB33" s="108"/>
      <c r="DC33" s="108"/>
      <c r="DD33" s="108"/>
      <c r="DE33" s="108"/>
      <c r="DF33" s="108"/>
      <c r="DG33" s="108"/>
      <c r="DH33" s="108"/>
      <c r="DI33" s="108"/>
      <c r="DJ33" s="108"/>
      <c r="DK33" s="108"/>
      <c r="DL33" s="108"/>
      <c r="DM33" s="108"/>
      <c r="DN33" s="108"/>
      <c r="DO33" s="108"/>
      <c r="DP33" s="108"/>
      <c r="DQ33" s="108"/>
      <c r="DR33" s="108"/>
      <c r="DS33" s="108"/>
      <c r="DT33" s="108"/>
      <c r="DU33" s="108"/>
      <c r="DV33" s="108"/>
      <c r="DW33" s="108"/>
      <c r="DX33" s="108"/>
      <c r="DY33" s="108"/>
      <c r="DZ33" s="108"/>
      <c r="EA33" s="108"/>
      <c r="EB33" s="108"/>
      <c r="EC33" s="108"/>
      <c r="ED33" s="108"/>
      <c r="EE33" s="108"/>
      <c r="EF33" s="108"/>
      <c r="EG33" s="108"/>
      <c r="EH33" s="108"/>
      <c r="EI33" s="108"/>
      <c r="EJ33" s="108"/>
      <c r="EK33" s="108"/>
      <c r="EL33" s="108"/>
      <c r="EM33" s="108"/>
      <c r="EN33" s="108"/>
      <c r="EO33" s="108"/>
      <c r="EP33" s="108"/>
      <c r="EQ33" s="108"/>
      <c r="ER33" s="108"/>
      <c r="ES33" s="108"/>
      <c r="ET33" s="108"/>
      <c r="EU33" s="108"/>
      <c r="EV33" s="108"/>
      <c r="EW33" s="108"/>
      <c r="EX33" s="108"/>
      <c r="EY33" s="108"/>
      <c r="EZ33" s="108"/>
      <c r="FA33" s="108"/>
      <c r="FB33" s="108"/>
      <c r="FC33" s="108"/>
      <c r="FD33" s="108"/>
      <c r="FE33" s="108"/>
      <c r="FF33" s="108"/>
      <c r="FG33" s="108"/>
      <c r="FH33" s="108"/>
      <c r="FI33" s="108"/>
      <c r="FJ33" s="108"/>
      <c r="FK33" s="108"/>
      <c r="FL33" s="108"/>
      <c r="FM33" s="108"/>
      <c r="FN33" s="108"/>
      <c r="FO33" s="108"/>
      <c r="FP33" s="108"/>
      <c r="FQ33" s="108"/>
      <c r="FR33" s="108"/>
      <c r="FS33" s="108"/>
      <c r="FT33" s="108"/>
      <c r="FU33" s="108"/>
      <c r="FV33" s="108"/>
      <c r="FW33" s="108"/>
      <c r="FX33" s="108"/>
      <c r="FY33" s="108"/>
      <c r="FZ33" s="108"/>
      <c r="GA33" s="108"/>
      <c r="GB33" s="108"/>
      <c r="GC33" s="108"/>
      <c r="GD33" s="108"/>
      <c r="GE33" s="108"/>
      <c r="GF33" s="108"/>
      <c r="GG33" s="108"/>
      <c r="GH33" s="108"/>
      <c r="GI33" s="108"/>
      <c r="GJ33" s="108"/>
      <c r="GK33" s="108"/>
      <c r="GL33" s="108"/>
      <c r="GM33" s="108"/>
      <c r="GN33" s="108"/>
      <c r="GO33" s="108"/>
      <c r="GP33" s="108"/>
      <c r="GQ33" s="108"/>
      <c r="GR33" s="108"/>
      <c r="GS33" s="108"/>
      <c r="GT33" s="108"/>
      <c r="GU33" s="108"/>
      <c r="GV33" s="108"/>
      <c r="GW33" s="108"/>
      <c r="GX33" s="108"/>
      <c r="GY33" s="108"/>
      <c r="GZ33" s="108"/>
      <c r="HA33" s="108"/>
      <c r="HB33" s="108"/>
      <c r="HC33" s="108"/>
      <c r="HD33" s="108"/>
      <c r="HE33" s="108"/>
      <c r="HF33" s="108"/>
      <c r="HG33" s="108"/>
      <c r="HH33" s="108"/>
      <c r="HI33" s="108"/>
      <c r="HJ33" s="108"/>
      <c r="HK33" s="108"/>
      <c r="HL33" s="108"/>
      <c r="HM33" s="108"/>
      <c r="HN33" s="108"/>
      <c r="HO33" s="108"/>
      <c r="HP33" s="108"/>
      <c r="HQ33" s="108"/>
      <c r="HR33" s="108"/>
      <c r="HS33" s="108"/>
      <c r="HT33" s="108"/>
      <c r="HU33" s="108"/>
      <c r="HV33" s="108"/>
      <c r="HW33" s="108"/>
      <c r="HX33" s="108"/>
      <c r="HY33" s="108"/>
      <c r="HZ33" s="108"/>
      <c r="IA33" s="108"/>
      <c r="IB33" s="108"/>
      <c r="IC33" s="108"/>
      <c r="ID33" s="108"/>
      <c r="IE33" s="108"/>
      <c r="IF33" s="108"/>
      <c r="IG33" s="108"/>
      <c r="IH33" s="108"/>
      <c r="II33" s="108"/>
      <c r="IJ33" s="108"/>
      <c r="IK33" s="108"/>
      <c r="IL33" s="108"/>
      <c r="IM33" s="108"/>
      <c r="IN33" s="108"/>
      <c r="IO33" s="108"/>
      <c r="IP33" s="108"/>
      <c r="IQ33" s="108"/>
      <c r="IR33" s="108"/>
      <c r="IS33" s="108"/>
      <c r="IT33" s="108"/>
      <c r="IU33" s="108"/>
      <c r="IV33" s="108"/>
      <c r="IW33" s="108"/>
    </row>
    <row r="34" spans="1:257" ht="15" thickBot="1" x14ac:dyDescent="0.35">
      <c r="A34" s="158"/>
      <c r="B34" s="113" t="str">
        <f>'Sensitivity analysis'!B193</f>
        <v>Child support grant cost</v>
      </c>
      <c r="C34" s="170">
        <f>'Sensitivity analysis'!D193</f>
        <v>-241026.77317156637</v>
      </c>
      <c r="D34" s="171">
        <f>'Sensitivity analysis'!F193</f>
        <v>-241026.77317156637</v>
      </c>
      <c r="E34" s="172">
        <f t="shared" si="0"/>
        <v>0</v>
      </c>
      <c r="F34" s="158"/>
      <c r="G34" s="158"/>
      <c r="H34" s="158"/>
      <c r="I34" s="184" t="s">
        <v>795</v>
      </c>
      <c r="J34" s="170">
        <v>-241975.22258393143</v>
      </c>
      <c r="K34" s="175">
        <v>-239694.84429313315</v>
      </c>
      <c r="L34" s="172">
        <v>2280.3782907982823</v>
      </c>
      <c r="M34" s="158"/>
      <c r="N34" s="158"/>
      <c r="O34" s="108"/>
      <c r="P34" s="108"/>
      <c r="Q34" s="108"/>
      <c r="R34" s="108"/>
      <c r="S34" s="108"/>
      <c r="T34" s="108"/>
      <c r="U34" s="108"/>
      <c r="V34" s="108"/>
      <c r="W34" s="108"/>
      <c r="X34" s="108"/>
      <c r="Y34" s="108"/>
      <c r="Z34" s="108"/>
      <c r="AA34" s="108"/>
      <c r="AB34" s="108"/>
      <c r="AC34" s="108"/>
      <c r="AD34" s="108"/>
      <c r="AE34" s="108"/>
      <c r="AF34" s="108"/>
      <c r="AG34" s="108"/>
      <c r="AH34" s="108"/>
      <c r="AI34" s="108"/>
      <c r="AJ34" s="108"/>
      <c r="AK34" s="108"/>
      <c r="AL34" s="108"/>
      <c r="AM34" s="108"/>
      <c r="AN34" s="108"/>
      <c r="AO34" s="108"/>
      <c r="AP34" s="108"/>
      <c r="AQ34" s="108"/>
      <c r="AR34" s="108"/>
      <c r="AS34" s="108"/>
      <c r="AT34" s="108"/>
      <c r="AU34" s="108"/>
      <c r="AV34" s="108"/>
      <c r="AW34" s="108"/>
      <c r="AX34" s="108"/>
      <c r="AY34" s="108"/>
      <c r="AZ34" s="108"/>
      <c r="BA34" s="108"/>
      <c r="BB34" s="108"/>
      <c r="BC34" s="108"/>
      <c r="BD34" s="108"/>
      <c r="BE34" s="108"/>
      <c r="BF34" s="108"/>
      <c r="BG34" s="108"/>
      <c r="BH34" s="108"/>
      <c r="BI34" s="108"/>
      <c r="BJ34" s="108"/>
      <c r="BK34" s="108"/>
      <c r="BL34" s="108"/>
      <c r="BM34" s="108"/>
      <c r="BN34" s="108"/>
      <c r="BO34" s="108"/>
      <c r="BP34" s="108"/>
      <c r="BQ34" s="108"/>
      <c r="BR34" s="108"/>
      <c r="BS34" s="108"/>
      <c r="BT34" s="108"/>
      <c r="BU34" s="108"/>
      <c r="BV34" s="108"/>
      <c r="BW34" s="108"/>
      <c r="BX34" s="108"/>
      <c r="BY34" s="108"/>
      <c r="BZ34" s="108"/>
      <c r="CA34" s="108"/>
      <c r="CB34" s="108"/>
      <c r="CC34" s="108"/>
      <c r="CD34" s="108"/>
      <c r="CE34" s="108"/>
      <c r="CF34" s="108"/>
      <c r="CG34" s="108"/>
      <c r="CH34" s="108"/>
      <c r="CI34" s="108"/>
      <c r="CJ34" s="108"/>
      <c r="CK34" s="108"/>
      <c r="CL34" s="108"/>
      <c r="CM34" s="108"/>
      <c r="CN34" s="108"/>
      <c r="CO34" s="108"/>
      <c r="CP34" s="108"/>
      <c r="CQ34" s="108"/>
      <c r="CR34" s="108"/>
      <c r="CS34" s="108"/>
      <c r="CT34" s="108"/>
      <c r="CU34" s="108"/>
      <c r="CV34" s="108"/>
      <c r="CW34" s="108"/>
      <c r="CX34" s="108"/>
      <c r="CY34" s="108"/>
      <c r="CZ34" s="108"/>
      <c r="DA34" s="108"/>
      <c r="DB34" s="108"/>
      <c r="DC34" s="108"/>
      <c r="DD34" s="108"/>
      <c r="DE34" s="108"/>
      <c r="DF34" s="108"/>
      <c r="DG34" s="108"/>
      <c r="DH34" s="108"/>
      <c r="DI34" s="108"/>
      <c r="DJ34" s="108"/>
      <c r="DK34" s="108"/>
      <c r="DL34" s="108"/>
      <c r="DM34" s="108"/>
      <c r="DN34" s="108"/>
      <c r="DO34" s="108"/>
      <c r="DP34" s="108"/>
      <c r="DQ34" s="108"/>
      <c r="DR34" s="108"/>
      <c r="DS34" s="108"/>
      <c r="DT34" s="108"/>
      <c r="DU34" s="108"/>
      <c r="DV34" s="108"/>
      <c r="DW34" s="108"/>
      <c r="DX34" s="108"/>
      <c r="DY34" s="108"/>
      <c r="DZ34" s="108"/>
      <c r="EA34" s="108"/>
      <c r="EB34" s="108"/>
      <c r="EC34" s="108"/>
      <c r="ED34" s="108"/>
      <c r="EE34" s="108"/>
      <c r="EF34" s="108"/>
      <c r="EG34" s="108"/>
      <c r="EH34" s="108"/>
      <c r="EI34" s="108"/>
      <c r="EJ34" s="108"/>
      <c r="EK34" s="108"/>
      <c r="EL34" s="108"/>
      <c r="EM34" s="108"/>
      <c r="EN34" s="108"/>
      <c r="EO34" s="108"/>
      <c r="EP34" s="108"/>
      <c r="EQ34" s="108"/>
      <c r="ER34" s="108"/>
      <c r="ES34" s="108"/>
      <c r="ET34" s="108"/>
      <c r="EU34" s="108"/>
      <c r="EV34" s="108"/>
      <c r="EW34" s="108"/>
      <c r="EX34" s="108"/>
      <c r="EY34" s="108"/>
      <c r="EZ34" s="108"/>
      <c r="FA34" s="108"/>
      <c r="FB34" s="108"/>
      <c r="FC34" s="108"/>
      <c r="FD34" s="108"/>
      <c r="FE34" s="108"/>
      <c r="FF34" s="108"/>
      <c r="FG34" s="108"/>
      <c r="FH34" s="108"/>
      <c r="FI34" s="108"/>
      <c r="FJ34" s="108"/>
      <c r="FK34" s="108"/>
      <c r="FL34" s="108"/>
      <c r="FM34" s="108"/>
      <c r="FN34" s="108"/>
      <c r="FO34" s="108"/>
      <c r="FP34" s="108"/>
      <c r="FQ34" s="108"/>
      <c r="FR34" s="108"/>
      <c r="FS34" s="108"/>
      <c r="FT34" s="108"/>
      <c r="FU34" s="108"/>
      <c r="FV34" s="108"/>
      <c r="FW34" s="108"/>
      <c r="FX34" s="108"/>
      <c r="FY34" s="108"/>
      <c r="FZ34" s="108"/>
      <c r="GA34" s="108"/>
      <c r="GB34" s="108"/>
      <c r="GC34" s="108"/>
      <c r="GD34" s="108"/>
      <c r="GE34" s="108"/>
      <c r="GF34" s="108"/>
      <c r="GG34" s="108"/>
      <c r="GH34" s="108"/>
      <c r="GI34" s="108"/>
      <c r="GJ34" s="108"/>
      <c r="GK34" s="108"/>
      <c r="GL34" s="108"/>
      <c r="GM34" s="108"/>
      <c r="GN34" s="108"/>
      <c r="GO34" s="108"/>
      <c r="GP34" s="108"/>
      <c r="GQ34" s="108"/>
      <c r="GR34" s="108"/>
      <c r="GS34" s="108"/>
      <c r="GT34" s="108"/>
      <c r="GU34" s="108"/>
      <c r="GV34" s="108"/>
      <c r="GW34" s="108"/>
      <c r="GX34" s="108"/>
      <c r="GY34" s="108"/>
      <c r="GZ34" s="108"/>
      <c r="HA34" s="108"/>
      <c r="HB34" s="108"/>
      <c r="HC34" s="108"/>
      <c r="HD34" s="108"/>
      <c r="HE34" s="108"/>
      <c r="HF34" s="108"/>
      <c r="HG34" s="108"/>
      <c r="HH34" s="108"/>
      <c r="HI34" s="108"/>
      <c r="HJ34" s="108"/>
      <c r="HK34" s="108"/>
      <c r="HL34" s="108"/>
      <c r="HM34" s="108"/>
      <c r="HN34" s="108"/>
      <c r="HO34" s="108"/>
      <c r="HP34" s="108"/>
      <c r="HQ34" s="108"/>
      <c r="HR34" s="108"/>
      <c r="HS34" s="108"/>
      <c r="HT34" s="108"/>
      <c r="HU34" s="108"/>
      <c r="HV34" s="108"/>
      <c r="HW34" s="108"/>
      <c r="HX34" s="108"/>
      <c r="HY34" s="108"/>
      <c r="HZ34" s="108"/>
      <c r="IA34" s="108"/>
      <c r="IB34" s="108"/>
      <c r="IC34" s="108"/>
      <c r="ID34" s="108"/>
      <c r="IE34" s="108"/>
      <c r="IF34" s="108"/>
      <c r="IG34" s="108"/>
      <c r="IH34" s="108"/>
      <c r="II34" s="108"/>
      <c r="IJ34" s="108"/>
      <c r="IK34" s="108"/>
      <c r="IL34" s="108"/>
      <c r="IM34" s="108"/>
      <c r="IN34" s="108"/>
      <c r="IO34" s="108"/>
      <c r="IP34" s="108"/>
      <c r="IQ34" s="108"/>
      <c r="IR34" s="108"/>
      <c r="IS34" s="108"/>
      <c r="IT34" s="108"/>
      <c r="IU34" s="108"/>
      <c r="IV34" s="108"/>
      <c r="IW34" s="108"/>
    </row>
    <row r="35" spans="1:257" ht="15" thickBot="1" x14ac:dyDescent="0.35">
      <c r="A35" s="158"/>
      <c r="B35" s="113" t="str">
        <f>'Sensitivity analysis'!B194</f>
        <v>Antenatal care cost</v>
      </c>
      <c r="C35" s="170">
        <f>'Sensitivity analysis'!D194</f>
        <v>-240847.4134382155</v>
      </c>
      <c r="D35" s="171">
        <f>'Sensitivity analysis'!F194</f>
        <v>-240736.49130141782</v>
      </c>
      <c r="E35" s="172">
        <f t="shared" si="0"/>
        <v>110.92213679768611</v>
      </c>
      <c r="F35" s="158"/>
      <c r="G35" s="158"/>
      <c r="H35" s="158"/>
      <c r="I35" s="176" t="s">
        <v>800</v>
      </c>
      <c r="J35" s="170">
        <v>-239954.29899758461</v>
      </c>
      <c r="K35" s="171">
        <v>-241559.49883339283</v>
      </c>
      <c r="L35" s="172">
        <v>1605.1998358082201</v>
      </c>
      <c r="M35" s="158"/>
      <c r="N35" s="158"/>
      <c r="O35" s="108"/>
      <c r="P35" s="108"/>
      <c r="Q35" s="108"/>
      <c r="R35" s="108"/>
      <c r="S35" s="108"/>
      <c r="T35" s="108"/>
      <c r="U35" s="108"/>
      <c r="V35" s="108"/>
      <c r="W35" s="108"/>
      <c r="X35" s="108"/>
      <c r="Y35" s="108"/>
      <c r="Z35" s="108"/>
      <c r="AA35" s="108"/>
      <c r="AB35" s="108"/>
      <c r="AC35" s="108"/>
      <c r="AD35" s="108"/>
      <c r="AE35" s="108"/>
      <c r="AF35" s="108"/>
      <c r="AG35" s="108"/>
      <c r="AH35" s="108"/>
      <c r="AI35" s="108"/>
      <c r="AJ35" s="108"/>
      <c r="AK35" s="108"/>
      <c r="AL35" s="108"/>
      <c r="AM35" s="108"/>
      <c r="AN35" s="108"/>
      <c r="AO35" s="108"/>
      <c r="AP35" s="108"/>
      <c r="AQ35" s="108"/>
      <c r="AR35" s="108"/>
      <c r="AS35" s="108"/>
      <c r="AT35" s="108"/>
      <c r="AU35" s="108"/>
      <c r="AV35" s="108"/>
      <c r="AW35" s="108"/>
      <c r="AX35" s="108"/>
      <c r="AY35" s="108"/>
      <c r="AZ35" s="108"/>
      <c r="BA35" s="108"/>
      <c r="BB35" s="108"/>
      <c r="BC35" s="108"/>
      <c r="BD35" s="108"/>
      <c r="BE35" s="108"/>
      <c r="BF35" s="108"/>
      <c r="BG35" s="108"/>
      <c r="BH35" s="108"/>
      <c r="BI35" s="108"/>
      <c r="BJ35" s="108"/>
      <c r="BK35" s="108"/>
      <c r="BL35" s="108"/>
      <c r="BM35" s="108"/>
      <c r="BN35" s="108"/>
      <c r="BO35" s="108"/>
      <c r="BP35" s="108"/>
      <c r="BQ35" s="108"/>
      <c r="BR35" s="108"/>
      <c r="BS35" s="108"/>
      <c r="BT35" s="108"/>
      <c r="BU35" s="108"/>
      <c r="BV35" s="108"/>
      <c r="BW35" s="108"/>
      <c r="BX35" s="108"/>
      <c r="BY35" s="108"/>
      <c r="BZ35" s="108"/>
      <c r="CA35" s="108"/>
      <c r="CB35" s="108"/>
      <c r="CC35" s="108"/>
      <c r="CD35" s="108"/>
      <c r="CE35" s="108"/>
      <c r="CF35" s="108"/>
      <c r="CG35" s="108"/>
      <c r="CH35" s="108"/>
      <c r="CI35" s="108"/>
      <c r="CJ35" s="108"/>
      <c r="CK35" s="108"/>
      <c r="CL35" s="108"/>
      <c r="CM35" s="108"/>
      <c r="CN35" s="108"/>
      <c r="CO35" s="108"/>
      <c r="CP35" s="108"/>
      <c r="CQ35" s="108"/>
      <c r="CR35" s="108"/>
      <c r="CS35" s="108"/>
      <c r="CT35" s="108"/>
      <c r="CU35" s="108"/>
      <c r="CV35" s="108"/>
      <c r="CW35" s="108"/>
      <c r="CX35" s="108"/>
      <c r="CY35" s="108"/>
      <c r="CZ35" s="108"/>
      <c r="DA35" s="108"/>
      <c r="DB35" s="108"/>
      <c r="DC35" s="108"/>
      <c r="DD35" s="108"/>
      <c r="DE35" s="108"/>
      <c r="DF35" s="108"/>
      <c r="DG35" s="108"/>
      <c r="DH35" s="108"/>
      <c r="DI35" s="108"/>
      <c r="DJ35" s="108"/>
      <c r="DK35" s="108"/>
      <c r="DL35" s="108"/>
      <c r="DM35" s="108"/>
      <c r="DN35" s="108"/>
      <c r="DO35" s="108"/>
      <c r="DP35" s="108"/>
      <c r="DQ35" s="108"/>
      <c r="DR35" s="108"/>
      <c r="DS35" s="108"/>
      <c r="DT35" s="108"/>
      <c r="DU35" s="108"/>
      <c r="DV35" s="108"/>
      <c r="DW35" s="108"/>
      <c r="DX35" s="108"/>
      <c r="DY35" s="108"/>
      <c r="DZ35" s="108"/>
      <c r="EA35" s="108"/>
      <c r="EB35" s="108"/>
      <c r="EC35" s="108"/>
      <c r="ED35" s="108"/>
      <c r="EE35" s="108"/>
      <c r="EF35" s="108"/>
      <c r="EG35" s="108"/>
      <c r="EH35" s="108"/>
      <c r="EI35" s="108"/>
      <c r="EJ35" s="108"/>
      <c r="EK35" s="108"/>
      <c r="EL35" s="108"/>
      <c r="EM35" s="108"/>
      <c r="EN35" s="108"/>
      <c r="EO35" s="108"/>
      <c r="EP35" s="108"/>
      <c r="EQ35" s="108"/>
      <c r="ER35" s="108"/>
      <c r="ES35" s="108"/>
      <c r="ET35" s="108"/>
      <c r="EU35" s="108"/>
      <c r="EV35" s="108"/>
      <c r="EW35" s="108"/>
      <c r="EX35" s="108"/>
      <c r="EY35" s="108"/>
      <c r="EZ35" s="108"/>
      <c r="FA35" s="108"/>
      <c r="FB35" s="108"/>
      <c r="FC35" s="108"/>
      <c r="FD35" s="108"/>
      <c r="FE35" s="108"/>
      <c r="FF35" s="108"/>
      <c r="FG35" s="108"/>
      <c r="FH35" s="108"/>
      <c r="FI35" s="108"/>
      <c r="FJ35" s="108"/>
      <c r="FK35" s="108"/>
      <c r="FL35" s="108"/>
      <c r="FM35" s="108"/>
      <c r="FN35" s="108"/>
      <c r="FO35" s="108"/>
      <c r="FP35" s="108"/>
      <c r="FQ35" s="108"/>
      <c r="FR35" s="108"/>
      <c r="FS35" s="108"/>
      <c r="FT35" s="108"/>
      <c r="FU35" s="108"/>
      <c r="FV35" s="108"/>
      <c r="FW35" s="108"/>
      <c r="FX35" s="108"/>
      <c r="FY35" s="108"/>
      <c r="FZ35" s="108"/>
      <c r="GA35" s="108"/>
      <c r="GB35" s="108"/>
      <c r="GC35" s="108"/>
      <c r="GD35" s="108"/>
      <c r="GE35" s="108"/>
      <c r="GF35" s="108"/>
      <c r="GG35" s="108"/>
      <c r="GH35" s="108"/>
      <c r="GI35" s="108"/>
      <c r="GJ35" s="108"/>
      <c r="GK35" s="108"/>
      <c r="GL35" s="108"/>
      <c r="GM35" s="108"/>
      <c r="GN35" s="108"/>
      <c r="GO35" s="108"/>
      <c r="GP35" s="108"/>
      <c r="GQ35" s="108"/>
      <c r="GR35" s="108"/>
      <c r="GS35" s="108"/>
      <c r="GT35" s="108"/>
      <c r="GU35" s="108"/>
      <c r="GV35" s="108"/>
      <c r="GW35" s="108"/>
      <c r="GX35" s="108"/>
      <c r="GY35" s="108"/>
      <c r="GZ35" s="108"/>
      <c r="HA35" s="108"/>
      <c r="HB35" s="108"/>
      <c r="HC35" s="108"/>
      <c r="HD35" s="108"/>
      <c r="HE35" s="108"/>
      <c r="HF35" s="108"/>
      <c r="HG35" s="108"/>
      <c r="HH35" s="108"/>
      <c r="HI35" s="108"/>
      <c r="HJ35" s="108"/>
      <c r="HK35" s="108"/>
      <c r="HL35" s="108"/>
      <c r="HM35" s="108"/>
      <c r="HN35" s="108"/>
      <c r="HO35" s="108"/>
      <c r="HP35" s="108"/>
      <c r="HQ35" s="108"/>
      <c r="HR35" s="108"/>
      <c r="HS35" s="108"/>
      <c r="HT35" s="108"/>
      <c r="HU35" s="108"/>
      <c r="HV35" s="108"/>
      <c r="HW35" s="108"/>
      <c r="HX35" s="108"/>
      <c r="HY35" s="108"/>
      <c r="HZ35" s="108"/>
      <c r="IA35" s="108"/>
      <c r="IB35" s="108"/>
      <c r="IC35" s="108"/>
      <c r="ID35" s="108"/>
      <c r="IE35" s="108"/>
      <c r="IF35" s="108"/>
      <c r="IG35" s="108"/>
      <c r="IH35" s="108"/>
      <c r="II35" s="108"/>
      <c r="IJ35" s="108"/>
      <c r="IK35" s="108"/>
      <c r="IL35" s="108"/>
      <c r="IM35" s="108"/>
      <c r="IN35" s="108"/>
      <c r="IO35" s="108"/>
      <c r="IP35" s="108"/>
      <c r="IQ35" s="108"/>
      <c r="IR35" s="108"/>
      <c r="IS35" s="108"/>
      <c r="IT35" s="108"/>
      <c r="IU35" s="108"/>
      <c r="IV35" s="108"/>
      <c r="IW35" s="108"/>
    </row>
    <row r="36" spans="1:257" ht="15" thickBot="1" x14ac:dyDescent="0.35">
      <c r="A36" s="158"/>
      <c r="B36" s="113" t="str">
        <f>'Sensitivity analysis'!B195</f>
        <v>Preterm birth cost</v>
      </c>
      <c r="C36" s="170">
        <f>'Sensitivity analysis'!D195</f>
        <v>-240698.87732824715</v>
      </c>
      <c r="D36" s="171">
        <f>'Sensitivity analysis'!F195</f>
        <v>-240875.12500405457</v>
      </c>
      <c r="E36" s="172">
        <f t="shared" si="0"/>
        <v>176.247675807419</v>
      </c>
      <c r="F36" s="158"/>
      <c r="G36" s="158"/>
      <c r="H36" s="158"/>
      <c r="I36" s="176" t="s">
        <v>801</v>
      </c>
      <c r="J36" s="170">
        <v>-241357.18981738423</v>
      </c>
      <c r="K36" s="171">
        <v>-240263.19701714168</v>
      </c>
      <c r="L36" s="172">
        <v>1093.9928002425586</v>
      </c>
      <c r="M36" s="158"/>
      <c r="N36" s="158"/>
      <c r="O36" s="108"/>
      <c r="P36" s="108"/>
      <c r="Q36" s="108"/>
      <c r="R36" s="108"/>
      <c r="S36" s="108"/>
      <c r="T36" s="108"/>
      <c r="U36" s="108"/>
      <c r="V36" s="108"/>
      <c r="W36" s="108"/>
      <c r="X36" s="108"/>
      <c r="Y36" s="108"/>
      <c r="Z36" s="108"/>
      <c r="AA36" s="108"/>
      <c r="AB36" s="108"/>
      <c r="AC36" s="108"/>
      <c r="AD36" s="108"/>
      <c r="AE36" s="108"/>
      <c r="AF36" s="108"/>
      <c r="AG36" s="108"/>
      <c r="AH36" s="108"/>
      <c r="AI36" s="108"/>
      <c r="AJ36" s="108"/>
      <c r="AK36" s="108"/>
      <c r="AL36" s="108"/>
      <c r="AM36" s="108"/>
      <c r="AN36" s="108"/>
      <c r="AO36" s="108"/>
      <c r="AP36" s="108"/>
      <c r="AQ36" s="108"/>
      <c r="AR36" s="108"/>
      <c r="AS36" s="108"/>
      <c r="AT36" s="108"/>
      <c r="AU36" s="108"/>
      <c r="AV36" s="108"/>
      <c r="AW36" s="108"/>
      <c r="AX36" s="108"/>
      <c r="AY36" s="108"/>
      <c r="AZ36" s="108"/>
      <c r="BA36" s="108"/>
      <c r="BB36" s="108"/>
      <c r="BC36" s="108"/>
      <c r="BD36" s="108"/>
      <c r="BE36" s="108"/>
      <c r="BF36" s="108"/>
      <c r="BG36" s="108"/>
      <c r="BH36" s="108"/>
      <c r="BI36" s="108"/>
      <c r="BJ36" s="108"/>
      <c r="BK36" s="108"/>
      <c r="BL36" s="108"/>
      <c r="BM36" s="108"/>
      <c r="BN36" s="108"/>
      <c r="BO36" s="108"/>
      <c r="BP36" s="108"/>
      <c r="BQ36" s="108"/>
      <c r="BR36" s="108"/>
      <c r="BS36" s="108"/>
      <c r="BT36" s="108"/>
      <c r="BU36" s="108"/>
      <c r="BV36" s="108"/>
      <c r="BW36" s="108"/>
      <c r="BX36" s="108"/>
      <c r="BY36" s="108"/>
      <c r="BZ36" s="108"/>
      <c r="CA36" s="108"/>
      <c r="CB36" s="108"/>
      <c r="CC36" s="108"/>
      <c r="CD36" s="108"/>
      <c r="CE36" s="108"/>
      <c r="CF36" s="108"/>
      <c r="CG36" s="108"/>
      <c r="CH36" s="108"/>
      <c r="CI36" s="108"/>
      <c r="CJ36" s="108"/>
      <c r="CK36" s="108"/>
      <c r="CL36" s="108"/>
      <c r="CM36" s="108"/>
      <c r="CN36" s="108"/>
      <c r="CO36" s="108"/>
      <c r="CP36" s="108"/>
      <c r="CQ36" s="108"/>
      <c r="CR36" s="108"/>
      <c r="CS36" s="108"/>
      <c r="CT36" s="108"/>
      <c r="CU36" s="108"/>
      <c r="CV36" s="108"/>
      <c r="CW36" s="108"/>
      <c r="CX36" s="108"/>
      <c r="CY36" s="108"/>
      <c r="CZ36" s="108"/>
      <c r="DA36" s="108"/>
      <c r="DB36" s="108"/>
      <c r="DC36" s="108"/>
      <c r="DD36" s="108"/>
      <c r="DE36" s="108"/>
      <c r="DF36" s="108"/>
      <c r="DG36" s="108"/>
      <c r="DH36" s="108"/>
      <c r="DI36" s="108"/>
      <c r="DJ36" s="108"/>
      <c r="DK36" s="108"/>
      <c r="DL36" s="108"/>
      <c r="DM36" s="108"/>
      <c r="DN36" s="108"/>
      <c r="DO36" s="108"/>
      <c r="DP36" s="108"/>
      <c r="DQ36" s="108"/>
      <c r="DR36" s="108"/>
      <c r="DS36" s="108"/>
      <c r="DT36" s="108"/>
      <c r="DU36" s="108"/>
      <c r="DV36" s="108"/>
      <c r="DW36" s="108"/>
      <c r="DX36" s="108"/>
      <c r="DY36" s="108"/>
      <c r="DZ36" s="108"/>
      <c r="EA36" s="108"/>
      <c r="EB36" s="108"/>
      <c r="EC36" s="108"/>
      <c r="ED36" s="108"/>
      <c r="EE36" s="108"/>
      <c r="EF36" s="108"/>
      <c r="EG36" s="108"/>
      <c r="EH36" s="108"/>
      <c r="EI36" s="108"/>
      <c r="EJ36" s="108"/>
      <c r="EK36" s="108"/>
      <c r="EL36" s="108"/>
      <c r="EM36" s="108"/>
      <c r="EN36" s="108"/>
      <c r="EO36" s="108"/>
      <c r="EP36" s="108"/>
      <c r="EQ36" s="108"/>
      <c r="ER36" s="108"/>
      <c r="ES36" s="108"/>
      <c r="ET36" s="108"/>
      <c r="EU36" s="108"/>
      <c r="EV36" s="108"/>
      <c r="EW36" s="108"/>
      <c r="EX36" s="108"/>
      <c r="EY36" s="108"/>
      <c r="EZ36" s="108"/>
      <c r="FA36" s="108"/>
      <c r="FB36" s="108"/>
      <c r="FC36" s="108"/>
      <c r="FD36" s="108"/>
      <c r="FE36" s="108"/>
      <c r="FF36" s="108"/>
      <c r="FG36" s="108"/>
      <c r="FH36" s="108"/>
      <c r="FI36" s="108"/>
      <c r="FJ36" s="108"/>
      <c r="FK36" s="108"/>
      <c r="FL36" s="108"/>
      <c r="FM36" s="108"/>
      <c r="FN36" s="108"/>
      <c r="FO36" s="108"/>
      <c r="FP36" s="108"/>
      <c r="FQ36" s="108"/>
      <c r="FR36" s="108"/>
      <c r="FS36" s="108"/>
      <c r="FT36" s="108"/>
      <c r="FU36" s="108"/>
      <c r="FV36" s="108"/>
      <c r="FW36" s="108"/>
      <c r="FX36" s="108"/>
      <c r="FY36" s="108"/>
      <c r="FZ36" s="108"/>
      <c r="GA36" s="108"/>
      <c r="GB36" s="108"/>
      <c r="GC36" s="108"/>
      <c r="GD36" s="108"/>
      <c r="GE36" s="108"/>
      <c r="GF36" s="108"/>
      <c r="GG36" s="108"/>
      <c r="GH36" s="108"/>
      <c r="GI36" s="108"/>
      <c r="GJ36" s="108"/>
      <c r="GK36" s="108"/>
      <c r="GL36" s="108"/>
      <c r="GM36" s="108"/>
      <c r="GN36" s="108"/>
      <c r="GO36" s="108"/>
      <c r="GP36" s="108"/>
      <c r="GQ36" s="108"/>
      <c r="GR36" s="108"/>
      <c r="GS36" s="108"/>
      <c r="GT36" s="108"/>
      <c r="GU36" s="108"/>
      <c r="GV36" s="108"/>
      <c r="GW36" s="108"/>
      <c r="GX36" s="108"/>
      <c r="GY36" s="108"/>
      <c r="GZ36" s="108"/>
      <c r="HA36" s="108"/>
      <c r="HB36" s="108"/>
      <c r="HC36" s="108"/>
      <c r="HD36" s="108"/>
      <c r="HE36" s="108"/>
      <c r="HF36" s="108"/>
      <c r="HG36" s="108"/>
      <c r="HH36" s="108"/>
      <c r="HI36" s="108"/>
      <c r="HJ36" s="108"/>
      <c r="HK36" s="108"/>
      <c r="HL36" s="108"/>
      <c r="HM36" s="108"/>
      <c r="HN36" s="108"/>
      <c r="HO36" s="108"/>
      <c r="HP36" s="108"/>
      <c r="HQ36" s="108"/>
      <c r="HR36" s="108"/>
      <c r="HS36" s="108"/>
      <c r="HT36" s="108"/>
      <c r="HU36" s="108"/>
      <c r="HV36" s="108"/>
      <c r="HW36" s="108"/>
      <c r="HX36" s="108"/>
      <c r="HY36" s="108"/>
      <c r="HZ36" s="108"/>
      <c r="IA36" s="108"/>
      <c r="IB36" s="108"/>
      <c r="IC36" s="108"/>
      <c r="ID36" s="108"/>
      <c r="IE36" s="108"/>
      <c r="IF36" s="108"/>
      <c r="IG36" s="108"/>
      <c r="IH36" s="108"/>
      <c r="II36" s="108"/>
      <c r="IJ36" s="108"/>
      <c r="IK36" s="108"/>
      <c r="IL36" s="108"/>
      <c r="IM36" s="108"/>
      <c r="IN36" s="108"/>
      <c r="IO36" s="108"/>
      <c r="IP36" s="108"/>
      <c r="IQ36" s="108"/>
      <c r="IR36" s="108"/>
      <c r="IS36" s="108"/>
      <c r="IT36" s="108"/>
      <c r="IU36" s="108"/>
      <c r="IV36" s="108"/>
      <c r="IW36" s="108"/>
    </row>
    <row r="37" spans="1:257" ht="15" thickBot="1" x14ac:dyDescent="0.35">
      <c r="A37" s="158"/>
      <c r="B37" s="113" t="str">
        <f>'Sensitivity analysis'!B196</f>
        <v>LBW cost</v>
      </c>
      <c r="C37" s="170">
        <f>'Sensitivity analysis'!D196</f>
        <v>-90951.817145484267</v>
      </c>
      <c r="D37" s="171">
        <f>'Sensitivity analysis'!F196</f>
        <v>-276138.07534962945</v>
      </c>
      <c r="E37" s="172">
        <f t="shared" si="0"/>
        <v>185186.25820414518</v>
      </c>
      <c r="F37" s="158"/>
      <c r="G37" s="158"/>
      <c r="H37" s="158"/>
      <c r="I37" s="184" t="s">
        <v>824</v>
      </c>
      <c r="J37" s="174">
        <v>-241268.90223435979</v>
      </c>
      <c r="K37" s="171">
        <v>-240343.10175835021</v>
      </c>
      <c r="L37" s="172">
        <v>925.80047600957914</v>
      </c>
      <c r="M37" s="158"/>
      <c r="N37" s="158"/>
      <c r="O37" s="108"/>
      <c r="P37" s="108"/>
      <c r="Q37" s="108"/>
      <c r="R37" s="108"/>
      <c r="S37" s="108"/>
      <c r="T37" s="108"/>
      <c r="U37" s="108"/>
      <c r="V37" s="108"/>
      <c r="W37" s="108"/>
      <c r="X37" s="108"/>
      <c r="Y37" s="108"/>
      <c r="Z37" s="108"/>
      <c r="AA37" s="108"/>
      <c r="AB37" s="108"/>
      <c r="AC37" s="108"/>
      <c r="AD37" s="108"/>
      <c r="AE37" s="108"/>
      <c r="AF37" s="108"/>
      <c r="AG37" s="108"/>
      <c r="AH37" s="108"/>
      <c r="AI37" s="108"/>
      <c r="AJ37" s="108"/>
      <c r="AK37" s="108"/>
      <c r="AL37" s="108"/>
      <c r="AM37" s="108"/>
      <c r="AN37" s="108"/>
      <c r="AO37" s="108"/>
      <c r="AP37" s="108"/>
      <c r="AQ37" s="108"/>
      <c r="AR37" s="108"/>
      <c r="AS37" s="108"/>
      <c r="AT37" s="108"/>
      <c r="AU37" s="108"/>
      <c r="AV37" s="108"/>
      <c r="AW37" s="108"/>
      <c r="AX37" s="108"/>
      <c r="AY37" s="108"/>
      <c r="AZ37" s="108"/>
      <c r="BA37" s="108"/>
      <c r="BB37" s="108"/>
      <c r="BC37" s="108"/>
      <c r="BD37" s="108"/>
      <c r="BE37" s="108"/>
      <c r="BF37" s="108"/>
      <c r="BG37" s="108"/>
      <c r="BH37" s="108"/>
      <c r="BI37" s="108"/>
      <c r="BJ37" s="108"/>
      <c r="BK37" s="108"/>
      <c r="BL37" s="108"/>
      <c r="BM37" s="108"/>
      <c r="BN37" s="108"/>
      <c r="BO37" s="108"/>
      <c r="BP37" s="108"/>
      <c r="BQ37" s="108"/>
      <c r="BR37" s="108"/>
      <c r="BS37" s="108"/>
      <c r="BT37" s="108"/>
      <c r="BU37" s="108"/>
      <c r="BV37" s="108"/>
      <c r="BW37" s="108"/>
      <c r="BX37" s="108"/>
      <c r="BY37" s="108"/>
      <c r="BZ37" s="108"/>
      <c r="CA37" s="108"/>
      <c r="CB37" s="108"/>
      <c r="CC37" s="108"/>
      <c r="CD37" s="108"/>
      <c r="CE37" s="108"/>
      <c r="CF37" s="108"/>
      <c r="CG37" s="108"/>
      <c r="CH37" s="108"/>
      <c r="CI37" s="108"/>
      <c r="CJ37" s="108"/>
      <c r="CK37" s="108"/>
      <c r="CL37" s="108"/>
      <c r="CM37" s="108"/>
      <c r="CN37" s="108"/>
      <c r="CO37" s="108"/>
      <c r="CP37" s="108"/>
      <c r="CQ37" s="108"/>
      <c r="CR37" s="108"/>
      <c r="CS37" s="108"/>
      <c r="CT37" s="108"/>
      <c r="CU37" s="108"/>
      <c r="CV37" s="108"/>
      <c r="CW37" s="108"/>
      <c r="CX37" s="108"/>
      <c r="CY37" s="108"/>
      <c r="CZ37" s="108"/>
      <c r="DA37" s="108"/>
      <c r="DB37" s="108"/>
      <c r="DC37" s="108"/>
      <c r="DD37" s="108"/>
      <c r="DE37" s="108"/>
      <c r="DF37" s="108"/>
      <c r="DG37" s="108"/>
      <c r="DH37" s="108"/>
      <c r="DI37" s="108"/>
      <c r="DJ37" s="108"/>
      <c r="DK37" s="108"/>
      <c r="DL37" s="108"/>
      <c r="DM37" s="108"/>
      <c r="DN37" s="108"/>
      <c r="DO37" s="108"/>
      <c r="DP37" s="108"/>
      <c r="DQ37" s="108"/>
      <c r="DR37" s="108"/>
      <c r="DS37" s="108"/>
      <c r="DT37" s="108"/>
      <c r="DU37" s="108"/>
      <c r="DV37" s="108"/>
      <c r="DW37" s="108"/>
      <c r="DX37" s="108"/>
      <c r="DY37" s="108"/>
      <c r="DZ37" s="108"/>
      <c r="EA37" s="108"/>
      <c r="EB37" s="108"/>
      <c r="EC37" s="108"/>
      <c r="ED37" s="108"/>
      <c r="EE37" s="108"/>
      <c r="EF37" s="108"/>
      <c r="EG37" s="108"/>
      <c r="EH37" s="108"/>
      <c r="EI37" s="108"/>
      <c r="EJ37" s="108"/>
      <c r="EK37" s="108"/>
      <c r="EL37" s="108"/>
      <c r="EM37" s="108"/>
      <c r="EN37" s="108"/>
      <c r="EO37" s="108"/>
      <c r="EP37" s="108"/>
      <c r="EQ37" s="108"/>
      <c r="ER37" s="108"/>
      <c r="ES37" s="108"/>
      <c r="ET37" s="108"/>
      <c r="EU37" s="108"/>
      <c r="EV37" s="108"/>
      <c r="EW37" s="108"/>
      <c r="EX37" s="108"/>
      <c r="EY37" s="108"/>
      <c r="EZ37" s="108"/>
      <c r="FA37" s="108"/>
      <c r="FB37" s="108"/>
      <c r="FC37" s="108"/>
      <c r="FD37" s="108"/>
      <c r="FE37" s="108"/>
      <c r="FF37" s="108"/>
      <c r="FG37" s="108"/>
      <c r="FH37" s="108"/>
      <c r="FI37" s="108"/>
      <c r="FJ37" s="108"/>
      <c r="FK37" s="108"/>
      <c r="FL37" s="108"/>
      <c r="FM37" s="108"/>
      <c r="FN37" s="108"/>
      <c r="FO37" s="108"/>
      <c r="FP37" s="108"/>
      <c r="FQ37" s="108"/>
      <c r="FR37" s="108"/>
      <c r="FS37" s="108"/>
      <c r="FT37" s="108"/>
      <c r="FU37" s="108"/>
      <c r="FV37" s="108"/>
      <c r="FW37" s="108"/>
      <c r="FX37" s="108"/>
      <c r="FY37" s="108"/>
      <c r="FZ37" s="108"/>
      <c r="GA37" s="108"/>
      <c r="GB37" s="108"/>
      <c r="GC37" s="108"/>
      <c r="GD37" s="108"/>
      <c r="GE37" s="108"/>
      <c r="GF37" s="108"/>
      <c r="GG37" s="108"/>
      <c r="GH37" s="108"/>
      <c r="GI37" s="108"/>
      <c r="GJ37" s="108"/>
      <c r="GK37" s="108"/>
      <c r="GL37" s="108"/>
      <c r="GM37" s="108"/>
      <c r="GN37" s="108"/>
      <c r="GO37" s="108"/>
      <c r="GP37" s="108"/>
      <c r="GQ37" s="108"/>
      <c r="GR37" s="108"/>
      <c r="GS37" s="108"/>
      <c r="GT37" s="108"/>
      <c r="GU37" s="108"/>
      <c r="GV37" s="108"/>
      <c r="GW37" s="108"/>
      <c r="GX37" s="108"/>
      <c r="GY37" s="108"/>
      <c r="GZ37" s="108"/>
      <c r="HA37" s="108"/>
      <c r="HB37" s="108"/>
      <c r="HC37" s="108"/>
      <c r="HD37" s="108"/>
      <c r="HE37" s="108"/>
      <c r="HF37" s="108"/>
      <c r="HG37" s="108"/>
      <c r="HH37" s="108"/>
      <c r="HI37" s="108"/>
      <c r="HJ37" s="108"/>
      <c r="HK37" s="108"/>
      <c r="HL37" s="108"/>
      <c r="HM37" s="108"/>
      <c r="HN37" s="108"/>
      <c r="HO37" s="108"/>
      <c r="HP37" s="108"/>
      <c r="HQ37" s="108"/>
      <c r="HR37" s="108"/>
      <c r="HS37" s="108"/>
      <c r="HT37" s="108"/>
      <c r="HU37" s="108"/>
      <c r="HV37" s="108"/>
      <c r="HW37" s="108"/>
      <c r="HX37" s="108"/>
      <c r="HY37" s="108"/>
      <c r="HZ37" s="108"/>
      <c r="IA37" s="108"/>
      <c r="IB37" s="108"/>
      <c r="IC37" s="108"/>
      <c r="ID37" s="108"/>
      <c r="IE37" s="108"/>
      <c r="IF37" s="108"/>
      <c r="IG37" s="108"/>
      <c r="IH37" s="108"/>
      <c r="II37" s="108"/>
      <c r="IJ37" s="108"/>
      <c r="IK37" s="108"/>
      <c r="IL37" s="108"/>
      <c r="IM37" s="108"/>
      <c r="IN37" s="108"/>
      <c r="IO37" s="108"/>
      <c r="IP37" s="108"/>
      <c r="IQ37" s="108"/>
      <c r="IR37" s="108"/>
      <c r="IS37" s="108"/>
      <c r="IT37" s="108"/>
      <c r="IU37" s="108"/>
      <c r="IV37" s="108"/>
      <c r="IW37" s="108"/>
    </row>
    <row r="38" spans="1:257" ht="15" thickBot="1" x14ac:dyDescent="0.35">
      <c r="A38" s="158"/>
      <c r="B38" s="113" t="str">
        <f>'Sensitivity analysis'!B197</f>
        <v>Normal birth weight cost</v>
      </c>
      <c r="C38" s="170">
        <f>'Sensitivity analysis'!D197</f>
        <v>-240503.39835045193</v>
      </c>
      <c r="D38" s="171">
        <f>'Sensitivity analysis'!F197</f>
        <v>-237484.54359070459</v>
      </c>
      <c r="E38" s="172">
        <f t="shared" si="0"/>
        <v>3018.8547597473371</v>
      </c>
      <c r="F38" s="158"/>
      <c r="G38" s="158"/>
      <c r="H38" s="158"/>
      <c r="I38" s="184" t="s">
        <v>820</v>
      </c>
      <c r="J38" s="170">
        <v>-240467.97693830656</v>
      </c>
      <c r="K38" s="175">
        <v>-241112.10290005736</v>
      </c>
      <c r="L38" s="172">
        <v>644.12596175080398</v>
      </c>
      <c r="M38" s="158"/>
      <c r="N38" s="158"/>
      <c r="O38" s="108"/>
      <c r="P38" s="108"/>
      <c r="Q38" s="108"/>
      <c r="R38" s="108"/>
      <c r="S38" s="108"/>
      <c r="T38" s="108"/>
      <c r="U38" s="108"/>
      <c r="V38" s="108"/>
      <c r="W38" s="108"/>
      <c r="X38" s="108"/>
      <c r="Y38" s="108"/>
      <c r="Z38" s="108"/>
      <c r="AA38" s="108"/>
      <c r="AB38" s="108"/>
      <c r="AC38" s="108"/>
      <c r="AD38" s="108"/>
      <c r="AE38" s="108"/>
      <c r="AF38" s="108"/>
      <c r="AG38" s="108"/>
      <c r="AH38" s="108"/>
      <c r="AI38" s="108"/>
      <c r="AJ38" s="108"/>
      <c r="AK38" s="108"/>
      <c r="AL38" s="108"/>
      <c r="AM38" s="108"/>
      <c r="AN38" s="108"/>
      <c r="AO38" s="108"/>
      <c r="AP38" s="108"/>
      <c r="AQ38" s="108"/>
      <c r="AR38" s="108"/>
      <c r="AS38" s="108"/>
      <c r="AT38" s="108"/>
      <c r="AU38" s="108"/>
      <c r="AV38" s="108"/>
      <c r="AW38" s="108"/>
      <c r="AX38" s="108"/>
      <c r="AY38" s="108"/>
      <c r="AZ38" s="108"/>
      <c r="BA38" s="108"/>
      <c r="BB38" s="108"/>
      <c r="BC38" s="108"/>
      <c r="BD38" s="108"/>
      <c r="BE38" s="108"/>
      <c r="BF38" s="108"/>
      <c r="BG38" s="108"/>
      <c r="BH38" s="108"/>
      <c r="BI38" s="108"/>
      <c r="BJ38" s="108"/>
      <c r="BK38" s="108"/>
      <c r="BL38" s="108"/>
      <c r="BM38" s="108"/>
      <c r="BN38" s="108"/>
      <c r="BO38" s="108"/>
      <c r="BP38" s="108"/>
      <c r="BQ38" s="108"/>
      <c r="BR38" s="108"/>
      <c r="BS38" s="108"/>
      <c r="BT38" s="108"/>
      <c r="BU38" s="108"/>
      <c r="BV38" s="108"/>
      <c r="BW38" s="108"/>
      <c r="BX38" s="108"/>
      <c r="BY38" s="108"/>
      <c r="BZ38" s="108"/>
      <c r="CA38" s="108"/>
      <c r="CB38" s="108"/>
      <c r="CC38" s="108"/>
      <c r="CD38" s="108"/>
      <c r="CE38" s="108"/>
      <c r="CF38" s="108"/>
      <c r="CG38" s="108"/>
      <c r="CH38" s="108"/>
      <c r="CI38" s="108"/>
      <c r="CJ38" s="108"/>
      <c r="CK38" s="108"/>
      <c r="CL38" s="108"/>
      <c r="CM38" s="108"/>
      <c r="CN38" s="108"/>
      <c r="CO38" s="108"/>
      <c r="CP38" s="108"/>
      <c r="CQ38" s="108"/>
      <c r="CR38" s="108"/>
      <c r="CS38" s="108"/>
      <c r="CT38" s="108"/>
      <c r="CU38" s="108"/>
      <c r="CV38" s="108"/>
      <c r="CW38" s="108"/>
      <c r="CX38" s="108"/>
      <c r="CY38" s="108"/>
      <c r="CZ38" s="108"/>
      <c r="DA38" s="108"/>
      <c r="DB38" s="108"/>
      <c r="DC38" s="108"/>
      <c r="DD38" s="108"/>
      <c r="DE38" s="108"/>
      <c r="DF38" s="108"/>
      <c r="DG38" s="108"/>
      <c r="DH38" s="108"/>
      <c r="DI38" s="108"/>
      <c r="DJ38" s="108"/>
      <c r="DK38" s="108"/>
      <c r="DL38" s="108"/>
      <c r="DM38" s="108"/>
      <c r="DN38" s="108"/>
      <c r="DO38" s="108"/>
      <c r="DP38" s="108"/>
      <c r="DQ38" s="108"/>
      <c r="DR38" s="108"/>
      <c r="DS38" s="108"/>
      <c r="DT38" s="108"/>
      <c r="DU38" s="108"/>
      <c r="DV38" s="108"/>
      <c r="DW38" s="108"/>
      <c r="DX38" s="108"/>
      <c r="DY38" s="108"/>
      <c r="DZ38" s="108"/>
      <c r="EA38" s="108"/>
      <c r="EB38" s="108"/>
      <c r="EC38" s="108"/>
      <c r="ED38" s="108"/>
      <c r="EE38" s="108"/>
      <c r="EF38" s="108"/>
      <c r="EG38" s="108"/>
      <c r="EH38" s="108"/>
      <c r="EI38" s="108"/>
      <c r="EJ38" s="108"/>
      <c r="EK38" s="108"/>
      <c r="EL38" s="108"/>
      <c r="EM38" s="108"/>
      <c r="EN38" s="108"/>
      <c r="EO38" s="108"/>
      <c r="EP38" s="108"/>
      <c r="EQ38" s="108"/>
      <c r="ER38" s="108"/>
      <c r="ES38" s="108"/>
      <c r="ET38" s="108"/>
      <c r="EU38" s="108"/>
      <c r="EV38" s="108"/>
      <c r="EW38" s="108"/>
      <c r="EX38" s="108"/>
      <c r="EY38" s="108"/>
      <c r="EZ38" s="108"/>
      <c r="FA38" s="108"/>
      <c r="FB38" s="108"/>
      <c r="FC38" s="108"/>
      <c r="FD38" s="108"/>
      <c r="FE38" s="108"/>
      <c r="FF38" s="108"/>
      <c r="FG38" s="108"/>
      <c r="FH38" s="108"/>
      <c r="FI38" s="108"/>
      <c r="FJ38" s="108"/>
      <c r="FK38" s="108"/>
      <c r="FL38" s="108"/>
      <c r="FM38" s="108"/>
      <c r="FN38" s="108"/>
      <c r="FO38" s="108"/>
      <c r="FP38" s="108"/>
      <c r="FQ38" s="108"/>
      <c r="FR38" s="108"/>
      <c r="FS38" s="108"/>
      <c r="FT38" s="108"/>
      <c r="FU38" s="108"/>
      <c r="FV38" s="108"/>
      <c r="FW38" s="108"/>
      <c r="FX38" s="108"/>
      <c r="FY38" s="108"/>
      <c r="FZ38" s="108"/>
      <c r="GA38" s="108"/>
      <c r="GB38" s="108"/>
      <c r="GC38" s="108"/>
      <c r="GD38" s="108"/>
      <c r="GE38" s="108"/>
      <c r="GF38" s="108"/>
      <c r="GG38" s="108"/>
      <c r="GH38" s="108"/>
      <c r="GI38" s="108"/>
      <c r="GJ38" s="108"/>
      <c r="GK38" s="108"/>
      <c r="GL38" s="108"/>
      <c r="GM38" s="108"/>
      <c r="GN38" s="108"/>
      <c r="GO38" s="108"/>
      <c r="GP38" s="108"/>
      <c r="GQ38" s="108"/>
      <c r="GR38" s="108"/>
      <c r="GS38" s="108"/>
      <c r="GT38" s="108"/>
      <c r="GU38" s="108"/>
      <c r="GV38" s="108"/>
      <c r="GW38" s="108"/>
      <c r="GX38" s="108"/>
      <c r="GY38" s="108"/>
      <c r="GZ38" s="108"/>
      <c r="HA38" s="108"/>
      <c r="HB38" s="108"/>
      <c r="HC38" s="108"/>
      <c r="HD38" s="108"/>
      <c r="HE38" s="108"/>
      <c r="HF38" s="108"/>
      <c r="HG38" s="108"/>
      <c r="HH38" s="108"/>
      <c r="HI38" s="108"/>
      <c r="HJ38" s="108"/>
      <c r="HK38" s="108"/>
      <c r="HL38" s="108"/>
      <c r="HM38" s="108"/>
      <c r="HN38" s="108"/>
      <c r="HO38" s="108"/>
      <c r="HP38" s="108"/>
      <c r="HQ38" s="108"/>
      <c r="HR38" s="108"/>
      <c r="HS38" s="108"/>
      <c r="HT38" s="108"/>
      <c r="HU38" s="108"/>
      <c r="HV38" s="108"/>
      <c r="HW38" s="108"/>
      <c r="HX38" s="108"/>
      <c r="HY38" s="108"/>
      <c r="HZ38" s="108"/>
      <c r="IA38" s="108"/>
      <c r="IB38" s="108"/>
      <c r="IC38" s="108"/>
      <c r="ID38" s="108"/>
      <c r="IE38" s="108"/>
      <c r="IF38" s="108"/>
      <c r="IG38" s="108"/>
      <c r="IH38" s="108"/>
      <c r="II38" s="108"/>
      <c r="IJ38" s="108"/>
      <c r="IK38" s="108"/>
      <c r="IL38" s="108"/>
      <c r="IM38" s="108"/>
      <c r="IN38" s="108"/>
      <c r="IO38" s="108"/>
      <c r="IP38" s="108"/>
      <c r="IQ38" s="108"/>
      <c r="IR38" s="108"/>
      <c r="IS38" s="108"/>
      <c r="IT38" s="108"/>
      <c r="IU38" s="108"/>
      <c r="IV38" s="108"/>
      <c r="IW38" s="108"/>
    </row>
    <row r="39" spans="1:257" ht="15" thickBot="1" x14ac:dyDescent="0.35">
      <c r="A39" s="158"/>
      <c r="B39" s="113" t="str">
        <f>'Sensitivity analysis'!B198</f>
        <v>Stillbirth cost</v>
      </c>
      <c r="C39" s="170">
        <f>'Sensitivity analysis'!D198</f>
        <v>-240751.61365212855</v>
      </c>
      <c r="D39" s="171">
        <f>'Sensitivity analysis'!F198</f>
        <v>-240828.46618623627</v>
      </c>
      <c r="E39" s="172">
        <f t="shared" si="0"/>
        <v>76.852534107718384</v>
      </c>
      <c r="F39" s="158"/>
      <c r="G39" s="158"/>
      <c r="H39" s="158"/>
      <c r="I39" s="176" t="s">
        <v>807</v>
      </c>
      <c r="J39" s="170">
        <v>-241001.13417427562</v>
      </c>
      <c r="K39" s="171">
        <v>-240525.52240763765</v>
      </c>
      <c r="L39" s="172">
        <v>475.61176663797232</v>
      </c>
      <c r="M39" s="158"/>
      <c r="N39" s="158"/>
      <c r="O39" s="108"/>
      <c r="P39" s="108"/>
      <c r="Q39" s="108"/>
      <c r="R39" s="108"/>
      <c r="S39" s="108"/>
      <c r="T39" s="108"/>
      <c r="U39" s="108"/>
      <c r="V39" s="108"/>
      <c r="W39" s="108"/>
      <c r="X39" s="108"/>
      <c r="Y39" s="108"/>
      <c r="Z39" s="108"/>
      <c r="AA39" s="108"/>
      <c r="AB39" s="108"/>
      <c r="AC39" s="108"/>
      <c r="AD39" s="108"/>
      <c r="AE39" s="108"/>
      <c r="AF39" s="108"/>
      <c r="AG39" s="108"/>
      <c r="AH39" s="108"/>
      <c r="AI39" s="108"/>
      <c r="AJ39" s="108"/>
      <c r="AK39" s="108"/>
      <c r="AL39" s="108"/>
      <c r="AM39" s="108"/>
      <c r="AN39" s="108"/>
      <c r="AO39" s="108"/>
      <c r="AP39" s="108"/>
      <c r="AQ39" s="108"/>
      <c r="AR39" s="108"/>
      <c r="AS39" s="108"/>
      <c r="AT39" s="108"/>
      <c r="AU39" s="108"/>
      <c r="AV39" s="108"/>
      <c r="AW39" s="108"/>
      <c r="AX39" s="108"/>
      <c r="AY39" s="108"/>
      <c r="AZ39" s="108"/>
      <c r="BA39" s="108"/>
      <c r="BB39" s="108"/>
      <c r="BC39" s="108"/>
      <c r="BD39" s="108"/>
      <c r="BE39" s="108"/>
      <c r="BF39" s="108"/>
      <c r="BG39" s="108"/>
      <c r="BH39" s="108"/>
      <c r="BI39" s="108"/>
      <c r="BJ39" s="108"/>
      <c r="BK39" s="108"/>
      <c r="BL39" s="108"/>
      <c r="BM39" s="108"/>
      <c r="BN39" s="108"/>
      <c r="BO39" s="108"/>
      <c r="BP39" s="108"/>
      <c r="BQ39" s="108"/>
      <c r="BR39" s="108"/>
      <c r="BS39" s="108"/>
      <c r="BT39" s="108"/>
      <c r="BU39" s="108"/>
      <c r="BV39" s="108"/>
      <c r="BW39" s="108"/>
      <c r="BX39" s="108"/>
      <c r="BY39" s="108"/>
      <c r="BZ39" s="108"/>
      <c r="CA39" s="108"/>
      <c r="CB39" s="108"/>
      <c r="CC39" s="108"/>
      <c r="CD39" s="108"/>
      <c r="CE39" s="108"/>
      <c r="CF39" s="108"/>
      <c r="CG39" s="108"/>
      <c r="CH39" s="108"/>
      <c r="CI39" s="108"/>
      <c r="CJ39" s="108"/>
      <c r="CK39" s="108"/>
      <c r="CL39" s="108"/>
      <c r="CM39" s="108"/>
      <c r="CN39" s="108"/>
      <c r="CO39" s="108"/>
      <c r="CP39" s="108"/>
      <c r="CQ39" s="108"/>
      <c r="CR39" s="108"/>
      <c r="CS39" s="108"/>
      <c r="CT39" s="108"/>
      <c r="CU39" s="108"/>
      <c r="CV39" s="108"/>
      <c r="CW39" s="108"/>
      <c r="CX39" s="108"/>
      <c r="CY39" s="108"/>
      <c r="CZ39" s="108"/>
      <c r="DA39" s="108"/>
      <c r="DB39" s="108"/>
      <c r="DC39" s="108"/>
      <c r="DD39" s="108"/>
      <c r="DE39" s="108"/>
      <c r="DF39" s="108"/>
      <c r="DG39" s="108"/>
      <c r="DH39" s="108"/>
      <c r="DI39" s="108"/>
      <c r="DJ39" s="108"/>
      <c r="DK39" s="108"/>
      <c r="DL39" s="108"/>
      <c r="DM39" s="108"/>
      <c r="DN39" s="108"/>
      <c r="DO39" s="108"/>
      <c r="DP39" s="108"/>
      <c r="DQ39" s="108"/>
      <c r="DR39" s="108"/>
      <c r="DS39" s="108"/>
      <c r="DT39" s="108"/>
      <c r="DU39" s="108"/>
      <c r="DV39" s="108"/>
      <c r="DW39" s="108"/>
      <c r="DX39" s="108"/>
      <c r="DY39" s="108"/>
      <c r="DZ39" s="108"/>
      <c r="EA39" s="108"/>
      <c r="EB39" s="108"/>
      <c r="EC39" s="108"/>
      <c r="ED39" s="108"/>
      <c r="EE39" s="108"/>
      <c r="EF39" s="108"/>
      <c r="EG39" s="108"/>
      <c r="EH39" s="108"/>
      <c r="EI39" s="108"/>
      <c r="EJ39" s="108"/>
      <c r="EK39" s="108"/>
      <c r="EL39" s="108"/>
      <c r="EM39" s="108"/>
      <c r="EN39" s="108"/>
      <c r="EO39" s="108"/>
      <c r="EP39" s="108"/>
      <c r="EQ39" s="108"/>
      <c r="ER39" s="108"/>
      <c r="ES39" s="108"/>
      <c r="ET39" s="108"/>
      <c r="EU39" s="108"/>
      <c r="EV39" s="108"/>
      <c r="EW39" s="108"/>
      <c r="EX39" s="108"/>
      <c r="EY39" s="108"/>
      <c r="EZ39" s="108"/>
      <c r="FA39" s="108"/>
      <c r="FB39" s="108"/>
      <c r="FC39" s="108"/>
      <c r="FD39" s="108"/>
      <c r="FE39" s="108"/>
      <c r="FF39" s="108"/>
      <c r="FG39" s="108"/>
      <c r="FH39" s="108"/>
      <c r="FI39" s="108"/>
      <c r="FJ39" s="108"/>
      <c r="FK39" s="108"/>
      <c r="FL39" s="108"/>
      <c r="FM39" s="108"/>
      <c r="FN39" s="108"/>
      <c r="FO39" s="108"/>
      <c r="FP39" s="108"/>
      <c r="FQ39" s="108"/>
      <c r="FR39" s="108"/>
      <c r="FS39" s="108"/>
      <c r="FT39" s="108"/>
      <c r="FU39" s="108"/>
      <c r="FV39" s="108"/>
      <c r="FW39" s="108"/>
      <c r="FX39" s="108"/>
      <c r="FY39" s="108"/>
      <c r="FZ39" s="108"/>
      <c r="GA39" s="108"/>
      <c r="GB39" s="108"/>
      <c r="GC39" s="108"/>
      <c r="GD39" s="108"/>
      <c r="GE39" s="108"/>
      <c r="GF39" s="108"/>
      <c r="GG39" s="108"/>
      <c r="GH39" s="108"/>
      <c r="GI39" s="108"/>
      <c r="GJ39" s="108"/>
      <c r="GK39" s="108"/>
      <c r="GL39" s="108"/>
      <c r="GM39" s="108"/>
      <c r="GN39" s="108"/>
      <c r="GO39" s="108"/>
      <c r="GP39" s="108"/>
      <c r="GQ39" s="108"/>
      <c r="GR39" s="108"/>
      <c r="GS39" s="108"/>
      <c r="GT39" s="108"/>
      <c r="GU39" s="108"/>
      <c r="GV39" s="108"/>
      <c r="GW39" s="108"/>
      <c r="GX39" s="108"/>
      <c r="GY39" s="108"/>
      <c r="GZ39" s="108"/>
      <c r="HA39" s="108"/>
      <c r="HB39" s="108"/>
      <c r="HC39" s="108"/>
      <c r="HD39" s="108"/>
      <c r="HE39" s="108"/>
      <c r="HF39" s="108"/>
      <c r="HG39" s="108"/>
      <c r="HH39" s="108"/>
      <c r="HI39" s="108"/>
      <c r="HJ39" s="108"/>
      <c r="HK39" s="108"/>
      <c r="HL39" s="108"/>
      <c r="HM39" s="108"/>
      <c r="HN39" s="108"/>
      <c r="HO39" s="108"/>
      <c r="HP39" s="108"/>
      <c r="HQ39" s="108"/>
      <c r="HR39" s="108"/>
      <c r="HS39" s="108"/>
      <c r="HT39" s="108"/>
      <c r="HU39" s="108"/>
      <c r="HV39" s="108"/>
      <c r="HW39" s="108"/>
      <c r="HX39" s="108"/>
      <c r="HY39" s="108"/>
      <c r="HZ39" s="108"/>
      <c r="IA39" s="108"/>
      <c r="IB39" s="108"/>
      <c r="IC39" s="108"/>
      <c r="ID39" s="108"/>
      <c r="IE39" s="108"/>
      <c r="IF39" s="108"/>
      <c r="IG39" s="108"/>
      <c r="IH39" s="108"/>
      <c r="II39" s="108"/>
      <c r="IJ39" s="108"/>
      <c r="IK39" s="108"/>
      <c r="IL39" s="108"/>
      <c r="IM39" s="108"/>
      <c r="IN39" s="108"/>
      <c r="IO39" s="108"/>
      <c r="IP39" s="108"/>
      <c r="IQ39" s="108"/>
      <c r="IR39" s="108"/>
      <c r="IS39" s="108"/>
      <c r="IT39" s="108"/>
      <c r="IU39" s="108"/>
      <c r="IV39" s="108"/>
      <c r="IW39" s="108"/>
    </row>
    <row r="40" spans="1:257" ht="15" thickBot="1" x14ac:dyDescent="0.35">
      <c r="A40" s="158"/>
      <c r="B40" s="113" t="str">
        <f>'Sensitivity analysis'!B199</f>
        <v>RDS cost</v>
      </c>
      <c r="C40" s="170">
        <f>'Sensitivity analysis'!D199</f>
        <v>-238792.51123504271</v>
      </c>
      <c r="D40" s="171">
        <f>'Sensitivity analysis'!F199</f>
        <v>-242654.40002437847</v>
      </c>
      <c r="E40" s="172">
        <f t="shared" si="0"/>
        <v>3861.8887893357605</v>
      </c>
      <c r="F40" s="158"/>
      <c r="G40" s="158"/>
      <c r="H40" s="158"/>
      <c r="I40" s="184" t="s">
        <v>823</v>
      </c>
      <c r="J40" s="170">
        <v>-240680.33991845936</v>
      </c>
      <c r="K40" s="175">
        <v>-240892.42658652394</v>
      </c>
      <c r="L40" s="172">
        <v>212.08666806458496</v>
      </c>
      <c r="M40" s="158"/>
      <c r="N40" s="158"/>
      <c r="O40" s="108"/>
      <c r="P40" s="108"/>
      <c r="Q40" s="108"/>
      <c r="R40" s="108"/>
      <c r="S40" s="108"/>
      <c r="T40" s="108"/>
      <c r="U40" s="108"/>
      <c r="V40" s="108"/>
      <c r="W40" s="108"/>
      <c r="X40" s="108"/>
      <c r="Y40" s="108"/>
      <c r="Z40" s="108"/>
      <c r="AA40" s="108"/>
      <c r="AB40" s="108"/>
      <c r="AC40" s="108"/>
      <c r="AD40" s="108"/>
      <c r="AE40" s="108"/>
      <c r="AF40" s="108"/>
      <c r="AG40" s="108"/>
      <c r="AH40" s="108"/>
      <c r="AI40" s="108"/>
      <c r="AJ40" s="108"/>
      <c r="AK40" s="108"/>
      <c r="AL40" s="108"/>
      <c r="AM40" s="108"/>
      <c r="AN40" s="108"/>
      <c r="AO40" s="108"/>
      <c r="AP40" s="108"/>
      <c r="AQ40" s="108"/>
      <c r="AR40" s="108"/>
      <c r="AS40" s="108"/>
      <c r="AT40" s="108"/>
      <c r="AU40" s="108"/>
      <c r="AV40" s="108"/>
      <c r="AW40" s="108"/>
      <c r="AX40" s="108"/>
      <c r="AY40" s="108"/>
      <c r="AZ40" s="108"/>
      <c r="BA40" s="108"/>
      <c r="BB40" s="108"/>
      <c r="BC40" s="108"/>
      <c r="BD40" s="108"/>
      <c r="BE40" s="108"/>
      <c r="BF40" s="108"/>
      <c r="BG40" s="108"/>
      <c r="BH40" s="108"/>
      <c r="BI40" s="108"/>
      <c r="BJ40" s="108"/>
      <c r="BK40" s="108"/>
      <c r="BL40" s="108"/>
      <c r="BM40" s="108"/>
      <c r="BN40" s="108"/>
      <c r="BO40" s="108"/>
      <c r="BP40" s="108"/>
      <c r="BQ40" s="108"/>
      <c r="BR40" s="108"/>
      <c r="BS40" s="108"/>
      <c r="BT40" s="108"/>
      <c r="BU40" s="108"/>
      <c r="BV40" s="108"/>
      <c r="BW40" s="108"/>
      <c r="BX40" s="108"/>
      <c r="BY40" s="108"/>
      <c r="BZ40" s="108"/>
      <c r="CA40" s="108"/>
      <c r="CB40" s="108"/>
      <c r="CC40" s="108"/>
      <c r="CD40" s="108"/>
      <c r="CE40" s="108"/>
      <c r="CF40" s="108"/>
      <c r="CG40" s="108"/>
      <c r="CH40" s="108"/>
      <c r="CI40" s="108"/>
      <c r="CJ40" s="108"/>
      <c r="CK40" s="108"/>
      <c r="CL40" s="108"/>
      <c r="CM40" s="108"/>
      <c r="CN40" s="108"/>
      <c r="CO40" s="108"/>
      <c r="CP40" s="108"/>
      <c r="CQ40" s="108"/>
      <c r="CR40" s="108"/>
      <c r="CS40" s="108"/>
      <c r="CT40" s="108"/>
      <c r="CU40" s="108"/>
      <c r="CV40" s="108"/>
      <c r="CW40" s="108"/>
      <c r="CX40" s="108"/>
      <c r="CY40" s="108"/>
      <c r="CZ40" s="108"/>
      <c r="DA40" s="108"/>
      <c r="DB40" s="108"/>
      <c r="DC40" s="108"/>
      <c r="DD40" s="108"/>
      <c r="DE40" s="108"/>
      <c r="DF40" s="108"/>
      <c r="DG40" s="108"/>
      <c r="DH40" s="108"/>
      <c r="DI40" s="108"/>
      <c r="DJ40" s="108"/>
      <c r="DK40" s="108"/>
      <c r="DL40" s="108"/>
      <c r="DM40" s="108"/>
      <c r="DN40" s="108"/>
      <c r="DO40" s="108"/>
      <c r="DP40" s="108"/>
      <c r="DQ40" s="108"/>
      <c r="DR40" s="108"/>
      <c r="DS40" s="108"/>
      <c r="DT40" s="108"/>
      <c r="DU40" s="108"/>
      <c r="DV40" s="108"/>
      <c r="DW40" s="108"/>
      <c r="DX40" s="108"/>
      <c r="DY40" s="108"/>
      <c r="DZ40" s="108"/>
      <c r="EA40" s="108"/>
      <c r="EB40" s="108"/>
      <c r="EC40" s="108"/>
      <c r="ED40" s="108"/>
      <c r="EE40" s="108"/>
      <c r="EF40" s="108"/>
      <c r="EG40" s="108"/>
      <c r="EH40" s="108"/>
      <c r="EI40" s="108"/>
      <c r="EJ40" s="108"/>
      <c r="EK40" s="108"/>
      <c r="EL40" s="108"/>
      <c r="EM40" s="108"/>
      <c r="EN40" s="108"/>
      <c r="EO40" s="108"/>
      <c r="EP40" s="108"/>
      <c r="EQ40" s="108"/>
      <c r="ER40" s="108"/>
      <c r="ES40" s="108"/>
      <c r="ET40" s="108"/>
      <c r="EU40" s="108"/>
      <c r="EV40" s="108"/>
      <c r="EW40" s="108"/>
      <c r="EX40" s="108"/>
      <c r="EY40" s="108"/>
      <c r="EZ40" s="108"/>
      <c r="FA40" s="108"/>
      <c r="FB40" s="108"/>
      <c r="FC40" s="108"/>
      <c r="FD40" s="108"/>
      <c r="FE40" s="108"/>
      <c r="FF40" s="108"/>
      <c r="FG40" s="108"/>
      <c r="FH40" s="108"/>
      <c r="FI40" s="108"/>
      <c r="FJ40" s="108"/>
      <c r="FK40" s="108"/>
      <c r="FL40" s="108"/>
      <c r="FM40" s="108"/>
      <c r="FN40" s="108"/>
      <c r="FO40" s="108"/>
      <c r="FP40" s="108"/>
      <c r="FQ40" s="108"/>
      <c r="FR40" s="108"/>
      <c r="FS40" s="108"/>
      <c r="FT40" s="108"/>
      <c r="FU40" s="108"/>
      <c r="FV40" s="108"/>
      <c r="FW40" s="108"/>
      <c r="FX40" s="108"/>
      <c r="FY40" s="108"/>
      <c r="FZ40" s="108"/>
      <c r="GA40" s="108"/>
      <c r="GB40" s="108"/>
      <c r="GC40" s="108"/>
      <c r="GD40" s="108"/>
      <c r="GE40" s="108"/>
      <c r="GF40" s="108"/>
      <c r="GG40" s="108"/>
      <c r="GH40" s="108"/>
      <c r="GI40" s="108"/>
      <c r="GJ40" s="108"/>
      <c r="GK40" s="108"/>
      <c r="GL40" s="108"/>
      <c r="GM40" s="108"/>
      <c r="GN40" s="108"/>
      <c r="GO40" s="108"/>
      <c r="GP40" s="108"/>
      <c r="GQ40" s="108"/>
      <c r="GR40" s="108"/>
      <c r="GS40" s="108"/>
      <c r="GT40" s="108"/>
      <c r="GU40" s="108"/>
      <c r="GV40" s="108"/>
      <c r="GW40" s="108"/>
      <c r="GX40" s="108"/>
      <c r="GY40" s="108"/>
      <c r="GZ40" s="108"/>
      <c r="HA40" s="108"/>
      <c r="HB40" s="108"/>
      <c r="HC40" s="108"/>
      <c r="HD40" s="108"/>
      <c r="HE40" s="108"/>
      <c r="HF40" s="108"/>
      <c r="HG40" s="108"/>
      <c r="HH40" s="108"/>
      <c r="HI40" s="108"/>
      <c r="HJ40" s="108"/>
      <c r="HK40" s="108"/>
      <c r="HL40" s="108"/>
      <c r="HM40" s="108"/>
      <c r="HN40" s="108"/>
      <c r="HO40" s="108"/>
      <c r="HP40" s="108"/>
      <c r="HQ40" s="108"/>
      <c r="HR40" s="108"/>
      <c r="HS40" s="108"/>
      <c r="HT40" s="108"/>
      <c r="HU40" s="108"/>
      <c r="HV40" s="108"/>
      <c r="HW40" s="108"/>
      <c r="HX40" s="108"/>
      <c r="HY40" s="108"/>
      <c r="HZ40" s="108"/>
      <c r="IA40" s="108"/>
      <c r="IB40" s="108"/>
      <c r="IC40" s="108"/>
      <c r="ID40" s="108"/>
      <c r="IE40" s="108"/>
      <c r="IF40" s="108"/>
      <c r="IG40" s="108"/>
      <c r="IH40" s="108"/>
      <c r="II40" s="108"/>
      <c r="IJ40" s="108"/>
      <c r="IK40" s="108"/>
      <c r="IL40" s="108"/>
      <c r="IM40" s="108"/>
      <c r="IN40" s="108"/>
      <c r="IO40" s="108"/>
      <c r="IP40" s="108"/>
      <c r="IQ40" s="108"/>
      <c r="IR40" s="108"/>
      <c r="IS40" s="108"/>
      <c r="IT40" s="108"/>
      <c r="IU40" s="108"/>
      <c r="IV40" s="108"/>
      <c r="IW40" s="108"/>
    </row>
    <row r="41" spans="1:257" ht="15" thickBot="1" x14ac:dyDescent="0.35">
      <c r="A41" s="158"/>
      <c r="B41" s="113" t="str">
        <f>'Sensitivity analysis'!B200</f>
        <v>Hypoglycaemia cost</v>
      </c>
      <c r="C41" s="170">
        <f>'Sensitivity analysis'!D200</f>
        <v>-240467.97693830656</v>
      </c>
      <c r="D41" s="171">
        <f>'Sensitivity analysis'!F200</f>
        <v>-241112.10290005736</v>
      </c>
      <c r="E41" s="172">
        <f t="shared" si="0"/>
        <v>644.12596175080398</v>
      </c>
      <c r="F41" s="158"/>
      <c r="G41" s="158"/>
      <c r="H41" s="158"/>
      <c r="I41" s="184" t="s">
        <v>815</v>
      </c>
      <c r="J41" s="170">
        <v>-240698.87732824715</v>
      </c>
      <c r="K41" s="171">
        <v>-240875.12500405457</v>
      </c>
      <c r="L41" s="172">
        <v>176.247675807419</v>
      </c>
      <c r="M41" s="158"/>
      <c r="N41" s="158"/>
      <c r="O41" s="108"/>
      <c r="P41" s="108"/>
      <c r="Q41" s="108"/>
      <c r="R41" s="108"/>
      <c r="S41" s="108"/>
      <c r="T41" s="108"/>
      <c r="U41" s="108"/>
      <c r="V41" s="108"/>
      <c r="W41" s="108"/>
      <c r="X41" s="108"/>
      <c r="Y41" s="108"/>
      <c r="Z41" s="108"/>
      <c r="AA41" s="108"/>
      <c r="AB41" s="108"/>
      <c r="AC41" s="108"/>
      <c r="AD41" s="108"/>
      <c r="AE41" s="108"/>
      <c r="AF41" s="108"/>
      <c r="AG41" s="108"/>
      <c r="AH41" s="108"/>
      <c r="AI41" s="108"/>
      <c r="AJ41" s="108"/>
      <c r="AK41" s="108"/>
      <c r="AL41" s="108"/>
      <c r="AM41" s="108"/>
      <c r="AN41" s="108"/>
      <c r="AO41" s="108"/>
      <c r="AP41" s="108"/>
      <c r="AQ41" s="108"/>
      <c r="AR41" s="108"/>
      <c r="AS41" s="108"/>
      <c r="AT41" s="108"/>
      <c r="AU41" s="108"/>
      <c r="AV41" s="108"/>
      <c r="AW41" s="108"/>
      <c r="AX41" s="108"/>
      <c r="AY41" s="108"/>
      <c r="AZ41" s="108"/>
      <c r="BA41" s="108"/>
      <c r="BB41" s="108"/>
      <c r="BC41" s="108"/>
      <c r="BD41" s="108"/>
      <c r="BE41" s="108"/>
      <c r="BF41" s="108"/>
      <c r="BG41" s="108"/>
      <c r="BH41" s="108"/>
      <c r="BI41" s="108"/>
      <c r="BJ41" s="108"/>
      <c r="BK41" s="108"/>
      <c r="BL41" s="108"/>
      <c r="BM41" s="108"/>
      <c r="BN41" s="108"/>
      <c r="BO41" s="108"/>
      <c r="BP41" s="108"/>
      <c r="BQ41" s="108"/>
      <c r="BR41" s="108"/>
      <c r="BS41" s="108"/>
      <c r="BT41" s="108"/>
      <c r="BU41" s="108"/>
      <c r="BV41" s="108"/>
      <c r="BW41" s="108"/>
      <c r="BX41" s="108"/>
      <c r="BY41" s="108"/>
      <c r="BZ41" s="108"/>
      <c r="CA41" s="108"/>
      <c r="CB41" s="108"/>
      <c r="CC41" s="108"/>
      <c r="CD41" s="108"/>
      <c r="CE41" s="108"/>
      <c r="CF41" s="108"/>
      <c r="CG41" s="108"/>
      <c r="CH41" s="108"/>
      <c r="CI41" s="108"/>
      <c r="CJ41" s="108"/>
      <c r="CK41" s="108"/>
      <c r="CL41" s="108"/>
      <c r="CM41" s="108"/>
      <c r="CN41" s="108"/>
      <c r="CO41" s="108"/>
      <c r="CP41" s="108"/>
      <c r="CQ41" s="108"/>
      <c r="CR41" s="108"/>
      <c r="CS41" s="108"/>
      <c r="CT41" s="108"/>
      <c r="CU41" s="108"/>
      <c r="CV41" s="108"/>
      <c r="CW41" s="108"/>
      <c r="CX41" s="108"/>
      <c r="CY41" s="108"/>
      <c r="CZ41" s="108"/>
      <c r="DA41" s="108"/>
      <c r="DB41" s="108"/>
      <c r="DC41" s="108"/>
      <c r="DD41" s="108"/>
      <c r="DE41" s="108"/>
      <c r="DF41" s="108"/>
      <c r="DG41" s="108"/>
      <c r="DH41" s="108"/>
      <c r="DI41" s="108"/>
      <c r="DJ41" s="108"/>
      <c r="DK41" s="108"/>
      <c r="DL41" s="108"/>
      <c r="DM41" s="108"/>
      <c r="DN41" s="108"/>
      <c r="DO41" s="108"/>
      <c r="DP41" s="108"/>
      <c r="DQ41" s="108"/>
      <c r="DR41" s="108"/>
      <c r="DS41" s="108"/>
      <c r="DT41" s="108"/>
      <c r="DU41" s="108"/>
      <c r="DV41" s="108"/>
      <c r="DW41" s="108"/>
      <c r="DX41" s="108"/>
      <c r="DY41" s="108"/>
      <c r="DZ41" s="108"/>
      <c r="EA41" s="108"/>
      <c r="EB41" s="108"/>
      <c r="EC41" s="108"/>
      <c r="ED41" s="108"/>
      <c r="EE41" s="108"/>
      <c r="EF41" s="108"/>
      <c r="EG41" s="108"/>
      <c r="EH41" s="108"/>
      <c r="EI41" s="108"/>
      <c r="EJ41" s="108"/>
      <c r="EK41" s="108"/>
      <c r="EL41" s="108"/>
      <c r="EM41" s="108"/>
      <c r="EN41" s="108"/>
      <c r="EO41" s="108"/>
      <c r="EP41" s="108"/>
      <c r="EQ41" s="108"/>
      <c r="ER41" s="108"/>
      <c r="ES41" s="108"/>
      <c r="ET41" s="108"/>
      <c r="EU41" s="108"/>
      <c r="EV41" s="108"/>
      <c r="EW41" s="108"/>
      <c r="EX41" s="108"/>
      <c r="EY41" s="108"/>
      <c r="EZ41" s="108"/>
      <c r="FA41" s="108"/>
      <c r="FB41" s="108"/>
      <c r="FC41" s="108"/>
      <c r="FD41" s="108"/>
      <c r="FE41" s="108"/>
      <c r="FF41" s="108"/>
      <c r="FG41" s="108"/>
      <c r="FH41" s="108"/>
      <c r="FI41" s="108"/>
      <c r="FJ41" s="108"/>
      <c r="FK41" s="108"/>
      <c r="FL41" s="108"/>
      <c r="FM41" s="108"/>
      <c r="FN41" s="108"/>
      <c r="FO41" s="108"/>
      <c r="FP41" s="108"/>
      <c r="FQ41" s="108"/>
      <c r="FR41" s="108"/>
      <c r="FS41" s="108"/>
      <c r="FT41" s="108"/>
      <c r="FU41" s="108"/>
      <c r="FV41" s="108"/>
      <c r="FW41" s="108"/>
      <c r="FX41" s="108"/>
      <c r="FY41" s="108"/>
      <c r="FZ41" s="108"/>
      <c r="GA41" s="108"/>
      <c r="GB41" s="108"/>
      <c r="GC41" s="108"/>
      <c r="GD41" s="108"/>
      <c r="GE41" s="108"/>
      <c r="GF41" s="108"/>
      <c r="GG41" s="108"/>
      <c r="GH41" s="108"/>
      <c r="GI41" s="108"/>
      <c r="GJ41" s="108"/>
      <c r="GK41" s="108"/>
      <c r="GL41" s="108"/>
      <c r="GM41" s="108"/>
      <c r="GN41" s="108"/>
      <c r="GO41" s="108"/>
      <c r="GP41" s="108"/>
      <c r="GQ41" s="108"/>
      <c r="GR41" s="108"/>
      <c r="GS41" s="108"/>
      <c r="GT41" s="108"/>
      <c r="GU41" s="108"/>
      <c r="GV41" s="108"/>
      <c r="GW41" s="108"/>
      <c r="GX41" s="108"/>
      <c r="GY41" s="108"/>
      <c r="GZ41" s="108"/>
      <c r="HA41" s="108"/>
      <c r="HB41" s="108"/>
      <c r="HC41" s="108"/>
      <c r="HD41" s="108"/>
      <c r="HE41" s="108"/>
      <c r="HF41" s="108"/>
      <c r="HG41" s="108"/>
      <c r="HH41" s="108"/>
      <c r="HI41" s="108"/>
      <c r="HJ41" s="108"/>
      <c r="HK41" s="108"/>
      <c r="HL41" s="108"/>
      <c r="HM41" s="108"/>
      <c r="HN41" s="108"/>
      <c r="HO41" s="108"/>
      <c r="HP41" s="108"/>
      <c r="HQ41" s="108"/>
      <c r="HR41" s="108"/>
      <c r="HS41" s="108"/>
      <c r="HT41" s="108"/>
      <c r="HU41" s="108"/>
      <c r="HV41" s="108"/>
      <c r="HW41" s="108"/>
      <c r="HX41" s="108"/>
      <c r="HY41" s="108"/>
      <c r="HZ41" s="108"/>
      <c r="IA41" s="108"/>
      <c r="IB41" s="108"/>
      <c r="IC41" s="108"/>
      <c r="ID41" s="108"/>
      <c r="IE41" s="108"/>
      <c r="IF41" s="108"/>
      <c r="IG41" s="108"/>
      <c r="IH41" s="108"/>
      <c r="II41" s="108"/>
      <c r="IJ41" s="108"/>
      <c r="IK41" s="108"/>
      <c r="IL41" s="108"/>
      <c r="IM41" s="108"/>
      <c r="IN41" s="108"/>
      <c r="IO41" s="108"/>
      <c r="IP41" s="108"/>
      <c r="IQ41" s="108"/>
      <c r="IR41" s="108"/>
      <c r="IS41" s="108"/>
      <c r="IT41" s="108"/>
      <c r="IU41" s="108"/>
      <c r="IV41" s="108"/>
      <c r="IW41" s="108"/>
    </row>
    <row r="42" spans="1:257" ht="15" thickBot="1" x14ac:dyDescent="0.35">
      <c r="A42" s="158"/>
      <c r="B42" s="113" t="str">
        <f>'Sensitivity analysis'!B201</f>
        <v>Chronic lung disease cost</v>
      </c>
      <c r="C42" s="170">
        <f>'Sensitivity analysis'!D201</f>
        <v>-235503.90927592217</v>
      </c>
      <c r="D42" s="171">
        <f>'Sensitivity analysis'!F201</f>
        <v>-245723.76185289206</v>
      </c>
      <c r="E42" s="172">
        <f t="shared" si="0"/>
        <v>10219.85257696989</v>
      </c>
      <c r="F42" s="158"/>
      <c r="G42" s="158"/>
      <c r="H42" s="158"/>
      <c r="I42" s="176" t="s">
        <v>814</v>
      </c>
      <c r="J42" s="170">
        <v>-240847.4134382155</v>
      </c>
      <c r="K42" s="171">
        <v>-240736.49130141782</v>
      </c>
      <c r="L42" s="172">
        <v>110.92213679768611</v>
      </c>
      <c r="M42" s="158"/>
      <c r="N42" s="158"/>
      <c r="O42" s="108"/>
      <c r="P42" s="108"/>
      <c r="Q42" s="108"/>
      <c r="R42" s="108"/>
      <c r="S42" s="108"/>
      <c r="T42" s="108"/>
      <c r="U42" s="108"/>
      <c r="V42" s="108"/>
      <c r="W42" s="108"/>
      <c r="X42" s="108"/>
      <c r="Y42" s="108"/>
      <c r="Z42" s="108"/>
      <c r="AA42" s="108"/>
      <c r="AB42" s="108"/>
      <c r="AC42" s="108"/>
      <c r="AD42" s="108"/>
      <c r="AE42" s="108"/>
      <c r="AF42" s="108"/>
      <c r="AG42" s="108"/>
      <c r="AH42" s="108"/>
      <c r="AI42" s="108"/>
      <c r="AJ42" s="108"/>
      <c r="AK42" s="108"/>
      <c r="AL42" s="108"/>
      <c r="AM42" s="108"/>
      <c r="AN42" s="108"/>
      <c r="AO42" s="108"/>
      <c r="AP42" s="108"/>
      <c r="AQ42" s="108"/>
      <c r="AR42" s="108"/>
      <c r="AS42" s="108"/>
      <c r="AT42" s="108"/>
      <c r="AU42" s="108"/>
      <c r="AV42" s="108"/>
      <c r="AW42" s="108"/>
      <c r="AX42" s="108"/>
      <c r="AY42" s="108"/>
      <c r="AZ42" s="108"/>
      <c r="BA42" s="108"/>
      <c r="BB42" s="108"/>
      <c r="BC42" s="108"/>
      <c r="BD42" s="108"/>
      <c r="BE42" s="108"/>
      <c r="BF42" s="108"/>
      <c r="BG42" s="108"/>
      <c r="BH42" s="108"/>
      <c r="BI42" s="108"/>
      <c r="BJ42" s="108"/>
      <c r="BK42" s="108"/>
      <c r="BL42" s="108"/>
      <c r="BM42" s="108"/>
      <c r="BN42" s="108"/>
      <c r="BO42" s="108"/>
      <c r="BP42" s="108"/>
      <c r="BQ42" s="108"/>
      <c r="BR42" s="108"/>
      <c r="BS42" s="108"/>
      <c r="BT42" s="108"/>
      <c r="BU42" s="108"/>
      <c r="BV42" s="108"/>
      <c r="BW42" s="108"/>
      <c r="BX42" s="108"/>
      <c r="BY42" s="108"/>
      <c r="BZ42" s="108"/>
      <c r="CA42" s="108"/>
      <c r="CB42" s="108"/>
      <c r="CC42" s="108"/>
      <c r="CD42" s="108"/>
      <c r="CE42" s="108"/>
      <c r="CF42" s="108"/>
      <c r="CG42" s="108"/>
      <c r="CH42" s="108"/>
      <c r="CI42" s="108"/>
      <c r="CJ42" s="108"/>
      <c r="CK42" s="108"/>
      <c r="CL42" s="108"/>
      <c r="CM42" s="108"/>
      <c r="CN42" s="108"/>
      <c r="CO42" s="108"/>
      <c r="CP42" s="108"/>
      <c r="CQ42" s="108"/>
      <c r="CR42" s="108"/>
      <c r="CS42" s="108"/>
      <c r="CT42" s="108"/>
      <c r="CU42" s="108"/>
      <c r="CV42" s="108"/>
      <c r="CW42" s="108"/>
      <c r="CX42" s="108"/>
      <c r="CY42" s="108"/>
      <c r="CZ42" s="108"/>
      <c r="DA42" s="108"/>
      <c r="DB42" s="108"/>
      <c r="DC42" s="108"/>
      <c r="DD42" s="108"/>
      <c r="DE42" s="108"/>
      <c r="DF42" s="108"/>
      <c r="DG42" s="108"/>
      <c r="DH42" s="108"/>
      <c r="DI42" s="108"/>
      <c r="DJ42" s="108"/>
      <c r="DK42" s="108"/>
      <c r="DL42" s="108"/>
      <c r="DM42" s="108"/>
      <c r="DN42" s="108"/>
      <c r="DO42" s="108"/>
      <c r="DP42" s="108"/>
      <c r="DQ42" s="108"/>
      <c r="DR42" s="108"/>
      <c r="DS42" s="108"/>
      <c r="DT42" s="108"/>
      <c r="DU42" s="108"/>
      <c r="DV42" s="108"/>
      <c r="DW42" s="108"/>
      <c r="DX42" s="108"/>
      <c r="DY42" s="108"/>
      <c r="DZ42" s="108"/>
      <c r="EA42" s="108"/>
      <c r="EB42" s="108"/>
      <c r="EC42" s="108"/>
      <c r="ED42" s="108"/>
      <c r="EE42" s="108"/>
      <c r="EF42" s="108"/>
      <c r="EG42" s="108"/>
      <c r="EH42" s="108"/>
      <c r="EI42" s="108"/>
      <c r="EJ42" s="108"/>
      <c r="EK42" s="108"/>
      <c r="EL42" s="108"/>
      <c r="EM42" s="108"/>
      <c r="EN42" s="108"/>
      <c r="EO42" s="108"/>
      <c r="EP42" s="108"/>
      <c r="EQ42" s="108"/>
      <c r="ER42" s="108"/>
      <c r="ES42" s="108"/>
      <c r="ET42" s="108"/>
      <c r="EU42" s="108"/>
      <c r="EV42" s="108"/>
      <c r="EW42" s="108"/>
      <c r="EX42" s="108"/>
      <c r="EY42" s="108"/>
      <c r="EZ42" s="108"/>
      <c r="FA42" s="108"/>
      <c r="FB42" s="108"/>
      <c r="FC42" s="108"/>
      <c r="FD42" s="108"/>
      <c r="FE42" s="108"/>
      <c r="FF42" s="108"/>
      <c r="FG42" s="108"/>
      <c r="FH42" s="108"/>
      <c r="FI42" s="108"/>
      <c r="FJ42" s="108"/>
      <c r="FK42" s="108"/>
      <c r="FL42" s="108"/>
      <c r="FM42" s="108"/>
      <c r="FN42" s="108"/>
      <c r="FO42" s="108"/>
      <c r="FP42" s="108"/>
      <c r="FQ42" s="108"/>
      <c r="FR42" s="108"/>
      <c r="FS42" s="108"/>
      <c r="FT42" s="108"/>
      <c r="FU42" s="108"/>
      <c r="FV42" s="108"/>
      <c r="FW42" s="108"/>
      <c r="FX42" s="108"/>
      <c r="FY42" s="108"/>
      <c r="FZ42" s="108"/>
      <c r="GA42" s="108"/>
      <c r="GB42" s="108"/>
      <c r="GC42" s="108"/>
      <c r="GD42" s="108"/>
      <c r="GE42" s="108"/>
      <c r="GF42" s="108"/>
      <c r="GG42" s="108"/>
      <c r="GH42" s="108"/>
      <c r="GI42" s="108"/>
      <c r="GJ42" s="108"/>
      <c r="GK42" s="108"/>
      <c r="GL42" s="108"/>
      <c r="GM42" s="108"/>
      <c r="GN42" s="108"/>
      <c r="GO42" s="108"/>
      <c r="GP42" s="108"/>
      <c r="GQ42" s="108"/>
      <c r="GR42" s="108"/>
      <c r="GS42" s="108"/>
      <c r="GT42" s="108"/>
      <c r="GU42" s="108"/>
      <c r="GV42" s="108"/>
      <c r="GW42" s="108"/>
      <c r="GX42" s="108"/>
      <c r="GY42" s="108"/>
      <c r="GZ42" s="108"/>
      <c r="HA42" s="108"/>
      <c r="HB42" s="108"/>
      <c r="HC42" s="108"/>
      <c r="HD42" s="108"/>
      <c r="HE42" s="108"/>
      <c r="HF42" s="108"/>
      <c r="HG42" s="108"/>
      <c r="HH42" s="108"/>
      <c r="HI42" s="108"/>
      <c r="HJ42" s="108"/>
      <c r="HK42" s="108"/>
      <c r="HL42" s="108"/>
      <c r="HM42" s="108"/>
      <c r="HN42" s="108"/>
      <c r="HO42" s="108"/>
      <c r="HP42" s="108"/>
      <c r="HQ42" s="108"/>
      <c r="HR42" s="108"/>
      <c r="HS42" s="108"/>
      <c r="HT42" s="108"/>
      <c r="HU42" s="108"/>
      <c r="HV42" s="108"/>
      <c r="HW42" s="108"/>
      <c r="HX42" s="108"/>
      <c r="HY42" s="108"/>
      <c r="HZ42" s="108"/>
      <c r="IA42" s="108"/>
      <c r="IB42" s="108"/>
      <c r="IC42" s="108"/>
      <c r="ID42" s="108"/>
      <c r="IE42" s="108"/>
      <c r="IF42" s="108"/>
      <c r="IG42" s="108"/>
      <c r="IH42" s="108"/>
      <c r="II42" s="108"/>
      <c r="IJ42" s="108"/>
      <c r="IK42" s="108"/>
      <c r="IL42" s="108"/>
      <c r="IM42" s="108"/>
      <c r="IN42" s="108"/>
      <c r="IO42" s="108"/>
      <c r="IP42" s="108"/>
      <c r="IQ42" s="108"/>
      <c r="IR42" s="108"/>
      <c r="IS42" s="108"/>
      <c r="IT42" s="108"/>
      <c r="IU42" s="108"/>
      <c r="IV42" s="108"/>
      <c r="IW42" s="108"/>
    </row>
    <row r="43" spans="1:257" ht="15" thickBot="1" x14ac:dyDescent="0.35">
      <c r="A43" s="158"/>
      <c r="B43" s="113" t="str">
        <f>'Sensitivity analysis'!B202</f>
        <v>Motor impairment cost</v>
      </c>
      <c r="C43" s="170">
        <f>'Sensitivity analysis'!D202</f>
        <v>-240785.10562227271</v>
      </c>
      <c r="D43" s="171">
        <f>'Sensitivity analysis'!F202</f>
        <v>-240794.64526296384</v>
      </c>
      <c r="E43" s="172">
        <f t="shared" si="0"/>
        <v>9.5396406911313534</v>
      </c>
      <c r="F43" s="158"/>
      <c r="G43" s="158"/>
      <c r="H43" s="158"/>
      <c r="I43" s="184" t="s">
        <v>818</v>
      </c>
      <c r="J43" s="170">
        <v>-240751.61365212855</v>
      </c>
      <c r="K43" s="175">
        <v>-240828.46618623627</v>
      </c>
      <c r="L43" s="172">
        <v>76.852534107718384</v>
      </c>
      <c r="M43" s="158"/>
      <c r="N43" s="158"/>
      <c r="O43" s="108"/>
      <c r="P43" s="108"/>
      <c r="Q43" s="108"/>
      <c r="R43" s="108"/>
      <c r="S43" s="108"/>
      <c r="T43" s="108"/>
      <c r="U43" s="108"/>
      <c r="V43" s="108"/>
      <c r="W43" s="108"/>
      <c r="X43" s="108"/>
      <c r="Y43" s="108"/>
      <c r="Z43" s="108"/>
      <c r="AA43" s="108"/>
      <c r="AB43" s="108"/>
      <c r="AC43" s="108"/>
      <c r="AD43" s="108"/>
      <c r="AE43" s="108"/>
      <c r="AF43" s="108"/>
      <c r="AG43" s="108"/>
      <c r="AH43" s="108"/>
      <c r="AI43" s="108"/>
      <c r="AJ43" s="108"/>
      <c r="AK43" s="108"/>
      <c r="AL43" s="108"/>
      <c r="AM43" s="108"/>
      <c r="AN43" s="108"/>
      <c r="AO43" s="108"/>
      <c r="AP43" s="108"/>
      <c r="AQ43" s="108"/>
      <c r="AR43" s="108"/>
      <c r="AS43" s="108"/>
      <c r="AT43" s="108"/>
      <c r="AU43" s="108"/>
      <c r="AV43" s="108"/>
      <c r="AW43" s="108"/>
      <c r="AX43" s="108"/>
      <c r="AY43" s="108"/>
      <c r="AZ43" s="108"/>
      <c r="BA43" s="108"/>
      <c r="BB43" s="108"/>
      <c r="BC43" s="108"/>
      <c r="BD43" s="108"/>
      <c r="BE43" s="108"/>
      <c r="BF43" s="108"/>
      <c r="BG43" s="108"/>
      <c r="BH43" s="108"/>
      <c r="BI43" s="108"/>
      <c r="BJ43" s="108"/>
      <c r="BK43" s="108"/>
      <c r="BL43" s="108"/>
      <c r="BM43" s="108"/>
      <c r="BN43" s="108"/>
      <c r="BO43" s="108"/>
      <c r="BP43" s="108"/>
      <c r="BQ43" s="108"/>
      <c r="BR43" s="108"/>
      <c r="BS43" s="108"/>
      <c r="BT43" s="108"/>
      <c r="BU43" s="108"/>
      <c r="BV43" s="108"/>
      <c r="BW43" s="108"/>
      <c r="BX43" s="108"/>
      <c r="BY43" s="108"/>
      <c r="BZ43" s="108"/>
      <c r="CA43" s="108"/>
      <c r="CB43" s="108"/>
      <c r="CC43" s="108"/>
      <c r="CD43" s="108"/>
      <c r="CE43" s="108"/>
      <c r="CF43" s="108"/>
      <c r="CG43" s="108"/>
      <c r="CH43" s="108"/>
      <c r="CI43" s="108"/>
      <c r="CJ43" s="108"/>
      <c r="CK43" s="108"/>
      <c r="CL43" s="108"/>
      <c r="CM43" s="108"/>
      <c r="CN43" s="108"/>
      <c r="CO43" s="108"/>
      <c r="CP43" s="108"/>
      <c r="CQ43" s="108"/>
      <c r="CR43" s="108"/>
      <c r="CS43" s="108"/>
      <c r="CT43" s="108"/>
      <c r="CU43" s="108"/>
      <c r="CV43" s="108"/>
      <c r="CW43" s="108"/>
      <c r="CX43" s="108"/>
      <c r="CY43" s="108"/>
      <c r="CZ43" s="108"/>
      <c r="DA43" s="108"/>
      <c r="DB43" s="108"/>
      <c r="DC43" s="108"/>
      <c r="DD43" s="108"/>
      <c r="DE43" s="108"/>
      <c r="DF43" s="108"/>
      <c r="DG43" s="108"/>
      <c r="DH43" s="108"/>
      <c r="DI43" s="108"/>
      <c r="DJ43" s="108"/>
      <c r="DK43" s="108"/>
      <c r="DL43" s="108"/>
      <c r="DM43" s="108"/>
      <c r="DN43" s="108"/>
      <c r="DO43" s="108"/>
      <c r="DP43" s="108"/>
      <c r="DQ43" s="108"/>
      <c r="DR43" s="108"/>
      <c r="DS43" s="108"/>
      <c r="DT43" s="108"/>
      <c r="DU43" s="108"/>
      <c r="DV43" s="108"/>
      <c r="DW43" s="108"/>
      <c r="DX43" s="108"/>
      <c r="DY43" s="108"/>
      <c r="DZ43" s="108"/>
      <c r="EA43" s="108"/>
      <c r="EB43" s="108"/>
      <c r="EC43" s="108"/>
      <c r="ED43" s="108"/>
      <c r="EE43" s="108"/>
      <c r="EF43" s="108"/>
      <c r="EG43" s="108"/>
      <c r="EH43" s="108"/>
      <c r="EI43" s="108"/>
      <c r="EJ43" s="108"/>
      <c r="EK43" s="108"/>
      <c r="EL43" s="108"/>
      <c r="EM43" s="108"/>
      <c r="EN43" s="108"/>
      <c r="EO43" s="108"/>
      <c r="EP43" s="108"/>
      <c r="EQ43" s="108"/>
      <c r="ER43" s="108"/>
      <c r="ES43" s="108"/>
      <c r="ET43" s="108"/>
      <c r="EU43" s="108"/>
      <c r="EV43" s="108"/>
      <c r="EW43" s="108"/>
      <c r="EX43" s="108"/>
      <c r="EY43" s="108"/>
      <c r="EZ43" s="108"/>
      <c r="FA43" s="108"/>
      <c r="FB43" s="108"/>
      <c r="FC43" s="108"/>
      <c r="FD43" s="108"/>
      <c r="FE43" s="108"/>
      <c r="FF43" s="108"/>
      <c r="FG43" s="108"/>
      <c r="FH43" s="108"/>
      <c r="FI43" s="108"/>
      <c r="FJ43" s="108"/>
      <c r="FK43" s="108"/>
      <c r="FL43" s="108"/>
      <c r="FM43" s="108"/>
      <c r="FN43" s="108"/>
      <c r="FO43" s="108"/>
      <c r="FP43" s="108"/>
      <c r="FQ43" s="108"/>
      <c r="FR43" s="108"/>
      <c r="FS43" s="108"/>
      <c r="FT43" s="108"/>
      <c r="FU43" s="108"/>
      <c r="FV43" s="108"/>
      <c r="FW43" s="108"/>
      <c r="FX43" s="108"/>
      <c r="FY43" s="108"/>
      <c r="FZ43" s="108"/>
      <c r="GA43" s="108"/>
      <c r="GB43" s="108"/>
      <c r="GC43" s="108"/>
      <c r="GD43" s="108"/>
      <c r="GE43" s="108"/>
      <c r="GF43" s="108"/>
      <c r="GG43" s="108"/>
      <c r="GH43" s="108"/>
      <c r="GI43" s="108"/>
      <c r="GJ43" s="108"/>
      <c r="GK43" s="108"/>
      <c r="GL43" s="108"/>
      <c r="GM43" s="108"/>
      <c r="GN43" s="108"/>
      <c r="GO43" s="108"/>
      <c r="GP43" s="108"/>
      <c r="GQ43" s="108"/>
      <c r="GR43" s="108"/>
      <c r="GS43" s="108"/>
      <c r="GT43" s="108"/>
      <c r="GU43" s="108"/>
      <c r="GV43" s="108"/>
      <c r="GW43" s="108"/>
      <c r="GX43" s="108"/>
      <c r="GY43" s="108"/>
      <c r="GZ43" s="108"/>
      <c r="HA43" s="108"/>
      <c r="HB43" s="108"/>
      <c r="HC43" s="108"/>
      <c r="HD43" s="108"/>
      <c r="HE43" s="108"/>
      <c r="HF43" s="108"/>
      <c r="HG43" s="108"/>
      <c r="HH43" s="108"/>
      <c r="HI43" s="108"/>
      <c r="HJ43" s="108"/>
      <c r="HK43" s="108"/>
      <c r="HL43" s="108"/>
      <c r="HM43" s="108"/>
      <c r="HN43" s="108"/>
      <c r="HO43" s="108"/>
      <c r="HP43" s="108"/>
      <c r="HQ43" s="108"/>
      <c r="HR43" s="108"/>
      <c r="HS43" s="108"/>
      <c r="HT43" s="108"/>
      <c r="HU43" s="108"/>
      <c r="HV43" s="108"/>
      <c r="HW43" s="108"/>
      <c r="HX43" s="108"/>
      <c r="HY43" s="108"/>
      <c r="HZ43" s="108"/>
      <c r="IA43" s="108"/>
      <c r="IB43" s="108"/>
      <c r="IC43" s="108"/>
      <c r="ID43" s="108"/>
      <c r="IE43" s="108"/>
      <c r="IF43" s="108"/>
      <c r="IG43" s="108"/>
      <c r="IH43" s="108"/>
      <c r="II43" s="108"/>
      <c r="IJ43" s="108"/>
      <c r="IK43" s="108"/>
      <c r="IL43" s="108"/>
      <c r="IM43" s="108"/>
      <c r="IN43" s="108"/>
      <c r="IO43" s="108"/>
      <c r="IP43" s="108"/>
      <c r="IQ43" s="108"/>
      <c r="IR43" s="108"/>
      <c r="IS43" s="108"/>
      <c r="IT43" s="108"/>
      <c r="IU43" s="108"/>
      <c r="IV43" s="108"/>
      <c r="IW43" s="108"/>
    </row>
    <row r="44" spans="1:257" ht="15" thickBot="1" x14ac:dyDescent="0.35">
      <c r="A44" s="158"/>
      <c r="B44" s="113" t="str">
        <f>'Sensitivity analysis'!B203</f>
        <v>Hospital follow-up cost</v>
      </c>
      <c r="C44" s="170">
        <f>'Sensitivity analysis'!D203</f>
        <v>-240680.33991845936</v>
      </c>
      <c r="D44" s="171">
        <f>'Sensitivity analysis'!F203</f>
        <v>-240892.42658652394</v>
      </c>
      <c r="E44" s="172">
        <f t="shared" si="0"/>
        <v>212.08666806458496</v>
      </c>
      <c r="F44" s="158"/>
      <c r="G44" s="158"/>
      <c r="H44" s="158"/>
      <c r="I44" s="176" t="s">
        <v>822</v>
      </c>
      <c r="J44" s="170">
        <v>-240785.10562227271</v>
      </c>
      <c r="K44" s="171">
        <v>-240794.64526296384</v>
      </c>
      <c r="L44" s="172">
        <v>9.5396406911313534</v>
      </c>
      <c r="M44" s="158"/>
      <c r="N44" s="158"/>
      <c r="O44" s="108"/>
      <c r="P44" s="108"/>
      <c r="Q44" s="108"/>
      <c r="R44" s="108"/>
      <c r="S44" s="108"/>
      <c r="T44" s="108"/>
      <c r="U44" s="108"/>
      <c r="V44" s="108"/>
      <c r="W44" s="108"/>
      <c r="X44" s="108"/>
      <c r="Y44" s="108"/>
      <c r="Z44" s="108"/>
      <c r="AA44" s="108"/>
      <c r="AB44" s="108"/>
      <c r="AC44" s="108"/>
      <c r="AD44" s="108"/>
      <c r="AE44" s="108"/>
      <c r="AF44" s="108"/>
      <c r="AG44" s="108"/>
      <c r="AH44" s="108"/>
      <c r="AI44" s="108"/>
      <c r="AJ44" s="108"/>
      <c r="AK44" s="108"/>
      <c r="AL44" s="108"/>
      <c r="AM44" s="108"/>
      <c r="AN44" s="108"/>
      <c r="AO44" s="108"/>
      <c r="AP44" s="108"/>
      <c r="AQ44" s="108"/>
      <c r="AR44" s="108"/>
      <c r="AS44" s="108"/>
      <c r="AT44" s="108"/>
      <c r="AU44" s="108"/>
      <c r="AV44" s="108"/>
      <c r="AW44" s="108"/>
      <c r="AX44" s="108"/>
      <c r="AY44" s="108"/>
      <c r="AZ44" s="108"/>
      <c r="BA44" s="108"/>
      <c r="BB44" s="108"/>
      <c r="BC44" s="108"/>
      <c r="BD44" s="108"/>
      <c r="BE44" s="108"/>
      <c r="BF44" s="108"/>
      <c r="BG44" s="108"/>
      <c r="BH44" s="108"/>
      <c r="BI44" s="108"/>
      <c r="BJ44" s="108"/>
      <c r="BK44" s="108"/>
      <c r="BL44" s="108"/>
      <c r="BM44" s="108"/>
      <c r="BN44" s="108"/>
      <c r="BO44" s="108"/>
      <c r="BP44" s="108"/>
      <c r="BQ44" s="108"/>
      <c r="BR44" s="108"/>
      <c r="BS44" s="108"/>
      <c r="BT44" s="108"/>
      <c r="BU44" s="108"/>
      <c r="BV44" s="108"/>
      <c r="BW44" s="108"/>
      <c r="BX44" s="108"/>
      <c r="BY44" s="108"/>
      <c r="BZ44" s="108"/>
      <c r="CA44" s="108"/>
      <c r="CB44" s="108"/>
      <c r="CC44" s="108"/>
      <c r="CD44" s="108"/>
      <c r="CE44" s="108"/>
      <c r="CF44" s="108"/>
      <c r="CG44" s="108"/>
      <c r="CH44" s="108"/>
      <c r="CI44" s="108"/>
      <c r="CJ44" s="108"/>
      <c r="CK44" s="108"/>
      <c r="CL44" s="108"/>
      <c r="CM44" s="108"/>
      <c r="CN44" s="108"/>
      <c r="CO44" s="108"/>
      <c r="CP44" s="108"/>
      <c r="CQ44" s="108"/>
      <c r="CR44" s="108"/>
      <c r="CS44" s="108"/>
      <c r="CT44" s="108"/>
      <c r="CU44" s="108"/>
      <c r="CV44" s="108"/>
      <c r="CW44" s="108"/>
      <c r="CX44" s="108"/>
      <c r="CY44" s="108"/>
      <c r="CZ44" s="108"/>
      <c r="DA44" s="108"/>
      <c r="DB44" s="108"/>
      <c r="DC44" s="108"/>
      <c r="DD44" s="108"/>
      <c r="DE44" s="108"/>
      <c r="DF44" s="108"/>
      <c r="DG44" s="108"/>
      <c r="DH44" s="108"/>
      <c r="DI44" s="108"/>
      <c r="DJ44" s="108"/>
      <c r="DK44" s="108"/>
      <c r="DL44" s="108"/>
      <c r="DM44" s="108"/>
      <c r="DN44" s="108"/>
      <c r="DO44" s="108"/>
      <c r="DP44" s="108"/>
      <c r="DQ44" s="108"/>
      <c r="DR44" s="108"/>
      <c r="DS44" s="108"/>
      <c r="DT44" s="108"/>
      <c r="DU44" s="108"/>
      <c r="DV44" s="108"/>
      <c r="DW44" s="108"/>
      <c r="DX44" s="108"/>
      <c r="DY44" s="108"/>
      <c r="DZ44" s="108"/>
      <c r="EA44" s="108"/>
      <c r="EB44" s="108"/>
      <c r="EC44" s="108"/>
      <c r="ED44" s="108"/>
      <c r="EE44" s="108"/>
      <c r="EF44" s="108"/>
      <c r="EG44" s="108"/>
      <c r="EH44" s="108"/>
      <c r="EI44" s="108"/>
      <c r="EJ44" s="108"/>
      <c r="EK44" s="108"/>
      <c r="EL44" s="108"/>
      <c r="EM44" s="108"/>
      <c r="EN44" s="108"/>
      <c r="EO44" s="108"/>
      <c r="EP44" s="108"/>
      <c r="EQ44" s="108"/>
      <c r="ER44" s="108"/>
      <c r="ES44" s="108"/>
      <c r="ET44" s="108"/>
      <c r="EU44" s="108"/>
      <c r="EV44" s="108"/>
      <c r="EW44" s="108"/>
      <c r="EX44" s="108"/>
      <c r="EY44" s="108"/>
      <c r="EZ44" s="108"/>
      <c r="FA44" s="108"/>
      <c r="FB44" s="108"/>
      <c r="FC44" s="108"/>
      <c r="FD44" s="108"/>
      <c r="FE44" s="108"/>
      <c r="FF44" s="108"/>
      <c r="FG44" s="108"/>
      <c r="FH44" s="108"/>
      <c r="FI44" s="108"/>
      <c r="FJ44" s="108"/>
      <c r="FK44" s="108"/>
      <c r="FL44" s="108"/>
      <c r="FM44" s="108"/>
      <c r="FN44" s="108"/>
      <c r="FO44" s="108"/>
      <c r="FP44" s="108"/>
      <c r="FQ44" s="108"/>
      <c r="FR44" s="108"/>
      <c r="FS44" s="108"/>
      <c r="FT44" s="108"/>
      <c r="FU44" s="108"/>
      <c r="FV44" s="108"/>
      <c r="FW44" s="108"/>
      <c r="FX44" s="108"/>
      <c r="FY44" s="108"/>
      <c r="FZ44" s="108"/>
      <c r="GA44" s="108"/>
      <c r="GB44" s="108"/>
      <c r="GC44" s="108"/>
      <c r="GD44" s="108"/>
      <c r="GE44" s="108"/>
      <c r="GF44" s="108"/>
      <c r="GG44" s="108"/>
      <c r="GH44" s="108"/>
      <c r="GI44" s="108"/>
      <c r="GJ44" s="108"/>
      <c r="GK44" s="108"/>
      <c r="GL44" s="108"/>
      <c r="GM44" s="108"/>
      <c r="GN44" s="108"/>
      <c r="GO44" s="108"/>
      <c r="GP44" s="108"/>
      <c r="GQ44" s="108"/>
      <c r="GR44" s="108"/>
      <c r="GS44" s="108"/>
      <c r="GT44" s="108"/>
      <c r="GU44" s="108"/>
      <c r="GV44" s="108"/>
      <c r="GW44" s="108"/>
      <c r="GX44" s="108"/>
      <c r="GY44" s="108"/>
      <c r="GZ44" s="108"/>
      <c r="HA44" s="108"/>
      <c r="HB44" s="108"/>
      <c r="HC44" s="108"/>
      <c r="HD44" s="108"/>
      <c r="HE44" s="108"/>
      <c r="HF44" s="108"/>
      <c r="HG44" s="108"/>
      <c r="HH44" s="108"/>
      <c r="HI44" s="108"/>
      <c r="HJ44" s="108"/>
      <c r="HK44" s="108"/>
      <c r="HL44" s="108"/>
      <c r="HM44" s="108"/>
      <c r="HN44" s="108"/>
      <c r="HO44" s="108"/>
      <c r="HP44" s="108"/>
      <c r="HQ44" s="108"/>
      <c r="HR44" s="108"/>
      <c r="HS44" s="108"/>
      <c r="HT44" s="108"/>
      <c r="HU44" s="108"/>
      <c r="HV44" s="108"/>
      <c r="HW44" s="108"/>
      <c r="HX44" s="108"/>
      <c r="HY44" s="108"/>
      <c r="HZ44" s="108"/>
      <c r="IA44" s="108"/>
      <c r="IB44" s="108"/>
      <c r="IC44" s="108"/>
      <c r="ID44" s="108"/>
      <c r="IE44" s="108"/>
      <c r="IF44" s="108"/>
      <c r="IG44" s="108"/>
      <c r="IH44" s="108"/>
      <c r="II44" s="108"/>
      <c r="IJ44" s="108"/>
      <c r="IK44" s="108"/>
      <c r="IL44" s="108"/>
      <c r="IM44" s="108"/>
      <c r="IN44" s="108"/>
      <c r="IO44" s="108"/>
      <c r="IP44" s="108"/>
      <c r="IQ44" s="108"/>
      <c r="IR44" s="108"/>
      <c r="IS44" s="108"/>
      <c r="IT44" s="108"/>
      <c r="IU44" s="108"/>
      <c r="IV44" s="108"/>
      <c r="IW44" s="108"/>
    </row>
    <row r="45" spans="1:257" x14ac:dyDescent="0.3">
      <c r="A45" s="158"/>
      <c r="B45" s="113" t="str">
        <f>'Sensitivity analysis'!B204</f>
        <v>Clinic follow-up cost</v>
      </c>
      <c r="C45" s="170">
        <f>'Sensitivity analysis'!D204</f>
        <v>-241268.90223435979</v>
      </c>
      <c r="D45" s="171">
        <f>'Sensitivity analysis'!F204</f>
        <v>-240343.10175835021</v>
      </c>
      <c r="E45" s="172">
        <f t="shared" si="0"/>
        <v>925.80047600957914</v>
      </c>
      <c r="F45" s="158"/>
      <c r="G45" s="158"/>
      <c r="H45" s="158"/>
      <c r="I45" s="184" t="s">
        <v>813</v>
      </c>
      <c r="J45" s="170">
        <v>-241026.77317156637</v>
      </c>
      <c r="K45" s="175">
        <v>-241026.77317156637</v>
      </c>
      <c r="L45" s="172">
        <v>0</v>
      </c>
      <c r="M45" s="158"/>
      <c r="N45" s="158"/>
      <c r="O45" s="108"/>
      <c r="P45" s="108"/>
      <c r="Q45" s="108"/>
      <c r="R45" s="108"/>
      <c r="S45" s="108"/>
      <c r="T45" s="108"/>
      <c r="U45" s="108"/>
      <c r="V45" s="108"/>
      <c r="W45" s="108"/>
      <c r="X45" s="108"/>
      <c r="Y45" s="108"/>
      <c r="Z45" s="108"/>
      <c r="AA45" s="108"/>
      <c r="AB45" s="108"/>
      <c r="AC45" s="108"/>
      <c r="AD45" s="108"/>
      <c r="AE45" s="108"/>
      <c r="AF45" s="108"/>
      <c r="AG45" s="108"/>
      <c r="AH45" s="108"/>
      <c r="AI45" s="108"/>
      <c r="AJ45" s="108"/>
      <c r="AK45" s="108"/>
      <c r="AL45" s="108"/>
      <c r="AM45" s="108"/>
      <c r="AN45" s="108"/>
      <c r="AO45" s="108"/>
      <c r="AP45" s="108"/>
      <c r="AQ45" s="108"/>
      <c r="AR45" s="108"/>
      <c r="AS45" s="108"/>
      <c r="AT45" s="108"/>
      <c r="AU45" s="108"/>
      <c r="AV45" s="108"/>
      <c r="AW45" s="108"/>
      <c r="AX45" s="108"/>
      <c r="AY45" s="108"/>
      <c r="AZ45" s="108"/>
      <c r="BA45" s="108"/>
      <c r="BB45" s="108"/>
      <c r="BC45" s="108"/>
      <c r="BD45" s="108"/>
      <c r="BE45" s="108"/>
      <c r="BF45" s="108"/>
      <c r="BG45" s="108"/>
      <c r="BH45" s="108"/>
      <c r="BI45" s="108"/>
      <c r="BJ45" s="108"/>
      <c r="BK45" s="108"/>
      <c r="BL45" s="108"/>
      <c r="BM45" s="108"/>
      <c r="BN45" s="108"/>
      <c r="BO45" s="108"/>
      <c r="BP45" s="108"/>
      <c r="BQ45" s="108"/>
      <c r="BR45" s="108"/>
      <c r="BS45" s="108"/>
      <c r="BT45" s="108"/>
      <c r="BU45" s="108"/>
      <c r="BV45" s="108"/>
      <c r="BW45" s="108"/>
      <c r="BX45" s="108"/>
      <c r="BY45" s="108"/>
      <c r="BZ45" s="108"/>
      <c r="CA45" s="108"/>
      <c r="CB45" s="108"/>
      <c r="CC45" s="108"/>
      <c r="CD45" s="108"/>
      <c r="CE45" s="108"/>
      <c r="CF45" s="108"/>
      <c r="CG45" s="108"/>
      <c r="CH45" s="108"/>
      <c r="CI45" s="108"/>
      <c r="CJ45" s="108"/>
      <c r="CK45" s="108"/>
      <c r="CL45" s="108"/>
      <c r="CM45" s="108"/>
      <c r="CN45" s="108"/>
      <c r="CO45" s="108"/>
      <c r="CP45" s="108"/>
      <c r="CQ45" s="108"/>
      <c r="CR45" s="108"/>
      <c r="CS45" s="108"/>
      <c r="CT45" s="108"/>
      <c r="CU45" s="108"/>
      <c r="CV45" s="108"/>
      <c r="CW45" s="108"/>
      <c r="CX45" s="108"/>
      <c r="CY45" s="108"/>
      <c r="CZ45" s="108"/>
      <c r="DA45" s="108"/>
      <c r="DB45" s="108"/>
      <c r="DC45" s="108"/>
      <c r="DD45" s="108"/>
      <c r="DE45" s="108"/>
      <c r="DF45" s="108"/>
      <c r="DG45" s="108"/>
      <c r="DH45" s="108"/>
      <c r="DI45" s="108"/>
      <c r="DJ45" s="108"/>
      <c r="DK45" s="108"/>
      <c r="DL45" s="108"/>
      <c r="DM45" s="108"/>
      <c r="DN45" s="108"/>
      <c r="DO45" s="108"/>
      <c r="DP45" s="108"/>
      <c r="DQ45" s="108"/>
      <c r="DR45" s="108"/>
      <c r="DS45" s="108"/>
      <c r="DT45" s="108"/>
      <c r="DU45" s="108"/>
      <c r="DV45" s="108"/>
      <c r="DW45" s="108"/>
      <c r="DX45" s="108"/>
      <c r="DY45" s="108"/>
      <c r="DZ45" s="108"/>
      <c r="EA45" s="108"/>
      <c r="EB45" s="108"/>
      <c r="EC45" s="108"/>
      <c r="ED45" s="108"/>
      <c r="EE45" s="108"/>
      <c r="EF45" s="108"/>
      <c r="EG45" s="108"/>
      <c r="EH45" s="108"/>
      <c r="EI45" s="108"/>
      <c r="EJ45" s="108"/>
      <c r="EK45" s="108"/>
      <c r="EL45" s="108"/>
      <c r="EM45" s="108"/>
      <c r="EN45" s="108"/>
      <c r="EO45" s="108"/>
      <c r="EP45" s="108"/>
      <c r="EQ45" s="108"/>
      <c r="ER45" s="108"/>
      <c r="ES45" s="108"/>
      <c r="ET45" s="108"/>
      <c r="EU45" s="108"/>
      <c r="EV45" s="108"/>
      <c r="EW45" s="108"/>
      <c r="EX45" s="108"/>
      <c r="EY45" s="108"/>
      <c r="EZ45" s="108"/>
      <c r="FA45" s="108"/>
      <c r="FB45" s="108"/>
      <c r="FC45" s="108"/>
      <c r="FD45" s="108"/>
      <c r="FE45" s="108"/>
      <c r="FF45" s="108"/>
      <c r="FG45" s="108"/>
      <c r="FH45" s="108"/>
      <c r="FI45" s="108"/>
      <c r="FJ45" s="108"/>
      <c r="FK45" s="108"/>
      <c r="FL45" s="108"/>
      <c r="FM45" s="108"/>
      <c r="FN45" s="108"/>
      <c r="FO45" s="108"/>
      <c r="FP45" s="108"/>
      <c r="FQ45" s="108"/>
      <c r="FR45" s="108"/>
      <c r="FS45" s="108"/>
      <c r="FT45" s="108"/>
      <c r="FU45" s="108"/>
      <c r="FV45" s="108"/>
      <c r="FW45" s="108"/>
      <c r="FX45" s="108"/>
      <c r="FY45" s="108"/>
      <c r="FZ45" s="108"/>
      <c r="GA45" s="108"/>
      <c r="GB45" s="108"/>
      <c r="GC45" s="108"/>
      <c r="GD45" s="108"/>
      <c r="GE45" s="108"/>
      <c r="GF45" s="108"/>
      <c r="GG45" s="108"/>
      <c r="GH45" s="108"/>
      <c r="GI45" s="108"/>
      <c r="GJ45" s="108"/>
      <c r="GK45" s="108"/>
      <c r="GL45" s="108"/>
      <c r="GM45" s="108"/>
      <c r="GN45" s="108"/>
      <c r="GO45" s="108"/>
      <c r="GP45" s="108"/>
      <c r="GQ45" s="108"/>
      <c r="GR45" s="108"/>
      <c r="GS45" s="108"/>
      <c r="GT45" s="108"/>
      <c r="GU45" s="108"/>
      <c r="GV45" s="108"/>
      <c r="GW45" s="108"/>
      <c r="GX45" s="108"/>
      <c r="GY45" s="108"/>
      <c r="GZ45" s="108"/>
      <c r="HA45" s="108"/>
      <c r="HB45" s="108"/>
      <c r="HC45" s="108"/>
      <c r="HD45" s="108"/>
      <c r="HE45" s="108"/>
      <c r="HF45" s="108"/>
      <c r="HG45" s="108"/>
      <c r="HH45" s="108"/>
      <c r="HI45" s="108"/>
      <c r="HJ45" s="108"/>
      <c r="HK45" s="108"/>
      <c r="HL45" s="108"/>
      <c r="HM45" s="108"/>
      <c r="HN45" s="108"/>
      <c r="HO45" s="108"/>
      <c r="HP45" s="108"/>
      <c r="HQ45" s="108"/>
      <c r="HR45" s="108"/>
      <c r="HS45" s="108"/>
      <c r="HT45" s="108"/>
      <c r="HU45" s="108"/>
      <c r="HV45" s="108"/>
      <c r="HW45" s="108"/>
      <c r="HX45" s="108"/>
      <c r="HY45" s="108"/>
      <c r="HZ45" s="108"/>
      <c r="IA45" s="108"/>
      <c r="IB45" s="108"/>
      <c r="IC45" s="108"/>
      <c r="ID45" s="108"/>
      <c r="IE45" s="108"/>
      <c r="IF45" s="108"/>
      <c r="IG45" s="108"/>
      <c r="IH45" s="108"/>
      <c r="II45" s="108"/>
      <c r="IJ45" s="108"/>
      <c r="IK45" s="108"/>
      <c r="IL45" s="108"/>
      <c r="IM45" s="108"/>
      <c r="IN45" s="108"/>
      <c r="IO45" s="108"/>
      <c r="IP45" s="108"/>
      <c r="IQ45" s="108"/>
      <c r="IR45" s="108"/>
      <c r="IS45" s="108"/>
      <c r="IT45" s="108"/>
      <c r="IU45" s="108"/>
      <c r="IV45" s="108"/>
      <c r="IW45" s="108"/>
    </row>
    <row r="46" spans="1:257" x14ac:dyDescent="0.3">
      <c r="A46" s="158"/>
      <c r="B46" s="158"/>
      <c r="C46" s="158"/>
      <c r="D46" s="158"/>
      <c r="E46" s="158"/>
      <c r="F46" s="158"/>
      <c r="G46" s="158"/>
      <c r="H46" s="158"/>
      <c r="I46" s="176"/>
      <c r="J46" s="170"/>
      <c r="K46" s="171"/>
      <c r="L46" s="172"/>
      <c r="M46" s="158"/>
      <c r="N46" s="158"/>
      <c r="O46" s="108"/>
      <c r="P46" s="108"/>
      <c r="Q46" s="108"/>
      <c r="R46" s="108"/>
      <c r="S46" s="108"/>
      <c r="T46" s="108"/>
      <c r="U46" s="108"/>
      <c r="V46" s="108"/>
      <c r="W46" s="108"/>
      <c r="X46" s="108"/>
      <c r="Y46" s="108"/>
      <c r="Z46" s="108"/>
      <c r="AA46" s="108"/>
      <c r="AB46" s="108"/>
      <c r="AC46" s="108"/>
      <c r="AD46" s="108"/>
      <c r="AE46" s="108"/>
      <c r="AF46" s="108"/>
      <c r="AG46" s="108"/>
      <c r="AH46" s="108"/>
      <c r="AI46" s="108"/>
      <c r="AJ46" s="108"/>
      <c r="AK46" s="108"/>
      <c r="AL46" s="108"/>
      <c r="AM46" s="108"/>
      <c r="AN46" s="108"/>
      <c r="AO46" s="108"/>
      <c r="AP46" s="108"/>
      <c r="AQ46" s="108"/>
      <c r="AR46" s="108"/>
      <c r="AS46" s="108"/>
      <c r="AT46" s="108"/>
      <c r="AU46" s="108"/>
      <c r="AV46" s="108"/>
      <c r="AW46" s="108"/>
      <c r="AX46" s="108"/>
      <c r="AY46" s="108"/>
      <c r="AZ46" s="108"/>
      <c r="BA46" s="108"/>
      <c r="BB46" s="108"/>
      <c r="BC46" s="108"/>
      <c r="BD46" s="108"/>
      <c r="BE46" s="108"/>
      <c r="BF46" s="108"/>
      <c r="BG46" s="108"/>
      <c r="BH46" s="108"/>
      <c r="BI46" s="108"/>
      <c r="BJ46" s="108"/>
      <c r="BK46" s="108"/>
      <c r="BL46" s="108"/>
      <c r="BM46" s="108"/>
      <c r="BN46" s="108"/>
      <c r="BO46" s="108"/>
      <c r="BP46" s="108"/>
      <c r="BQ46" s="108"/>
      <c r="BR46" s="108"/>
      <c r="BS46" s="108"/>
      <c r="BT46" s="108"/>
      <c r="BU46" s="108"/>
      <c r="BV46" s="108"/>
      <c r="BW46" s="108"/>
      <c r="BX46" s="108"/>
      <c r="BY46" s="108"/>
      <c r="BZ46" s="108"/>
      <c r="CA46" s="108"/>
      <c r="CB46" s="108"/>
      <c r="CC46" s="108"/>
      <c r="CD46" s="108"/>
      <c r="CE46" s="108"/>
      <c r="CF46" s="108"/>
      <c r="CG46" s="108"/>
      <c r="CH46" s="108"/>
      <c r="CI46" s="108"/>
      <c r="CJ46" s="108"/>
      <c r="CK46" s="108"/>
      <c r="CL46" s="108"/>
      <c r="CM46" s="108"/>
      <c r="CN46" s="108"/>
      <c r="CO46" s="108"/>
      <c r="CP46" s="108"/>
      <c r="CQ46" s="108"/>
      <c r="CR46" s="108"/>
      <c r="CS46" s="108"/>
      <c r="CT46" s="108"/>
      <c r="CU46" s="108"/>
      <c r="CV46" s="108"/>
      <c r="CW46" s="108"/>
      <c r="CX46" s="108"/>
      <c r="CY46" s="108"/>
      <c r="CZ46" s="108"/>
      <c r="DA46" s="108"/>
      <c r="DB46" s="108"/>
      <c r="DC46" s="108"/>
      <c r="DD46" s="108"/>
      <c r="DE46" s="108"/>
      <c r="DF46" s="108"/>
      <c r="DG46" s="108"/>
      <c r="DH46" s="108"/>
      <c r="DI46" s="108"/>
      <c r="DJ46" s="108"/>
      <c r="DK46" s="108"/>
      <c r="DL46" s="108"/>
      <c r="DM46" s="108"/>
      <c r="DN46" s="108"/>
      <c r="DO46" s="108"/>
      <c r="DP46" s="108"/>
      <c r="DQ46" s="108"/>
      <c r="DR46" s="108"/>
      <c r="DS46" s="108"/>
      <c r="DT46" s="108"/>
      <c r="DU46" s="108"/>
      <c r="DV46" s="108"/>
      <c r="DW46" s="108"/>
      <c r="DX46" s="108"/>
      <c r="DY46" s="108"/>
      <c r="DZ46" s="108"/>
      <c r="EA46" s="108"/>
      <c r="EB46" s="108"/>
      <c r="EC46" s="108"/>
      <c r="ED46" s="108"/>
      <c r="EE46" s="108"/>
      <c r="EF46" s="108"/>
      <c r="EG46" s="108"/>
      <c r="EH46" s="108"/>
      <c r="EI46" s="108"/>
      <c r="EJ46" s="108"/>
      <c r="EK46" s="108"/>
      <c r="EL46" s="108"/>
      <c r="EM46" s="108"/>
      <c r="EN46" s="108"/>
      <c r="EO46" s="108"/>
      <c r="EP46" s="108"/>
      <c r="EQ46" s="108"/>
      <c r="ER46" s="108"/>
      <c r="ES46" s="108"/>
      <c r="ET46" s="108"/>
      <c r="EU46" s="108"/>
      <c r="EV46" s="108"/>
      <c r="EW46" s="108"/>
      <c r="EX46" s="108"/>
      <c r="EY46" s="108"/>
      <c r="EZ46" s="108"/>
      <c r="FA46" s="108"/>
      <c r="FB46" s="108"/>
      <c r="FC46" s="108"/>
      <c r="FD46" s="108"/>
      <c r="FE46" s="108"/>
      <c r="FF46" s="108"/>
      <c r="FG46" s="108"/>
      <c r="FH46" s="108"/>
      <c r="FI46" s="108"/>
      <c r="FJ46" s="108"/>
      <c r="FK46" s="108"/>
      <c r="FL46" s="108"/>
      <c r="FM46" s="108"/>
      <c r="FN46" s="108"/>
      <c r="FO46" s="108"/>
      <c r="FP46" s="108"/>
      <c r="FQ46" s="108"/>
      <c r="FR46" s="108"/>
      <c r="FS46" s="108"/>
      <c r="FT46" s="108"/>
      <c r="FU46" s="108"/>
      <c r="FV46" s="108"/>
      <c r="FW46" s="108"/>
      <c r="FX46" s="108"/>
      <c r="FY46" s="108"/>
      <c r="FZ46" s="108"/>
      <c r="GA46" s="108"/>
      <c r="GB46" s="108"/>
      <c r="GC46" s="108"/>
      <c r="GD46" s="108"/>
      <c r="GE46" s="108"/>
      <c r="GF46" s="108"/>
      <c r="GG46" s="108"/>
      <c r="GH46" s="108"/>
      <c r="GI46" s="108"/>
      <c r="GJ46" s="108"/>
      <c r="GK46" s="108"/>
      <c r="GL46" s="108"/>
      <c r="GM46" s="108"/>
      <c r="GN46" s="108"/>
      <c r="GO46" s="108"/>
      <c r="GP46" s="108"/>
      <c r="GQ46" s="108"/>
      <c r="GR46" s="108"/>
      <c r="GS46" s="108"/>
      <c r="GT46" s="108"/>
      <c r="GU46" s="108"/>
      <c r="GV46" s="108"/>
      <c r="GW46" s="108"/>
      <c r="GX46" s="108"/>
      <c r="GY46" s="108"/>
      <c r="GZ46" s="108"/>
      <c r="HA46" s="108"/>
      <c r="HB46" s="108"/>
      <c r="HC46" s="108"/>
      <c r="HD46" s="108"/>
      <c r="HE46" s="108"/>
      <c r="HF46" s="108"/>
      <c r="HG46" s="108"/>
      <c r="HH46" s="108"/>
      <c r="HI46" s="108"/>
      <c r="HJ46" s="108"/>
      <c r="HK46" s="108"/>
      <c r="HL46" s="108"/>
      <c r="HM46" s="108"/>
      <c r="HN46" s="108"/>
      <c r="HO46" s="108"/>
      <c r="HP46" s="108"/>
      <c r="HQ46" s="108"/>
      <c r="HR46" s="108"/>
      <c r="HS46" s="108"/>
      <c r="HT46" s="108"/>
      <c r="HU46" s="108"/>
      <c r="HV46" s="108"/>
      <c r="HW46" s="108"/>
      <c r="HX46" s="108"/>
      <c r="HY46" s="108"/>
      <c r="HZ46" s="108"/>
      <c r="IA46" s="108"/>
      <c r="IB46" s="108"/>
      <c r="IC46" s="108"/>
      <c r="ID46" s="108"/>
      <c r="IE46" s="108"/>
      <c r="IF46" s="108"/>
      <c r="IG46" s="108"/>
      <c r="IH46" s="108"/>
      <c r="II46" s="108"/>
      <c r="IJ46" s="108"/>
      <c r="IK46" s="108"/>
      <c r="IL46" s="108"/>
      <c r="IM46" s="108"/>
      <c r="IN46" s="108"/>
      <c r="IO46" s="108"/>
      <c r="IP46" s="108"/>
      <c r="IQ46" s="108"/>
      <c r="IR46" s="108"/>
      <c r="IS46" s="108"/>
      <c r="IT46" s="108"/>
      <c r="IU46" s="108"/>
      <c r="IV46" s="108"/>
      <c r="IW46" s="108"/>
    </row>
    <row r="47" spans="1:257" x14ac:dyDescent="0.3">
      <c r="A47" s="158"/>
      <c r="B47" s="158"/>
      <c r="C47" s="158"/>
      <c r="D47" s="158"/>
      <c r="E47" s="158"/>
      <c r="F47" s="158"/>
      <c r="G47" s="158"/>
      <c r="H47" s="158"/>
      <c r="I47" s="176"/>
      <c r="J47" s="170"/>
      <c r="K47" s="171"/>
      <c r="L47" s="172"/>
      <c r="M47" s="158"/>
      <c r="N47" s="158"/>
      <c r="O47" s="108"/>
      <c r="P47" s="108"/>
      <c r="Q47" s="108"/>
      <c r="R47" s="108"/>
      <c r="S47" s="108"/>
      <c r="T47" s="108"/>
      <c r="U47" s="108"/>
      <c r="V47" s="108"/>
      <c r="W47" s="108"/>
      <c r="X47" s="108"/>
      <c r="Y47" s="108"/>
      <c r="Z47" s="108"/>
      <c r="AA47" s="108"/>
      <c r="AB47" s="108"/>
      <c r="AC47" s="108"/>
      <c r="AD47" s="108"/>
      <c r="AE47" s="108"/>
      <c r="AF47" s="108"/>
      <c r="AG47" s="108"/>
      <c r="AH47" s="108"/>
      <c r="AI47" s="108"/>
      <c r="AJ47" s="108"/>
      <c r="AK47" s="108"/>
      <c r="AL47" s="108"/>
      <c r="AM47" s="108"/>
      <c r="AN47" s="108"/>
      <c r="AO47" s="108"/>
      <c r="AP47" s="108"/>
      <c r="AQ47" s="108"/>
      <c r="AR47" s="108"/>
      <c r="AS47" s="108"/>
      <c r="AT47" s="108"/>
      <c r="AU47" s="108"/>
      <c r="AV47" s="108"/>
      <c r="AW47" s="108"/>
      <c r="AX47" s="108"/>
      <c r="AY47" s="108"/>
      <c r="AZ47" s="108"/>
      <c r="BA47" s="108"/>
      <c r="BB47" s="108"/>
      <c r="BC47" s="108"/>
      <c r="BD47" s="108"/>
      <c r="BE47" s="108"/>
      <c r="BF47" s="108"/>
      <c r="BG47" s="108"/>
      <c r="BH47" s="108"/>
      <c r="BI47" s="108"/>
      <c r="BJ47" s="108"/>
      <c r="BK47" s="108"/>
      <c r="BL47" s="108"/>
      <c r="BM47" s="108"/>
      <c r="BN47" s="108"/>
      <c r="BO47" s="108"/>
      <c r="BP47" s="108"/>
      <c r="BQ47" s="108"/>
      <c r="BR47" s="108"/>
      <c r="BS47" s="108"/>
      <c r="BT47" s="108"/>
      <c r="BU47" s="108"/>
      <c r="BV47" s="108"/>
      <c r="BW47" s="108"/>
      <c r="BX47" s="108"/>
      <c r="BY47" s="108"/>
      <c r="BZ47" s="108"/>
      <c r="CA47" s="108"/>
      <c r="CB47" s="108"/>
      <c r="CC47" s="108"/>
      <c r="CD47" s="108"/>
      <c r="CE47" s="108"/>
      <c r="CF47" s="108"/>
      <c r="CG47" s="108"/>
      <c r="CH47" s="108"/>
      <c r="CI47" s="108"/>
      <c r="CJ47" s="108"/>
      <c r="CK47" s="108"/>
      <c r="CL47" s="108"/>
      <c r="CM47" s="108"/>
      <c r="CN47" s="108"/>
      <c r="CO47" s="108"/>
      <c r="CP47" s="108"/>
      <c r="CQ47" s="108"/>
      <c r="CR47" s="108"/>
      <c r="CS47" s="108"/>
      <c r="CT47" s="108"/>
      <c r="CU47" s="108"/>
      <c r="CV47" s="108"/>
      <c r="CW47" s="108"/>
      <c r="CX47" s="108"/>
      <c r="CY47" s="108"/>
      <c r="CZ47" s="108"/>
      <c r="DA47" s="108"/>
      <c r="DB47" s="108"/>
      <c r="DC47" s="108"/>
      <c r="DD47" s="108"/>
      <c r="DE47" s="108"/>
      <c r="DF47" s="108"/>
      <c r="DG47" s="108"/>
      <c r="DH47" s="108"/>
      <c r="DI47" s="108"/>
      <c r="DJ47" s="108"/>
      <c r="DK47" s="108"/>
      <c r="DL47" s="108"/>
      <c r="DM47" s="108"/>
      <c r="DN47" s="108"/>
      <c r="DO47" s="108"/>
      <c r="DP47" s="108"/>
      <c r="DQ47" s="108"/>
      <c r="DR47" s="108"/>
      <c r="DS47" s="108"/>
      <c r="DT47" s="108"/>
      <c r="DU47" s="108"/>
      <c r="DV47" s="108"/>
      <c r="DW47" s="108"/>
      <c r="DX47" s="108"/>
      <c r="DY47" s="108"/>
      <c r="DZ47" s="108"/>
      <c r="EA47" s="108"/>
      <c r="EB47" s="108"/>
      <c r="EC47" s="108"/>
      <c r="ED47" s="108"/>
      <c r="EE47" s="108"/>
      <c r="EF47" s="108"/>
      <c r="EG47" s="108"/>
      <c r="EH47" s="108"/>
      <c r="EI47" s="108"/>
      <c r="EJ47" s="108"/>
      <c r="EK47" s="108"/>
      <c r="EL47" s="108"/>
      <c r="EM47" s="108"/>
      <c r="EN47" s="108"/>
      <c r="EO47" s="108"/>
      <c r="EP47" s="108"/>
      <c r="EQ47" s="108"/>
      <c r="ER47" s="108"/>
      <c r="ES47" s="108"/>
      <c r="ET47" s="108"/>
      <c r="EU47" s="108"/>
      <c r="EV47" s="108"/>
      <c r="EW47" s="108"/>
      <c r="EX47" s="108"/>
      <c r="EY47" s="108"/>
      <c r="EZ47" s="108"/>
      <c r="FA47" s="108"/>
      <c r="FB47" s="108"/>
      <c r="FC47" s="108"/>
      <c r="FD47" s="108"/>
      <c r="FE47" s="108"/>
      <c r="FF47" s="108"/>
      <c r="FG47" s="108"/>
      <c r="FH47" s="108"/>
      <c r="FI47" s="108"/>
      <c r="FJ47" s="108"/>
      <c r="FK47" s="108"/>
      <c r="FL47" s="108"/>
      <c r="FM47" s="108"/>
      <c r="FN47" s="108"/>
      <c r="FO47" s="108"/>
      <c r="FP47" s="108"/>
      <c r="FQ47" s="108"/>
      <c r="FR47" s="108"/>
      <c r="FS47" s="108"/>
      <c r="FT47" s="108"/>
      <c r="FU47" s="108"/>
      <c r="FV47" s="108"/>
      <c r="FW47" s="108"/>
      <c r="FX47" s="108"/>
      <c r="FY47" s="108"/>
      <c r="FZ47" s="108"/>
      <c r="GA47" s="108"/>
      <c r="GB47" s="108"/>
      <c r="GC47" s="108"/>
      <c r="GD47" s="108"/>
      <c r="GE47" s="108"/>
      <c r="GF47" s="108"/>
      <c r="GG47" s="108"/>
      <c r="GH47" s="108"/>
      <c r="GI47" s="108"/>
      <c r="GJ47" s="108"/>
      <c r="GK47" s="108"/>
      <c r="GL47" s="108"/>
      <c r="GM47" s="108"/>
      <c r="GN47" s="108"/>
      <c r="GO47" s="108"/>
      <c r="GP47" s="108"/>
      <c r="GQ47" s="108"/>
      <c r="GR47" s="108"/>
      <c r="GS47" s="108"/>
      <c r="GT47" s="108"/>
      <c r="GU47" s="108"/>
      <c r="GV47" s="108"/>
      <c r="GW47" s="108"/>
      <c r="GX47" s="108"/>
      <c r="GY47" s="108"/>
      <c r="GZ47" s="108"/>
      <c r="HA47" s="108"/>
      <c r="HB47" s="108"/>
      <c r="HC47" s="108"/>
      <c r="HD47" s="108"/>
      <c r="HE47" s="108"/>
      <c r="HF47" s="108"/>
      <c r="HG47" s="108"/>
      <c r="HH47" s="108"/>
      <c r="HI47" s="108"/>
      <c r="HJ47" s="108"/>
      <c r="HK47" s="108"/>
      <c r="HL47" s="108"/>
      <c r="HM47" s="108"/>
      <c r="HN47" s="108"/>
      <c r="HO47" s="108"/>
      <c r="HP47" s="108"/>
      <c r="HQ47" s="108"/>
      <c r="HR47" s="108"/>
      <c r="HS47" s="108"/>
      <c r="HT47" s="108"/>
      <c r="HU47" s="108"/>
      <c r="HV47" s="108"/>
      <c r="HW47" s="108"/>
      <c r="HX47" s="108"/>
      <c r="HY47" s="108"/>
      <c r="HZ47" s="108"/>
      <c r="IA47" s="108"/>
      <c r="IB47" s="108"/>
      <c r="IC47" s="108"/>
      <c r="ID47" s="108"/>
      <c r="IE47" s="108"/>
      <c r="IF47" s="108"/>
      <c r="IG47" s="108"/>
      <c r="IH47" s="108"/>
      <c r="II47" s="108"/>
      <c r="IJ47" s="108"/>
      <c r="IK47" s="108"/>
      <c r="IL47" s="108"/>
      <c r="IM47" s="108"/>
      <c r="IN47" s="108"/>
      <c r="IO47" s="108"/>
      <c r="IP47" s="108"/>
      <c r="IQ47" s="108"/>
      <c r="IR47" s="108"/>
      <c r="IS47" s="108"/>
      <c r="IT47" s="108"/>
      <c r="IU47" s="108"/>
      <c r="IV47" s="108"/>
      <c r="IW47" s="108"/>
    </row>
    <row r="48" spans="1:257" x14ac:dyDescent="0.3">
      <c r="A48" s="158"/>
      <c r="B48" s="158"/>
      <c r="C48" s="158"/>
      <c r="D48" s="158"/>
      <c r="E48" s="158"/>
      <c r="F48" s="158"/>
      <c r="G48" s="158"/>
      <c r="H48" s="158"/>
      <c r="I48" s="176"/>
      <c r="J48" s="170"/>
      <c r="K48" s="171"/>
      <c r="L48" s="172"/>
      <c r="M48" s="158"/>
      <c r="N48" s="158"/>
      <c r="O48" s="108"/>
      <c r="P48" s="108"/>
      <c r="Q48" s="108"/>
      <c r="R48" s="108"/>
      <c r="S48" s="108"/>
      <c r="T48" s="108"/>
      <c r="U48" s="108"/>
      <c r="V48" s="108"/>
      <c r="W48" s="108"/>
      <c r="X48" s="108"/>
      <c r="Y48" s="108"/>
      <c r="Z48" s="108"/>
      <c r="AA48" s="108"/>
      <c r="AB48" s="108"/>
      <c r="AC48" s="108"/>
      <c r="AD48" s="108"/>
      <c r="AE48" s="108"/>
      <c r="AF48" s="108"/>
      <c r="AG48" s="108"/>
      <c r="AH48" s="108"/>
      <c r="AI48" s="108"/>
      <c r="AJ48" s="108"/>
      <c r="AK48" s="108"/>
      <c r="AL48" s="108"/>
      <c r="AM48" s="108"/>
      <c r="AN48" s="108"/>
      <c r="AO48" s="108"/>
      <c r="AP48" s="108"/>
      <c r="AQ48" s="108"/>
      <c r="AR48" s="108"/>
      <c r="AS48" s="108"/>
      <c r="AT48" s="108"/>
      <c r="AU48" s="108"/>
      <c r="AV48" s="108"/>
      <c r="AW48" s="108"/>
      <c r="AX48" s="108"/>
      <c r="AY48" s="108"/>
      <c r="AZ48" s="108"/>
      <c r="BA48" s="108"/>
      <c r="BB48" s="108"/>
      <c r="BC48" s="108"/>
      <c r="BD48" s="108"/>
      <c r="BE48" s="108"/>
      <c r="BF48" s="108"/>
      <c r="BG48" s="108"/>
      <c r="BH48" s="108"/>
      <c r="BI48" s="108"/>
      <c r="BJ48" s="108"/>
      <c r="BK48" s="108"/>
      <c r="BL48" s="108"/>
      <c r="BM48" s="108"/>
      <c r="BN48" s="108"/>
      <c r="BO48" s="108"/>
      <c r="BP48" s="108"/>
      <c r="BQ48" s="108"/>
      <c r="BR48" s="108"/>
      <c r="BS48" s="108"/>
      <c r="BT48" s="108"/>
      <c r="BU48" s="108"/>
      <c r="BV48" s="108"/>
      <c r="BW48" s="108"/>
      <c r="BX48" s="108"/>
      <c r="BY48" s="108"/>
      <c r="BZ48" s="108"/>
      <c r="CA48" s="108"/>
      <c r="CB48" s="108"/>
      <c r="CC48" s="108"/>
      <c r="CD48" s="108"/>
      <c r="CE48" s="108"/>
      <c r="CF48" s="108"/>
      <c r="CG48" s="108"/>
      <c r="CH48" s="108"/>
      <c r="CI48" s="108"/>
      <c r="CJ48" s="108"/>
      <c r="CK48" s="108"/>
      <c r="CL48" s="108"/>
      <c r="CM48" s="108"/>
      <c r="CN48" s="108"/>
      <c r="CO48" s="108"/>
      <c r="CP48" s="108"/>
      <c r="CQ48" s="108"/>
      <c r="CR48" s="108"/>
      <c r="CS48" s="108"/>
      <c r="CT48" s="108"/>
      <c r="CU48" s="108"/>
      <c r="CV48" s="108"/>
      <c r="CW48" s="108"/>
      <c r="CX48" s="108"/>
      <c r="CY48" s="108"/>
      <c r="CZ48" s="108"/>
      <c r="DA48" s="108"/>
      <c r="DB48" s="108"/>
      <c r="DC48" s="108"/>
      <c r="DD48" s="108"/>
      <c r="DE48" s="108"/>
      <c r="DF48" s="108"/>
      <c r="DG48" s="108"/>
      <c r="DH48" s="108"/>
      <c r="DI48" s="108"/>
      <c r="DJ48" s="108"/>
      <c r="DK48" s="108"/>
      <c r="DL48" s="108"/>
      <c r="DM48" s="108"/>
      <c r="DN48" s="108"/>
      <c r="DO48" s="108"/>
      <c r="DP48" s="108"/>
      <c r="DQ48" s="108"/>
      <c r="DR48" s="108"/>
      <c r="DS48" s="108"/>
      <c r="DT48" s="108"/>
      <c r="DU48" s="108"/>
      <c r="DV48" s="108"/>
      <c r="DW48" s="108"/>
      <c r="DX48" s="108"/>
      <c r="DY48" s="108"/>
      <c r="DZ48" s="108"/>
      <c r="EA48" s="108"/>
      <c r="EB48" s="108"/>
      <c r="EC48" s="108"/>
      <c r="ED48" s="108"/>
      <c r="EE48" s="108"/>
      <c r="EF48" s="108"/>
      <c r="EG48" s="108"/>
      <c r="EH48" s="108"/>
      <c r="EI48" s="108"/>
      <c r="EJ48" s="108"/>
      <c r="EK48" s="108"/>
      <c r="EL48" s="108"/>
      <c r="EM48" s="108"/>
      <c r="EN48" s="108"/>
      <c r="EO48" s="108"/>
      <c r="EP48" s="108"/>
      <c r="EQ48" s="108"/>
      <c r="ER48" s="108"/>
      <c r="ES48" s="108"/>
      <c r="ET48" s="108"/>
      <c r="EU48" s="108"/>
      <c r="EV48" s="108"/>
      <c r="EW48" s="108"/>
      <c r="EX48" s="108"/>
      <c r="EY48" s="108"/>
      <c r="EZ48" s="108"/>
      <c r="FA48" s="108"/>
      <c r="FB48" s="108"/>
      <c r="FC48" s="108"/>
      <c r="FD48" s="108"/>
      <c r="FE48" s="108"/>
      <c r="FF48" s="108"/>
      <c r="FG48" s="108"/>
      <c r="FH48" s="108"/>
      <c r="FI48" s="108"/>
      <c r="FJ48" s="108"/>
      <c r="FK48" s="108"/>
      <c r="FL48" s="108"/>
      <c r="FM48" s="108"/>
      <c r="FN48" s="108"/>
      <c r="FO48" s="108"/>
      <c r="FP48" s="108"/>
      <c r="FQ48" s="108"/>
      <c r="FR48" s="108"/>
      <c r="FS48" s="108"/>
      <c r="FT48" s="108"/>
      <c r="FU48" s="108"/>
      <c r="FV48" s="108"/>
      <c r="FW48" s="108"/>
      <c r="FX48" s="108"/>
      <c r="FY48" s="108"/>
      <c r="FZ48" s="108"/>
      <c r="GA48" s="108"/>
      <c r="GB48" s="108"/>
      <c r="GC48" s="108"/>
      <c r="GD48" s="108"/>
      <c r="GE48" s="108"/>
      <c r="GF48" s="108"/>
      <c r="GG48" s="108"/>
      <c r="GH48" s="108"/>
      <c r="GI48" s="108"/>
      <c r="GJ48" s="108"/>
      <c r="GK48" s="108"/>
      <c r="GL48" s="108"/>
      <c r="GM48" s="108"/>
      <c r="GN48" s="108"/>
      <c r="GO48" s="108"/>
      <c r="GP48" s="108"/>
      <c r="GQ48" s="108"/>
      <c r="GR48" s="108"/>
      <c r="GS48" s="108"/>
      <c r="GT48" s="108"/>
      <c r="GU48" s="108"/>
      <c r="GV48" s="108"/>
      <c r="GW48" s="108"/>
      <c r="GX48" s="108"/>
      <c r="GY48" s="108"/>
      <c r="GZ48" s="108"/>
      <c r="HA48" s="108"/>
      <c r="HB48" s="108"/>
      <c r="HC48" s="108"/>
      <c r="HD48" s="108"/>
      <c r="HE48" s="108"/>
      <c r="HF48" s="108"/>
      <c r="HG48" s="108"/>
      <c r="HH48" s="108"/>
      <c r="HI48" s="108"/>
      <c r="HJ48" s="108"/>
      <c r="HK48" s="108"/>
      <c r="HL48" s="108"/>
      <c r="HM48" s="108"/>
      <c r="HN48" s="108"/>
      <c r="HO48" s="108"/>
      <c r="HP48" s="108"/>
      <c r="HQ48" s="108"/>
      <c r="HR48" s="108"/>
      <c r="HS48" s="108"/>
      <c r="HT48" s="108"/>
      <c r="HU48" s="108"/>
      <c r="HV48" s="108"/>
      <c r="HW48" s="108"/>
      <c r="HX48" s="108"/>
      <c r="HY48" s="108"/>
      <c r="HZ48" s="108"/>
      <c r="IA48" s="108"/>
      <c r="IB48" s="108"/>
      <c r="IC48" s="108"/>
      <c r="ID48" s="108"/>
      <c r="IE48" s="108"/>
      <c r="IF48" s="108"/>
      <c r="IG48" s="108"/>
      <c r="IH48" s="108"/>
      <c r="II48" s="108"/>
      <c r="IJ48" s="108"/>
      <c r="IK48" s="108"/>
      <c r="IL48" s="108"/>
      <c r="IM48" s="108"/>
      <c r="IN48" s="108"/>
      <c r="IO48" s="108"/>
      <c r="IP48" s="108"/>
      <c r="IQ48" s="108"/>
      <c r="IR48" s="108"/>
      <c r="IS48" s="108"/>
      <c r="IT48" s="108"/>
      <c r="IU48" s="108"/>
      <c r="IV48" s="108"/>
      <c r="IW48" s="108"/>
    </row>
    <row r="49" spans="1:257" x14ac:dyDescent="0.3">
      <c r="A49" s="158"/>
      <c r="B49" s="158"/>
      <c r="C49" s="158"/>
      <c r="D49" s="158"/>
      <c r="E49" s="158"/>
      <c r="F49" s="158"/>
      <c r="G49" s="158"/>
      <c r="H49" s="158"/>
      <c r="I49" s="176"/>
      <c r="J49" s="170"/>
      <c r="K49" s="171"/>
      <c r="L49" s="172"/>
      <c r="M49" s="158"/>
      <c r="N49" s="158"/>
      <c r="O49" s="108"/>
      <c r="P49" s="108"/>
      <c r="Q49" s="108"/>
      <c r="R49" s="108"/>
      <c r="S49" s="108"/>
      <c r="T49" s="108"/>
      <c r="U49" s="108"/>
      <c r="V49" s="108"/>
      <c r="W49" s="108"/>
      <c r="X49" s="108"/>
      <c r="Y49" s="108"/>
      <c r="Z49" s="108"/>
      <c r="AA49" s="108"/>
      <c r="AB49" s="108"/>
      <c r="AC49" s="108"/>
      <c r="AD49" s="108"/>
      <c r="AE49" s="108"/>
      <c r="AF49" s="108"/>
      <c r="AG49" s="108"/>
      <c r="AH49" s="108"/>
      <c r="AI49" s="108"/>
      <c r="AJ49" s="108"/>
      <c r="AK49" s="108"/>
      <c r="AL49" s="108"/>
      <c r="AM49" s="108"/>
      <c r="AN49" s="108"/>
      <c r="AO49" s="108"/>
      <c r="AP49" s="108"/>
      <c r="AQ49" s="108"/>
      <c r="AR49" s="108"/>
      <c r="AS49" s="108"/>
      <c r="AT49" s="108"/>
      <c r="AU49" s="108"/>
      <c r="AV49" s="108"/>
      <c r="AW49" s="108"/>
      <c r="AX49" s="108"/>
      <c r="AY49" s="108"/>
      <c r="AZ49" s="108"/>
      <c r="BA49" s="108"/>
      <c r="BB49" s="108"/>
      <c r="BC49" s="108"/>
      <c r="BD49" s="108"/>
      <c r="BE49" s="108"/>
      <c r="BF49" s="108"/>
      <c r="BG49" s="108"/>
      <c r="BH49" s="108"/>
      <c r="BI49" s="108"/>
      <c r="BJ49" s="108"/>
      <c r="BK49" s="108"/>
      <c r="BL49" s="108"/>
      <c r="BM49" s="108"/>
      <c r="BN49" s="108"/>
      <c r="BO49" s="108"/>
      <c r="BP49" s="108"/>
      <c r="BQ49" s="108"/>
      <c r="BR49" s="108"/>
      <c r="BS49" s="108"/>
      <c r="BT49" s="108"/>
      <c r="BU49" s="108"/>
      <c r="BV49" s="108"/>
      <c r="BW49" s="108"/>
      <c r="BX49" s="108"/>
      <c r="BY49" s="108"/>
      <c r="BZ49" s="108"/>
      <c r="CA49" s="108"/>
      <c r="CB49" s="108"/>
      <c r="CC49" s="108"/>
      <c r="CD49" s="108"/>
      <c r="CE49" s="108"/>
      <c r="CF49" s="108"/>
      <c r="CG49" s="108"/>
      <c r="CH49" s="108"/>
      <c r="CI49" s="108"/>
      <c r="CJ49" s="108"/>
      <c r="CK49" s="108"/>
      <c r="CL49" s="108"/>
      <c r="CM49" s="108"/>
      <c r="CN49" s="108"/>
      <c r="CO49" s="108"/>
      <c r="CP49" s="108"/>
      <c r="CQ49" s="108"/>
      <c r="CR49" s="108"/>
      <c r="CS49" s="108"/>
      <c r="CT49" s="108"/>
      <c r="CU49" s="108"/>
      <c r="CV49" s="108"/>
      <c r="CW49" s="108"/>
      <c r="CX49" s="108"/>
      <c r="CY49" s="108"/>
      <c r="CZ49" s="108"/>
      <c r="DA49" s="108"/>
      <c r="DB49" s="108"/>
      <c r="DC49" s="108"/>
      <c r="DD49" s="108"/>
      <c r="DE49" s="108"/>
      <c r="DF49" s="108"/>
      <c r="DG49" s="108"/>
      <c r="DH49" s="108"/>
      <c r="DI49" s="108"/>
      <c r="DJ49" s="108"/>
      <c r="DK49" s="108"/>
      <c r="DL49" s="108"/>
      <c r="DM49" s="108"/>
      <c r="DN49" s="108"/>
      <c r="DO49" s="108"/>
      <c r="DP49" s="108"/>
      <c r="DQ49" s="108"/>
      <c r="DR49" s="108"/>
      <c r="DS49" s="108"/>
      <c r="DT49" s="108"/>
      <c r="DU49" s="108"/>
      <c r="DV49" s="108"/>
      <c r="DW49" s="108"/>
      <c r="DX49" s="108"/>
      <c r="DY49" s="108"/>
      <c r="DZ49" s="108"/>
      <c r="EA49" s="108"/>
      <c r="EB49" s="108"/>
      <c r="EC49" s="108"/>
      <c r="ED49" s="108"/>
      <c r="EE49" s="108"/>
      <c r="EF49" s="108"/>
      <c r="EG49" s="108"/>
      <c r="EH49" s="108"/>
      <c r="EI49" s="108"/>
      <c r="EJ49" s="108"/>
      <c r="EK49" s="108"/>
      <c r="EL49" s="108"/>
      <c r="EM49" s="108"/>
      <c r="EN49" s="108"/>
      <c r="EO49" s="108"/>
      <c r="EP49" s="108"/>
      <c r="EQ49" s="108"/>
      <c r="ER49" s="108"/>
      <c r="ES49" s="108"/>
      <c r="ET49" s="108"/>
      <c r="EU49" s="108"/>
      <c r="EV49" s="108"/>
      <c r="EW49" s="108"/>
      <c r="EX49" s="108"/>
      <c r="EY49" s="108"/>
      <c r="EZ49" s="108"/>
      <c r="FA49" s="108"/>
      <c r="FB49" s="108"/>
      <c r="FC49" s="108"/>
      <c r="FD49" s="108"/>
      <c r="FE49" s="108"/>
      <c r="FF49" s="108"/>
      <c r="FG49" s="108"/>
      <c r="FH49" s="108"/>
      <c r="FI49" s="108"/>
      <c r="FJ49" s="108"/>
      <c r="FK49" s="108"/>
      <c r="FL49" s="108"/>
      <c r="FM49" s="108"/>
      <c r="FN49" s="108"/>
      <c r="FO49" s="108"/>
      <c r="FP49" s="108"/>
      <c r="FQ49" s="108"/>
      <c r="FR49" s="108"/>
      <c r="FS49" s="108"/>
      <c r="FT49" s="108"/>
      <c r="FU49" s="108"/>
      <c r="FV49" s="108"/>
      <c r="FW49" s="108"/>
      <c r="FX49" s="108"/>
      <c r="FY49" s="108"/>
      <c r="FZ49" s="108"/>
      <c r="GA49" s="108"/>
      <c r="GB49" s="108"/>
      <c r="GC49" s="108"/>
      <c r="GD49" s="108"/>
      <c r="GE49" s="108"/>
      <c r="GF49" s="108"/>
      <c r="GG49" s="108"/>
      <c r="GH49" s="108"/>
      <c r="GI49" s="108"/>
      <c r="GJ49" s="108"/>
      <c r="GK49" s="108"/>
      <c r="GL49" s="108"/>
      <c r="GM49" s="108"/>
      <c r="GN49" s="108"/>
      <c r="GO49" s="108"/>
      <c r="GP49" s="108"/>
      <c r="GQ49" s="108"/>
      <c r="GR49" s="108"/>
      <c r="GS49" s="108"/>
      <c r="GT49" s="108"/>
      <c r="GU49" s="108"/>
      <c r="GV49" s="108"/>
      <c r="GW49" s="108"/>
      <c r="GX49" s="108"/>
      <c r="GY49" s="108"/>
      <c r="GZ49" s="108"/>
      <c r="HA49" s="108"/>
      <c r="HB49" s="108"/>
      <c r="HC49" s="108"/>
      <c r="HD49" s="108"/>
      <c r="HE49" s="108"/>
      <c r="HF49" s="108"/>
      <c r="HG49" s="108"/>
      <c r="HH49" s="108"/>
      <c r="HI49" s="108"/>
      <c r="HJ49" s="108"/>
      <c r="HK49" s="108"/>
      <c r="HL49" s="108"/>
      <c r="HM49" s="108"/>
      <c r="HN49" s="108"/>
      <c r="HO49" s="108"/>
      <c r="HP49" s="108"/>
      <c r="HQ49" s="108"/>
      <c r="HR49" s="108"/>
      <c r="HS49" s="108"/>
      <c r="HT49" s="108"/>
      <c r="HU49" s="108"/>
      <c r="HV49" s="108"/>
      <c r="HW49" s="108"/>
      <c r="HX49" s="108"/>
      <c r="HY49" s="108"/>
      <c r="HZ49" s="108"/>
      <c r="IA49" s="108"/>
      <c r="IB49" s="108"/>
      <c r="IC49" s="108"/>
      <c r="ID49" s="108"/>
      <c r="IE49" s="108"/>
      <c r="IF49" s="108"/>
      <c r="IG49" s="108"/>
      <c r="IH49" s="108"/>
      <c r="II49" s="108"/>
      <c r="IJ49" s="108"/>
      <c r="IK49" s="108"/>
      <c r="IL49" s="108"/>
      <c r="IM49" s="108"/>
      <c r="IN49" s="108"/>
      <c r="IO49" s="108"/>
      <c r="IP49" s="108"/>
      <c r="IQ49" s="108"/>
      <c r="IR49" s="108"/>
      <c r="IS49" s="108"/>
      <c r="IT49" s="108"/>
      <c r="IU49" s="108"/>
      <c r="IV49" s="108"/>
      <c r="IW49" s="108"/>
    </row>
    <row r="50" spans="1:257" x14ac:dyDescent="0.3">
      <c r="A50" s="158"/>
      <c r="B50" s="158"/>
      <c r="C50" s="158"/>
      <c r="D50" s="158"/>
      <c r="E50" s="158"/>
      <c r="F50" s="158"/>
      <c r="G50" s="158"/>
      <c r="H50" s="158"/>
      <c r="I50" s="176"/>
      <c r="J50" s="170"/>
      <c r="K50" s="171"/>
      <c r="L50" s="172"/>
      <c r="M50" s="158"/>
      <c r="N50" s="158"/>
      <c r="O50" s="108"/>
      <c r="P50" s="108"/>
      <c r="Q50" s="108"/>
      <c r="R50" s="108"/>
      <c r="S50" s="108"/>
      <c r="T50" s="108"/>
      <c r="U50" s="108"/>
      <c r="V50" s="108"/>
      <c r="W50" s="108"/>
      <c r="X50" s="108"/>
      <c r="Y50" s="108"/>
      <c r="Z50" s="108"/>
      <c r="AA50" s="108"/>
      <c r="AB50" s="108"/>
      <c r="AC50" s="108"/>
      <c r="AD50" s="108"/>
      <c r="AE50" s="108"/>
      <c r="AF50" s="108"/>
      <c r="AG50" s="108"/>
      <c r="AH50" s="108"/>
      <c r="AI50" s="108"/>
      <c r="AJ50" s="108"/>
      <c r="AK50" s="108"/>
      <c r="AL50" s="108"/>
      <c r="AM50" s="108"/>
      <c r="AN50" s="108"/>
      <c r="AO50" s="108"/>
      <c r="AP50" s="108"/>
      <c r="AQ50" s="108"/>
      <c r="AR50" s="108"/>
      <c r="AS50" s="108"/>
      <c r="AT50" s="108"/>
      <c r="AU50" s="108"/>
      <c r="AV50" s="108"/>
      <c r="AW50" s="108"/>
      <c r="AX50" s="108"/>
      <c r="AY50" s="108"/>
      <c r="AZ50" s="108"/>
      <c r="BA50" s="108"/>
      <c r="BB50" s="108"/>
      <c r="BC50" s="108"/>
      <c r="BD50" s="108"/>
      <c r="BE50" s="108"/>
      <c r="BF50" s="108"/>
      <c r="BG50" s="108"/>
      <c r="BH50" s="108"/>
      <c r="BI50" s="108"/>
      <c r="BJ50" s="108"/>
      <c r="BK50" s="108"/>
      <c r="BL50" s="108"/>
      <c r="BM50" s="108"/>
      <c r="BN50" s="108"/>
      <c r="BO50" s="108"/>
      <c r="BP50" s="108"/>
      <c r="BQ50" s="108"/>
      <c r="BR50" s="108"/>
      <c r="BS50" s="108"/>
      <c r="BT50" s="108"/>
      <c r="BU50" s="108"/>
      <c r="BV50" s="108"/>
      <c r="BW50" s="108"/>
      <c r="BX50" s="108"/>
      <c r="BY50" s="108"/>
      <c r="BZ50" s="108"/>
      <c r="CA50" s="108"/>
      <c r="CB50" s="108"/>
      <c r="CC50" s="108"/>
      <c r="CD50" s="108"/>
      <c r="CE50" s="108"/>
      <c r="CF50" s="108"/>
      <c r="CG50" s="108"/>
      <c r="CH50" s="108"/>
      <c r="CI50" s="108"/>
      <c r="CJ50" s="108"/>
      <c r="CK50" s="108"/>
      <c r="CL50" s="108"/>
      <c r="CM50" s="108"/>
      <c r="CN50" s="108"/>
      <c r="CO50" s="108"/>
      <c r="CP50" s="108"/>
      <c r="CQ50" s="108"/>
      <c r="CR50" s="108"/>
      <c r="CS50" s="108"/>
      <c r="CT50" s="108"/>
      <c r="CU50" s="108"/>
      <c r="CV50" s="108"/>
      <c r="CW50" s="108"/>
      <c r="CX50" s="108"/>
      <c r="CY50" s="108"/>
      <c r="CZ50" s="108"/>
      <c r="DA50" s="108"/>
      <c r="DB50" s="108"/>
      <c r="DC50" s="108"/>
      <c r="DD50" s="108"/>
      <c r="DE50" s="108"/>
      <c r="DF50" s="108"/>
      <c r="DG50" s="108"/>
      <c r="DH50" s="108"/>
      <c r="DI50" s="108"/>
      <c r="DJ50" s="108"/>
      <c r="DK50" s="108"/>
      <c r="DL50" s="108"/>
      <c r="DM50" s="108"/>
      <c r="DN50" s="108"/>
      <c r="DO50" s="108"/>
      <c r="DP50" s="108"/>
      <c r="DQ50" s="108"/>
      <c r="DR50" s="108"/>
      <c r="DS50" s="108"/>
      <c r="DT50" s="108"/>
      <c r="DU50" s="108"/>
      <c r="DV50" s="108"/>
      <c r="DW50" s="108"/>
      <c r="DX50" s="108"/>
      <c r="DY50" s="108"/>
      <c r="DZ50" s="108"/>
      <c r="EA50" s="108"/>
      <c r="EB50" s="108"/>
      <c r="EC50" s="108"/>
      <c r="ED50" s="108"/>
      <c r="EE50" s="108"/>
      <c r="EF50" s="108"/>
      <c r="EG50" s="108"/>
      <c r="EH50" s="108"/>
      <c r="EI50" s="108"/>
      <c r="EJ50" s="108"/>
      <c r="EK50" s="108"/>
      <c r="EL50" s="108"/>
      <c r="EM50" s="108"/>
      <c r="EN50" s="108"/>
      <c r="EO50" s="108"/>
      <c r="EP50" s="108"/>
      <c r="EQ50" s="108"/>
      <c r="ER50" s="108"/>
      <c r="ES50" s="108"/>
      <c r="ET50" s="108"/>
      <c r="EU50" s="108"/>
      <c r="EV50" s="108"/>
      <c r="EW50" s="108"/>
      <c r="EX50" s="108"/>
      <c r="EY50" s="108"/>
      <c r="EZ50" s="108"/>
      <c r="FA50" s="108"/>
      <c r="FB50" s="108"/>
      <c r="FC50" s="108"/>
      <c r="FD50" s="108"/>
      <c r="FE50" s="108"/>
      <c r="FF50" s="108"/>
      <c r="FG50" s="108"/>
      <c r="FH50" s="108"/>
      <c r="FI50" s="108"/>
      <c r="FJ50" s="108"/>
      <c r="FK50" s="108"/>
      <c r="FL50" s="108"/>
      <c r="FM50" s="108"/>
      <c r="FN50" s="108"/>
      <c r="FO50" s="108"/>
      <c r="FP50" s="108"/>
      <c r="FQ50" s="108"/>
      <c r="FR50" s="108"/>
      <c r="FS50" s="108"/>
      <c r="FT50" s="108"/>
      <c r="FU50" s="108"/>
      <c r="FV50" s="108"/>
      <c r="FW50" s="108"/>
      <c r="FX50" s="108"/>
      <c r="FY50" s="108"/>
      <c r="FZ50" s="108"/>
      <c r="GA50" s="108"/>
      <c r="GB50" s="108"/>
      <c r="GC50" s="108"/>
      <c r="GD50" s="108"/>
      <c r="GE50" s="108"/>
      <c r="GF50" s="108"/>
      <c r="GG50" s="108"/>
      <c r="GH50" s="108"/>
      <c r="GI50" s="108"/>
      <c r="GJ50" s="108"/>
      <c r="GK50" s="108"/>
      <c r="GL50" s="108"/>
      <c r="GM50" s="108"/>
      <c r="GN50" s="108"/>
      <c r="GO50" s="108"/>
      <c r="GP50" s="108"/>
      <c r="GQ50" s="108"/>
      <c r="GR50" s="108"/>
      <c r="GS50" s="108"/>
      <c r="GT50" s="108"/>
      <c r="GU50" s="108"/>
      <c r="GV50" s="108"/>
      <c r="GW50" s="108"/>
      <c r="GX50" s="108"/>
      <c r="GY50" s="108"/>
      <c r="GZ50" s="108"/>
      <c r="HA50" s="108"/>
      <c r="HB50" s="108"/>
      <c r="HC50" s="108"/>
      <c r="HD50" s="108"/>
      <c r="HE50" s="108"/>
      <c r="HF50" s="108"/>
      <c r="HG50" s="108"/>
      <c r="HH50" s="108"/>
      <c r="HI50" s="108"/>
      <c r="HJ50" s="108"/>
      <c r="HK50" s="108"/>
      <c r="HL50" s="108"/>
      <c r="HM50" s="108"/>
      <c r="HN50" s="108"/>
      <c r="HO50" s="108"/>
      <c r="HP50" s="108"/>
      <c r="HQ50" s="108"/>
      <c r="HR50" s="108"/>
      <c r="HS50" s="108"/>
      <c r="HT50" s="108"/>
      <c r="HU50" s="108"/>
      <c r="HV50" s="108"/>
      <c r="HW50" s="108"/>
      <c r="HX50" s="108"/>
      <c r="HY50" s="108"/>
      <c r="HZ50" s="108"/>
      <c r="IA50" s="108"/>
      <c r="IB50" s="108"/>
      <c r="IC50" s="108"/>
      <c r="ID50" s="108"/>
      <c r="IE50" s="108"/>
      <c r="IF50" s="108"/>
      <c r="IG50" s="108"/>
      <c r="IH50" s="108"/>
      <c r="II50" s="108"/>
      <c r="IJ50" s="108"/>
      <c r="IK50" s="108"/>
      <c r="IL50" s="108"/>
      <c r="IM50" s="108"/>
      <c r="IN50" s="108"/>
      <c r="IO50" s="108"/>
      <c r="IP50" s="108"/>
      <c r="IQ50" s="108"/>
      <c r="IR50" s="108"/>
      <c r="IS50" s="108"/>
      <c r="IT50" s="108"/>
      <c r="IU50" s="108"/>
      <c r="IV50" s="108"/>
      <c r="IW50" s="108"/>
    </row>
    <row r="51" spans="1:257" x14ac:dyDescent="0.3">
      <c r="A51" s="158"/>
      <c r="B51" s="158"/>
      <c r="C51" s="158"/>
      <c r="D51" s="158"/>
      <c r="E51" s="158"/>
      <c r="F51" s="158"/>
      <c r="G51" s="158"/>
      <c r="H51" s="158"/>
      <c r="I51" s="176"/>
      <c r="J51" s="170"/>
      <c r="K51" s="171"/>
      <c r="L51" s="172"/>
      <c r="M51" s="158"/>
      <c r="N51" s="158"/>
      <c r="O51" s="108"/>
      <c r="P51" s="108"/>
      <c r="Q51" s="108"/>
      <c r="R51" s="108"/>
      <c r="S51" s="108"/>
      <c r="T51" s="108"/>
      <c r="U51" s="108"/>
      <c r="V51" s="108"/>
      <c r="W51" s="108"/>
      <c r="X51" s="108"/>
      <c r="Y51" s="108"/>
      <c r="Z51" s="108"/>
      <c r="AA51" s="108"/>
      <c r="AB51" s="108"/>
      <c r="AC51" s="108"/>
      <c r="AD51" s="108"/>
      <c r="AE51" s="108"/>
      <c r="AF51" s="108"/>
      <c r="AG51" s="108"/>
      <c r="AH51" s="108"/>
      <c r="AI51" s="108"/>
      <c r="AJ51" s="108"/>
      <c r="AK51" s="108"/>
      <c r="AL51" s="108"/>
      <c r="AM51" s="108"/>
      <c r="AN51" s="108"/>
      <c r="AO51" s="108"/>
      <c r="AP51" s="108"/>
      <c r="AQ51" s="108"/>
      <c r="AR51" s="108"/>
      <c r="AS51" s="108"/>
      <c r="AT51" s="108"/>
      <c r="AU51" s="108"/>
      <c r="AV51" s="108"/>
      <c r="AW51" s="108"/>
      <c r="AX51" s="108"/>
      <c r="AY51" s="108"/>
      <c r="AZ51" s="108"/>
      <c r="BA51" s="108"/>
      <c r="BB51" s="108"/>
      <c r="BC51" s="108"/>
      <c r="BD51" s="108"/>
      <c r="BE51" s="108"/>
      <c r="BF51" s="108"/>
      <c r="BG51" s="108"/>
      <c r="BH51" s="108"/>
      <c r="BI51" s="108"/>
      <c r="BJ51" s="108"/>
      <c r="BK51" s="108"/>
      <c r="BL51" s="108"/>
      <c r="BM51" s="108"/>
      <c r="BN51" s="108"/>
      <c r="BO51" s="108"/>
      <c r="BP51" s="108"/>
      <c r="BQ51" s="108"/>
      <c r="BR51" s="108"/>
      <c r="BS51" s="108"/>
      <c r="BT51" s="108"/>
      <c r="BU51" s="108"/>
      <c r="BV51" s="108"/>
      <c r="BW51" s="108"/>
      <c r="BX51" s="108"/>
      <c r="BY51" s="108"/>
      <c r="BZ51" s="108"/>
      <c r="CA51" s="108"/>
      <c r="CB51" s="108"/>
      <c r="CC51" s="108"/>
      <c r="CD51" s="108"/>
      <c r="CE51" s="108"/>
      <c r="CF51" s="108"/>
      <c r="CG51" s="108"/>
      <c r="CH51" s="108"/>
      <c r="CI51" s="108"/>
      <c r="CJ51" s="108"/>
      <c r="CK51" s="108"/>
      <c r="CL51" s="108"/>
      <c r="CM51" s="108"/>
      <c r="CN51" s="108"/>
      <c r="CO51" s="108"/>
      <c r="CP51" s="108"/>
      <c r="CQ51" s="108"/>
      <c r="CR51" s="108"/>
      <c r="CS51" s="108"/>
      <c r="CT51" s="108"/>
      <c r="CU51" s="108"/>
      <c r="CV51" s="108"/>
      <c r="CW51" s="108"/>
      <c r="CX51" s="108"/>
      <c r="CY51" s="108"/>
      <c r="CZ51" s="108"/>
      <c r="DA51" s="108"/>
      <c r="DB51" s="108"/>
      <c r="DC51" s="108"/>
      <c r="DD51" s="108"/>
      <c r="DE51" s="108"/>
      <c r="DF51" s="108"/>
      <c r="DG51" s="108"/>
      <c r="DH51" s="108"/>
      <c r="DI51" s="108"/>
      <c r="DJ51" s="108"/>
      <c r="DK51" s="108"/>
      <c r="DL51" s="108"/>
      <c r="DM51" s="108"/>
      <c r="DN51" s="108"/>
      <c r="DO51" s="108"/>
      <c r="DP51" s="108"/>
      <c r="DQ51" s="108"/>
      <c r="DR51" s="108"/>
      <c r="DS51" s="108"/>
      <c r="DT51" s="108"/>
      <c r="DU51" s="108"/>
      <c r="DV51" s="108"/>
      <c r="DW51" s="108"/>
      <c r="DX51" s="108"/>
      <c r="DY51" s="108"/>
      <c r="DZ51" s="108"/>
      <c r="EA51" s="108"/>
      <c r="EB51" s="108"/>
      <c r="EC51" s="108"/>
      <c r="ED51" s="108"/>
      <c r="EE51" s="108"/>
      <c r="EF51" s="108"/>
      <c r="EG51" s="108"/>
      <c r="EH51" s="108"/>
      <c r="EI51" s="108"/>
      <c r="EJ51" s="108"/>
      <c r="EK51" s="108"/>
      <c r="EL51" s="108"/>
      <c r="EM51" s="108"/>
      <c r="EN51" s="108"/>
      <c r="EO51" s="108"/>
      <c r="EP51" s="108"/>
      <c r="EQ51" s="108"/>
      <c r="ER51" s="108"/>
      <c r="ES51" s="108"/>
      <c r="ET51" s="108"/>
      <c r="EU51" s="108"/>
      <c r="EV51" s="108"/>
      <c r="EW51" s="108"/>
      <c r="EX51" s="108"/>
      <c r="EY51" s="108"/>
      <c r="EZ51" s="108"/>
      <c r="FA51" s="108"/>
      <c r="FB51" s="108"/>
      <c r="FC51" s="108"/>
      <c r="FD51" s="108"/>
      <c r="FE51" s="108"/>
      <c r="FF51" s="108"/>
      <c r="FG51" s="108"/>
      <c r="FH51" s="108"/>
      <c r="FI51" s="108"/>
      <c r="FJ51" s="108"/>
      <c r="FK51" s="108"/>
      <c r="FL51" s="108"/>
      <c r="FM51" s="108"/>
      <c r="FN51" s="108"/>
      <c r="FO51" s="108"/>
      <c r="FP51" s="108"/>
      <c r="FQ51" s="108"/>
      <c r="FR51" s="108"/>
      <c r="FS51" s="108"/>
      <c r="FT51" s="108"/>
      <c r="FU51" s="108"/>
      <c r="FV51" s="108"/>
      <c r="FW51" s="108"/>
      <c r="FX51" s="108"/>
      <c r="FY51" s="108"/>
      <c r="FZ51" s="108"/>
      <c r="GA51" s="108"/>
      <c r="GB51" s="108"/>
      <c r="GC51" s="108"/>
      <c r="GD51" s="108"/>
      <c r="GE51" s="108"/>
      <c r="GF51" s="108"/>
      <c r="GG51" s="108"/>
      <c r="GH51" s="108"/>
      <c r="GI51" s="108"/>
      <c r="GJ51" s="108"/>
      <c r="GK51" s="108"/>
      <c r="GL51" s="108"/>
      <c r="GM51" s="108"/>
      <c r="GN51" s="108"/>
      <c r="GO51" s="108"/>
      <c r="GP51" s="108"/>
      <c r="GQ51" s="108"/>
      <c r="GR51" s="108"/>
      <c r="GS51" s="108"/>
      <c r="GT51" s="108"/>
      <c r="GU51" s="108"/>
      <c r="GV51" s="108"/>
      <c r="GW51" s="108"/>
      <c r="GX51" s="108"/>
      <c r="GY51" s="108"/>
      <c r="GZ51" s="108"/>
      <c r="HA51" s="108"/>
      <c r="HB51" s="108"/>
      <c r="HC51" s="108"/>
      <c r="HD51" s="108"/>
      <c r="HE51" s="108"/>
      <c r="HF51" s="108"/>
      <c r="HG51" s="108"/>
      <c r="HH51" s="108"/>
      <c r="HI51" s="108"/>
      <c r="HJ51" s="108"/>
      <c r="HK51" s="108"/>
      <c r="HL51" s="108"/>
      <c r="HM51" s="108"/>
      <c r="HN51" s="108"/>
      <c r="HO51" s="108"/>
      <c r="HP51" s="108"/>
      <c r="HQ51" s="108"/>
      <c r="HR51" s="108"/>
      <c r="HS51" s="108"/>
      <c r="HT51" s="108"/>
      <c r="HU51" s="108"/>
      <c r="HV51" s="108"/>
      <c r="HW51" s="108"/>
      <c r="HX51" s="108"/>
      <c r="HY51" s="108"/>
      <c r="HZ51" s="108"/>
      <c r="IA51" s="108"/>
      <c r="IB51" s="108"/>
      <c r="IC51" s="108"/>
      <c r="ID51" s="108"/>
      <c r="IE51" s="108"/>
      <c r="IF51" s="108"/>
      <c r="IG51" s="108"/>
      <c r="IH51" s="108"/>
      <c r="II51" s="108"/>
      <c r="IJ51" s="108"/>
      <c r="IK51" s="108"/>
      <c r="IL51" s="108"/>
      <c r="IM51" s="108"/>
      <c r="IN51" s="108"/>
      <c r="IO51" s="108"/>
      <c r="IP51" s="108"/>
      <c r="IQ51" s="108"/>
      <c r="IR51" s="108"/>
      <c r="IS51" s="108"/>
      <c r="IT51" s="108"/>
      <c r="IU51" s="108"/>
      <c r="IV51" s="108"/>
      <c r="IW51" s="108"/>
    </row>
    <row r="52" spans="1:257" x14ac:dyDescent="0.3">
      <c r="A52" s="158"/>
      <c r="B52" s="158"/>
      <c r="C52" s="158"/>
      <c r="D52" s="158"/>
      <c r="E52" s="158"/>
      <c r="F52" s="158"/>
      <c r="G52" s="158"/>
      <c r="H52" s="158"/>
      <c r="I52" s="176"/>
      <c r="J52" s="170"/>
      <c r="K52" s="171"/>
      <c r="L52" s="172"/>
      <c r="M52" s="158"/>
      <c r="N52" s="158"/>
      <c r="O52" s="108"/>
      <c r="P52" s="108"/>
      <c r="Q52" s="108"/>
      <c r="R52" s="108"/>
      <c r="S52" s="108"/>
      <c r="T52" s="108"/>
      <c r="U52" s="108"/>
      <c r="V52" s="108"/>
      <c r="W52" s="108"/>
      <c r="X52" s="108"/>
      <c r="Y52" s="108"/>
      <c r="Z52" s="108"/>
      <c r="AA52" s="108"/>
      <c r="AB52" s="108"/>
      <c r="AC52" s="108"/>
      <c r="AD52" s="108"/>
      <c r="AE52" s="108"/>
      <c r="AF52" s="108"/>
      <c r="AG52" s="108"/>
      <c r="AH52" s="108"/>
      <c r="AI52" s="108"/>
      <c r="AJ52" s="108"/>
      <c r="AK52" s="108"/>
      <c r="AL52" s="108"/>
      <c r="AM52" s="108"/>
      <c r="AN52" s="108"/>
      <c r="AO52" s="108"/>
      <c r="AP52" s="108"/>
      <c r="AQ52" s="108"/>
      <c r="AR52" s="108"/>
      <c r="AS52" s="108"/>
      <c r="AT52" s="108"/>
      <c r="AU52" s="108"/>
      <c r="AV52" s="108"/>
      <c r="AW52" s="108"/>
      <c r="AX52" s="108"/>
      <c r="AY52" s="108"/>
      <c r="AZ52" s="108"/>
      <c r="BA52" s="108"/>
      <c r="BB52" s="108"/>
      <c r="BC52" s="108"/>
      <c r="BD52" s="108"/>
      <c r="BE52" s="108"/>
      <c r="BF52" s="108"/>
      <c r="BG52" s="108"/>
      <c r="BH52" s="108"/>
      <c r="BI52" s="108"/>
      <c r="BJ52" s="108"/>
      <c r="BK52" s="108"/>
      <c r="BL52" s="108"/>
      <c r="BM52" s="108"/>
      <c r="BN52" s="108"/>
      <c r="BO52" s="108"/>
      <c r="BP52" s="108"/>
      <c r="BQ52" s="108"/>
      <c r="BR52" s="108"/>
      <c r="BS52" s="108"/>
      <c r="BT52" s="108"/>
      <c r="BU52" s="108"/>
      <c r="BV52" s="108"/>
      <c r="BW52" s="108"/>
      <c r="BX52" s="108"/>
      <c r="BY52" s="108"/>
      <c r="BZ52" s="108"/>
      <c r="CA52" s="108"/>
      <c r="CB52" s="108"/>
      <c r="CC52" s="108"/>
      <c r="CD52" s="108"/>
      <c r="CE52" s="108"/>
      <c r="CF52" s="108"/>
      <c r="CG52" s="108"/>
      <c r="CH52" s="108"/>
      <c r="CI52" s="108"/>
      <c r="CJ52" s="108"/>
      <c r="CK52" s="108"/>
      <c r="CL52" s="108"/>
      <c r="CM52" s="108"/>
      <c r="CN52" s="108"/>
      <c r="CO52" s="108"/>
      <c r="CP52" s="108"/>
      <c r="CQ52" s="108"/>
      <c r="CR52" s="108"/>
      <c r="CS52" s="108"/>
      <c r="CT52" s="108"/>
      <c r="CU52" s="108"/>
      <c r="CV52" s="108"/>
      <c r="CW52" s="108"/>
      <c r="CX52" s="108"/>
      <c r="CY52" s="108"/>
      <c r="CZ52" s="108"/>
      <c r="DA52" s="108"/>
      <c r="DB52" s="108"/>
      <c r="DC52" s="108"/>
      <c r="DD52" s="108"/>
      <c r="DE52" s="108"/>
      <c r="DF52" s="108"/>
      <c r="DG52" s="108"/>
      <c r="DH52" s="108"/>
      <c r="DI52" s="108"/>
      <c r="DJ52" s="108"/>
      <c r="DK52" s="108"/>
      <c r="DL52" s="108"/>
      <c r="DM52" s="108"/>
      <c r="DN52" s="108"/>
      <c r="DO52" s="108"/>
      <c r="DP52" s="108"/>
      <c r="DQ52" s="108"/>
      <c r="DR52" s="108"/>
      <c r="DS52" s="108"/>
      <c r="DT52" s="108"/>
      <c r="DU52" s="108"/>
      <c r="DV52" s="108"/>
      <c r="DW52" s="108"/>
      <c r="DX52" s="108"/>
      <c r="DY52" s="108"/>
      <c r="DZ52" s="108"/>
      <c r="EA52" s="108"/>
      <c r="EB52" s="108"/>
      <c r="EC52" s="108"/>
      <c r="ED52" s="108"/>
      <c r="EE52" s="108"/>
      <c r="EF52" s="108"/>
      <c r="EG52" s="108"/>
      <c r="EH52" s="108"/>
      <c r="EI52" s="108"/>
      <c r="EJ52" s="108"/>
      <c r="EK52" s="108"/>
      <c r="EL52" s="108"/>
      <c r="EM52" s="108"/>
      <c r="EN52" s="108"/>
      <c r="EO52" s="108"/>
      <c r="EP52" s="108"/>
      <c r="EQ52" s="108"/>
      <c r="ER52" s="108"/>
      <c r="ES52" s="108"/>
      <c r="ET52" s="108"/>
      <c r="EU52" s="108"/>
      <c r="EV52" s="108"/>
      <c r="EW52" s="108"/>
      <c r="EX52" s="108"/>
      <c r="EY52" s="108"/>
      <c r="EZ52" s="108"/>
      <c r="FA52" s="108"/>
      <c r="FB52" s="108"/>
      <c r="FC52" s="108"/>
      <c r="FD52" s="108"/>
      <c r="FE52" s="108"/>
      <c r="FF52" s="108"/>
      <c r="FG52" s="108"/>
      <c r="FH52" s="108"/>
      <c r="FI52" s="108"/>
      <c r="FJ52" s="108"/>
      <c r="FK52" s="108"/>
      <c r="FL52" s="108"/>
      <c r="FM52" s="108"/>
      <c r="FN52" s="108"/>
      <c r="FO52" s="108"/>
      <c r="FP52" s="108"/>
      <c r="FQ52" s="108"/>
      <c r="FR52" s="108"/>
      <c r="FS52" s="108"/>
      <c r="FT52" s="108"/>
      <c r="FU52" s="108"/>
      <c r="FV52" s="108"/>
      <c r="FW52" s="108"/>
      <c r="FX52" s="108"/>
      <c r="FY52" s="108"/>
      <c r="FZ52" s="108"/>
      <c r="GA52" s="108"/>
      <c r="GB52" s="108"/>
      <c r="GC52" s="108"/>
      <c r="GD52" s="108"/>
      <c r="GE52" s="108"/>
      <c r="GF52" s="108"/>
      <c r="GG52" s="108"/>
      <c r="GH52" s="108"/>
      <c r="GI52" s="108"/>
      <c r="GJ52" s="108"/>
      <c r="GK52" s="108"/>
      <c r="GL52" s="108"/>
      <c r="GM52" s="108"/>
      <c r="GN52" s="108"/>
      <c r="GO52" s="108"/>
      <c r="GP52" s="108"/>
      <c r="GQ52" s="108"/>
      <c r="GR52" s="108"/>
      <c r="GS52" s="108"/>
      <c r="GT52" s="108"/>
      <c r="GU52" s="108"/>
      <c r="GV52" s="108"/>
      <c r="GW52" s="108"/>
      <c r="GX52" s="108"/>
      <c r="GY52" s="108"/>
      <c r="GZ52" s="108"/>
      <c r="HA52" s="108"/>
      <c r="HB52" s="108"/>
      <c r="HC52" s="108"/>
      <c r="HD52" s="108"/>
      <c r="HE52" s="108"/>
      <c r="HF52" s="108"/>
      <c r="HG52" s="108"/>
      <c r="HH52" s="108"/>
      <c r="HI52" s="108"/>
      <c r="HJ52" s="108"/>
      <c r="HK52" s="108"/>
      <c r="HL52" s="108"/>
      <c r="HM52" s="108"/>
      <c r="HN52" s="108"/>
      <c r="HO52" s="108"/>
      <c r="HP52" s="108"/>
      <c r="HQ52" s="108"/>
      <c r="HR52" s="108"/>
      <c r="HS52" s="108"/>
      <c r="HT52" s="108"/>
      <c r="HU52" s="108"/>
      <c r="HV52" s="108"/>
      <c r="HW52" s="108"/>
      <c r="HX52" s="108"/>
      <c r="HY52" s="108"/>
      <c r="HZ52" s="108"/>
      <c r="IA52" s="108"/>
      <c r="IB52" s="108"/>
      <c r="IC52" s="108"/>
      <c r="ID52" s="108"/>
      <c r="IE52" s="108"/>
      <c r="IF52" s="108"/>
      <c r="IG52" s="108"/>
      <c r="IH52" s="108"/>
      <c r="II52" s="108"/>
      <c r="IJ52" s="108"/>
      <c r="IK52" s="108"/>
      <c r="IL52" s="108"/>
      <c r="IM52" s="108"/>
      <c r="IN52" s="108"/>
      <c r="IO52" s="108"/>
      <c r="IP52" s="108"/>
      <c r="IQ52" s="108"/>
      <c r="IR52" s="108"/>
      <c r="IS52" s="108"/>
      <c r="IT52" s="108"/>
      <c r="IU52" s="108"/>
      <c r="IV52" s="108"/>
      <c r="IW52" s="108"/>
    </row>
    <row r="53" spans="1:257" x14ac:dyDescent="0.3">
      <c r="A53" s="158"/>
      <c r="B53" s="158"/>
      <c r="C53" s="158"/>
      <c r="D53" s="158"/>
      <c r="E53" s="158"/>
      <c r="F53" s="158"/>
      <c r="G53" s="158"/>
      <c r="H53" s="158"/>
      <c r="I53" s="176"/>
      <c r="J53" s="158"/>
      <c r="K53" s="158"/>
      <c r="L53" s="158"/>
      <c r="M53" s="158"/>
      <c r="N53" s="158"/>
      <c r="O53" s="108"/>
      <c r="P53" s="108"/>
      <c r="Q53" s="108"/>
      <c r="R53" s="108"/>
      <c r="S53" s="108"/>
      <c r="T53" s="108"/>
      <c r="U53" s="108"/>
      <c r="V53" s="108"/>
      <c r="W53" s="108"/>
      <c r="X53" s="108"/>
      <c r="Y53" s="108"/>
      <c r="Z53" s="108"/>
      <c r="AA53" s="108"/>
      <c r="AB53" s="108"/>
      <c r="AC53" s="108"/>
      <c r="AD53" s="108"/>
      <c r="AE53" s="108"/>
      <c r="AF53" s="108"/>
      <c r="AG53" s="108"/>
      <c r="AH53" s="108"/>
      <c r="AI53" s="108"/>
      <c r="AJ53" s="108"/>
      <c r="AK53" s="108"/>
      <c r="AL53" s="108"/>
      <c r="AM53" s="108"/>
      <c r="AN53" s="108"/>
      <c r="AO53" s="108"/>
      <c r="AP53" s="108"/>
      <c r="AQ53" s="108"/>
      <c r="AR53" s="108"/>
      <c r="AS53" s="108"/>
      <c r="AT53" s="108"/>
      <c r="AU53" s="108"/>
      <c r="AV53" s="108"/>
      <c r="AW53" s="108"/>
      <c r="AX53" s="108"/>
      <c r="AY53" s="108"/>
      <c r="AZ53" s="108"/>
      <c r="BA53" s="108"/>
      <c r="BB53" s="108"/>
      <c r="BC53" s="108"/>
      <c r="BD53" s="108"/>
      <c r="BE53" s="108"/>
      <c r="BF53" s="108"/>
      <c r="BG53" s="108"/>
      <c r="BH53" s="108"/>
      <c r="BI53" s="108"/>
      <c r="BJ53" s="108"/>
      <c r="BK53" s="108"/>
      <c r="BL53" s="108"/>
      <c r="BM53" s="108"/>
      <c r="BN53" s="108"/>
      <c r="BO53" s="108"/>
      <c r="BP53" s="108"/>
      <c r="BQ53" s="108"/>
      <c r="BR53" s="108"/>
      <c r="BS53" s="108"/>
      <c r="BT53" s="108"/>
      <c r="BU53" s="108"/>
      <c r="BV53" s="108"/>
      <c r="BW53" s="108"/>
      <c r="BX53" s="108"/>
      <c r="BY53" s="108"/>
      <c r="BZ53" s="108"/>
      <c r="CA53" s="108"/>
      <c r="CB53" s="108"/>
      <c r="CC53" s="108"/>
      <c r="CD53" s="108"/>
      <c r="CE53" s="108"/>
      <c r="CF53" s="108"/>
      <c r="CG53" s="108"/>
      <c r="CH53" s="108"/>
      <c r="CI53" s="108"/>
      <c r="CJ53" s="108"/>
      <c r="CK53" s="108"/>
      <c r="CL53" s="108"/>
      <c r="CM53" s="108"/>
      <c r="CN53" s="108"/>
      <c r="CO53" s="108"/>
      <c r="CP53" s="108"/>
      <c r="CQ53" s="108"/>
      <c r="CR53" s="108"/>
      <c r="CS53" s="108"/>
      <c r="CT53" s="108"/>
      <c r="CU53" s="108"/>
      <c r="CV53" s="108"/>
      <c r="CW53" s="108"/>
      <c r="CX53" s="108"/>
      <c r="CY53" s="108"/>
      <c r="CZ53" s="108"/>
      <c r="DA53" s="108"/>
      <c r="DB53" s="108"/>
      <c r="DC53" s="108"/>
      <c r="DD53" s="108"/>
      <c r="DE53" s="108"/>
      <c r="DF53" s="108"/>
      <c r="DG53" s="108"/>
      <c r="DH53" s="108"/>
      <c r="DI53" s="108"/>
      <c r="DJ53" s="108"/>
      <c r="DK53" s="108"/>
      <c r="DL53" s="108"/>
      <c r="DM53" s="108"/>
      <c r="DN53" s="108"/>
      <c r="DO53" s="108"/>
      <c r="DP53" s="108"/>
      <c r="DQ53" s="108"/>
      <c r="DR53" s="108"/>
      <c r="DS53" s="108"/>
      <c r="DT53" s="108"/>
      <c r="DU53" s="108"/>
      <c r="DV53" s="108"/>
      <c r="DW53" s="108"/>
      <c r="DX53" s="108"/>
      <c r="DY53" s="108"/>
      <c r="DZ53" s="108"/>
      <c r="EA53" s="108"/>
      <c r="EB53" s="108"/>
      <c r="EC53" s="108"/>
      <c r="ED53" s="108"/>
      <c r="EE53" s="108"/>
      <c r="EF53" s="108"/>
      <c r="EG53" s="108"/>
      <c r="EH53" s="108"/>
      <c r="EI53" s="108"/>
      <c r="EJ53" s="108"/>
      <c r="EK53" s="108"/>
      <c r="EL53" s="108"/>
      <c r="EM53" s="108"/>
      <c r="EN53" s="108"/>
      <c r="EO53" s="108"/>
      <c r="EP53" s="108"/>
      <c r="EQ53" s="108"/>
      <c r="ER53" s="108"/>
      <c r="ES53" s="108"/>
      <c r="ET53" s="108"/>
      <c r="EU53" s="108"/>
      <c r="EV53" s="108"/>
      <c r="EW53" s="108"/>
      <c r="EX53" s="108"/>
      <c r="EY53" s="108"/>
      <c r="EZ53" s="108"/>
      <c r="FA53" s="108"/>
      <c r="FB53" s="108"/>
      <c r="FC53" s="108"/>
      <c r="FD53" s="108"/>
      <c r="FE53" s="108"/>
      <c r="FF53" s="108"/>
      <c r="FG53" s="108"/>
      <c r="FH53" s="108"/>
      <c r="FI53" s="108"/>
      <c r="FJ53" s="108"/>
      <c r="FK53" s="108"/>
      <c r="FL53" s="108"/>
      <c r="FM53" s="108"/>
      <c r="FN53" s="108"/>
      <c r="FO53" s="108"/>
      <c r="FP53" s="108"/>
      <c r="FQ53" s="108"/>
      <c r="FR53" s="108"/>
      <c r="FS53" s="108"/>
      <c r="FT53" s="108"/>
      <c r="FU53" s="108"/>
      <c r="FV53" s="108"/>
      <c r="FW53" s="108"/>
      <c r="FX53" s="108"/>
      <c r="FY53" s="108"/>
      <c r="FZ53" s="108"/>
      <c r="GA53" s="108"/>
      <c r="GB53" s="108"/>
      <c r="GC53" s="108"/>
      <c r="GD53" s="108"/>
      <c r="GE53" s="108"/>
      <c r="GF53" s="108"/>
      <c r="GG53" s="108"/>
      <c r="GH53" s="108"/>
      <c r="GI53" s="108"/>
      <c r="GJ53" s="108"/>
      <c r="GK53" s="108"/>
      <c r="GL53" s="108"/>
      <c r="GM53" s="108"/>
      <c r="GN53" s="108"/>
      <c r="GO53" s="108"/>
      <c r="GP53" s="108"/>
      <c r="GQ53" s="108"/>
      <c r="GR53" s="108"/>
      <c r="GS53" s="108"/>
      <c r="GT53" s="108"/>
      <c r="GU53" s="108"/>
      <c r="GV53" s="108"/>
      <c r="GW53" s="108"/>
      <c r="GX53" s="108"/>
      <c r="GY53" s="108"/>
      <c r="GZ53" s="108"/>
      <c r="HA53" s="108"/>
      <c r="HB53" s="108"/>
      <c r="HC53" s="108"/>
      <c r="HD53" s="108"/>
      <c r="HE53" s="108"/>
      <c r="HF53" s="108"/>
      <c r="HG53" s="108"/>
      <c r="HH53" s="108"/>
      <c r="HI53" s="108"/>
      <c r="HJ53" s="108"/>
      <c r="HK53" s="108"/>
      <c r="HL53" s="108"/>
      <c r="HM53" s="108"/>
      <c r="HN53" s="108"/>
      <c r="HO53" s="108"/>
      <c r="HP53" s="108"/>
      <c r="HQ53" s="108"/>
      <c r="HR53" s="108"/>
      <c r="HS53" s="108"/>
      <c r="HT53" s="108"/>
      <c r="HU53" s="108"/>
      <c r="HV53" s="108"/>
      <c r="HW53" s="108"/>
      <c r="HX53" s="108"/>
      <c r="HY53" s="108"/>
      <c r="HZ53" s="108"/>
      <c r="IA53" s="108"/>
      <c r="IB53" s="108"/>
      <c r="IC53" s="108"/>
      <c r="ID53" s="108"/>
      <c r="IE53" s="108"/>
      <c r="IF53" s="108"/>
      <c r="IG53" s="108"/>
      <c r="IH53" s="108"/>
      <c r="II53" s="108"/>
      <c r="IJ53" s="108"/>
      <c r="IK53" s="108"/>
      <c r="IL53" s="108"/>
      <c r="IM53" s="108"/>
      <c r="IN53" s="108"/>
      <c r="IO53" s="108"/>
      <c r="IP53" s="108"/>
      <c r="IQ53" s="108"/>
      <c r="IR53" s="108"/>
      <c r="IS53" s="108"/>
      <c r="IT53" s="108"/>
      <c r="IU53" s="108"/>
      <c r="IV53" s="108"/>
      <c r="IW53" s="108"/>
    </row>
    <row r="54" spans="1:257" x14ac:dyDescent="0.3">
      <c r="A54" s="158"/>
      <c r="B54" s="158"/>
      <c r="C54" s="158"/>
      <c r="D54" s="158"/>
      <c r="E54" s="158"/>
      <c r="F54" s="158"/>
      <c r="G54" s="158"/>
      <c r="H54" s="158"/>
      <c r="I54" s="176"/>
      <c r="J54" s="158"/>
      <c r="K54" s="158"/>
      <c r="L54" s="158"/>
      <c r="M54" s="158"/>
      <c r="N54" s="158"/>
      <c r="O54" s="108"/>
      <c r="P54" s="108"/>
      <c r="Q54" s="108"/>
      <c r="R54" s="108"/>
      <c r="S54" s="108"/>
      <c r="T54" s="108"/>
      <c r="U54" s="108"/>
      <c r="V54" s="108"/>
      <c r="W54" s="108"/>
      <c r="X54" s="108"/>
      <c r="Y54" s="108"/>
      <c r="Z54" s="108"/>
      <c r="AA54" s="108"/>
      <c r="AB54" s="108"/>
      <c r="AC54" s="108"/>
      <c r="AD54" s="108"/>
      <c r="AE54" s="108"/>
      <c r="AF54" s="108"/>
      <c r="AG54" s="108"/>
      <c r="AH54" s="108"/>
      <c r="AI54" s="108"/>
      <c r="AJ54" s="108"/>
      <c r="AK54" s="108"/>
      <c r="AL54" s="108"/>
      <c r="AM54" s="108"/>
      <c r="AN54" s="108"/>
      <c r="AO54" s="108"/>
      <c r="AP54" s="108"/>
      <c r="AQ54" s="108"/>
      <c r="AR54" s="108"/>
      <c r="AS54" s="108"/>
      <c r="AT54" s="108"/>
      <c r="AU54" s="108"/>
      <c r="AV54" s="108"/>
      <c r="AW54" s="108"/>
      <c r="AX54" s="108"/>
      <c r="AY54" s="108"/>
      <c r="AZ54" s="108"/>
      <c r="BA54" s="108"/>
      <c r="BB54" s="108"/>
      <c r="BC54" s="108"/>
      <c r="BD54" s="108"/>
      <c r="BE54" s="108"/>
      <c r="BF54" s="108"/>
      <c r="BG54" s="108"/>
      <c r="BH54" s="108"/>
      <c r="BI54" s="108"/>
      <c r="BJ54" s="108"/>
      <c r="BK54" s="108"/>
      <c r="BL54" s="108"/>
      <c r="BM54" s="108"/>
      <c r="BN54" s="108"/>
      <c r="BO54" s="108"/>
      <c r="BP54" s="108"/>
      <c r="BQ54" s="108"/>
      <c r="BR54" s="108"/>
      <c r="BS54" s="108"/>
      <c r="BT54" s="108"/>
      <c r="BU54" s="108"/>
      <c r="BV54" s="108"/>
      <c r="BW54" s="108"/>
      <c r="BX54" s="108"/>
      <c r="BY54" s="108"/>
      <c r="BZ54" s="108"/>
      <c r="CA54" s="108"/>
      <c r="CB54" s="108"/>
      <c r="CC54" s="108"/>
      <c r="CD54" s="108"/>
      <c r="CE54" s="108"/>
      <c r="CF54" s="108"/>
      <c r="CG54" s="108"/>
      <c r="CH54" s="108"/>
      <c r="CI54" s="108"/>
      <c r="CJ54" s="108"/>
      <c r="CK54" s="108"/>
      <c r="CL54" s="108"/>
      <c r="CM54" s="108"/>
      <c r="CN54" s="108"/>
      <c r="CO54" s="108"/>
      <c r="CP54" s="108"/>
      <c r="CQ54" s="108"/>
      <c r="CR54" s="108"/>
      <c r="CS54" s="108"/>
      <c r="CT54" s="108"/>
      <c r="CU54" s="108"/>
      <c r="CV54" s="108"/>
      <c r="CW54" s="108"/>
      <c r="CX54" s="108"/>
      <c r="CY54" s="108"/>
      <c r="CZ54" s="108"/>
      <c r="DA54" s="108"/>
      <c r="DB54" s="108"/>
      <c r="DC54" s="108"/>
      <c r="DD54" s="108"/>
      <c r="DE54" s="108"/>
      <c r="DF54" s="108"/>
      <c r="DG54" s="108"/>
      <c r="DH54" s="108"/>
      <c r="DI54" s="108"/>
      <c r="DJ54" s="108"/>
      <c r="DK54" s="108"/>
      <c r="DL54" s="108"/>
      <c r="DM54" s="108"/>
      <c r="DN54" s="108"/>
      <c r="DO54" s="108"/>
      <c r="DP54" s="108"/>
      <c r="DQ54" s="108"/>
      <c r="DR54" s="108"/>
      <c r="DS54" s="108"/>
      <c r="DT54" s="108"/>
      <c r="DU54" s="108"/>
      <c r="DV54" s="108"/>
      <c r="DW54" s="108"/>
      <c r="DX54" s="108"/>
      <c r="DY54" s="108"/>
      <c r="DZ54" s="108"/>
      <c r="EA54" s="108"/>
      <c r="EB54" s="108"/>
      <c r="EC54" s="108"/>
      <c r="ED54" s="108"/>
      <c r="EE54" s="108"/>
      <c r="EF54" s="108"/>
      <c r="EG54" s="108"/>
      <c r="EH54" s="108"/>
      <c r="EI54" s="108"/>
      <c r="EJ54" s="108"/>
      <c r="EK54" s="108"/>
      <c r="EL54" s="108"/>
      <c r="EM54" s="108"/>
      <c r="EN54" s="108"/>
      <c r="EO54" s="108"/>
      <c r="EP54" s="108"/>
      <c r="EQ54" s="108"/>
      <c r="ER54" s="108"/>
      <c r="ES54" s="108"/>
      <c r="ET54" s="108"/>
      <c r="EU54" s="108"/>
      <c r="EV54" s="108"/>
      <c r="EW54" s="108"/>
      <c r="EX54" s="108"/>
      <c r="EY54" s="108"/>
      <c r="EZ54" s="108"/>
      <c r="FA54" s="108"/>
      <c r="FB54" s="108"/>
      <c r="FC54" s="108"/>
      <c r="FD54" s="108"/>
      <c r="FE54" s="108"/>
      <c r="FF54" s="108"/>
      <c r="FG54" s="108"/>
      <c r="FH54" s="108"/>
      <c r="FI54" s="108"/>
      <c r="FJ54" s="108"/>
      <c r="FK54" s="108"/>
      <c r="FL54" s="108"/>
      <c r="FM54" s="108"/>
      <c r="FN54" s="108"/>
      <c r="FO54" s="108"/>
      <c r="FP54" s="108"/>
      <c r="FQ54" s="108"/>
      <c r="FR54" s="108"/>
      <c r="FS54" s="108"/>
      <c r="FT54" s="108"/>
      <c r="FU54" s="108"/>
      <c r="FV54" s="108"/>
      <c r="FW54" s="108"/>
      <c r="FX54" s="108"/>
      <c r="FY54" s="108"/>
      <c r="FZ54" s="108"/>
      <c r="GA54" s="108"/>
      <c r="GB54" s="108"/>
      <c r="GC54" s="108"/>
      <c r="GD54" s="108"/>
      <c r="GE54" s="108"/>
      <c r="GF54" s="108"/>
      <c r="GG54" s="108"/>
      <c r="GH54" s="108"/>
      <c r="GI54" s="108"/>
      <c r="GJ54" s="108"/>
      <c r="GK54" s="108"/>
      <c r="GL54" s="108"/>
      <c r="GM54" s="108"/>
      <c r="GN54" s="108"/>
      <c r="GO54" s="108"/>
      <c r="GP54" s="108"/>
      <c r="GQ54" s="108"/>
      <c r="GR54" s="108"/>
      <c r="GS54" s="108"/>
      <c r="GT54" s="108"/>
      <c r="GU54" s="108"/>
      <c r="GV54" s="108"/>
      <c r="GW54" s="108"/>
      <c r="GX54" s="108"/>
      <c r="GY54" s="108"/>
      <c r="GZ54" s="108"/>
      <c r="HA54" s="108"/>
      <c r="HB54" s="108"/>
      <c r="HC54" s="108"/>
      <c r="HD54" s="108"/>
      <c r="HE54" s="108"/>
      <c r="HF54" s="108"/>
      <c r="HG54" s="108"/>
      <c r="HH54" s="108"/>
      <c r="HI54" s="108"/>
      <c r="HJ54" s="108"/>
      <c r="HK54" s="108"/>
      <c r="HL54" s="108"/>
      <c r="HM54" s="108"/>
      <c r="HN54" s="108"/>
      <c r="HO54" s="108"/>
      <c r="HP54" s="108"/>
      <c r="HQ54" s="108"/>
      <c r="HR54" s="108"/>
      <c r="HS54" s="108"/>
      <c r="HT54" s="108"/>
      <c r="HU54" s="108"/>
      <c r="HV54" s="108"/>
      <c r="HW54" s="108"/>
      <c r="HX54" s="108"/>
      <c r="HY54" s="108"/>
      <c r="HZ54" s="108"/>
      <c r="IA54" s="108"/>
      <c r="IB54" s="108"/>
      <c r="IC54" s="108"/>
      <c r="ID54" s="108"/>
      <c r="IE54" s="108"/>
      <c r="IF54" s="108"/>
      <c r="IG54" s="108"/>
      <c r="IH54" s="108"/>
      <c r="II54" s="108"/>
      <c r="IJ54" s="108"/>
      <c r="IK54" s="108"/>
      <c r="IL54" s="108"/>
      <c r="IM54" s="108"/>
      <c r="IN54" s="108"/>
      <c r="IO54" s="108"/>
      <c r="IP54" s="108"/>
      <c r="IQ54" s="108"/>
      <c r="IR54" s="108"/>
      <c r="IS54" s="108"/>
      <c r="IT54" s="108"/>
      <c r="IU54" s="108"/>
      <c r="IV54" s="108"/>
      <c r="IW54" s="108"/>
    </row>
    <row r="55" spans="1:257" x14ac:dyDescent="0.3">
      <c r="A55" s="158"/>
      <c r="B55" s="158"/>
      <c r="C55" s="158"/>
      <c r="D55" s="158"/>
      <c r="E55" s="158"/>
      <c r="F55" s="158"/>
      <c r="G55" s="158"/>
      <c r="H55" s="158"/>
      <c r="I55" s="176"/>
      <c r="J55" s="158"/>
      <c r="K55" s="158"/>
      <c r="L55" s="158"/>
      <c r="M55" s="158"/>
      <c r="N55" s="158"/>
      <c r="O55" s="108"/>
      <c r="P55" s="108"/>
      <c r="Q55" s="108"/>
      <c r="R55" s="108"/>
      <c r="S55" s="108"/>
      <c r="T55" s="108"/>
      <c r="U55" s="108"/>
      <c r="V55" s="108"/>
      <c r="W55" s="108"/>
      <c r="X55" s="108"/>
      <c r="Y55" s="108"/>
      <c r="Z55" s="108"/>
      <c r="AA55" s="108"/>
      <c r="AB55" s="108"/>
      <c r="AC55" s="108"/>
      <c r="AD55" s="108"/>
      <c r="AE55" s="108"/>
      <c r="AF55" s="108"/>
      <c r="AG55" s="108"/>
      <c r="AH55" s="108"/>
      <c r="AI55" s="108"/>
      <c r="AJ55" s="108"/>
      <c r="AK55" s="108"/>
      <c r="AL55" s="108"/>
      <c r="AM55" s="108"/>
      <c r="AN55" s="108"/>
      <c r="AO55" s="108"/>
      <c r="AP55" s="108"/>
      <c r="AQ55" s="108"/>
      <c r="AR55" s="108"/>
      <c r="AS55" s="108"/>
      <c r="AT55" s="108"/>
      <c r="AU55" s="108"/>
      <c r="AV55" s="108"/>
      <c r="AW55" s="108"/>
      <c r="AX55" s="108"/>
      <c r="AY55" s="108"/>
      <c r="AZ55" s="108"/>
      <c r="BA55" s="108"/>
      <c r="BB55" s="108"/>
      <c r="BC55" s="108"/>
      <c r="BD55" s="108"/>
      <c r="BE55" s="108"/>
      <c r="BF55" s="108"/>
      <c r="BG55" s="108"/>
      <c r="BH55" s="108"/>
      <c r="BI55" s="108"/>
      <c r="BJ55" s="108"/>
      <c r="BK55" s="108"/>
      <c r="BL55" s="108"/>
      <c r="BM55" s="108"/>
      <c r="BN55" s="108"/>
      <c r="BO55" s="108"/>
      <c r="BP55" s="108"/>
      <c r="BQ55" s="108"/>
      <c r="BR55" s="108"/>
      <c r="BS55" s="108"/>
      <c r="BT55" s="108"/>
      <c r="BU55" s="108"/>
      <c r="BV55" s="108"/>
      <c r="BW55" s="108"/>
      <c r="BX55" s="108"/>
      <c r="BY55" s="108"/>
      <c r="BZ55" s="108"/>
      <c r="CA55" s="108"/>
      <c r="CB55" s="108"/>
      <c r="CC55" s="108"/>
      <c r="CD55" s="108"/>
      <c r="CE55" s="108"/>
      <c r="CF55" s="108"/>
      <c r="CG55" s="108"/>
      <c r="CH55" s="108"/>
      <c r="CI55" s="108"/>
      <c r="CJ55" s="108"/>
      <c r="CK55" s="108"/>
      <c r="CL55" s="108"/>
      <c r="CM55" s="108"/>
      <c r="CN55" s="108"/>
      <c r="CO55" s="108"/>
      <c r="CP55" s="108"/>
      <c r="CQ55" s="108"/>
      <c r="CR55" s="108"/>
      <c r="CS55" s="108"/>
      <c r="CT55" s="108"/>
      <c r="CU55" s="108"/>
      <c r="CV55" s="108"/>
      <c r="CW55" s="108"/>
      <c r="CX55" s="108"/>
      <c r="CY55" s="108"/>
      <c r="CZ55" s="108"/>
      <c r="DA55" s="108"/>
      <c r="DB55" s="108"/>
      <c r="DC55" s="108"/>
      <c r="DD55" s="108"/>
      <c r="DE55" s="108"/>
      <c r="DF55" s="108"/>
      <c r="DG55" s="108"/>
      <c r="DH55" s="108"/>
      <c r="DI55" s="108"/>
      <c r="DJ55" s="108"/>
      <c r="DK55" s="108"/>
      <c r="DL55" s="108"/>
      <c r="DM55" s="108"/>
      <c r="DN55" s="108"/>
      <c r="DO55" s="108"/>
      <c r="DP55" s="108"/>
      <c r="DQ55" s="108"/>
      <c r="DR55" s="108"/>
      <c r="DS55" s="108"/>
      <c r="DT55" s="108"/>
      <c r="DU55" s="108"/>
      <c r="DV55" s="108"/>
      <c r="DW55" s="108"/>
      <c r="DX55" s="108"/>
      <c r="DY55" s="108"/>
      <c r="DZ55" s="108"/>
      <c r="EA55" s="108"/>
      <c r="EB55" s="108"/>
      <c r="EC55" s="108"/>
      <c r="ED55" s="108"/>
      <c r="EE55" s="108"/>
      <c r="EF55" s="108"/>
      <c r="EG55" s="108"/>
      <c r="EH55" s="108"/>
      <c r="EI55" s="108"/>
      <c r="EJ55" s="108"/>
      <c r="EK55" s="108"/>
      <c r="EL55" s="108"/>
      <c r="EM55" s="108"/>
      <c r="EN55" s="108"/>
      <c r="EO55" s="108"/>
      <c r="EP55" s="108"/>
      <c r="EQ55" s="108"/>
      <c r="ER55" s="108"/>
      <c r="ES55" s="108"/>
      <c r="ET55" s="108"/>
      <c r="EU55" s="108"/>
      <c r="EV55" s="108"/>
      <c r="EW55" s="108"/>
      <c r="EX55" s="108"/>
      <c r="EY55" s="108"/>
      <c r="EZ55" s="108"/>
      <c r="FA55" s="108"/>
      <c r="FB55" s="108"/>
      <c r="FC55" s="108"/>
      <c r="FD55" s="108"/>
      <c r="FE55" s="108"/>
      <c r="FF55" s="108"/>
      <c r="FG55" s="108"/>
      <c r="FH55" s="108"/>
      <c r="FI55" s="108"/>
      <c r="FJ55" s="108"/>
      <c r="FK55" s="108"/>
      <c r="FL55" s="108"/>
      <c r="FM55" s="108"/>
      <c r="FN55" s="108"/>
      <c r="FO55" s="108"/>
      <c r="FP55" s="108"/>
      <c r="FQ55" s="108"/>
      <c r="FR55" s="108"/>
      <c r="FS55" s="108"/>
      <c r="FT55" s="108"/>
      <c r="FU55" s="108"/>
      <c r="FV55" s="108"/>
      <c r="FW55" s="108"/>
      <c r="FX55" s="108"/>
      <c r="FY55" s="108"/>
      <c r="FZ55" s="108"/>
      <c r="GA55" s="108"/>
      <c r="GB55" s="108"/>
      <c r="GC55" s="108"/>
      <c r="GD55" s="108"/>
      <c r="GE55" s="108"/>
      <c r="GF55" s="108"/>
      <c r="GG55" s="108"/>
      <c r="GH55" s="108"/>
      <c r="GI55" s="108"/>
      <c r="GJ55" s="108"/>
      <c r="GK55" s="108"/>
      <c r="GL55" s="108"/>
      <c r="GM55" s="108"/>
      <c r="GN55" s="108"/>
      <c r="GO55" s="108"/>
      <c r="GP55" s="108"/>
      <c r="GQ55" s="108"/>
      <c r="GR55" s="108"/>
      <c r="GS55" s="108"/>
      <c r="GT55" s="108"/>
      <c r="GU55" s="108"/>
      <c r="GV55" s="108"/>
      <c r="GW55" s="108"/>
      <c r="GX55" s="108"/>
      <c r="GY55" s="108"/>
      <c r="GZ55" s="108"/>
      <c r="HA55" s="108"/>
      <c r="HB55" s="108"/>
      <c r="HC55" s="108"/>
      <c r="HD55" s="108"/>
      <c r="HE55" s="108"/>
      <c r="HF55" s="108"/>
      <c r="HG55" s="108"/>
      <c r="HH55" s="108"/>
      <c r="HI55" s="108"/>
      <c r="HJ55" s="108"/>
      <c r="HK55" s="108"/>
      <c r="HL55" s="108"/>
      <c r="HM55" s="108"/>
      <c r="HN55" s="108"/>
      <c r="HO55" s="108"/>
      <c r="HP55" s="108"/>
      <c r="HQ55" s="108"/>
      <c r="HR55" s="108"/>
      <c r="HS55" s="108"/>
      <c r="HT55" s="108"/>
      <c r="HU55" s="108"/>
      <c r="HV55" s="108"/>
      <c r="HW55" s="108"/>
      <c r="HX55" s="108"/>
      <c r="HY55" s="108"/>
      <c r="HZ55" s="108"/>
      <c r="IA55" s="108"/>
      <c r="IB55" s="108"/>
      <c r="IC55" s="108"/>
      <c r="ID55" s="108"/>
      <c r="IE55" s="108"/>
      <c r="IF55" s="108"/>
      <c r="IG55" s="108"/>
      <c r="IH55" s="108"/>
      <c r="II55" s="108"/>
      <c r="IJ55" s="108"/>
      <c r="IK55" s="108"/>
      <c r="IL55" s="108"/>
      <c r="IM55" s="108"/>
      <c r="IN55" s="108"/>
      <c r="IO55" s="108"/>
      <c r="IP55" s="108"/>
      <c r="IQ55" s="108"/>
      <c r="IR55" s="108"/>
      <c r="IS55" s="108"/>
      <c r="IT55" s="108"/>
      <c r="IU55" s="108"/>
      <c r="IV55" s="108"/>
      <c r="IW55" s="108"/>
    </row>
    <row r="56" spans="1:257" x14ac:dyDescent="0.3">
      <c r="A56" s="158"/>
      <c r="B56" s="158"/>
      <c r="C56" s="158"/>
      <c r="D56" s="158"/>
      <c r="E56" s="158"/>
      <c r="F56" s="158"/>
      <c r="G56" s="158"/>
      <c r="H56" s="158"/>
      <c r="I56" s="176"/>
      <c r="J56" s="158"/>
      <c r="K56" s="158"/>
      <c r="L56" s="158"/>
      <c r="M56" s="158"/>
      <c r="N56" s="158"/>
      <c r="O56" s="108"/>
      <c r="P56" s="108"/>
      <c r="Q56" s="108"/>
      <c r="R56" s="108"/>
      <c r="S56" s="108"/>
      <c r="T56" s="108"/>
      <c r="U56" s="108"/>
      <c r="V56" s="108"/>
      <c r="W56" s="108"/>
      <c r="X56" s="108"/>
      <c r="Y56" s="108"/>
      <c r="Z56" s="108"/>
      <c r="AA56" s="108"/>
      <c r="AB56" s="108"/>
      <c r="AC56" s="108"/>
      <c r="AD56" s="108"/>
      <c r="AE56" s="108"/>
      <c r="AF56" s="108"/>
      <c r="AG56" s="108"/>
      <c r="AH56" s="108"/>
      <c r="AI56" s="108"/>
      <c r="AJ56" s="108"/>
      <c r="AK56" s="108"/>
      <c r="AL56" s="108"/>
      <c r="AM56" s="108"/>
      <c r="AN56" s="108"/>
      <c r="AO56" s="108"/>
      <c r="AP56" s="108"/>
      <c r="AQ56" s="108"/>
      <c r="AR56" s="108"/>
      <c r="AS56" s="108"/>
      <c r="AT56" s="108"/>
      <c r="AU56" s="108"/>
      <c r="AV56" s="108"/>
      <c r="AW56" s="108"/>
      <c r="AX56" s="108"/>
      <c r="AY56" s="108"/>
      <c r="AZ56" s="108"/>
      <c r="BA56" s="108"/>
      <c r="BB56" s="108"/>
      <c r="BC56" s="108"/>
      <c r="BD56" s="108"/>
      <c r="BE56" s="108"/>
      <c r="BF56" s="108"/>
      <c r="BG56" s="108"/>
      <c r="BH56" s="108"/>
      <c r="BI56" s="108"/>
      <c r="BJ56" s="108"/>
      <c r="BK56" s="108"/>
      <c r="BL56" s="108"/>
      <c r="BM56" s="108"/>
      <c r="BN56" s="108"/>
      <c r="BO56" s="108"/>
      <c r="BP56" s="108"/>
      <c r="BQ56" s="108"/>
      <c r="BR56" s="108"/>
      <c r="BS56" s="108"/>
      <c r="BT56" s="108"/>
      <c r="BU56" s="108"/>
      <c r="BV56" s="108"/>
      <c r="BW56" s="108"/>
      <c r="BX56" s="108"/>
      <c r="BY56" s="108"/>
      <c r="BZ56" s="108"/>
      <c r="CA56" s="108"/>
      <c r="CB56" s="108"/>
      <c r="CC56" s="108"/>
      <c r="CD56" s="108"/>
      <c r="CE56" s="108"/>
      <c r="CF56" s="108"/>
      <c r="CG56" s="108"/>
      <c r="CH56" s="108"/>
      <c r="CI56" s="108"/>
      <c r="CJ56" s="108"/>
      <c r="CK56" s="108"/>
      <c r="CL56" s="108"/>
      <c r="CM56" s="108"/>
      <c r="CN56" s="108"/>
      <c r="CO56" s="108"/>
      <c r="CP56" s="108"/>
      <c r="CQ56" s="108"/>
      <c r="CR56" s="108"/>
      <c r="CS56" s="108"/>
      <c r="CT56" s="108"/>
      <c r="CU56" s="108"/>
      <c r="CV56" s="108"/>
      <c r="CW56" s="108"/>
      <c r="CX56" s="108"/>
      <c r="CY56" s="108"/>
      <c r="CZ56" s="108"/>
      <c r="DA56" s="108"/>
      <c r="DB56" s="108"/>
      <c r="DC56" s="108"/>
      <c r="DD56" s="108"/>
      <c r="DE56" s="108"/>
      <c r="DF56" s="108"/>
      <c r="DG56" s="108"/>
      <c r="DH56" s="108"/>
      <c r="DI56" s="108"/>
      <c r="DJ56" s="108"/>
      <c r="DK56" s="108"/>
      <c r="DL56" s="108"/>
      <c r="DM56" s="108"/>
      <c r="DN56" s="108"/>
      <c r="DO56" s="108"/>
      <c r="DP56" s="108"/>
      <c r="DQ56" s="108"/>
      <c r="DR56" s="108"/>
      <c r="DS56" s="108"/>
      <c r="DT56" s="108"/>
      <c r="DU56" s="108"/>
      <c r="DV56" s="108"/>
      <c r="DW56" s="108"/>
      <c r="DX56" s="108"/>
      <c r="DY56" s="108"/>
      <c r="DZ56" s="108"/>
      <c r="EA56" s="108"/>
      <c r="EB56" s="108"/>
      <c r="EC56" s="108"/>
      <c r="ED56" s="108"/>
      <c r="EE56" s="108"/>
      <c r="EF56" s="108"/>
      <c r="EG56" s="108"/>
      <c r="EH56" s="108"/>
      <c r="EI56" s="108"/>
      <c r="EJ56" s="108"/>
      <c r="EK56" s="108"/>
      <c r="EL56" s="108"/>
      <c r="EM56" s="108"/>
      <c r="EN56" s="108"/>
      <c r="EO56" s="108"/>
      <c r="EP56" s="108"/>
      <c r="EQ56" s="108"/>
      <c r="ER56" s="108"/>
      <c r="ES56" s="108"/>
      <c r="ET56" s="108"/>
      <c r="EU56" s="108"/>
      <c r="EV56" s="108"/>
      <c r="EW56" s="108"/>
      <c r="EX56" s="108"/>
      <c r="EY56" s="108"/>
      <c r="EZ56" s="108"/>
      <c r="FA56" s="108"/>
      <c r="FB56" s="108"/>
      <c r="FC56" s="108"/>
      <c r="FD56" s="108"/>
      <c r="FE56" s="108"/>
      <c r="FF56" s="108"/>
      <c r="FG56" s="108"/>
      <c r="FH56" s="108"/>
      <c r="FI56" s="108"/>
      <c r="FJ56" s="108"/>
      <c r="FK56" s="108"/>
      <c r="FL56" s="108"/>
      <c r="FM56" s="108"/>
      <c r="FN56" s="108"/>
      <c r="FO56" s="108"/>
      <c r="FP56" s="108"/>
      <c r="FQ56" s="108"/>
      <c r="FR56" s="108"/>
      <c r="FS56" s="108"/>
      <c r="FT56" s="108"/>
      <c r="FU56" s="108"/>
      <c r="FV56" s="108"/>
      <c r="FW56" s="108"/>
      <c r="FX56" s="108"/>
      <c r="FY56" s="108"/>
      <c r="FZ56" s="108"/>
      <c r="GA56" s="108"/>
      <c r="GB56" s="108"/>
      <c r="GC56" s="108"/>
      <c r="GD56" s="108"/>
      <c r="GE56" s="108"/>
      <c r="GF56" s="108"/>
      <c r="GG56" s="108"/>
      <c r="GH56" s="108"/>
      <c r="GI56" s="108"/>
      <c r="GJ56" s="108"/>
      <c r="GK56" s="108"/>
      <c r="GL56" s="108"/>
      <c r="GM56" s="108"/>
      <c r="GN56" s="108"/>
      <c r="GO56" s="108"/>
      <c r="GP56" s="108"/>
      <c r="GQ56" s="108"/>
      <c r="GR56" s="108"/>
      <c r="GS56" s="108"/>
      <c r="GT56" s="108"/>
      <c r="GU56" s="108"/>
      <c r="GV56" s="108"/>
      <c r="GW56" s="108"/>
      <c r="GX56" s="108"/>
      <c r="GY56" s="108"/>
      <c r="GZ56" s="108"/>
      <c r="HA56" s="108"/>
      <c r="HB56" s="108"/>
      <c r="HC56" s="108"/>
      <c r="HD56" s="108"/>
      <c r="HE56" s="108"/>
      <c r="HF56" s="108"/>
      <c r="HG56" s="108"/>
      <c r="HH56" s="108"/>
      <c r="HI56" s="108"/>
      <c r="HJ56" s="108"/>
      <c r="HK56" s="108"/>
      <c r="HL56" s="108"/>
      <c r="HM56" s="108"/>
      <c r="HN56" s="108"/>
      <c r="HO56" s="108"/>
      <c r="HP56" s="108"/>
      <c r="HQ56" s="108"/>
      <c r="HR56" s="108"/>
      <c r="HS56" s="108"/>
      <c r="HT56" s="108"/>
      <c r="HU56" s="108"/>
      <c r="HV56" s="108"/>
      <c r="HW56" s="108"/>
      <c r="HX56" s="108"/>
      <c r="HY56" s="108"/>
      <c r="HZ56" s="108"/>
      <c r="IA56" s="108"/>
      <c r="IB56" s="108"/>
      <c r="IC56" s="108"/>
      <c r="ID56" s="108"/>
      <c r="IE56" s="108"/>
      <c r="IF56" s="108"/>
      <c r="IG56" s="108"/>
      <c r="IH56" s="108"/>
      <c r="II56" s="108"/>
      <c r="IJ56" s="108"/>
      <c r="IK56" s="108"/>
      <c r="IL56" s="108"/>
      <c r="IM56" s="108"/>
      <c r="IN56" s="108"/>
      <c r="IO56" s="108"/>
      <c r="IP56" s="108"/>
      <c r="IQ56" s="108"/>
      <c r="IR56" s="108"/>
      <c r="IS56" s="108"/>
      <c r="IT56" s="108"/>
      <c r="IU56" s="108"/>
      <c r="IV56" s="108"/>
      <c r="IW56" s="108"/>
    </row>
    <row r="57" spans="1:257" x14ac:dyDescent="0.3">
      <c r="A57" s="158"/>
      <c r="B57" s="158"/>
      <c r="C57" s="158"/>
      <c r="D57" s="158"/>
      <c r="E57" s="158"/>
      <c r="F57" s="158"/>
      <c r="G57" s="158"/>
      <c r="H57" s="158"/>
      <c r="I57" s="176"/>
      <c r="J57" s="158"/>
      <c r="K57" s="158"/>
      <c r="L57" s="158"/>
      <c r="M57" s="158"/>
      <c r="N57" s="158"/>
      <c r="O57" s="108"/>
      <c r="P57" s="108"/>
      <c r="Q57" s="108"/>
      <c r="R57" s="108"/>
      <c r="S57" s="108"/>
      <c r="T57" s="108"/>
      <c r="U57" s="108"/>
      <c r="V57" s="108"/>
      <c r="W57" s="108"/>
      <c r="X57" s="108"/>
      <c r="Y57" s="108"/>
      <c r="Z57" s="108"/>
      <c r="AA57" s="108"/>
      <c r="AB57" s="108"/>
      <c r="AC57" s="108"/>
      <c r="AD57" s="108"/>
      <c r="AE57" s="108"/>
      <c r="AF57" s="108"/>
      <c r="AG57" s="108"/>
      <c r="AH57" s="108"/>
      <c r="AI57" s="108"/>
      <c r="AJ57" s="108"/>
      <c r="AK57" s="108"/>
      <c r="AL57" s="108"/>
      <c r="AM57" s="108"/>
      <c r="AN57" s="108"/>
      <c r="AO57" s="108"/>
      <c r="AP57" s="108"/>
      <c r="AQ57" s="108"/>
      <c r="AR57" s="108"/>
      <c r="AS57" s="108"/>
      <c r="AT57" s="108"/>
      <c r="AU57" s="108"/>
      <c r="AV57" s="108"/>
      <c r="AW57" s="108"/>
      <c r="AX57" s="108"/>
      <c r="AY57" s="108"/>
      <c r="AZ57" s="108"/>
      <c r="BA57" s="108"/>
      <c r="BB57" s="108"/>
      <c r="BC57" s="108"/>
      <c r="BD57" s="108"/>
      <c r="BE57" s="108"/>
      <c r="BF57" s="108"/>
      <c r="BG57" s="108"/>
      <c r="BH57" s="108"/>
      <c r="BI57" s="108"/>
      <c r="BJ57" s="108"/>
      <c r="BK57" s="108"/>
      <c r="BL57" s="108"/>
      <c r="BM57" s="108"/>
      <c r="BN57" s="108"/>
      <c r="BO57" s="108"/>
      <c r="BP57" s="108"/>
      <c r="BQ57" s="108"/>
      <c r="BR57" s="108"/>
      <c r="BS57" s="108"/>
      <c r="BT57" s="108"/>
      <c r="BU57" s="108"/>
      <c r="BV57" s="108"/>
      <c r="BW57" s="108"/>
      <c r="BX57" s="108"/>
      <c r="BY57" s="108"/>
      <c r="BZ57" s="108"/>
      <c r="CA57" s="108"/>
      <c r="CB57" s="108"/>
      <c r="CC57" s="108"/>
      <c r="CD57" s="108"/>
      <c r="CE57" s="108"/>
      <c r="CF57" s="108"/>
      <c r="CG57" s="108"/>
      <c r="CH57" s="108"/>
      <c r="CI57" s="108"/>
      <c r="CJ57" s="108"/>
      <c r="CK57" s="108"/>
      <c r="CL57" s="108"/>
      <c r="CM57" s="108"/>
      <c r="CN57" s="108"/>
      <c r="CO57" s="108"/>
      <c r="CP57" s="108"/>
      <c r="CQ57" s="108"/>
      <c r="CR57" s="108"/>
      <c r="CS57" s="108"/>
      <c r="CT57" s="108"/>
      <c r="CU57" s="108"/>
      <c r="CV57" s="108"/>
      <c r="CW57" s="108"/>
      <c r="CX57" s="108"/>
      <c r="CY57" s="108"/>
      <c r="CZ57" s="108"/>
      <c r="DA57" s="108"/>
      <c r="DB57" s="108"/>
      <c r="DC57" s="108"/>
      <c r="DD57" s="108"/>
      <c r="DE57" s="108"/>
      <c r="DF57" s="108"/>
      <c r="DG57" s="108"/>
      <c r="DH57" s="108"/>
      <c r="DI57" s="108"/>
      <c r="DJ57" s="108"/>
      <c r="DK57" s="108"/>
      <c r="DL57" s="108"/>
      <c r="DM57" s="108"/>
      <c r="DN57" s="108"/>
      <c r="DO57" s="108"/>
      <c r="DP57" s="108"/>
      <c r="DQ57" s="108"/>
      <c r="DR57" s="108"/>
      <c r="DS57" s="108"/>
      <c r="DT57" s="108"/>
      <c r="DU57" s="108"/>
      <c r="DV57" s="108"/>
      <c r="DW57" s="108"/>
      <c r="DX57" s="108"/>
      <c r="DY57" s="108"/>
      <c r="DZ57" s="108"/>
      <c r="EA57" s="108"/>
      <c r="EB57" s="108"/>
      <c r="EC57" s="108"/>
      <c r="ED57" s="108"/>
      <c r="EE57" s="108"/>
      <c r="EF57" s="108"/>
      <c r="EG57" s="108"/>
      <c r="EH57" s="108"/>
      <c r="EI57" s="108"/>
      <c r="EJ57" s="108"/>
      <c r="EK57" s="108"/>
      <c r="EL57" s="108"/>
      <c r="EM57" s="108"/>
      <c r="EN57" s="108"/>
      <c r="EO57" s="108"/>
      <c r="EP57" s="108"/>
      <c r="EQ57" s="108"/>
      <c r="ER57" s="108"/>
      <c r="ES57" s="108"/>
      <c r="ET57" s="108"/>
      <c r="EU57" s="108"/>
      <c r="EV57" s="108"/>
      <c r="EW57" s="108"/>
      <c r="EX57" s="108"/>
      <c r="EY57" s="108"/>
      <c r="EZ57" s="108"/>
      <c r="FA57" s="108"/>
      <c r="FB57" s="108"/>
      <c r="FC57" s="108"/>
      <c r="FD57" s="108"/>
      <c r="FE57" s="108"/>
      <c r="FF57" s="108"/>
      <c r="FG57" s="108"/>
      <c r="FH57" s="108"/>
      <c r="FI57" s="108"/>
      <c r="FJ57" s="108"/>
      <c r="FK57" s="108"/>
      <c r="FL57" s="108"/>
      <c r="FM57" s="108"/>
      <c r="FN57" s="108"/>
      <c r="FO57" s="108"/>
      <c r="FP57" s="108"/>
      <c r="FQ57" s="108"/>
      <c r="FR57" s="108"/>
      <c r="FS57" s="108"/>
      <c r="FT57" s="108"/>
      <c r="FU57" s="108"/>
      <c r="FV57" s="108"/>
      <c r="FW57" s="108"/>
      <c r="FX57" s="108"/>
      <c r="FY57" s="108"/>
      <c r="FZ57" s="108"/>
      <c r="GA57" s="108"/>
      <c r="GB57" s="108"/>
      <c r="GC57" s="108"/>
      <c r="GD57" s="108"/>
      <c r="GE57" s="108"/>
      <c r="GF57" s="108"/>
      <c r="GG57" s="108"/>
      <c r="GH57" s="108"/>
      <c r="GI57" s="108"/>
      <c r="GJ57" s="108"/>
      <c r="GK57" s="108"/>
      <c r="GL57" s="108"/>
      <c r="GM57" s="108"/>
      <c r="GN57" s="108"/>
      <c r="GO57" s="108"/>
      <c r="GP57" s="108"/>
      <c r="GQ57" s="108"/>
      <c r="GR57" s="108"/>
      <c r="GS57" s="108"/>
      <c r="GT57" s="108"/>
      <c r="GU57" s="108"/>
      <c r="GV57" s="108"/>
      <c r="GW57" s="108"/>
      <c r="GX57" s="108"/>
      <c r="GY57" s="108"/>
      <c r="GZ57" s="108"/>
      <c r="HA57" s="108"/>
      <c r="HB57" s="108"/>
      <c r="HC57" s="108"/>
      <c r="HD57" s="108"/>
      <c r="HE57" s="108"/>
      <c r="HF57" s="108"/>
      <c r="HG57" s="108"/>
      <c r="HH57" s="108"/>
      <c r="HI57" s="108"/>
      <c r="HJ57" s="108"/>
      <c r="HK57" s="108"/>
      <c r="HL57" s="108"/>
      <c r="HM57" s="108"/>
      <c r="HN57" s="108"/>
      <c r="HO57" s="108"/>
      <c r="HP57" s="108"/>
      <c r="HQ57" s="108"/>
      <c r="HR57" s="108"/>
      <c r="HS57" s="108"/>
      <c r="HT57" s="108"/>
      <c r="HU57" s="108"/>
      <c r="HV57" s="108"/>
      <c r="HW57" s="108"/>
      <c r="HX57" s="108"/>
      <c r="HY57" s="108"/>
      <c r="HZ57" s="108"/>
      <c r="IA57" s="108"/>
      <c r="IB57" s="108"/>
      <c r="IC57" s="108"/>
      <c r="ID57" s="108"/>
      <c r="IE57" s="108"/>
      <c r="IF57" s="108"/>
      <c r="IG57" s="108"/>
      <c r="IH57" s="108"/>
      <c r="II57" s="108"/>
      <c r="IJ57" s="108"/>
      <c r="IK57" s="108"/>
      <c r="IL57" s="108"/>
      <c r="IM57" s="108"/>
      <c r="IN57" s="108"/>
      <c r="IO57" s="108"/>
      <c r="IP57" s="108"/>
      <c r="IQ57" s="108"/>
      <c r="IR57" s="108"/>
      <c r="IS57" s="108"/>
      <c r="IT57" s="108"/>
      <c r="IU57" s="108"/>
      <c r="IV57" s="108"/>
      <c r="IW57" s="108"/>
    </row>
    <row r="58" spans="1:257" x14ac:dyDescent="0.3">
      <c r="A58" s="158"/>
      <c r="B58" s="158"/>
      <c r="C58" s="158"/>
      <c r="D58" s="158"/>
      <c r="E58" s="158"/>
      <c r="F58" s="158"/>
      <c r="G58" s="158"/>
      <c r="H58" s="158"/>
      <c r="I58" s="176"/>
      <c r="J58" s="158"/>
      <c r="K58" s="158"/>
      <c r="L58" s="158"/>
      <c r="M58" s="158"/>
      <c r="N58" s="158"/>
      <c r="O58" s="108"/>
      <c r="P58" s="108"/>
      <c r="Q58" s="108"/>
      <c r="R58" s="108"/>
      <c r="S58" s="108"/>
      <c r="T58" s="108"/>
      <c r="U58" s="108"/>
      <c r="V58" s="108"/>
      <c r="W58" s="108"/>
      <c r="X58" s="108"/>
      <c r="Y58" s="108"/>
      <c r="Z58" s="108"/>
      <c r="AA58" s="108"/>
      <c r="AB58" s="108"/>
      <c r="AC58" s="108"/>
      <c r="AD58" s="108"/>
      <c r="AE58" s="108"/>
      <c r="AF58" s="108"/>
      <c r="AG58" s="108"/>
      <c r="AH58" s="108"/>
      <c r="AI58" s="108"/>
      <c r="AJ58" s="108"/>
      <c r="AK58" s="108"/>
      <c r="AL58" s="108"/>
      <c r="AM58" s="108"/>
      <c r="AN58" s="108"/>
      <c r="AO58" s="108"/>
      <c r="AP58" s="108"/>
      <c r="AQ58" s="108"/>
      <c r="AR58" s="108"/>
      <c r="AS58" s="108"/>
      <c r="AT58" s="108"/>
      <c r="AU58" s="108"/>
      <c r="AV58" s="108"/>
      <c r="AW58" s="108"/>
      <c r="AX58" s="108"/>
      <c r="AY58" s="108"/>
      <c r="AZ58" s="108"/>
      <c r="BA58" s="108"/>
      <c r="BB58" s="108"/>
      <c r="BC58" s="108"/>
      <c r="BD58" s="108"/>
      <c r="BE58" s="108"/>
      <c r="BF58" s="108"/>
      <c r="BG58" s="108"/>
      <c r="BH58" s="108"/>
      <c r="BI58" s="108"/>
      <c r="BJ58" s="108"/>
      <c r="BK58" s="108"/>
      <c r="BL58" s="108"/>
      <c r="BM58" s="108"/>
      <c r="BN58" s="108"/>
      <c r="BO58" s="108"/>
      <c r="BP58" s="108"/>
      <c r="BQ58" s="108"/>
      <c r="BR58" s="108"/>
      <c r="BS58" s="108"/>
      <c r="BT58" s="108"/>
      <c r="BU58" s="108"/>
      <c r="BV58" s="108"/>
      <c r="BW58" s="108"/>
      <c r="BX58" s="108"/>
      <c r="BY58" s="108"/>
      <c r="BZ58" s="108"/>
      <c r="CA58" s="108"/>
      <c r="CB58" s="108"/>
      <c r="CC58" s="108"/>
      <c r="CD58" s="108"/>
      <c r="CE58" s="108"/>
      <c r="CF58" s="108"/>
      <c r="CG58" s="108"/>
      <c r="CH58" s="108"/>
      <c r="CI58" s="108"/>
      <c r="CJ58" s="108"/>
      <c r="CK58" s="108"/>
      <c r="CL58" s="108"/>
      <c r="CM58" s="108"/>
      <c r="CN58" s="108"/>
      <c r="CO58" s="108"/>
      <c r="CP58" s="108"/>
      <c r="CQ58" s="108"/>
      <c r="CR58" s="108"/>
      <c r="CS58" s="108"/>
      <c r="CT58" s="108"/>
      <c r="CU58" s="108"/>
      <c r="CV58" s="108"/>
      <c r="CW58" s="108"/>
      <c r="CX58" s="108"/>
      <c r="CY58" s="108"/>
      <c r="CZ58" s="108"/>
      <c r="DA58" s="108"/>
      <c r="DB58" s="108"/>
      <c r="DC58" s="108"/>
      <c r="DD58" s="108"/>
      <c r="DE58" s="108"/>
      <c r="DF58" s="108"/>
      <c r="DG58" s="108"/>
      <c r="DH58" s="108"/>
      <c r="DI58" s="108"/>
      <c r="DJ58" s="108"/>
      <c r="DK58" s="108"/>
      <c r="DL58" s="108"/>
      <c r="DM58" s="108"/>
      <c r="DN58" s="108"/>
      <c r="DO58" s="108"/>
      <c r="DP58" s="108"/>
      <c r="DQ58" s="108"/>
      <c r="DR58" s="108"/>
      <c r="DS58" s="108"/>
      <c r="DT58" s="108"/>
      <c r="DU58" s="108"/>
      <c r="DV58" s="108"/>
      <c r="DW58" s="108"/>
      <c r="DX58" s="108"/>
      <c r="DY58" s="108"/>
      <c r="DZ58" s="108"/>
      <c r="EA58" s="108"/>
      <c r="EB58" s="108"/>
      <c r="EC58" s="108"/>
      <c r="ED58" s="108"/>
      <c r="EE58" s="108"/>
      <c r="EF58" s="108"/>
      <c r="EG58" s="108"/>
      <c r="EH58" s="108"/>
      <c r="EI58" s="108"/>
      <c r="EJ58" s="108"/>
      <c r="EK58" s="108"/>
      <c r="EL58" s="108"/>
      <c r="EM58" s="108"/>
      <c r="EN58" s="108"/>
      <c r="EO58" s="108"/>
      <c r="EP58" s="108"/>
      <c r="EQ58" s="108"/>
      <c r="ER58" s="108"/>
      <c r="ES58" s="108"/>
      <c r="ET58" s="108"/>
      <c r="EU58" s="108"/>
      <c r="EV58" s="108"/>
      <c r="EW58" s="108"/>
      <c r="EX58" s="108"/>
      <c r="EY58" s="108"/>
      <c r="EZ58" s="108"/>
      <c r="FA58" s="108"/>
      <c r="FB58" s="108"/>
      <c r="FC58" s="108"/>
      <c r="FD58" s="108"/>
      <c r="FE58" s="108"/>
      <c r="FF58" s="108"/>
      <c r="FG58" s="108"/>
      <c r="FH58" s="108"/>
      <c r="FI58" s="108"/>
      <c r="FJ58" s="108"/>
      <c r="FK58" s="108"/>
      <c r="FL58" s="108"/>
      <c r="FM58" s="108"/>
      <c r="FN58" s="108"/>
      <c r="FO58" s="108"/>
      <c r="FP58" s="108"/>
      <c r="FQ58" s="108"/>
      <c r="FR58" s="108"/>
      <c r="FS58" s="108"/>
      <c r="FT58" s="108"/>
      <c r="FU58" s="108"/>
      <c r="FV58" s="108"/>
      <c r="FW58" s="108"/>
      <c r="FX58" s="108"/>
      <c r="FY58" s="108"/>
      <c r="FZ58" s="108"/>
      <c r="GA58" s="108"/>
      <c r="GB58" s="108"/>
      <c r="GC58" s="108"/>
      <c r="GD58" s="108"/>
      <c r="GE58" s="108"/>
      <c r="GF58" s="108"/>
      <c r="GG58" s="108"/>
      <c r="GH58" s="108"/>
      <c r="GI58" s="108"/>
      <c r="GJ58" s="108"/>
      <c r="GK58" s="108"/>
      <c r="GL58" s="108"/>
      <c r="GM58" s="108"/>
      <c r="GN58" s="108"/>
      <c r="GO58" s="108"/>
      <c r="GP58" s="108"/>
      <c r="GQ58" s="108"/>
      <c r="GR58" s="108"/>
      <c r="GS58" s="108"/>
      <c r="GT58" s="108"/>
      <c r="GU58" s="108"/>
      <c r="GV58" s="108"/>
      <c r="GW58" s="108"/>
      <c r="GX58" s="108"/>
      <c r="GY58" s="108"/>
      <c r="GZ58" s="108"/>
      <c r="HA58" s="108"/>
      <c r="HB58" s="108"/>
      <c r="HC58" s="108"/>
      <c r="HD58" s="108"/>
      <c r="HE58" s="108"/>
      <c r="HF58" s="108"/>
      <c r="HG58" s="108"/>
      <c r="HH58" s="108"/>
      <c r="HI58" s="108"/>
      <c r="HJ58" s="108"/>
      <c r="HK58" s="108"/>
      <c r="HL58" s="108"/>
      <c r="HM58" s="108"/>
      <c r="HN58" s="108"/>
      <c r="HO58" s="108"/>
      <c r="HP58" s="108"/>
      <c r="HQ58" s="108"/>
      <c r="HR58" s="108"/>
      <c r="HS58" s="108"/>
      <c r="HT58" s="108"/>
      <c r="HU58" s="108"/>
      <c r="HV58" s="108"/>
      <c r="HW58" s="108"/>
      <c r="HX58" s="108"/>
      <c r="HY58" s="108"/>
      <c r="HZ58" s="108"/>
      <c r="IA58" s="108"/>
      <c r="IB58" s="108"/>
      <c r="IC58" s="108"/>
      <c r="ID58" s="108"/>
      <c r="IE58" s="108"/>
      <c r="IF58" s="108"/>
      <c r="IG58" s="108"/>
      <c r="IH58" s="108"/>
      <c r="II58" s="108"/>
      <c r="IJ58" s="108"/>
      <c r="IK58" s="108"/>
      <c r="IL58" s="108"/>
      <c r="IM58" s="108"/>
      <c r="IN58" s="108"/>
      <c r="IO58" s="108"/>
      <c r="IP58" s="108"/>
      <c r="IQ58" s="108"/>
      <c r="IR58" s="108"/>
      <c r="IS58" s="108"/>
      <c r="IT58" s="108"/>
      <c r="IU58" s="108"/>
      <c r="IV58" s="108"/>
      <c r="IW58" s="108"/>
    </row>
    <row r="59" spans="1:257" x14ac:dyDescent="0.3">
      <c r="A59" s="158"/>
      <c r="B59" s="158"/>
      <c r="C59" s="158"/>
      <c r="D59" s="158"/>
      <c r="E59" s="158"/>
      <c r="F59" s="158"/>
      <c r="G59" s="158"/>
      <c r="H59" s="158"/>
      <c r="I59" s="176"/>
      <c r="J59" s="158"/>
      <c r="K59" s="158"/>
      <c r="L59" s="158"/>
      <c r="M59" s="158"/>
      <c r="N59" s="158"/>
      <c r="O59" s="108"/>
      <c r="P59" s="108"/>
      <c r="Q59" s="108"/>
      <c r="R59" s="108"/>
      <c r="S59" s="108"/>
      <c r="T59" s="108"/>
      <c r="U59" s="108"/>
      <c r="V59" s="108"/>
      <c r="W59" s="108"/>
      <c r="X59" s="108"/>
      <c r="Y59" s="108"/>
      <c r="Z59" s="108"/>
      <c r="AA59" s="108"/>
      <c r="AB59" s="108"/>
      <c r="AC59" s="108"/>
      <c r="AD59" s="108"/>
      <c r="AE59" s="108"/>
      <c r="AF59" s="108"/>
      <c r="AG59" s="108"/>
      <c r="AH59" s="108"/>
      <c r="AI59" s="108"/>
      <c r="AJ59" s="108"/>
      <c r="AK59" s="108"/>
      <c r="AL59" s="108"/>
      <c r="AM59" s="108"/>
      <c r="AN59" s="108"/>
      <c r="AO59" s="108"/>
      <c r="AP59" s="108"/>
      <c r="AQ59" s="108"/>
      <c r="AR59" s="108"/>
      <c r="AS59" s="108"/>
      <c r="AT59" s="108"/>
      <c r="AU59" s="108"/>
      <c r="AV59" s="108"/>
      <c r="AW59" s="108"/>
      <c r="AX59" s="108"/>
      <c r="AY59" s="108"/>
      <c r="AZ59" s="108"/>
      <c r="BA59" s="108"/>
      <c r="BB59" s="108"/>
      <c r="BC59" s="108"/>
      <c r="BD59" s="108"/>
      <c r="BE59" s="108"/>
      <c r="BF59" s="108"/>
      <c r="BG59" s="108"/>
      <c r="BH59" s="108"/>
      <c r="BI59" s="108"/>
      <c r="BJ59" s="108"/>
      <c r="BK59" s="108"/>
      <c r="BL59" s="108"/>
      <c r="BM59" s="108"/>
      <c r="BN59" s="108"/>
      <c r="BO59" s="108"/>
      <c r="BP59" s="108"/>
      <c r="BQ59" s="108"/>
      <c r="BR59" s="108"/>
      <c r="BS59" s="108"/>
      <c r="BT59" s="108"/>
      <c r="BU59" s="108"/>
      <c r="BV59" s="108"/>
      <c r="BW59" s="108"/>
      <c r="BX59" s="108"/>
      <c r="BY59" s="108"/>
      <c r="BZ59" s="108"/>
      <c r="CA59" s="108"/>
      <c r="CB59" s="108"/>
      <c r="CC59" s="108"/>
      <c r="CD59" s="108"/>
      <c r="CE59" s="108"/>
      <c r="CF59" s="108"/>
      <c r="CG59" s="108"/>
      <c r="CH59" s="108"/>
      <c r="CI59" s="108"/>
      <c r="CJ59" s="108"/>
      <c r="CK59" s="108"/>
      <c r="CL59" s="108"/>
      <c r="CM59" s="108"/>
      <c r="CN59" s="108"/>
      <c r="CO59" s="108"/>
      <c r="CP59" s="108"/>
      <c r="CQ59" s="108"/>
      <c r="CR59" s="108"/>
      <c r="CS59" s="108"/>
      <c r="CT59" s="108"/>
      <c r="CU59" s="108"/>
      <c r="CV59" s="108"/>
      <c r="CW59" s="108"/>
      <c r="CX59" s="108"/>
      <c r="CY59" s="108"/>
      <c r="CZ59" s="108"/>
      <c r="DA59" s="108"/>
      <c r="DB59" s="108"/>
      <c r="DC59" s="108"/>
      <c r="DD59" s="108"/>
      <c r="DE59" s="108"/>
      <c r="DF59" s="108"/>
      <c r="DG59" s="108"/>
      <c r="DH59" s="108"/>
      <c r="DI59" s="108"/>
      <c r="DJ59" s="108"/>
      <c r="DK59" s="108"/>
      <c r="DL59" s="108"/>
      <c r="DM59" s="108"/>
      <c r="DN59" s="108"/>
      <c r="DO59" s="108"/>
      <c r="DP59" s="108"/>
      <c r="DQ59" s="108"/>
      <c r="DR59" s="108"/>
      <c r="DS59" s="108"/>
      <c r="DT59" s="108"/>
      <c r="DU59" s="108"/>
      <c r="DV59" s="108"/>
      <c r="DW59" s="108"/>
      <c r="DX59" s="108"/>
      <c r="DY59" s="108"/>
      <c r="DZ59" s="108"/>
      <c r="EA59" s="108"/>
      <c r="EB59" s="108"/>
      <c r="EC59" s="108"/>
      <c r="ED59" s="108"/>
      <c r="EE59" s="108"/>
      <c r="EF59" s="108"/>
      <c r="EG59" s="108"/>
      <c r="EH59" s="108"/>
      <c r="EI59" s="108"/>
      <c r="EJ59" s="108"/>
      <c r="EK59" s="108"/>
      <c r="EL59" s="108"/>
      <c r="EM59" s="108"/>
      <c r="EN59" s="108"/>
      <c r="EO59" s="108"/>
      <c r="EP59" s="108"/>
      <c r="EQ59" s="108"/>
      <c r="ER59" s="108"/>
      <c r="ES59" s="108"/>
      <c r="ET59" s="108"/>
      <c r="EU59" s="108"/>
      <c r="EV59" s="108"/>
      <c r="EW59" s="108"/>
      <c r="EX59" s="108"/>
      <c r="EY59" s="108"/>
      <c r="EZ59" s="108"/>
      <c r="FA59" s="108"/>
      <c r="FB59" s="108"/>
      <c r="FC59" s="108"/>
      <c r="FD59" s="108"/>
      <c r="FE59" s="108"/>
      <c r="FF59" s="108"/>
      <c r="FG59" s="108"/>
      <c r="FH59" s="108"/>
      <c r="FI59" s="108"/>
      <c r="FJ59" s="108"/>
      <c r="FK59" s="108"/>
      <c r="FL59" s="108"/>
      <c r="FM59" s="108"/>
      <c r="FN59" s="108"/>
      <c r="FO59" s="108"/>
      <c r="FP59" s="108"/>
      <c r="FQ59" s="108"/>
      <c r="FR59" s="108"/>
      <c r="FS59" s="108"/>
      <c r="FT59" s="108"/>
      <c r="FU59" s="108"/>
      <c r="FV59" s="108"/>
      <c r="FW59" s="108"/>
      <c r="FX59" s="108"/>
      <c r="FY59" s="108"/>
      <c r="FZ59" s="108"/>
      <c r="GA59" s="108"/>
      <c r="GB59" s="108"/>
      <c r="GC59" s="108"/>
      <c r="GD59" s="108"/>
      <c r="GE59" s="108"/>
      <c r="GF59" s="108"/>
      <c r="GG59" s="108"/>
      <c r="GH59" s="108"/>
      <c r="GI59" s="108"/>
      <c r="GJ59" s="108"/>
      <c r="GK59" s="108"/>
      <c r="GL59" s="108"/>
      <c r="GM59" s="108"/>
      <c r="GN59" s="108"/>
      <c r="GO59" s="108"/>
      <c r="GP59" s="108"/>
      <c r="GQ59" s="108"/>
      <c r="GR59" s="108"/>
      <c r="GS59" s="108"/>
      <c r="GT59" s="108"/>
      <c r="GU59" s="108"/>
      <c r="GV59" s="108"/>
      <c r="GW59" s="108"/>
      <c r="GX59" s="108"/>
      <c r="GY59" s="108"/>
      <c r="GZ59" s="108"/>
      <c r="HA59" s="108"/>
      <c r="HB59" s="108"/>
      <c r="HC59" s="108"/>
      <c r="HD59" s="108"/>
      <c r="HE59" s="108"/>
      <c r="HF59" s="108"/>
      <c r="HG59" s="108"/>
      <c r="HH59" s="108"/>
      <c r="HI59" s="108"/>
      <c r="HJ59" s="108"/>
      <c r="HK59" s="108"/>
      <c r="HL59" s="108"/>
      <c r="HM59" s="108"/>
      <c r="HN59" s="108"/>
      <c r="HO59" s="108"/>
      <c r="HP59" s="108"/>
      <c r="HQ59" s="108"/>
      <c r="HR59" s="108"/>
      <c r="HS59" s="108"/>
      <c r="HT59" s="108"/>
      <c r="HU59" s="108"/>
      <c r="HV59" s="108"/>
      <c r="HW59" s="108"/>
      <c r="HX59" s="108"/>
      <c r="HY59" s="108"/>
      <c r="HZ59" s="108"/>
      <c r="IA59" s="108"/>
      <c r="IB59" s="108"/>
      <c r="IC59" s="108"/>
      <c r="ID59" s="108"/>
      <c r="IE59" s="108"/>
      <c r="IF59" s="108"/>
      <c r="IG59" s="108"/>
      <c r="IH59" s="108"/>
      <c r="II59" s="108"/>
      <c r="IJ59" s="108"/>
      <c r="IK59" s="108"/>
      <c r="IL59" s="108"/>
      <c r="IM59" s="108"/>
      <c r="IN59" s="108"/>
      <c r="IO59" s="108"/>
      <c r="IP59" s="108"/>
      <c r="IQ59" s="108"/>
      <c r="IR59" s="108"/>
      <c r="IS59" s="108"/>
      <c r="IT59" s="108"/>
      <c r="IU59" s="108"/>
      <c r="IV59" s="108"/>
      <c r="IW59" s="108"/>
    </row>
    <row r="60" spans="1:257" x14ac:dyDescent="0.3">
      <c r="A60" s="158"/>
      <c r="B60" s="158"/>
      <c r="C60" s="158"/>
      <c r="D60" s="158"/>
      <c r="E60" s="158"/>
      <c r="F60" s="158"/>
      <c r="G60" s="158"/>
      <c r="H60" s="158"/>
      <c r="I60" s="176"/>
      <c r="J60" s="158"/>
      <c r="K60" s="158"/>
      <c r="L60" s="158"/>
      <c r="M60" s="158"/>
      <c r="N60" s="158"/>
      <c r="O60" s="108"/>
      <c r="P60" s="108"/>
      <c r="Q60" s="108"/>
      <c r="R60" s="108"/>
      <c r="S60" s="108"/>
      <c r="T60" s="108"/>
      <c r="U60" s="108"/>
      <c r="V60" s="108"/>
      <c r="W60" s="108"/>
      <c r="X60" s="108"/>
      <c r="Y60" s="108"/>
      <c r="Z60" s="108"/>
      <c r="AA60" s="108"/>
      <c r="AB60" s="108"/>
      <c r="AC60" s="108"/>
      <c r="AD60" s="108"/>
      <c r="AE60" s="108"/>
      <c r="AF60" s="108"/>
      <c r="AG60" s="108"/>
      <c r="AH60" s="108"/>
      <c r="AI60" s="108"/>
      <c r="AJ60" s="108"/>
      <c r="AK60" s="108"/>
      <c r="AL60" s="108"/>
      <c r="AM60" s="108"/>
      <c r="AN60" s="108"/>
      <c r="AO60" s="108"/>
      <c r="AP60" s="108"/>
      <c r="AQ60" s="108"/>
      <c r="AR60" s="108"/>
      <c r="AS60" s="108"/>
      <c r="AT60" s="108"/>
      <c r="AU60" s="108"/>
      <c r="AV60" s="108"/>
      <c r="AW60" s="108"/>
      <c r="AX60" s="108"/>
      <c r="AY60" s="108"/>
      <c r="AZ60" s="108"/>
      <c r="BA60" s="108"/>
      <c r="BB60" s="108"/>
      <c r="BC60" s="108"/>
      <c r="BD60" s="108"/>
      <c r="BE60" s="108"/>
      <c r="BF60" s="108"/>
      <c r="BG60" s="108"/>
      <c r="BH60" s="108"/>
      <c r="BI60" s="108"/>
      <c r="BJ60" s="108"/>
      <c r="BK60" s="108"/>
      <c r="BL60" s="108"/>
      <c r="BM60" s="108"/>
      <c r="BN60" s="108"/>
      <c r="BO60" s="108"/>
      <c r="BP60" s="108"/>
      <c r="BQ60" s="108"/>
      <c r="BR60" s="108"/>
      <c r="BS60" s="108"/>
      <c r="BT60" s="108"/>
      <c r="BU60" s="108"/>
      <c r="BV60" s="108"/>
      <c r="BW60" s="108"/>
      <c r="BX60" s="108"/>
      <c r="BY60" s="108"/>
      <c r="BZ60" s="108"/>
      <c r="CA60" s="108"/>
      <c r="CB60" s="108"/>
      <c r="CC60" s="108"/>
      <c r="CD60" s="108"/>
      <c r="CE60" s="108"/>
      <c r="CF60" s="108"/>
      <c r="CG60" s="108"/>
      <c r="CH60" s="108"/>
      <c r="CI60" s="108"/>
      <c r="CJ60" s="108"/>
      <c r="CK60" s="108"/>
      <c r="CL60" s="108"/>
      <c r="CM60" s="108"/>
      <c r="CN60" s="108"/>
      <c r="CO60" s="108"/>
      <c r="CP60" s="108"/>
      <c r="CQ60" s="108"/>
      <c r="CR60" s="108"/>
      <c r="CS60" s="108"/>
      <c r="CT60" s="108"/>
      <c r="CU60" s="108"/>
      <c r="CV60" s="108"/>
      <c r="CW60" s="108"/>
      <c r="CX60" s="108"/>
      <c r="CY60" s="108"/>
      <c r="CZ60" s="108"/>
      <c r="DA60" s="108"/>
      <c r="DB60" s="108"/>
      <c r="DC60" s="108"/>
      <c r="DD60" s="108"/>
      <c r="DE60" s="108"/>
      <c r="DF60" s="108"/>
      <c r="DG60" s="108"/>
      <c r="DH60" s="108"/>
      <c r="DI60" s="108"/>
      <c r="DJ60" s="108"/>
      <c r="DK60" s="108"/>
      <c r="DL60" s="108"/>
      <c r="DM60" s="108"/>
      <c r="DN60" s="108"/>
      <c r="DO60" s="108"/>
      <c r="DP60" s="108"/>
      <c r="DQ60" s="108"/>
      <c r="DR60" s="108"/>
      <c r="DS60" s="108"/>
      <c r="DT60" s="108"/>
      <c r="DU60" s="108"/>
      <c r="DV60" s="108"/>
      <c r="DW60" s="108"/>
      <c r="DX60" s="108"/>
      <c r="DY60" s="108"/>
      <c r="DZ60" s="108"/>
      <c r="EA60" s="108"/>
      <c r="EB60" s="108"/>
      <c r="EC60" s="108"/>
      <c r="ED60" s="108"/>
      <c r="EE60" s="108"/>
      <c r="EF60" s="108"/>
      <c r="EG60" s="108"/>
      <c r="EH60" s="108"/>
      <c r="EI60" s="108"/>
      <c r="EJ60" s="108"/>
      <c r="EK60" s="108"/>
      <c r="EL60" s="108"/>
      <c r="EM60" s="108"/>
      <c r="EN60" s="108"/>
      <c r="EO60" s="108"/>
      <c r="EP60" s="108"/>
      <c r="EQ60" s="108"/>
      <c r="ER60" s="108"/>
      <c r="ES60" s="108"/>
      <c r="ET60" s="108"/>
      <c r="EU60" s="108"/>
      <c r="EV60" s="108"/>
      <c r="EW60" s="108"/>
      <c r="EX60" s="108"/>
      <c r="EY60" s="108"/>
      <c r="EZ60" s="108"/>
      <c r="FA60" s="108"/>
      <c r="FB60" s="108"/>
      <c r="FC60" s="108"/>
      <c r="FD60" s="108"/>
      <c r="FE60" s="108"/>
      <c r="FF60" s="108"/>
      <c r="FG60" s="108"/>
      <c r="FH60" s="108"/>
      <c r="FI60" s="108"/>
      <c r="FJ60" s="108"/>
      <c r="FK60" s="108"/>
      <c r="FL60" s="108"/>
      <c r="FM60" s="108"/>
      <c r="FN60" s="108"/>
      <c r="FO60" s="108"/>
      <c r="FP60" s="108"/>
      <c r="FQ60" s="108"/>
      <c r="FR60" s="108"/>
      <c r="FS60" s="108"/>
      <c r="FT60" s="108"/>
      <c r="FU60" s="108"/>
      <c r="FV60" s="108"/>
      <c r="FW60" s="108"/>
      <c r="FX60" s="108"/>
      <c r="FY60" s="108"/>
      <c r="FZ60" s="108"/>
      <c r="GA60" s="108"/>
      <c r="GB60" s="108"/>
      <c r="GC60" s="108"/>
      <c r="GD60" s="108"/>
      <c r="GE60" s="108"/>
      <c r="GF60" s="108"/>
      <c r="GG60" s="108"/>
      <c r="GH60" s="108"/>
      <c r="GI60" s="108"/>
      <c r="GJ60" s="108"/>
      <c r="GK60" s="108"/>
      <c r="GL60" s="108"/>
      <c r="GM60" s="108"/>
      <c r="GN60" s="108"/>
      <c r="GO60" s="108"/>
      <c r="GP60" s="108"/>
      <c r="GQ60" s="108"/>
      <c r="GR60" s="108"/>
      <c r="GS60" s="108"/>
      <c r="GT60" s="108"/>
      <c r="GU60" s="108"/>
      <c r="GV60" s="108"/>
      <c r="GW60" s="108"/>
      <c r="GX60" s="108"/>
      <c r="GY60" s="108"/>
      <c r="GZ60" s="108"/>
      <c r="HA60" s="108"/>
      <c r="HB60" s="108"/>
      <c r="HC60" s="108"/>
      <c r="HD60" s="108"/>
      <c r="HE60" s="108"/>
      <c r="HF60" s="108"/>
      <c r="HG60" s="108"/>
      <c r="HH60" s="108"/>
      <c r="HI60" s="108"/>
      <c r="HJ60" s="108"/>
      <c r="HK60" s="108"/>
      <c r="HL60" s="108"/>
      <c r="HM60" s="108"/>
      <c r="HN60" s="108"/>
      <c r="HO60" s="108"/>
      <c r="HP60" s="108"/>
      <c r="HQ60" s="108"/>
      <c r="HR60" s="108"/>
      <c r="HS60" s="108"/>
      <c r="HT60" s="108"/>
      <c r="HU60" s="108"/>
      <c r="HV60" s="108"/>
      <c r="HW60" s="108"/>
      <c r="HX60" s="108"/>
      <c r="HY60" s="108"/>
      <c r="HZ60" s="108"/>
      <c r="IA60" s="108"/>
      <c r="IB60" s="108"/>
      <c r="IC60" s="108"/>
      <c r="ID60" s="108"/>
      <c r="IE60" s="108"/>
      <c r="IF60" s="108"/>
      <c r="IG60" s="108"/>
      <c r="IH60" s="108"/>
      <c r="II60" s="108"/>
      <c r="IJ60" s="108"/>
      <c r="IK60" s="108"/>
      <c r="IL60" s="108"/>
      <c r="IM60" s="108"/>
      <c r="IN60" s="108"/>
      <c r="IO60" s="108"/>
      <c r="IP60" s="108"/>
      <c r="IQ60" s="108"/>
      <c r="IR60" s="108"/>
      <c r="IS60" s="108"/>
      <c r="IT60" s="108"/>
      <c r="IU60" s="108"/>
      <c r="IV60" s="108"/>
      <c r="IW60" s="108"/>
    </row>
    <row r="61" spans="1:257" x14ac:dyDescent="0.3">
      <c r="A61" s="158"/>
      <c r="B61" s="158"/>
      <c r="C61" s="158"/>
      <c r="D61" s="158"/>
      <c r="E61" s="158"/>
      <c r="F61" s="158"/>
      <c r="G61" s="158"/>
      <c r="H61" s="158"/>
      <c r="I61" s="176"/>
      <c r="J61" s="158"/>
      <c r="K61" s="158"/>
      <c r="L61" s="158"/>
      <c r="M61" s="158"/>
      <c r="N61" s="158"/>
      <c r="O61" s="108"/>
      <c r="P61" s="108"/>
      <c r="Q61" s="108"/>
      <c r="R61" s="108"/>
      <c r="S61" s="108"/>
      <c r="T61" s="108"/>
      <c r="U61" s="108"/>
      <c r="V61" s="108"/>
      <c r="W61" s="108"/>
      <c r="X61" s="108"/>
      <c r="Y61" s="108"/>
      <c r="Z61" s="108"/>
      <c r="AA61" s="108"/>
      <c r="AB61" s="108"/>
      <c r="AC61" s="108"/>
      <c r="AD61" s="108"/>
      <c r="AE61" s="108"/>
      <c r="AF61" s="108"/>
      <c r="AG61" s="108"/>
      <c r="AH61" s="108"/>
      <c r="AI61" s="108"/>
      <c r="AJ61" s="108"/>
      <c r="AK61" s="108"/>
      <c r="AL61" s="108"/>
      <c r="AM61" s="108"/>
      <c r="AN61" s="108"/>
      <c r="AO61" s="108"/>
      <c r="AP61" s="108"/>
      <c r="AQ61" s="108"/>
      <c r="AR61" s="108"/>
      <c r="AS61" s="108"/>
      <c r="AT61" s="108"/>
      <c r="AU61" s="108"/>
      <c r="AV61" s="108"/>
      <c r="AW61" s="108"/>
      <c r="AX61" s="108"/>
      <c r="AY61" s="108"/>
      <c r="AZ61" s="108"/>
      <c r="BA61" s="108"/>
      <c r="BB61" s="108"/>
      <c r="BC61" s="108"/>
      <c r="BD61" s="108"/>
      <c r="BE61" s="108"/>
      <c r="BF61" s="108"/>
      <c r="BG61" s="108"/>
      <c r="BH61" s="108"/>
      <c r="BI61" s="108"/>
      <c r="BJ61" s="108"/>
      <c r="BK61" s="108"/>
      <c r="BL61" s="108"/>
      <c r="BM61" s="108"/>
      <c r="BN61" s="108"/>
      <c r="BO61" s="108"/>
      <c r="BP61" s="108"/>
      <c r="BQ61" s="108"/>
      <c r="BR61" s="108"/>
      <c r="BS61" s="108"/>
      <c r="BT61" s="108"/>
      <c r="BU61" s="108"/>
      <c r="BV61" s="108"/>
      <c r="BW61" s="108"/>
      <c r="BX61" s="108"/>
      <c r="BY61" s="108"/>
      <c r="BZ61" s="108"/>
      <c r="CA61" s="108"/>
      <c r="CB61" s="108"/>
      <c r="CC61" s="108"/>
      <c r="CD61" s="108"/>
      <c r="CE61" s="108"/>
      <c r="CF61" s="108"/>
      <c r="CG61" s="108"/>
      <c r="CH61" s="108"/>
      <c r="CI61" s="108"/>
      <c r="CJ61" s="108"/>
      <c r="CK61" s="108"/>
      <c r="CL61" s="108"/>
      <c r="CM61" s="108"/>
      <c r="CN61" s="108"/>
      <c r="CO61" s="108"/>
      <c r="CP61" s="108"/>
      <c r="CQ61" s="108"/>
      <c r="CR61" s="108"/>
      <c r="CS61" s="108"/>
      <c r="CT61" s="108"/>
      <c r="CU61" s="108"/>
      <c r="CV61" s="108"/>
      <c r="CW61" s="108"/>
      <c r="CX61" s="108"/>
      <c r="CY61" s="108"/>
      <c r="CZ61" s="108"/>
      <c r="DA61" s="108"/>
      <c r="DB61" s="108"/>
      <c r="DC61" s="108"/>
      <c r="DD61" s="108"/>
      <c r="DE61" s="108"/>
      <c r="DF61" s="108"/>
      <c r="DG61" s="108"/>
      <c r="DH61" s="108"/>
      <c r="DI61" s="108"/>
      <c r="DJ61" s="108"/>
      <c r="DK61" s="108"/>
      <c r="DL61" s="108"/>
      <c r="DM61" s="108"/>
      <c r="DN61" s="108"/>
      <c r="DO61" s="108"/>
      <c r="DP61" s="108"/>
      <c r="DQ61" s="108"/>
      <c r="DR61" s="108"/>
      <c r="DS61" s="108"/>
      <c r="DT61" s="108"/>
      <c r="DU61" s="108"/>
      <c r="DV61" s="108"/>
      <c r="DW61" s="108"/>
      <c r="DX61" s="108"/>
      <c r="DY61" s="108"/>
      <c r="DZ61" s="108"/>
      <c r="EA61" s="108"/>
      <c r="EB61" s="108"/>
      <c r="EC61" s="108"/>
      <c r="ED61" s="108"/>
      <c r="EE61" s="108"/>
      <c r="EF61" s="108"/>
      <c r="EG61" s="108"/>
      <c r="EH61" s="108"/>
      <c r="EI61" s="108"/>
      <c r="EJ61" s="108"/>
      <c r="EK61" s="108"/>
      <c r="EL61" s="108"/>
      <c r="EM61" s="108"/>
      <c r="EN61" s="108"/>
      <c r="EO61" s="108"/>
      <c r="EP61" s="108"/>
      <c r="EQ61" s="108"/>
      <c r="ER61" s="108"/>
      <c r="ES61" s="108"/>
      <c r="ET61" s="108"/>
      <c r="EU61" s="108"/>
      <c r="EV61" s="108"/>
      <c r="EW61" s="108"/>
      <c r="EX61" s="108"/>
      <c r="EY61" s="108"/>
      <c r="EZ61" s="108"/>
      <c r="FA61" s="108"/>
      <c r="FB61" s="108"/>
      <c r="FC61" s="108"/>
      <c r="FD61" s="108"/>
      <c r="FE61" s="108"/>
      <c r="FF61" s="108"/>
      <c r="FG61" s="108"/>
      <c r="FH61" s="108"/>
      <c r="FI61" s="108"/>
      <c r="FJ61" s="108"/>
      <c r="FK61" s="108"/>
      <c r="FL61" s="108"/>
      <c r="FM61" s="108"/>
      <c r="FN61" s="108"/>
      <c r="FO61" s="108"/>
      <c r="FP61" s="108"/>
      <c r="FQ61" s="108"/>
      <c r="FR61" s="108"/>
      <c r="FS61" s="108"/>
      <c r="FT61" s="108"/>
      <c r="FU61" s="108"/>
      <c r="FV61" s="108"/>
      <c r="FW61" s="108"/>
      <c r="FX61" s="108"/>
      <c r="FY61" s="108"/>
      <c r="FZ61" s="108"/>
      <c r="GA61" s="108"/>
      <c r="GB61" s="108"/>
      <c r="GC61" s="108"/>
      <c r="GD61" s="108"/>
      <c r="GE61" s="108"/>
      <c r="GF61" s="108"/>
      <c r="GG61" s="108"/>
      <c r="GH61" s="108"/>
      <c r="GI61" s="108"/>
      <c r="GJ61" s="108"/>
      <c r="GK61" s="108"/>
      <c r="GL61" s="108"/>
      <c r="GM61" s="108"/>
      <c r="GN61" s="108"/>
      <c r="GO61" s="108"/>
      <c r="GP61" s="108"/>
      <c r="GQ61" s="108"/>
      <c r="GR61" s="108"/>
      <c r="GS61" s="108"/>
      <c r="GT61" s="108"/>
      <c r="GU61" s="108"/>
      <c r="GV61" s="108"/>
      <c r="GW61" s="108"/>
      <c r="GX61" s="108"/>
      <c r="GY61" s="108"/>
      <c r="GZ61" s="108"/>
      <c r="HA61" s="108"/>
      <c r="HB61" s="108"/>
      <c r="HC61" s="108"/>
      <c r="HD61" s="108"/>
      <c r="HE61" s="108"/>
      <c r="HF61" s="108"/>
      <c r="HG61" s="108"/>
      <c r="HH61" s="108"/>
      <c r="HI61" s="108"/>
      <c r="HJ61" s="108"/>
      <c r="HK61" s="108"/>
      <c r="HL61" s="108"/>
      <c r="HM61" s="108"/>
      <c r="HN61" s="108"/>
      <c r="HO61" s="108"/>
      <c r="HP61" s="108"/>
      <c r="HQ61" s="108"/>
      <c r="HR61" s="108"/>
      <c r="HS61" s="108"/>
      <c r="HT61" s="108"/>
      <c r="HU61" s="108"/>
      <c r="HV61" s="108"/>
      <c r="HW61" s="108"/>
      <c r="HX61" s="108"/>
      <c r="HY61" s="108"/>
      <c r="HZ61" s="108"/>
      <c r="IA61" s="108"/>
      <c r="IB61" s="108"/>
      <c r="IC61" s="108"/>
      <c r="ID61" s="108"/>
      <c r="IE61" s="108"/>
      <c r="IF61" s="108"/>
      <c r="IG61" s="108"/>
      <c r="IH61" s="108"/>
      <c r="II61" s="108"/>
      <c r="IJ61" s="108"/>
      <c r="IK61" s="108"/>
      <c r="IL61" s="108"/>
      <c r="IM61" s="108"/>
      <c r="IN61" s="108"/>
      <c r="IO61" s="108"/>
      <c r="IP61" s="108"/>
      <c r="IQ61" s="108"/>
      <c r="IR61" s="108"/>
      <c r="IS61" s="108"/>
      <c r="IT61" s="108"/>
      <c r="IU61" s="108"/>
      <c r="IV61" s="108"/>
      <c r="IW61" s="108"/>
    </row>
    <row r="62" spans="1:257" x14ac:dyDescent="0.3">
      <c r="A62" s="158"/>
      <c r="B62" s="158"/>
      <c r="C62" s="158"/>
      <c r="D62" s="158"/>
      <c r="E62" s="158"/>
      <c r="F62" s="158"/>
      <c r="G62" s="158"/>
      <c r="H62" s="158"/>
      <c r="I62" s="176"/>
      <c r="J62" s="158"/>
      <c r="K62" s="158"/>
      <c r="L62" s="158"/>
      <c r="M62" s="158"/>
      <c r="N62" s="158"/>
      <c r="O62" s="108"/>
      <c r="P62" s="108"/>
      <c r="Q62" s="108"/>
      <c r="R62" s="108"/>
      <c r="S62" s="108"/>
      <c r="T62" s="108"/>
      <c r="U62" s="108"/>
      <c r="V62" s="108"/>
      <c r="W62" s="108"/>
      <c r="X62" s="108"/>
      <c r="Y62" s="108"/>
      <c r="Z62" s="108"/>
      <c r="AA62" s="108"/>
      <c r="AB62" s="108"/>
      <c r="AC62" s="108"/>
      <c r="AD62" s="108"/>
      <c r="AE62" s="108"/>
      <c r="AF62" s="108"/>
      <c r="AG62" s="108"/>
      <c r="AH62" s="108"/>
      <c r="AI62" s="108"/>
      <c r="AJ62" s="108"/>
      <c r="AK62" s="108"/>
      <c r="AL62" s="108"/>
      <c r="AM62" s="108"/>
      <c r="AN62" s="108"/>
      <c r="AO62" s="108"/>
      <c r="AP62" s="108"/>
      <c r="AQ62" s="108"/>
      <c r="AR62" s="108"/>
      <c r="AS62" s="108"/>
      <c r="AT62" s="108"/>
      <c r="AU62" s="108"/>
      <c r="AV62" s="108"/>
      <c r="AW62" s="108"/>
      <c r="AX62" s="108"/>
      <c r="AY62" s="108"/>
      <c r="AZ62" s="108"/>
      <c r="BA62" s="108"/>
      <c r="BB62" s="108"/>
      <c r="BC62" s="108"/>
      <c r="BD62" s="108"/>
      <c r="BE62" s="108"/>
      <c r="BF62" s="108"/>
      <c r="BG62" s="108"/>
      <c r="BH62" s="108"/>
      <c r="BI62" s="108"/>
      <c r="BJ62" s="108"/>
      <c r="BK62" s="108"/>
      <c r="BL62" s="108"/>
      <c r="BM62" s="108"/>
      <c r="BN62" s="108"/>
      <c r="BO62" s="108"/>
      <c r="BP62" s="108"/>
      <c r="BQ62" s="108"/>
      <c r="BR62" s="108"/>
      <c r="BS62" s="108"/>
      <c r="BT62" s="108"/>
      <c r="BU62" s="108"/>
      <c r="BV62" s="108"/>
      <c r="BW62" s="108"/>
      <c r="BX62" s="108"/>
      <c r="BY62" s="108"/>
      <c r="BZ62" s="108"/>
      <c r="CA62" s="108"/>
      <c r="CB62" s="108"/>
      <c r="CC62" s="108"/>
      <c r="CD62" s="108"/>
      <c r="CE62" s="108"/>
      <c r="CF62" s="108"/>
      <c r="CG62" s="108"/>
      <c r="CH62" s="108"/>
      <c r="CI62" s="108"/>
      <c r="CJ62" s="108"/>
      <c r="CK62" s="108"/>
      <c r="CL62" s="108"/>
      <c r="CM62" s="108"/>
      <c r="CN62" s="108"/>
      <c r="CO62" s="108"/>
      <c r="CP62" s="108"/>
      <c r="CQ62" s="108"/>
      <c r="CR62" s="108"/>
      <c r="CS62" s="108"/>
      <c r="CT62" s="108"/>
      <c r="CU62" s="108"/>
      <c r="CV62" s="108"/>
      <c r="CW62" s="108"/>
      <c r="CX62" s="108"/>
      <c r="CY62" s="108"/>
      <c r="CZ62" s="108"/>
      <c r="DA62" s="108"/>
      <c r="DB62" s="108"/>
      <c r="DC62" s="108"/>
      <c r="DD62" s="108"/>
      <c r="DE62" s="108"/>
      <c r="DF62" s="108"/>
      <c r="DG62" s="108"/>
      <c r="DH62" s="108"/>
      <c r="DI62" s="108"/>
      <c r="DJ62" s="108"/>
      <c r="DK62" s="108"/>
      <c r="DL62" s="108"/>
      <c r="DM62" s="108"/>
      <c r="DN62" s="108"/>
      <c r="DO62" s="108"/>
      <c r="DP62" s="108"/>
      <c r="DQ62" s="108"/>
      <c r="DR62" s="108"/>
      <c r="DS62" s="108"/>
      <c r="DT62" s="108"/>
      <c r="DU62" s="108"/>
      <c r="DV62" s="108"/>
      <c r="DW62" s="108"/>
      <c r="DX62" s="108"/>
      <c r="DY62" s="108"/>
      <c r="DZ62" s="108"/>
      <c r="EA62" s="108"/>
      <c r="EB62" s="108"/>
      <c r="EC62" s="108"/>
      <c r="ED62" s="108"/>
      <c r="EE62" s="108"/>
      <c r="EF62" s="108"/>
      <c r="EG62" s="108"/>
      <c r="EH62" s="108"/>
      <c r="EI62" s="108"/>
      <c r="EJ62" s="108"/>
      <c r="EK62" s="108"/>
      <c r="EL62" s="108"/>
      <c r="EM62" s="108"/>
      <c r="EN62" s="108"/>
      <c r="EO62" s="108"/>
      <c r="EP62" s="108"/>
      <c r="EQ62" s="108"/>
      <c r="ER62" s="108"/>
      <c r="ES62" s="108"/>
      <c r="ET62" s="108"/>
      <c r="EU62" s="108"/>
      <c r="EV62" s="108"/>
      <c r="EW62" s="108"/>
      <c r="EX62" s="108"/>
      <c r="EY62" s="108"/>
      <c r="EZ62" s="108"/>
      <c r="FA62" s="108"/>
      <c r="FB62" s="108"/>
      <c r="FC62" s="108"/>
      <c r="FD62" s="108"/>
      <c r="FE62" s="108"/>
      <c r="FF62" s="108"/>
      <c r="FG62" s="108"/>
      <c r="FH62" s="108"/>
      <c r="FI62" s="108"/>
      <c r="FJ62" s="108"/>
      <c r="FK62" s="108"/>
      <c r="FL62" s="108"/>
      <c r="FM62" s="108"/>
      <c r="FN62" s="108"/>
      <c r="FO62" s="108"/>
      <c r="FP62" s="108"/>
      <c r="FQ62" s="108"/>
      <c r="FR62" s="108"/>
      <c r="FS62" s="108"/>
      <c r="FT62" s="108"/>
      <c r="FU62" s="108"/>
      <c r="FV62" s="108"/>
      <c r="FW62" s="108"/>
      <c r="FX62" s="108"/>
      <c r="FY62" s="108"/>
      <c r="FZ62" s="108"/>
      <c r="GA62" s="108"/>
      <c r="GB62" s="108"/>
      <c r="GC62" s="108"/>
      <c r="GD62" s="108"/>
      <c r="GE62" s="108"/>
      <c r="GF62" s="108"/>
      <c r="GG62" s="108"/>
      <c r="GH62" s="108"/>
      <c r="GI62" s="108"/>
      <c r="GJ62" s="108"/>
      <c r="GK62" s="108"/>
      <c r="GL62" s="108"/>
      <c r="GM62" s="108"/>
      <c r="GN62" s="108"/>
      <c r="GO62" s="108"/>
      <c r="GP62" s="108"/>
      <c r="GQ62" s="108"/>
      <c r="GR62" s="108"/>
      <c r="GS62" s="108"/>
      <c r="GT62" s="108"/>
      <c r="GU62" s="108"/>
      <c r="GV62" s="108"/>
      <c r="GW62" s="108"/>
      <c r="GX62" s="108"/>
      <c r="GY62" s="108"/>
      <c r="GZ62" s="108"/>
      <c r="HA62" s="108"/>
      <c r="HB62" s="108"/>
      <c r="HC62" s="108"/>
      <c r="HD62" s="108"/>
      <c r="HE62" s="108"/>
      <c r="HF62" s="108"/>
      <c r="HG62" s="108"/>
      <c r="HH62" s="108"/>
      <c r="HI62" s="108"/>
      <c r="HJ62" s="108"/>
      <c r="HK62" s="108"/>
      <c r="HL62" s="108"/>
      <c r="HM62" s="108"/>
      <c r="HN62" s="108"/>
      <c r="HO62" s="108"/>
      <c r="HP62" s="108"/>
      <c r="HQ62" s="108"/>
      <c r="HR62" s="108"/>
      <c r="HS62" s="108"/>
      <c r="HT62" s="108"/>
      <c r="HU62" s="108"/>
      <c r="HV62" s="108"/>
      <c r="HW62" s="108"/>
      <c r="HX62" s="108"/>
      <c r="HY62" s="108"/>
      <c r="HZ62" s="108"/>
      <c r="IA62" s="108"/>
      <c r="IB62" s="108"/>
      <c r="IC62" s="108"/>
      <c r="ID62" s="108"/>
      <c r="IE62" s="108"/>
      <c r="IF62" s="108"/>
      <c r="IG62" s="108"/>
      <c r="IH62" s="108"/>
      <c r="II62" s="108"/>
      <c r="IJ62" s="108"/>
      <c r="IK62" s="108"/>
      <c r="IL62" s="108"/>
      <c r="IM62" s="108"/>
      <c r="IN62" s="108"/>
      <c r="IO62" s="108"/>
      <c r="IP62" s="108"/>
      <c r="IQ62" s="108"/>
      <c r="IR62" s="108"/>
      <c r="IS62" s="108"/>
      <c r="IT62" s="108"/>
      <c r="IU62" s="108"/>
      <c r="IV62" s="108"/>
      <c r="IW62" s="108"/>
    </row>
    <row r="63" spans="1:257" x14ac:dyDescent="0.3">
      <c r="A63" s="158"/>
      <c r="B63" s="158"/>
      <c r="C63" s="158"/>
      <c r="D63" s="158"/>
      <c r="E63" s="158"/>
      <c r="F63" s="158"/>
      <c r="G63" s="158"/>
      <c r="H63" s="158"/>
      <c r="I63" s="176"/>
      <c r="J63" s="158"/>
      <c r="K63" s="158"/>
      <c r="L63" s="158"/>
      <c r="M63" s="158"/>
      <c r="N63" s="158"/>
      <c r="O63" s="108"/>
      <c r="P63" s="108"/>
      <c r="Q63" s="108"/>
      <c r="R63" s="108"/>
      <c r="S63" s="108"/>
      <c r="T63" s="108"/>
      <c r="U63" s="108"/>
      <c r="V63" s="108"/>
      <c r="W63" s="108"/>
      <c r="X63" s="108"/>
      <c r="Y63" s="108"/>
      <c r="Z63" s="108"/>
      <c r="AA63" s="108"/>
      <c r="AB63" s="108"/>
      <c r="AC63" s="108"/>
      <c r="AD63" s="108"/>
      <c r="AE63" s="108"/>
      <c r="AF63" s="108"/>
      <c r="AG63" s="108"/>
      <c r="AH63" s="108"/>
      <c r="AI63" s="108"/>
      <c r="AJ63" s="108"/>
      <c r="AK63" s="108"/>
      <c r="AL63" s="108"/>
      <c r="AM63" s="108"/>
      <c r="AN63" s="108"/>
      <c r="AO63" s="108"/>
      <c r="AP63" s="108"/>
      <c r="AQ63" s="108"/>
      <c r="AR63" s="108"/>
      <c r="AS63" s="108"/>
      <c r="AT63" s="108"/>
      <c r="AU63" s="108"/>
      <c r="AV63" s="108"/>
      <c r="AW63" s="108"/>
      <c r="AX63" s="108"/>
      <c r="AY63" s="108"/>
      <c r="AZ63" s="108"/>
      <c r="BA63" s="108"/>
      <c r="BB63" s="108"/>
      <c r="BC63" s="108"/>
      <c r="BD63" s="108"/>
      <c r="BE63" s="108"/>
      <c r="BF63" s="108"/>
      <c r="BG63" s="108"/>
      <c r="BH63" s="108"/>
      <c r="BI63" s="108"/>
      <c r="BJ63" s="108"/>
      <c r="BK63" s="108"/>
      <c r="BL63" s="108"/>
      <c r="BM63" s="108"/>
      <c r="BN63" s="108"/>
      <c r="BO63" s="108"/>
      <c r="BP63" s="108"/>
      <c r="BQ63" s="108"/>
      <c r="BR63" s="108"/>
      <c r="BS63" s="108"/>
      <c r="BT63" s="108"/>
      <c r="BU63" s="108"/>
      <c r="BV63" s="108"/>
      <c r="BW63" s="108"/>
      <c r="BX63" s="108"/>
      <c r="BY63" s="108"/>
      <c r="BZ63" s="108"/>
      <c r="CA63" s="108"/>
      <c r="CB63" s="108"/>
      <c r="CC63" s="108"/>
      <c r="CD63" s="108"/>
      <c r="CE63" s="108"/>
      <c r="CF63" s="108"/>
      <c r="CG63" s="108"/>
      <c r="CH63" s="108"/>
      <c r="CI63" s="108"/>
      <c r="CJ63" s="108"/>
      <c r="CK63" s="108"/>
      <c r="CL63" s="108"/>
      <c r="CM63" s="108"/>
      <c r="CN63" s="108"/>
      <c r="CO63" s="108"/>
      <c r="CP63" s="108"/>
      <c r="CQ63" s="108"/>
      <c r="CR63" s="108"/>
      <c r="CS63" s="108"/>
      <c r="CT63" s="108"/>
      <c r="CU63" s="108"/>
      <c r="CV63" s="108"/>
      <c r="CW63" s="108"/>
      <c r="CX63" s="108"/>
      <c r="CY63" s="108"/>
      <c r="CZ63" s="108"/>
      <c r="DA63" s="108"/>
      <c r="DB63" s="108"/>
      <c r="DC63" s="108"/>
      <c r="DD63" s="108"/>
      <c r="DE63" s="108"/>
      <c r="DF63" s="108"/>
      <c r="DG63" s="108"/>
      <c r="DH63" s="108"/>
      <c r="DI63" s="108"/>
      <c r="DJ63" s="108"/>
      <c r="DK63" s="108"/>
      <c r="DL63" s="108"/>
      <c r="DM63" s="108"/>
      <c r="DN63" s="108"/>
      <c r="DO63" s="108"/>
      <c r="DP63" s="108"/>
      <c r="DQ63" s="108"/>
      <c r="DR63" s="108"/>
      <c r="DS63" s="108"/>
      <c r="DT63" s="108"/>
      <c r="DU63" s="108"/>
      <c r="DV63" s="108"/>
      <c r="DW63" s="108"/>
      <c r="DX63" s="108"/>
      <c r="DY63" s="108"/>
      <c r="DZ63" s="108"/>
      <c r="EA63" s="108"/>
      <c r="EB63" s="108"/>
      <c r="EC63" s="108"/>
      <c r="ED63" s="108"/>
      <c r="EE63" s="108"/>
      <c r="EF63" s="108"/>
      <c r="EG63" s="108"/>
      <c r="EH63" s="108"/>
      <c r="EI63" s="108"/>
      <c r="EJ63" s="108"/>
      <c r="EK63" s="108"/>
      <c r="EL63" s="108"/>
      <c r="EM63" s="108"/>
      <c r="EN63" s="108"/>
      <c r="EO63" s="108"/>
      <c r="EP63" s="108"/>
      <c r="EQ63" s="108"/>
      <c r="ER63" s="108"/>
      <c r="ES63" s="108"/>
      <c r="ET63" s="108"/>
      <c r="EU63" s="108"/>
      <c r="EV63" s="108"/>
      <c r="EW63" s="108"/>
      <c r="EX63" s="108"/>
      <c r="EY63" s="108"/>
      <c r="EZ63" s="108"/>
      <c r="FA63" s="108"/>
      <c r="FB63" s="108"/>
      <c r="FC63" s="108"/>
      <c r="FD63" s="108"/>
      <c r="FE63" s="108"/>
      <c r="FF63" s="108"/>
      <c r="FG63" s="108"/>
      <c r="FH63" s="108"/>
      <c r="FI63" s="108"/>
      <c r="FJ63" s="108"/>
      <c r="FK63" s="108"/>
      <c r="FL63" s="108"/>
      <c r="FM63" s="108"/>
      <c r="FN63" s="108"/>
      <c r="FO63" s="108"/>
      <c r="FP63" s="108"/>
      <c r="FQ63" s="108"/>
      <c r="FR63" s="108"/>
      <c r="FS63" s="108"/>
      <c r="FT63" s="108"/>
      <c r="FU63" s="108"/>
      <c r="FV63" s="108"/>
      <c r="FW63" s="108"/>
      <c r="FX63" s="108"/>
      <c r="FY63" s="108"/>
      <c r="FZ63" s="108"/>
      <c r="GA63" s="108"/>
      <c r="GB63" s="108"/>
      <c r="GC63" s="108"/>
      <c r="GD63" s="108"/>
      <c r="GE63" s="108"/>
      <c r="GF63" s="108"/>
      <c r="GG63" s="108"/>
      <c r="GH63" s="108"/>
      <c r="GI63" s="108"/>
      <c r="GJ63" s="108"/>
      <c r="GK63" s="108"/>
      <c r="GL63" s="108"/>
      <c r="GM63" s="108"/>
      <c r="GN63" s="108"/>
      <c r="GO63" s="108"/>
      <c r="GP63" s="108"/>
      <c r="GQ63" s="108"/>
      <c r="GR63" s="108"/>
      <c r="GS63" s="108"/>
      <c r="GT63" s="108"/>
      <c r="GU63" s="108"/>
      <c r="GV63" s="108"/>
      <c r="GW63" s="108"/>
      <c r="GX63" s="108"/>
      <c r="GY63" s="108"/>
      <c r="GZ63" s="108"/>
      <c r="HA63" s="108"/>
      <c r="HB63" s="108"/>
      <c r="HC63" s="108"/>
      <c r="HD63" s="108"/>
      <c r="HE63" s="108"/>
      <c r="HF63" s="108"/>
      <c r="HG63" s="108"/>
      <c r="HH63" s="108"/>
      <c r="HI63" s="108"/>
      <c r="HJ63" s="108"/>
      <c r="HK63" s="108"/>
      <c r="HL63" s="108"/>
      <c r="HM63" s="108"/>
      <c r="HN63" s="108"/>
      <c r="HO63" s="108"/>
      <c r="HP63" s="108"/>
      <c r="HQ63" s="108"/>
      <c r="HR63" s="108"/>
      <c r="HS63" s="108"/>
      <c r="HT63" s="108"/>
      <c r="HU63" s="108"/>
      <c r="HV63" s="108"/>
      <c r="HW63" s="108"/>
      <c r="HX63" s="108"/>
      <c r="HY63" s="108"/>
      <c r="HZ63" s="108"/>
      <c r="IA63" s="108"/>
      <c r="IB63" s="108"/>
      <c r="IC63" s="108"/>
      <c r="ID63" s="108"/>
      <c r="IE63" s="108"/>
      <c r="IF63" s="108"/>
      <c r="IG63" s="108"/>
      <c r="IH63" s="108"/>
      <c r="II63" s="108"/>
      <c r="IJ63" s="108"/>
      <c r="IK63" s="108"/>
      <c r="IL63" s="108"/>
      <c r="IM63" s="108"/>
      <c r="IN63" s="108"/>
      <c r="IO63" s="108"/>
      <c r="IP63" s="108"/>
      <c r="IQ63" s="108"/>
      <c r="IR63" s="108"/>
      <c r="IS63" s="108"/>
      <c r="IT63" s="108"/>
      <c r="IU63" s="108"/>
      <c r="IV63" s="108"/>
      <c r="IW63" s="108"/>
    </row>
    <row r="64" spans="1:257" x14ac:dyDescent="0.3">
      <c r="A64" s="158"/>
      <c r="B64" s="158"/>
      <c r="C64" s="158"/>
      <c r="D64" s="158"/>
      <c r="E64" s="158"/>
      <c r="F64" s="158"/>
      <c r="G64" s="158"/>
      <c r="H64" s="158"/>
      <c r="I64" s="176"/>
      <c r="J64" s="158"/>
      <c r="K64" s="158"/>
      <c r="L64" s="158"/>
      <c r="M64" s="158"/>
      <c r="N64" s="158"/>
      <c r="O64" s="108"/>
      <c r="P64" s="108"/>
      <c r="Q64" s="108"/>
      <c r="R64" s="108"/>
      <c r="S64" s="108"/>
      <c r="T64" s="108"/>
      <c r="U64" s="108"/>
      <c r="V64" s="108"/>
      <c r="W64" s="108"/>
      <c r="X64" s="108"/>
      <c r="Y64" s="108"/>
      <c r="Z64" s="108"/>
      <c r="AA64" s="108"/>
      <c r="AB64" s="108"/>
      <c r="AC64" s="108"/>
      <c r="AD64" s="108"/>
      <c r="AE64" s="108"/>
      <c r="AF64" s="108"/>
      <c r="AG64" s="108"/>
      <c r="AH64" s="108"/>
      <c r="AI64" s="108"/>
      <c r="AJ64" s="108"/>
      <c r="AK64" s="108"/>
      <c r="AL64" s="108"/>
      <c r="AM64" s="108"/>
      <c r="AN64" s="108"/>
      <c r="AO64" s="108"/>
      <c r="AP64" s="108"/>
      <c r="AQ64" s="108"/>
      <c r="AR64" s="108"/>
      <c r="AS64" s="108"/>
      <c r="AT64" s="108"/>
      <c r="AU64" s="108"/>
      <c r="AV64" s="108"/>
      <c r="AW64" s="108"/>
      <c r="AX64" s="108"/>
      <c r="AY64" s="108"/>
      <c r="AZ64" s="108"/>
      <c r="BA64" s="108"/>
      <c r="BB64" s="108"/>
      <c r="BC64" s="108"/>
      <c r="BD64" s="108"/>
      <c r="BE64" s="108"/>
      <c r="BF64" s="108"/>
      <c r="BG64" s="108"/>
      <c r="BH64" s="108"/>
      <c r="BI64" s="108"/>
      <c r="BJ64" s="108"/>
      <c r="BK64" s="108"/>
      <c r="BL64" s="108"/>
      <c r="BM64" s="108"/>
      <c r="BN64" s="108"/>
      <c r="BO64" s="108"/>
      <c r="BP64" s="108"/>
      <c r="BQ64" s="108"/>
      <c r="BR64" s="108"/>
      <c r="BS64" s="108"/>
      <c r="BT64" s="108"/>
      <c r="BU64" s="108"/>
      <c r="BV64" s="108"/>
      <c r="BW64" s="108"/>
      <c r="BX64" s="108"/>
      <c r="BY64" s="108"/>
      <c r="BZ64" s="108"/>
      <c r="CA64" s="108"/>
      <c r="CB64" s="108"/>
      <c r="CC64" s="108"/>
      <c r="CD64" s="108"/>
      <c r="CE64" s="108"/>
      <c r="CF64" s="108"/>
      <c r="CG64" s="108"/>
      <c r="CH64" s="108"/>
      <c r="CI64" s="108"/>
      <c r="CJ64" s="108"/>
      <c r="CK64" s="108"/>
      <c r="CL64" s="108"/>
      <c r="CM64" s="108"/>
      <c r="CN64" s="108"/>
      <c r="CO64" s="108"/>
      <c r="CP64" s="108"/>
      <c r="CQ64" s="108"/>
      <c r="CR64" s="108"/>
      <c r="CS64" s="108"/>
      <c r="CT64" s="108"/>
      <c r="CU64" s="108"/>
      <c r="CV64" s="108"/>
      <c r="CW64" s="108"/>
      <c r="CX64" s="108"/>
      <c r="CY64" s="108"/>
      <c r="CZ64" s="108"/>
      <c r="DA64" s="108"/>
      <c r="DB64" s="108"/>
      <c r="DC64" s="108"/>
      <c r="DD64" s="108"/>
      <c r="DE64" s="108"/>
      <c r="DF64" s="108"/>
      <c r="DG64" s="108"/>
      <c r="DH64" s="108"/>
      <c r="DI64" s="108"/>
      <c r="DJ64" s="108"/>
      <c r="DK64" s="108"/>
      <c r="DL64" s="108"/>
      <c r="DM64" s="108"/>
      <c r="DN64" s="108"/>
      <c r="DO64" s="108"/>
      <c r="DP64" s="108"/>
      <c r="DQ64" s="108"/>
      <c r="DR64" s="108"/>
      <c r="DS64" s="108"/>
      <c r="DT64" s="108"/>
      <c r="DU64" s="108"/>
      <c r="DV64" s="108"/>
      <c r="DW64" s="108"/>
      <c r="DX64" s="108"/>
      <c r="DY64" s="108"/>
      <c r="DZ64" s="108"/>
      <c r="EA64" s="108"/>
      <c r="EB64" s="108"/>
      <c r="EC64" s="108"/>
      <c r="ED64" s="108"/>
      <c r="EE64" s="108"/>
      <c r="EF64" s="108"/>
      <c r="EG64" s="108"/>
      <c r="EH64" s="108"/>
      <c r="EI64" s="108"/>
      <c r="EJ64" s="108"/>
      <c r="EK64" s="108"/>
      <c r="EL64" s="108"/>
      <c r="EM64" s="108"/>
      <c r="EN64" s="108"/>
      <c r="EO64" s="108"/>
      <c r="EP64" s="108"/>
      <c r="EQ64" s="108"/>
      <c r="ER64" s="108"/>
      <c r="ES64" s="108"/>
      <c r="ET64" s="108"/>
      <c r="EU64" s="108"/>
      <c r="EV64" s="108"/>
      <c r="EW64" s="108"/>
      <c r="EX64" s="108"/>
      <c r="EY64" s="108"/>
      <c r="EZ64" s="108"/>
      <c r="FA64" s="108"/>
      <c r="FB64" s="108"/>
      <c r="FC64" s="108"/>
      <c r="FD64" s="108"/>
      <c r="FE64" s="108"/>
      <c r="FF64" s="108"/>
      <c r="FG64" s="108"/>
      <c r="FH64" s="108"/>
      <c r="FI64" s="108"/>
      <c r="FJ64" s="108"/>
      <c r="FK64" s="108"/>
      <c r="FL64" s="108"/>
      <c r="FM64" s="108"/>
      <c r="FN64" s="108"/>
      <c r="FO64" s="108"/>
      <c r="FP64" s="108"/>
      <c r="FQ64" s="108"/>
      <c r="FR64" s="108"/>
      <c r="FS64" s="108"/>
      <c r="FT64" s="108"/>
      <c r="FU64" s="108"/>
      <c r="FV64" s="108"/>
      <c r="FW64" s="108"/>
      <c r="FX64" s="108"/>
      <c r="FY64" s="108"/>
      <c r="FZ64" s="108"/>
      <c r="GA64" s="108"/>
      <c r="GB64" s="108"/>
      <c r="GC64" s="108"/>
      <c r="GD64" s="108"/>
      <c r="GE64" s="108"/>
      <c r="GF64" s="108"/>
      <c r="GG64" s="108"/>
      <c r="GH64" s="108"/>
      <c r="GI64" s="108"/>
      <c r="GJ64" s="108"/>
      <c r="GK64" s="108"/>
      <c r="GL64" s="108"/>
      <c r="GM64" s="108"/>
      <c r="GN64" s="108"/>
      <c r="GO64" s="108"/>
      <c r="GP64" s="108"/>
      <c r="GQ64" s="108"/>
      <c r="GR64" s="108"/>
      <c r="GS64" s="108"/>
      <c r="GT64" s="108"/>
      <c r="GU64" s="108"/>
      <c r="GV64" s="108"/>
      <c r="GW64" s="108"/>
      <c r="GX64" s="108"/>
      <c r="GY64" s="108"/>
      <c r="GZ64" s="108"/>
      <c r="HA64" s="108"/>
      <c r="HB64" s="108"/>
      <c r="HC64" s="108"/>
      <c r="HD64" s="108"/>
      <c r="HE64" s="108"/>
      <c r="HF64" s="108"/>
      <c r="HG64" s="108"/>
      <c r="HH64" s="108"/>
      <c r="HI64" s="108"/>
      <c r="HJ64" s="108"/>
      <c r="HK64" s="108"/>
      <c r="HL64" s="108"/>
      <c r="HM64" s="108"/>
      <c r="HN64" s="108"/>
      <c r="HO64" s="108"/>
      <c r="HP64" s="108"/>
      <c r="HQ64" s="108"/>
      <c r="HR64" s="108"/>
      <c r="HS64" s="108"/>
      <c r="HT64" s="108"/>
      <c r="HU64" s="108"/>
      <c r="HV64" s="108"/>
      <c r="HW64" s="108"/>
      <c r="HX64" s="108"/>
      <c r="HY64" s="108"/>
      <c r="HZ64" s="108"/>
      <c r="IA64" s="108"/>
      <c r="IB64" s="108"/>
      <c r="IC64" s="108"/>
      <c r="ID64" s="108"/>
      <c r="IE64" s="108"/>
      <c r="IF64" s="108"/>
      <c r="IG64" s="108"/>
      <c r="IH64" s="108"/>
      <c r="II64" s="108"/>
      <c r="IJ64" s="108"/>
      <c r="IK64" s="108"/>
      <c r="IL64" s="108"/>
      <c r="IM64" s="108"/>
      <c r="IN64" s="108"/>
      <c r="IO64" s="108"/>
      <c r="IP64" s="108"/>
      <c r="IQ64" s="108"/>
      <c r="IR64" s="108"/>
      <c r="IS64" s="108"/>
      <c r="IT64" s="108"/>
      <c r="IU64" s="108"/>
      <c r="IV64" s="108"/>
      <c r="IW64" s="108"/>
    </row>
    <row r="65" spans="1:257" x14ac:dyDescent="0.3">
      <c r="A65" s="158"/>
      <c r="B65" s="158"/>
      <c r="C65" s="158"/>
      <c r="D65" s="158"/>
      <c r="E65" s="158"/>
      <c r="F65" s="158"/>
      <c r="G65" s="158"/>
      <c r="H65" s="158"/>
      <c r="I65" s="176"/>
      <c r="J65" s="158"/>
      <c r="K65" s="158"/>
      <c r="L65" s="158"/>
      <c r="M65" s="158"/>
      <c r="N65" s="158"/>
      <c r="O65" s="108"/>
      <c r="P65" s="108"/>
      <c r="Q65" s="108"/>
      <c r="R65" s="108"/>
      <c r="S65" s="108"/>
      <c r="T65" s="108"/>
      <c r="U65" s="108"/>
      <c r="V65" s="108"/>
      <c r="W65" s="108"/>
      <c r="X65" s="108"/>
      <c r="Y65" s="108"/>
      <c r="Z65" s="108"/>
      <c r="AA65" s="108"/>
      <c r="AB65" s="108"/>
      <c r="AC65" s="108"/>
      <c r="AD65" s="108"/>
      <c r="AE65" s="108"/>
      <c r="AF65" s="108"/>
      <c r="AG65" s="108"/>
      <c r="AH65" s="108"/>
      <c r="AI65" s="108"/>
      <c r="AJ65" s="108"/>
      <c r="AK65" s="108"/>
      <c r="AL65" s="108"/>
      <c r="AM65" s="108"/>
      <c r="AN65" s="108"/>
      <c r="AO65" s="108"/>
      <c r="AP65" s="108"/>
      <c r="AQ65" s="108"/>
      <c r="AR65" s="108"/>
      <c r="AS65" s="108"/>
      <c r="AT65" s="108"/>
      <c r="AU65" s="108"/>
      <c r="AV65" s="108"/>
      <c r="AW65" s="108"/>
      <c r="AX65" s="108"/>
      <c r="AY65" s="108"/>
      <c r="AZ65" s="108"/>
      <c r="BA65" s="108"/>
      <c r="BB65" s="108"/>
      <c r="BC65" s="108"/>
      <c r="BD65" s="108"/>
      <c r="BE65" s="108"/>
      <c r="BF65" s="108"/>
      <c r="BG65" s="108"/>
      <c r="BH65" s="108"/>
      <c r="BI65" s="108"/>
      <c r="BJ65" s="108"/>
      <c r="BK65" s="108"/>
      <c r="BL65" s="108"/>
      <c r="BM65" s="108"/>
      <c r="BN65" s="108"/>
      <c r="BO65" s="108"/>
      <c r="BP65" s="108"/>
      <c r="BQ65" s="108"/>
      <c r="BR65" s="108"/>
      <c r="BS65" s="108"/>
      <c r="BT65" s="108"/>
      <c r="BU65" s="108"/>
      <c r="BV65" s="108"/>
      <c r="BW65" s="108"/>
      <c r="BX65" s="108"/>
      <c r="BY65" s="108"/>
      <c r="BZ65" s="108"/>
      <c r="CA65" s="108"/>
      <c r="CB65" s="108"/>
      <c r="CC65" s="108"/>
      <c r="CD65" s="108"/>
      <c r="CE65" s="108"/>
      <c r="CF65" s="108"/>
      <c r="CG65" s="108"/>
      <c r="CH65" s="108"/>
      <c r="CI65" s="108"/>
      <c r="CJ65" s="108"/>
      <c r="CK65" s="108"/>
      <c r="CL65" s="108"/>
      <c r="CM65" s="108"/>
      <c r="CN65" s="108"/>
      <c r="CO65" s="108"/>
      <c r="CP65" s="108"/>
      <c r="CQ65" s="108"/>
      <c r="CR65" s="108"/>
      <c r="CS65" s="108"/>
      <c r="CT65" s="108"/>
      <c r="CU65" s="108"/>
      <c r="CV65" s="108"/>
      <c r="CW65" s="108"/>
      <c r="CX65" s="108"/>
      <c r="CY65" s="108"/>
      <c r="CZ65" s="108"/>
      <c r="DA65" s="108"/>
      <c r="DB65" s="108"/>
      <c r="DC65" s="108"/>
      <c r="DD65" s="108"/>
      <c r="DE65" s="108"/>
      <c r="DF65" s="108"/>
      <c r="DG65" s="108"/>
      <c r="DH65" s="108"/>
      <c r="DI65" s="108"/>
      <c r="DJ65" s="108"/>
      <c r="DK65" s="108"/>
      <c r="DL65" s="108"/>
      <c r="DM65" s="108"/>
      <c r="DN65" s="108"/>
      <c r="DO65" s="108"/>
      <c r="DP65" s="108"/>
      <c r="DQ65" s="108"/>
      <c r="DR65" s="108"/>
      <c r="DS65" s="108"/>
      <c r="DT65" s="108"/>
      <c r="DU65" s="108"/>
      <c r="DV65" s="108"/>
      <c r="DW65" s="108"/>
      <c r="DX65" s="108"/>
      <c r="DY65" s="108"/>
      <c r="DZ65" s="108"/>
      <c r="EA65" s="108"/>
      <c r="EB65" s="108"/>
      <c r="EC65" s="108"/>
      <c r="ED65" s="108"/>
      <c r="EE65" s="108"/>
      <c r="EF65" s="108"/>
      <c r="EG65" s="108"/>
      <c r="EH65" s="108"/>
      <c r="EI65" s="108"/>
      <c r="EJ65" s="108"/>
      <c r="EK65" s="108"/>
      <c r="EL65" s="108"/>
      <c r="EM65" s="108"/>
      <c r="EN65" s="108"/>
      <c r="EO65" s="108"/>
      <c r="EP65" s="108"/>
      <c r="EQ65" s="108"/>
      <c r="ER65" s="108"/>
      <c r="ES65" s="108"/>
      <c r="ET65" s="108"/>
      <c r="EU65" s="108"/>
      <c r="EV65" s="108"/>
      <c r="EW65" s="108"/>
      <c r="EX65" s="108"/>
      <c r="EY65" s="108"/>
      <c r="EZ65" s="108"/>
      <c r="FA65" s="108"/>
      <c r="FB65" s="108"/>
      <c r="FC65" s="108"/>
      <c r="FD65" s="108"/>
      <c r="FE65" s="108"/>
      <c r="FF65" s="108"/>
      <c r="FG65" s="108"/>
      <c r="FH65" s="108"/>
      <c r="FI65" s="108"/>
      <c r="FJ65" s="108"/>
      <c r="FK65" s="108"/>
      <c r="FL65" s="108"/>
      <c r="FM65" s="108"/>
      <c r="FN65" s="108"/>
      <c r="FO65" s="108"/>
      <c r="FP65" s="108"/>
      <c r="FQ65" s="108"/>
      <c r="FR65" s="108"/>
      <c r="FS65" s="108"/>
      <c r="FT65" s="108"/>
      <c r="FU65" s="108"/>
      <c r="FV65" s="108"/>
      <c r="FW65" s="108"/>
      <c r="FX65" s="108"/>
      <c r="FY65" s="108"/>
      <c r="FZ65" s="108"/>
      <c r="GA65" s="108"/>
      <c r="GB65" s="108"/>
      <c r="GC65" s="108"/>
      <c r="GD65" s="108"/>
      <c r="GE65" s="108"/>
      <c r="GF65" s="108"/>
      <c r="GG65" s="108"/>
      <c r="GH65" s="108"/>
      <c r="GI65" s="108"/>
      <c r="GJ65" s="108"/>
      <c r="GK65" s="108"/>
      <c r="GL65" s="108"/>
      <c r="GM65" s="108"/>
      <c r="GN65" s="108"/>
      <c r="GO65" s="108"/>
      <c r="GP65" s="108"/>
      <c r="GQ65" s="108"/>
      <c r="GR65" s="108"/>
      <c r="GS65" s="108"/>
      <c r="GT65" s="108"/>
      <c r="GU65" s="108"/>
      <c r="GV65" s="108"/>
      <c r="GW65" s="108"/>
      <c r="GX65" s="108"/>
      <c r="GY65" s="108"/>
      <c r="GZ65" s="108"/>
      <c r="HA65" s="108"/>
      <c r="HB65" s="108"/>
      <c r="HC65" s="108"/>
      <c r="HD65" s="108"/>
      <c r="HE65" s="108"/>
      <c r="HF65" s="108"/>
      <c r="HG65" s="108"/>
      <c r="HH65" s="108"/>
      <c r="HI65" s="108"/>
      <c r="HJ65" s="108"/>
      <c r="HK65" s="108"/>
      <c r="HL65" s="108"/>
      <c r="HM65" s="108"/>
      <c r="HN65" s="108"/>
      <c r="HO65" s="108"/>
      <c r="HP65" s="108"/>
      <c r="HQ65" s="108"/>
      <c r="HR65" s="108"/>
      <c r="HS65" s="108"/>
      <c r="HT65" s="108"/>
      <c r="HU65" s="108"/>
      <c r="HV65" s="108"/>
      <c r="HW65" s="108"/>
      <c r="HX65" s="108"/>
      <c r="HY65" s="108"/>
      <c r="HZ65" s="108"/>
      <c r="IA65" s="108"/>
      <c r="IB65" s="108"/>
      <c r="IC65" s="108"/>
      <c r="ID65" s="108"/>
      <c r="IE65" s="108"/>
      <c r="IF65" s="108"/>
      <c r="IG65" s="108"/>
      <c r="IH65" s="108"/>
      <c r="II65" s="108"/>
      <c r="IJ65" s="108"/>
      <c r="IK65" s="108"/>
      <c r="IL65" s="108"/>
      <c r="IM65" s="108"/>
      <c r="IN65" s="108"/>
      <c r="IO65" s="108"/>
      <c r="IP65" s="108"/>
      <c r="IQ65" s="108"/>
      <c r="IR65" s="108"/>
      <c r="IS65" s="108"/>
      <c r="IT65" s="108"/>
      <c r="IU65" s="108"/>
      <c r="IV65" s="108"/>
      <c r="IW65" s="108"/>
    </row>
    <row r="66" spans="1:257" x14ac:dyDescent="0.3">
      <c r="A66" s="158"/>
      <c r="B66" s="158"/>
      <c r="C66" s="158"/>
      <c r="D66" s="158"/>
      <c r="E66" s="158"/>
      <c r="F66" s="158"/>
      <c r="G66" s="158"/>
      <c r="H66" s="158"/>
      <c r="I66" s="176"/>
      <c r="J66" s="158"/>
      <c r="K66" s="158"/>
      <c r="L66" s="158"/>
      <c r="M66" s="158"/>
      <c r="N66" s="158"/>
      <c r="O66" s="108"/>
      <c r="P66" s="108"/>
      <c r="Q66" s="108"/>
      <c r="R66" s="108"/>
      <c r="S66" s="108"/>
      <c r="T66" s="108"/>
      <c r="U66" s="108"/>
      <c r="V66" s="108"/>
      <c r="W66" s="108"/>
      <c r="X66" s="108"/>
      <c r="Y66" s="108"/>
      <c r="Z66" s="108"/>
      <c r="AA66" s="108"/>
      <c r="AB66" s="108"/>
      <c r="AC66" s="108"/>
      <c r="AD66" s="108"/>
      <c r="AE66" s="108"/>
      <c r="AF66" s="108"/>
      <c r="AG66" s="108"/>
      <c r="AH66" s="108"/>
      <c r="AI66" s="108"/>
      <c r="AJ66" s="108"/>
      <c r="AK66" s="108"/>
      <c r="AL66" s="108"/>
      <c r="AM66" s="108"/>
      <c r="AN66" s="108"/>
      <c r="AO66" s="108"/>
      <c r="AP66" s="108"/>
      <c r="AQ66" s="108"/>
      <c r="AR66" s="108"/>
      <c r="AS66" s="108"/>
      <c r="AT66" s="108"/>
      <c r="AU66" s="108"/>
      <c r="AV66" s="108"/>
      <c r="AW66" s="108"/>
      <c r="AX66" s="108"/>
      <c r="AY66" s="108"/>
      <c r="AZ66" s="108"/>
      <c r="BA66" s="108"/>
      <c r="BB66" s="108"/>
      <c r="BC66" s="108"/>
      <c r="BD66" s="108"/>
      <c r="BE66" s="108"/>
      <c r="BF66" s="108"/>
      <c r="BG66" s="108"/>
      <c r="BH66" s="108"/>
      <c r="BI66" s="108"/>
      <c r="BJ66" s="108"/>
      <c r="BK66" s="108"/>
      <c r="BL66" s="108"/>
      <c r="BM66" s="108"/>
      <c r="BN66" s="108"/>
      <c r="BO66" s="108"/>
      <c r="BP66" s="108"/>
      <c r="BQ66" s="108"/>
      <c r="BR66" s="108"/>
      <c r="BS66" s="108"/>
      <c r="BT66" s="108"/>
      <c r="BU66" s="108"/>
      <c r="BV66" s="108"/>
      <c r="BW66" s="108"/>
      <c r="BX66" s="108"/>
      <c r="BY66" s="108"/>
      <c r="BZ66" s="108"/>
      <c r="CA66" s="108"/>
      <c r="CB66" s="108"/>
      <c r="CC66" s="108"/>
      <c r="CD66" s="108"/>
      <c r="CE66" s="108"/>
      <c r="CF66" s="108"/>
      <c r="CG66" s="108"/>
      <c r="CH66" s="108"/>
      <c r="CI66" s="108"/>
      <c r="CJ66" s="108"/>
      <c r="CK66" s="108"/>
      <c r="CL66" s="108"/>
      <c r="CM66" s="108"/>
      <c r="CN66" s="108"/>
      <c r="CO66" s="108"/>
      <c r="CP66" s="108"/>
      <c r="CQ66" s="108"/>
      <c r="CR66" s="108"/>
      <c r="CS66" s="108"/>
      <c r="CT66" s="108"/>
      <c r="CU66" s="108"/>
      <c r="CV66" s="108"/>
      <c r="CW66" s="108"/>
      <c r="CX66" s="108"/>
      <c r="CY66" s="108"/>
      <c r="CZ66" s="108"/>
      <c r="DA66" s="108"/>
      <c r="DB66" s="108"/>
      <c r="DC66" s="108"/>
      <c r="DD66" s="108"/>
      <c r="DE66" s="108"/>
      <c r="DF66" s="108"/>
      <c r="DG66" s="108"/>
      <c r="DH66" s="108"/>
      <c r="DI66" s="108"/>
      <c r="DJ66" s="108"/>
      <c r="DK66" s="108"/>
      <c r="DL66" s="108"/>
      <c r="DM66" s="108"/>
      <c r="DN66" s="108"/>
      <c r="DO66" s="108"/>
      <c r="DP66" s="108"/>
      <c r="DQ66" s="108"/>
      <c r="DR66" s="108"/>
      <c r="DS66" s="108"/>
      <c r="DT66" s="108"/>
      <c r="DU66" s="108"/>
      <c r="DV66" s="108"/>
      <c r="DW66" s="108"/>
      <c r="DX66" s="108"/>
      <c r="DY66" s="108"/>
      <c r="DZ66" s="108"/>
      <c r="EA66" s="108"/>
      <c r="EB66" s="108"/>
      <c r="EC66" s="108"/>
      <c r="ED66" s="108"/>
      <c r="EE66" s="108"/>
      <c r="EF66" s="108"/>
      <c r="EG66" s="108"/>
      <c r="EH66" s="108"/>
      <c r="EI66" s="108"/>
      <c r="EJ66" s="108"/>
      <c r="EK66" s="108"/>
      <c r="EL66" s="108"/>
      <c r="EM66" s="108"/>
      <c r="EN66" s="108"/>
      <c r="EO66" s="108"/>
      <c r="EP66" s="108"/>
      <c r="EQ66" s="108"/>
      <c r="ER66" s="108"/>
      <c r="ES66" s="108"/>
      <c r="ET66" s="108"/>
      <c r="EU66" s="108"/>
      <c r="EV66" s="108"/>
      <c r="EW66" s="108"/>
      <c r="EX66" s="108"/>
      <c r="EY66" s="108"/>
      <c r="EZ66" s="108"/>
      <c r="FA66" s="108"/>
      <c r="FB66" s="108"/>
      <c r="FC66" s="108"/>
      <c r="FD66" s="108"/>
      <c r="FE66" s="108"/>
      <c r="FF66" s="108"/>
      <c r="FG66" s="108"/>
      <c r="FH66" s="108"/>
      <c r="FI66" s="108"/>
      <c r="FJ66" s="108"/>
      <c r="FK66" s="108"/>
      <c r="FL66" s="108"/>
      <c r="FM66" s="108"/>
      <c r="FN66" s="108"/>
      <c r="FO66" s="108"/>
      <c r="FP66" s="108"/>
      <c r="FQ66" s="108"/>
      <c r="FR66" s="108"/>
      <c r="FS66" s="108"/>
      <c r="FT66" s="108"/>
      <c r="FU66" s="108"/>
      <c r="FV66" s="108"/>
      <c r="FW66" s="108"/>
      <c r="FX66" s="108"/>
      <c r="FY66" s="108"/>
      <c r="FZ66" s="108"/>
      <c r="GA66" s="108"/>
      <c r="GB66" s="108"/>
      <c r="GC66" s="108"/>
      <c r="GD66" s="108"/>
      <c r="GE66" s="108"/>
      <c r="GF66" s="108"/>
      <c r="GG66" s="108"/>
      <c r="GH66" s="108"/>
      <c r="GI66" s="108"/>
      <c r="GJ66" s="108"/>
      <c r="GK66" s="108"/>
      <c r="GL66" s="108"/>
      <c r="GM66" s="108"/>
      <c r="GN66" s="108"/>
      <c r="GO66" s="108"/>
      <c r="GP66" s="108"/>
      <c r="GQ66" s="108"/>
      <c r="GR66" s="108"/>
      <c r="GS66" s="108"/>
      <c r="GT66" s="108"/>
      <c r="GU66" s="108"/>
      <c r="GV66" s="108"/>
      <c r="GW66" s="108"/>
      <c r="GX66" s="108"/>
      <c r="GY66" s="108"/>
      <c r="GZ66" s="108"/>
      <c r="HA66" s="108"/>
      <c r="HB66" s="108"/>
      <c r="HC66" s="108"/>
      <c r="HD66" s="108"/>
      <c r="HE66" s="108"/>
      <c r="HF66" s="108"/>
      <c r="HG66" s="108"/>
      <c r="HH66" s="108"/>
      <c r="HI66" s="108"/>
      <c r="HJ66" s="108"/>
      <c r="HK66" s="108"/>
      <c r="HL66" s="108"/>
      <c r="HM66" s="108"/>
      <c r="HN66" s="108"/>
      <c r="HO66" s="108"/>
      <c r="HP66" s="108"/>
      <c r="HQ66" s="108"/>
      <c r="HR66" s="108"/>
      <c r="HS66" s="108"/>
      <c r="HT66" s="108"/>
      <c r="HU66" s="108"/>
      <c r="HV66" s="108"/>
      <c r="HW66" s="108"/>
      <c r="HX66" s="108"/>
      <c r="HY66" s="108"/>
      <c r="HZ66" s="108"/>
      <c r="IA66" s="108"/>
      <c r="IB66" s="108"/>
      <c r="IC66" s="108"/>
      <c r="ID66" s="108"/>
      <c r="IE66" s="108"/>
      <c r="IF66" s="108"/>
      <c r="IG66" s="108"/>
      <c r="IH66" s="108"/>
      <c r="II66" s="108"/>
      <c r="IJ66" s="108"/>
      <c r="IK66" s="108"/>
      <c r="IL66" s="108"/>
      <c r="IM66" s="108"/>
      <c r="IN66" s="108"/>
      <c r="IO66" s="108"/>
      <c r="IP66" s="108"/>
      <c r="IQ66" s="108"/>
      <c r="IR66" s="108"/>
      <c r="IS66" s="108"/>
      <c r="IT66" s="108"/>
      <c r="IU66" s="108"/>
      <c r="IV66" s="108"/>
      <c r="IW66" s="108"/>
    </row>
    <row r="67" spans="1:257" x14ac:dyDescent="0.3">
      <c r="A67" s="158"/>
      <c r="B67" s="158"/>
      <c r="C67" s="158"/>
      <c r="D67" s="158"/>
      <c r="E67" s="158"/>
      <c r="F67" s="158"/>
      <c r="G67" s="158"/>
      <c r="H67" s="158"/>
      <c r="I67" s="176"/>
      <c r="J67" s="158"/>
      <c r="K67" s="158"/>
      <c r="L67" s="158"/>
      <c r="M67" s="158"/>
      <c r="N67" s="158"/>
      <c r="O67" s="108"/>
      <c r="P67" s="108"/>
      <c r="Q67" s="108"/>
      <c r="R67" s="108"/>
      <c r="S67" s="108"/>
      <c r="T67" s="108"/>
      <c r="U67" s="108"/>
      <c r="V67" s="108"/>
      <c r="W67" s="108"/>
      <c r="X67" s="108"/>
      <c r="Y67" s="108"/>
      <c r="Z67" s="108"/>
      <c r="AA67" s="108"/>
      <c r="AB67" s="108"/>
      <c r="AC67" s="108"/>
      <c r="AD67" s="108"/>
      <c r="AE67" s="108"/>
      <c r="AF67" s="108"/>
      <c r="AG67" s="108"/>
      <c r="AH67" s="108"/>
      <c r="AI67" s="108"/>
      <c r="AJ67" s="108"/>
      <c r="AK67" s="108"/>
      <c r="AL67" s="108"/>
      <c r="AM67" s="108"/>
      <c r="AN67" s="108"/>
      <c r="AO67" s="108"/>
      <c r="AP67" s="108"/>
      <c r="AQ67" s="108"/>
      <c r="AR67" s="108"/>
      <c r="AS67" s="108"/>
      <c r="AT67" s="108"/>
      <c r="AU67" s="108"/>
      <c r="AV67" s="108"/>
      <c r="AW67" s="108"/>
      <c r="AX67" s="108"/>
      <c r="AY67" s="108"/>
      <c r="AZ67" s="108"/>
      <c r="BA67" s="108"/>
      <c r="BB67" s="108"/>
      <c r="BC67" s="108"/>
      <c r="BD67" s="108"/>
      <c r="BE67" s="108"/>
      <c r="BF67" s="108"/>
      <c r="BG67" s="108"/>
      <c r="BH67" s="108"/>
      <c r="BI67" s="108"/>
      <c r="BJ67" s="108"/>
      <c r="BK67" s="108"/>
      <c r="BL67" s="108"/>
      <c r="BM67" s="108"/>
      <c r="BN67" s="108"/>
      <c r="BO67" s="108"/>
      <c r="BP67" s="108"/>
      <c r="BQ67" s="108"/>
      <c r="BR67" s="108"/>
      <c r="BS67" s="108"/>
      <c r="BT67" s="108"/>
      <c r="BU67" s="108"/>
      <c r="BV67" s="108"/>
      <c r="BW67" s="108"/>
      <c r="BX67" s="108"/>
      <c r="BY67" s="108"/>
      <c r="BZ67" s="108"/>
      <c r="CA67" s="108"/>
      <c r="CB67" s="108"/>
      <c r="CC67" s="108"/>
      <c r="CD67" s="108"/>
      <c r="CE67" s="108"/>
      <c r="CF67" s="108"/>
      <c r="CG67" s="108"/>
      <c r="CH67" s="108"/>
      <c r="CI67" s="108"/>
      <c r="CJ67" s="108"/>
      <c r="CK67" s="108"/>
      <c r="CL67" s="108"/>
      <c r="CM67" s="108"/>
      <c r="CN67" s="108"/>
      <c r="CO67" s="108"/>
      <c r="CP67" s="108"/>
      <c r="CQ67" s="108"/>
      <c r="CR67" s="108"/>
      <c r="CS67" s="108"/>
      <c r="CT67" s="108"/>
      <c r="CU67" s="108"/>
      <c r="CV67" s="108"/>
      <c r="CW67" s="108"/>
      <c r="CX67" s="108"/>
      <c r="CY67" s="108"/>
      <c r="CZ67" s="108"/>
      <c r="DA67" s="108"/>
      <c r="DB67" s="108"/>
      <c r="DC67" s="108"/>
      <c r="DD67" s="108"/>
      <c r="DE67" s="108"/>
      <c r="DF67" s="108"/>
      <c r="DG67" s="108"/>
      <c r="DH67" s="108"/>
      <c r="DI67" s="108"/>
      <c r="DJ67" s="108"/>
      <c r="DK67" s="108"/>
      <c r="DL67" s="108"/>
      <c r="DM67" s="108"/>
      <c r="DN67" s="108"/>
      <c r="DO67" s="108"/>
      <c r="DP67" s="108"/>
      <c r="DQ67" s="108"/>
      <c r="DR67" s="108"/>
      <c r="DS67" s="108"/>
      <c r="DT67" s="108"/>
      <c r="DU67" s="108"/>
      <c r="DV67" s="108"/>
      <c r="DW67" s="108"/>
      <c r="DX67" s="108"/>
      <c r="DY67" s="108"/>
      <c r="DZ67" s="108"/>
      <c r="EA67" s="108"/>
      <c r="EB67" s="108"/>
      <c r="EC67" s="108"/>
      <c r="ED67" s="108"/>
      <c r="EE67" s="108"/>
      <c r="EF67" s="108"/>
      <c r="EG67" s="108"/>
      <c r="EH67" s="108"/>
      <c r="EI67" s="108"/>
      <c r="EJ67" s="108"/>
      <c r="EK67" s="108"/>
      <c r="EL67" s="108"/>
      <c r="EM67" s="108"/>
      <c r="EN67" s="108"/>
      <c r="EO67" s="108"/>
      <c r="EP67" s="108"/>
      <c r="EQ67" s="108"/>
      <c r="ER67" s="108"/>
      <c r="ES67" s="108"/>
      <c r="ET67" s="108"/>
      <c r="EU67" s="108"/>
      <c r="EV67" s="108"/>
      <c r="EW67" s="108"/>
      <c r="EX67" s="108"/>
      <c r="EY67" s="108"/>
      <c r="EZ67" s="108"/>
      <c r="FA67" s="108"/>
      <c r="FB67" s="108"/>
      <c r="FC67" s="108"/>
      <c r="FD67" s="108"/>
      <c r="FE67" s="108"/>
      <c r="FF67" s="108"/>
      <c r="FG67" s="108"/>
      <c r="FH67" s="108"/>
      <c r="FI67" s="108"/>
      <c r="FJ67" s="108"/>
      <c r="FK67" s="108"/>
      <c r="FL67" s="108"/>
      <c r="FM67" s="108"/>
      <c r="FN67" s="108"/>
      <c r="FO67" s="108"/>
      <c r="FP67" s="108"/>
      <c r="FQ67" s="108"/>
      <c r="FR67" s="108"/>
      <c r="FS67" s="108"/>
      <c r="FT67" s="108"/>
      <c r="FU67" s="108"/>
      <c r="FV67" s="108"/>
      <c r="FW67" s="108"/>
      <c r="FX67" s="108"/>
      <c r="FY67" s="108"/>
      <c r="FZ67" s="108"/>
      <c r="GA67" s="108"/>
      <c r="GB67" s="108"/>
      <c r="GC67" s="108"/>
      <c r="GD67" s="108"/>
      <c r="GE67" s="108"/>
      <c r="GF67" s="108"/>
      <c r="GG67" s="108"/>
      <c r="GH67" s="108"/>
      <c r="GI67" s="108"/>
      <c r="GJ67" s="108"/>
      <c r="GK67" s="108"/>
      <c r="GL67" s="108"/>
      <c r="GM67" s="108"/>
      <c r="GN67" s="108"/>
      <c r="GO67" s="108"/>
      <c r="GP67" s="108"/>
      <c r="GQ67" s="108"/>
      <c r="GR67" s="108"/>
      <c r="GS67" s="108"/>
      <c r="GT67" s="108"/>
      <c r="GU67" s="108"/>
      <c r="GV67" s="108"/>
      <c r="GW67" s="108"/>
      <c r="GX67" s="108"/>
      <c r="GY67" s="108"/>
      <c r="GZ67" s="108"/>
      <c r="HA67" s="108"/>
      <c r="HB67" s="108"/>
      <c r="HC67" s="108"/>
      <c r="HD67" s="108"/>
      <c r="HE67" s="108"/>
      <c r="HF67" s="108"/>
      <c r="HG67" s="108"/>
      <c r="HH67" s="108"/>
      <c r="HI67" s="108"/>
      <c r="HJ67" s="108"/>
      <c r="HK67" s="108"/>
      <c r="HL67" s="108"/>
      <c r="HM67" s="108"/>
      <c r="HN67" s="108"/>
      <c r="HO67" s="108"/>
      <c r="HP67" s="108"/>
      <c r="HQ67" s="108"/>
      <c r="HR67" s="108"/>
      <c r="HS67" s="108"/>
      <c r="HT67" s="108"/>
      <c r="HU67" s="108"/>
      <c r="HV67" s="108"/>
      <c r="HW67" s="108"/>
      <c r="HX67" s="108"/>
      <c r="HY67" s="108"/>
      <c r="HZ67" s="108"/>
      <c r="IA67" s="108"/>
      <c r="IB67" s="108"/>
      <c r="IC67" s="108"/>
      <c r="ID67" s="108"/>
      <c r="IE67" s="108"/>
      <c r="IF67" s="108"/>
      <c r="IG67" s="108"/>
      <c r="IH67" s="108"/>
      <c r="II67" s="108"/>
      <c r="IJ67" s="108"/>
      <c r="IK67" s="108"/>
      <c r="IL67" s="108"/>
      <c r="IM67" s="108"/>
      <c r="IN67" s="108"/>
      <c r="IO67" s="108"/>
      <c r="IP67" s="108"/>
      <c r="IQ67" s="108"/>
      <c r="IR67" s="108"/>
      <c r="IS67" s="108"/>
      <c r="IT67" s="108"/>
      <c r="IU67" s="108"/>
      <c r="IV67" s="108"/>
      <c r="IW67" s="108"/>
    </row>
    <row r="68" spans="1:257" x14ac:dyDescent="0.3">
      <c r="A68" s="158"/>
      <c r="B68" s="158"/>
      <c r="C68" s="158"/>
      <c r="D68" s="158"/>
      <c r="E68" s="158"/>
      <c r="F68" s="158"/>
      <c r="G68" s="158"/>
      <c r="H68" s="158"/>
      <c r="I68" s="176"/>
      <c r="J68" s="158"/>
      <c r="K68" s="158"/>
      <c r="L68" s="158"/>
      <c r="M68" s="158"/>
      <c r="N68" s="158"/>
      <c r="O68" s="108"/>
      <c r="P68" s="108"/>
      <c r="Q68" s="108"/>
      <c r="R68" s="108"/>
      <c r="S68" s="108"/>
      <c r="T68" s="108"/>
      <c r="U68" s="108"/>
      <c r="V68" s="108"/>
      <c r="W68" s="108"/>
      <c r="X68" s="108"/>
      <c r="Y68" s="108"/>
      <c r="Z68" s="108"/>
      <c r="AA68" s="108"/>
      <c r="AB68" s="108"/>
      <c r="AC68" s="108"/>
      <c r="AD68" s="108"/>
      <c r="AE68" s="108"/>
      <c r="AF68" s="108"/>
      <c r="AG68" s="108"/>
      <c r="AH68" s="108"/>
      <c r="AI68" s="108"/>
      <c r="AJ68" s="108"/>
      <c r="AK68" s="108"/>
      <c r="AL68" s="108"/>
      <c r="AM68" s="108"/>
      <c r="AN68" s="108"/>
      <c r="AO68" s="108"/>
      <c r="AP68" s="108"/>
      <c r="AQ68" s="108"/>
      <c r="AR68" s="108"/>
      <c r="AS68" s="108"/>
      <c r="AT68" s="108"/>
      <c r="AU68" s="108"/>
      <c r="AV68" s="108"/>
      <c r="AW68" s="108"/>
      <c r="AX68" s="108"/>
      <c r="AY68" s="108"/>
      <c r="AZ68" s="108"/>
      <c r="BA68" s="108"/>
      <c r="BB68" s="108"/>
      <c r="BC68" s="108"/>
      <c r="BD68" s="108"/>
      <c r="BE68" s="108"/>
      <c r="BF68" s="108"/>
      <c r="BG68" s="108"/>
      <c r="BH68" s="108"/>
      <c r="BI68" s="108"/>
      <c r="BJ68" s="108"/>
      <c r="BK68" s="108"/>
      <c r="BL68" s="108"/>
      <c r="BM68" s="108"/>
      <c r="BN68" s="108"/>
      <c r="BO68" s="108"/>
      <c r="BP68" s="108"/>
      <c r="BQ68" s="108"/>
      <c r="BR68" s="108"/>
      <c r="BS68" s="108"/>
      <c r="BT68" s="108"/>
      <c r="BU68" s="108"/>
      <c r="BV68" s="108"/>
      <c r="BW68" s="108"/>
      <c r="BX68" s="108"/>
      <c r="BY68" s="108"/>
      <c r="BZ68" s="108"/>
      <c r="CA68" s="108"/>
      <c r="CB68" s="108"/>
      <c r="CC68" s="108"/>
      <c r="CD68" s="108"/>
      <c r="CE68" s="108"/>
      <c r="CF68" s="108"/>
      <c r="CG68" s="108"/>
      <c r="CH68" s="108"/>
      <c r="CI68" s="108"/>
      <c r="CJ68" s="108"/>
      <c r="CK68" s="108"/>
      <c r="CL68" s="108"/>
      <c r="CM68" s="108"/>
      <c r="CN68" s="108"/>
      <c r="CO68" s="108"/>
      <c r="CP68" s="108"/>
      <c r="CQ68" s="108"/>
      <c r="CR68" s="108"/>
      <c r="CS68" s="108"/>
      <c r="CT68" s="108"/>
      <c r="CU68" s="108"/>
      <c r="CV68" s="108"/>
      <c r="CW68" s="108"/>
      <c r="CX68" s="108"/>
      <c r="CY68" s="108"/>
      <c r="CZ68" s="108"/>
      <c r="DA68" s="108"/>
      <c r="DB68" s="108"/>
      <c r="DC68" s="108"/>
      <c r="DD68" s="108"/>
      <c r="DE68" s="108"/>
      <c r="DF68" s="108"/>
      <c r="DG68" s="108"/>
      <c r="DH68" s="108"/>
      <c r="DI68" s="108"/>
      <c r="DJ68" s="108"/>
      <c r="DK68" s="108"/>
      <c r="DL68" s="108"/>
      <c r="DM68" s="108"/>
      <c r="DN68" s="108"/>
      <c r="DO68" s="108"/>
      <c r="DP68" s="108"/>
      <c r="DQ68" s="108"/>
      <c r="DR68" s="108"/>
      <c r="DS68" s="108"/>
      <c r="DT68" s="108"/>
      <c r="DU68" s="108"/>
      <c r="DV68" s="108"/>
      <c r="DW68" s="108"/>
      <c r="DX68" s="108"/>
      <c r="DY68" s="108"/>
      <c r="DZ68" s="108"/>
      <c r="EA68" s="108"/>
      <c r="EB68" s="108"/>
      <c r="EC68" s="108"/>
      <c r="ED68" s="108"/>
      <c r="EE68" s="108"/>
      <c r="EF68" s="108"/>
      <c r="EG68" s="108"/>
      <c r="EH68" s="108"/>
      <c r="EI68" s="108"/>
      <c r="EJ68" s="108"/>
      <c r="EK68" s="108"/>
      <c r="EL68" s="108"/>
      <c r="EM68" s="108"/>
      <c r="EN68" s="108"/>
      <c r="EO68" s="108"/>
      <c r="EP68" s="108"/>
      <c r="EQ68" s="108"/>
      <c r="ER68" s="108"/>
      <c r="ES68" s="108"/>
      <c r="ET68" s="108"/>
      <c r="EU68" s="108"/>
      <c r="EV68" s="108"/>
      <c r="EW68" s="108"/>
      <c r="EX68" s="108"/>
      <c r="EY68" s="108"/>
      <c r="EZ68" s="108"/>
      <c r="FA68" s="108"/>
      <c r="FB68" s="108"/>
      <c r="FC68" s="108"/>
      <c r="FD68" s="108"/>
      <c r="FE68" s="108"/>
      <c r="FF68" s="108"/>
      <c r="FG68" s="108"/>
      <c r="FH68" s="108"/>
      <c r="FI68" s="108"/>
      <c r="FJ68" s="108"/>
      <c r="FK68" s="108"/>
      <c r="FL68" s="108"/>
      <c r="FM68" s="108"/>
      <c r="FN68" s="108"/>
      <c r="FO68" s="108"/>
      <c r="FP68" s="108"/>
      <c r="FQ68" s="108"/>
      <c r="FR68" s="108"/>
      <c r="FS68" s="108"/>
      <c r="FT68" s="108"/>
      <c r="FU68" s="108"/>
      <c r="FV68" s="108"/>
      <c r="FW68" s="108"/>
      <c r="FX68" s="108"/>
      <c r="FY68" s="108"/>
      <c r="FZ68" s="108"/>
      <c r="GA68" s="108"/>
      <c r="GB68" s="108"/>
      <c r="GC68" s="108"/>
      <c r="GD68" s="108"/>
      <c r="GE68" s="108"/>
      <c r="GF68" s="108"/>
      <c r="GG68" s="108"/>
      <c r="GH68" s="108"/>
      <c r="GI68" s="108"/>
      <c r="GJ68" s="108"/>
      <c r="GK68" s="108"/>
      <c r="GL68" s="108"/>
      <c r="GM68" s="108"/>
      <c r="GN68" s="108"/>
      <c r="GO68" s="108"/>
      <c r="GP68" s="108"/>
      <c r="GQ68" s="108"/>
      <c r="GR68" s="108"/>
      <c r="GS68" s="108"/>
      <c r="GT68" s="108"/>
      <c r="GU68" s="108"/>
      <c r="GV68" s="108"/>
      <c r="GW68" s="108"/>
      <c r="GX68" s="108"/>
      <c r="GY68" s="108"/>
      <c r="GZ68" s="108"/>
      <c r="HA68" s="108"/>
      <c r="HB68" s="108"/>
      <c r="HC68" s="108"/>
      <c r="HD68" s="108"/>
      <c r="HE68" s="108"/>
      <c r="HF68" s="108"/>
      <c r="HG68" s="108"/>
      <c r="HH68" s="108"/>
      <c r="HI68" s="108"/>
      <c r="HJ68" s="108"/>
      <c r="HK68" s="108"/>
      <c r="HL68" s="108"/>
      <c r="HM68" s="108"/>
      <c r="HN68" s="108"/>
      <c r="HO68" s="108"/>
      <c r="HP68" s="108"/>
      <c r="HQ68" s="108"/>
      <c r="HR68" s="108"/>
      <c r="HS68" s="108"/>
      <c r="HT68" s="108"/>
      <c r="HU68" s="108"/>
      <c r="HV68" s="108"/>
      <c r="HW68" s="108"/>
      <c r="HX68" s="108"/>
      <c r="HY68" s="108"/>
      <c r="HZ68" s="108"/>
      <c r="IA68" s="108"/>
      <c r="IB68" s="108"/>
      <c r="IC68" s="108"/>
      <c r="ID68" s="108"/>
      <c r="IE68" s="108"/>
      <c r="IF68" s="108"/>
      <c r="IG68" s="108"/>
      <c r="IH68" s="108"/>
      <c r="II68" s="108"/>
      <c r="IJ68" s="108"/>
      <c r="IK68" s="108"/>
      <c r="IL68" s="108"/>
      <c r="IM68" s="108"/>
      <c r="IN68" s="108"/>
      <c r="IO68" s="108"/>
      <c r="IP68" s="108"/>
      <c r="IQ68" s="108"/>
      <c r="IR68" s="108"/>
      <c r="IS68" s="108"/>
      <c r="IT68" s="108"/>
      <c r="IU68" s="108"/>
      <c r="IV68" s="108"/>
      <c r="IW68" s="108"/>
    </row>
    <row r="69" spans="1:257" x14ac:dyDescent="0.3">
      <c r="A69" s="158"/>
      <c r="B69" s="158"/>
      <c r="C69" s="158"/>
      <c r="D69" s="158"/>
      <c r="E69" s="158"/>
      <c r="F69" s="158"/>
      <c r="G69" s="158"/>
      <c r="H69" s="158"/>
      <c r="I69" s="176"/>
      <c r="J69" s="158"/>
      <c r="K69" s="158"/>
      <c r="L69" s="158"/>
      <c r="M69" s="158"/>
      <c r="N69" s="158"/>
      <c r="O69" s="108"/>
      <c r="P69" s="108"/>
      <c r="Q69" s="108"/>
      <c r="R69" s="108"/>
      <c r="S69" s="108"/>
      <c r="T69" s="108"/>
      <c r="U69" s="108"/>
      <c r="V69" s="108"/>
      <c r="W69" s="108"/>
      <c r="X69" s="108"/>
      <c r="Y69" s="108"/>
      <c r="Z69" s="108"/>
      <c r="AA69" s="108"/>
      <c r="AB69" s="108"/>
      <c r="AC69" s="108"/>
      <c r="AD69" s="108"/>
      <c r="AE69" s="108"/>
      <c r="AF69" s="108"/>
      <c r="AG69" s="108"/>
      <c r="AH69" s="108"/>
      <c r="AI69" s="108"/>
      <c r="AJ69" s="108"/>
      <c r="AK69" s="108"/>
      <c r="AL69" s="108"/>
      <c r="AM69" s="108"/>
      <c r="AN69" s="108"/>
      <c r="AO69" s="108"/>
      <c r="AP69" s="108"/>
      <c r="AQ69" s="108"/>
      <c r="AR69" s="108"/>
      <c r="AS69" s="108"/>
      <c r="AT69" s="108"/>
      <c r="AU69" s="108"/>
      <c r="AV69" s="108"/>
      <c r="AW69" s="108"/>
      <c r="AX69" s="108"/>
      <c r="AY69" s="108"/>
      <c r="AZ69" s="108"/>
      <c r="BA69" s="108"/>
      <c r="BB69" s="108"/>
      <c r="BC69" s="108"/>
      <c r="BD69" s="108"/>
      <c r="BE69" s="108"/>
      <c r="BF69" s="108"/>
      <c r="BG69" s="108"/>
      <c r="BH69" s="108"/>
      <c r="BI69" s="108"/>
      <c r="BJ69" s="108"/>
      <c r="BK69" s="108"/>
      <c r="BL69" s="108"/>
      <c r="BM69" s="108"/>
      <c r="BN69" s="108"/>
      <c r="BO69" s="108"/>
      <c r="BP69" s="108"/>
      <c r="BQ69" s="108"/>
      <c r="BR69" s="108"/>
      <c r="BS69" s="108"/>
      <c r="BT69" s="108"/>
      <c r="BU69" s="108"/>
      <c r="BV69" s="108"/>
      <c r="BW69" s="108"/>
      <c r="BX69" s="108"/>
      <c r="BY69" s="108"/>
      <c r="BZ69" s="108"/>
      <c r="CA69" s="108"/>
      <c r="CB69" s="108"/>
      <c r="CC69" s="108"/>
      <c r="CD69" s="108"/>
      <c r="CE69" s="108"/>
      <c r="CF69" s="108"/>
      <c r="CG69" s="108"/>
      <c r="CH69" s="108"/>
      <c r="CI69" s="108"/>
      <c r="CJ69" s="108"/>
      <c r="CK69" s="108"/>
      <c r="CL69" s="108"/>
      <c r="CM69" s="108"/>
      <c r="CN69" s="108"/>
      <c r="CO69" s="108"/>
      <c r="CP69" s="108"/>
      <c r="CQ69" s="108"/>
      <c r="CR69" s="108"/>
      <c r="CS69" s="108"/>
      <c r="CT69" s="108"/>
      <c r="CU69" s="108"/>
      <c r="CV69" s="108"/>
      <c r="CW69" s="108"/>
      <c r="CX69" s="108"/>
      <c r="CY69" s="108"/>
      <c r="CZ69" s="108"/>
      <c r="DA69" s="108"/>
      <c r="DB69" s="108"/>
      <c r="DC69" s="108"/>
      <c r="DD69" s="108"/>
      <c r="DE69" s="108"/>
      <c r="DF69" s="108"/>
      <c r="DG69" s="108"/>
      <c r="DH69" s="108"/>
      <c r="DI69" s="108"/>
      <c r="DJ69" s="108"/>
      <c r="DK69" s="108"/>
      <c r="DL69" s="108"/>
      <c r="DM69" s="108"/>
      <c r="DN69" s="108"/>
      <c r="DO69" s="108"/>
      <c r="DP69" s="108"/>
      <c r="DQ69" s="108"/>
      <c r="DR69" s="108"/>
      <c r="DS69" s="108"/>
      <c r="DT69" s="108"/>
      <c r="DU69" s="108"/>
      <c r="DV69" s="108"/>
      <c r="DW69" s="108"/>
      <c r="DX69" s="108"/>
      <c r="DY69" s="108"/>
      <c r="DZ69" s="108"/>
      <c r="EA69" s="108"/>
      <c r="EB69" s="108"/>
      <c r="EC69" s="108"/>
      <c r="ED69" s="108"/>
      <c r="EE69" s="108"/>
      <c r="EF69" s="108"/>
      <c r="EG69" s="108"/>
      <c r="EH69" s="108"/>
      <c r="EI69" s="108"/>
      <c r="EJ69" s="108"/>
      <c r="EK69" s="108"/>
      <c r="EL69" s="108"/>
      <c r="EM69" s="108"/>
      <c r="EN69" s="108"/>
      <c r="EO69" s="108"/>
      <c r="EP69" s="108"/>
      <c r="EQ69" s="108"/>
      <c r="ER69" s="108"/>
      <c r="ES69" s="108"/>
      <c r="ET69" s="108"/>
      <c r="EU69" s="108"/>
      <c r="EV69" s="108"/>
      <c r="EW69" s="108"/>
      <c r="EX69" s="108"/>
      <c r="EY69" s="108"/>
      <c r="EZ69" s="108"/>
      <c r="FA69" s="108"/>
      <c r="FB69" s="108"/>
      <c r="FC69" s="108"/>
      <c r="FD69" s="108"/>
      <c r="FE69" s="108"/>
      <c r="FF69" s="108"/>
      <c r="FG69" s="108"/>
      <c r="FH69" s="108"/>
      <c r="FI69" s="108"/>
      <c r="FJ69" s="108"/>
      <c r="FK69" s="108"/>
      <c r="FL69" s="108"/>
      <c r="FM69" s="108"/>
      <c r="FN69" s="108"/>
      <c r="FO69" s="108"/>
      <c r="FP69" s="108"/>
      <c r="FQ69" s="108"/>
      <c r="FR69" s="108"/>
      <c r="FS69" s="108"/>
      <c r="FT69" s="108"/>
      <c r="FU69" s="108"/>
      <c r="FV69" s="108"/>
      <c r="FW69" s="108"/>
      <c r="FX69" s="108"/>
      <c r="FY69" s="108"/>
      <c r="FZ69" s="108"/>
      <c r="GA69" s="108"/>
      <c r="GB69" s="108"/>
      <c r="GC69" s="108"/>
      <c r="GD69" s="108"/>
      <c r="GE69" s="108"/>
      <c r="GF69" s="108"/>
      <c r="GG69" s="108"/>
      <c r="GH69" s="108"/>
      <c r="GI69" s="108"/>
      <c r="GJ69" s="108"/>
      <c r="GK69" s="108"/>
      <c r="GL69" s="108"/>
      <c r="GM69" s="108"/>
      <c r="GN69" s="108"/>
      <c r="GO69" s="108"/>
      <c r="GP69" s="108"/>
      <c r="GQ69" s="108"/>
      <c r="GR69" s="108"/>
      <c r="GS69" s="108"/>
      <c r="GT69" s="108"/>
      <c r="GU69" s="108"/>
      <c r="GV69" s="108"/>
      <c r="GW69" s="108"/>
      <c r="GX69" s="108"/>
      <c r="GY69" s="108"/>
      <c r="GZ69" s="108"/>
      <c r="HA69" s="108"/>
      <c r="HB69" s="108"/>
      <c r="HC69" s="108"/>
      <c r="HD69" s="108"/>
      <c r="HE69" s="108"/>
      <c r="HF69" s="108"/>
      <c r="HG69" s="108"/>
      <c r="HH69" s="108"/>
      <c r="HI69" s="108"/>
      <c r="HJ69" s="108"/>
      <c r="HK69" s="108"/>
      <c r="HL69" s="108"/>
      <c r="HM69" s="108"/>
      <c r="HN69" s="108"/>
      <c r="HO69" s="108"/>
      <c r="HP69" s="108"/>
      <c r="HQ69" s="108"/>
      <c r="HR69" s="108"/>
      <c r="HS69" s="108"/>
      <c r="HT69" s="108"/>
      <c r="HU69" s="108"/>
      <c r="HV69" s="108"/>
      <c r="HW69" s="108"/>
      <c r="HX69" s="108"/>
      <c r="HY69" s="108"/>
      <c r="HZ69" s="108"/>
      <c r="IA69" s="108"/>
      <c r="IB69" s="108"/>
      <c r="IC69" s="108"/>
      <c r="ID69" s="108"/>
      <c r="IE69" s="108"/>
      <c r="IF69" s="108"/>
      <c r="IG69" s="108"/>
      <c r="IH69" s="108"/>
      <c r="II69" s="108"/>
      <c r="IJ69" s="108"/>
      <c r="IK69" s="108"/>
      <c r="IL69" s="108"/>
      <c r="IM69" s="108"/>
      <c r="IN69" s="108"/>
      <c r="IO69" s="108"/>
      <c r="IP69" s="108"/>
      <c r="IQ69" s="108"/>
      <c r="IR69" s="108"/>
      <c r="IS69" s="108"/>
      <c r="IT69" s="108"/>
      <c r="IU69" s="108"/>
      <c r="IV69" s="108"/>
      <c r="IW69" s="108"/>
    </row>
    <row r="70" spans="1:257" x14ac:dyDescent="0.3">
      <c r="A70" s="158"/>
      <c r="B70" s="158"/>
      <c r="C70" s="158"/>
      <c r="D70" s="158"/>
      <c r="E70" s="158"/>
      <c r="F70" s="158"/>
      <c r="G70" s="158"/>
      <c r="H70" s="158"/>
      <c r="I70" s="176"/>
      <c r="J70" s="158"/>
      <c r="K70" s="158"/>
      <c r="L70" s="158"/>
      <c r="M70" s="158"/>
      <c r="N70" s="158"/>
      <c r="O70" s="108"/>
      <c r="P70" s="108"/>
      <c r="Q70" s="108"/>
      <c r="R70" s="108"/>
      <c r="S70" s="108"/>
      <c r="T70" s="108"/>
      <c r="U70" s="108"/>
      <c r="V70" s="108"/>
      <c r="W70" s="108"/>
      <c r="X70" s="108"/>
      <c r="Y70" s="108"/>
      <c r="Z70" s="108"/>
      <c r="AA70" s="108"/>
      <c r="AB70" s="108"/>
      <c r="AC70" s="108"/>
      <c r="AD70" s="108"/>
      <c r="AE70" s="108"/>
      <c r="AF70" s="108"/>
      <c r="AG70" s="108"/>
      <c r="AH70" s="108"/>
      <c r="AI70" s="108"/>
      <c r="AJ70" s="108"/>
      <c r="AK70" s="108"/>
      <c r="AL70" s="108"/>
      <c r="AM70" s="108"/>
      <c r="AN70" s="108"/>
      <c r="AO70" s="108"/>
      <c r="AP70" s="108"/>
      <c r="AQ70" s="108"/>
      <c r="AR70" s="108"/>
      <c r="AS70" s="108"/>
      <c r="AT70" s="108"/>
      <c r="AU70" s="108"/>
      <c r="AV70" s="108"/>
      <c r="AW70" s="108"/>
      <c r="AX70" s="108"/>
      <c r="AY70" s="108"/>
      <c r="AZ70" s="108"/>
      <c r="BA70" s="108"/>
      <c r="BB70" s="108"/>
      <c r="BC70" s="108"/>
      <c r="BD70" s="108"/>
      <c r="BE70" s="108"/>
      <c r="BF70" s="108"/>
      <c r="BG70" s="108"/>
      <c r="BH70" s="108"/>
      <c r="BI70" s="108"/>
      <c r="BJ70" s="108"/>
      <c r="BK70" s="108"/>
      <c r="BL70" s="108"/>
      <c r="BM70" s="108"/>
      <c r="BN70" s="108"/>
      <c r="BO70" s="108"/>
      <c r="BP70" s="108"/>
      <c r="BQ70" s="108"/>
      <c r="BR70" s="108"/>
      <c r="BS70" s="108"/>
      <c r="BT70" s="108"/>
      <c r="BU70" s="108"/>
      <c r="BV70" s="108"/>
      <c r="BW70" s="108"/>
      <c r="BX70" s="108"/>
      <c r="BY70" s="108"/>
      <c r="BZ70" s="108"/>
      <c r="CA70" s="108"/>
      <c r="CB70" s="108"/>
      <c r="CC70" s="108"/>
      <c r="CD70" s="108"/>
      <c r="CE70" s="108"/>
      <c r="CF70" s="108"/>
      <c r="CG70" s="108"/>
      <c r="CH70" s="108"/>
      <c r="CI70" s="108"/>
      <c r="CJ70" s="108"/>
      <c r="CK70" s="108"/>
      <c r="CL70" s="108"/>
      <c r="CM70" s="108"/>
      <c r="CN70" s="108"/>
      <c r="CO70" s="108"/>
      <c r="CP70" s="108"/>
      <c r="CQ70" s="108"/>
      <c r="CR70" s="108"/>
      <c r="CS70" s="108"/>
      <c r="CT70" s="108"/>
      <c r="CU70" s="108"/>
      <c r="CV70" s="108"/>
      <c r="CW70" s="108"/>
      <c r="CX70" s="108"/>
      <c r="CY70" s="108"/>
      <c r="CZ70" s="108"/>
      <c r="DA70" s="108"/>
      <c r="DB70" s="108"/>
      <c r="DC70" s="108"/>
      <c r="DD70" s="108"/>
      <c r="DE70" s="108"/>
      <c r="DF70" s="108"/>
      <c r="DG70" s="108"/>
      <c r="DH70" s="108"/>
      <c r="DI70" s="108"/>
      <c r="DJ70" s="108"/>
      <c r="DK70" s="108"/>
      <c r="DL70" s="108"/>
      <c r="DM70" s="108"/>
      <c r="DN70" s="108"/>
      <c r="DO70" s="108"/>
      <c r="DP70" s="108"/>
      <c r="DQ70" s="108"/>
      <c r="DR70" s="108"/>
      <c r="DS70" s="108"/>
      <c r="DT70" s="108"/>
      <c r="DU70" s="108"/>
      <c r="DV70" s="108"/>
      <c r="DW70" s="108"/>
      <c r="DX70" s="108"/>
      <c r="DY70" s="108"/>
      <c r="DZ70" s="108"/>
      <c r="EA70" s="108"/>
      <c r="EB70" s="108"/>
      <c r="EC70" s="108"/>
      <c r="ED70" s="108"/>
      <c r="EE70" s="108"/>
      <c r="EF70" s="108"/>
      <c r="EG70" s="108"/>
      <c r="EH70" s="108"/>
      <c r="EI70" s="108"/>
      <c r="EJ70" s="108"/>
      <c r="EK70" s="108"/>
      <c r="EL70" s="108"/>
      <c r="EM70" s="108"/>
      <c r="EN70" s="108"/>
      <c r="EO70" s="108"/>
      <c r="EP70" s="108"/>
      <c r="EQ70" s="108"/>
      <c r="ER70" s="108"/>
      <c r="ES70" s="108"/>
      <c r="ET70" s="108"/>
      <c r="EU70" s="108"/>
      <c r="EV70" s="108"/>
      <c r="EW70" s="108"/>
      <c r="EX70" s="108"/>
      <c r="EY70" s="108"/>
      <c r="EZ70" s="108"/>
      <c r="FA70" s="108"/>
      <c r="FB70" s="108"/>
      <c r="FC70" s="108"/>
      <c r="FD70" s="108"/>
      <c r="FE70" s="108"/>
      <c r="FF70" s="108"/>
      <c r="FG70" s="108"/>
      <c r="FH70" s="108"/>
      <c r="FI70" s="108"/>
      <c r="FJ70" s="108"/>
      <c r="FK70" s="108"/>
      <c r="FL70" s="108"/>
      <c r="FM70" s="108"/>
      <c r="FN70" s="108"/>
      <c r="FO70" s="108"/>
      <c r="FP70" s="108"/>
      <c r="FQ70" s="108"/>
      <c r="FR70" s="108"/>
      <c r="FS70" s="108"/>
      <c r="FT70" s="108"/>
      <c r="FU70" s="108"/>
      <c r="FV70" s="108"/>
      <c r="FW70" s="108"/>
      <c r="FX70" s="108"/>
      <c r="FY70" s="108"/>
      <c r="FZ70" s="108"/>
      <c r="GA70" s="108"/>
      <c r="GB70" s="108"/>
      <c r="GC70" s="108"/>
      <c r="GD70" s="108"/>
      <c r="GE70" s="108"/>
      <c r="GF70" s="108"/>
      <c r="GG70" s="108"/>
      <c r="GH70" s="108"/>
      <c r="GI70" s="108"/>
      <c r="GJ70" s="108"/>
      <c r="GK70" s="108"/>
      <c r="GL70" s="108"/>
      <c r="GM70" s="108"/>
      <c r="GN70" s="108"/>
      <c r="GO70" s="108"/>
      <c r="GP70" s="108"/>
      <c r="GQ70" s="108"/>
      <c r="GR70" s="108"/>
      <c r="GS70" s="108"/>
      <c r="GT70" s="108"/>
      <c r="GU70" s="108"/>
      <c r="GV70" s="108"/>
      <c r="GW70" s="108"/>
      <c r="GX70" s="108"/>
      <c r="GY70" s="108"/>
      <c r="GZ70" s="108"/>
      <c r="HA70" s="108"/>
      <c r="HB70" s="108"/>
      <c r="HC70" s="108"/>
      <c r="HD70" s="108"/>
      <c r="HE70" s="108"/>
      <c r="HF70" s="108"/>
      <c r="HG70" s="108"/>
      <c r="HH70" s="108"/>
      <c r="HI70" s="108"/>
      <c r="HJ70" s="108"/>
      <c r="HK70" s="108"/>
      <c r="HL70" s="108"/>
      <c r="HM70" s="108"/>
      <c r="HN70" s="108"/>
      <c r="HO70" s="108"/>
      <c r="HP70" s="108"/>
      <c r="HQ70" s="108"/>
      <c r="HR70" s="108"/>
      <c r="HS70" s="108"/>
      <c r="HT70" s="108"/>
      <c r="HU70" s="108"/>
      <c r="HV70" s="108"/>
      <c r="HW70" s="108"/>
      <c r="HX70" s="108"/>
      <c r="HY70" s="108"/>
      <c r="HZ70" s="108"/>
      <c r="IA70" s="108"/>
      <c r="IB70" s="108"/>
      <c r="IC70" s="108"/>
      <c r="ID70" s="108"/>
      <c r="IE70" s="108"/>
      <c r="IF70" s="108"/>
      <c r="IG70" s="108"/>
      <c r="IH70" s="108"/>
      <c r="II70" s="108"/>
      <c r="IJ70" s="108"/>
      <c r="IK70" s="108"/>
      <c r="IL70" s="108"/>
      <c r="IM70" s="108"/>
      <c r="IN70" s="108"/>
      <c r="IO70" s="108"/>
      <c r="IP70" s="108"/>
      <c r="IQ70" s="108"/>
      <c r="IR70" s="108"/>
      <c r="IS70" s="108"/>
      <c r="IT70" s="108"/>
      <c r="IU70" s="108"/>
      <c r="IV70" s="108"/>
      <c r="IW70" s="108"/>
    </row>
    <row r="71" spans="1:257" x14ac:dyDescent="0.3">
      <c r="A71" s="158"/>
      <c r="B71" s="158"/>
      <c r="C71" s="158"/>
      <c r="D71" s="158"/>
      <c r="E71" s="158"/>
      <c r="F71" s="158"/>
      <c r="G71" s="158"/>
      <c r="H71" s="158"/>
      <c r="I71" s="176"/>
      <c r="J71" s="158"/>
      <c r="K71" s="158"/>
      <c r="L71" s="158"/>
      <c r="M71" s="158"/>
      <c r="N71" s="158"/>
      <c r="O71" s="108"/>
      <c r="P71" s="108"/>
      <c r="Q71" s="108"/>
      <c r="R71" s="108"/>
      <c r="S71" s="108"/>
      <c r="T71" s="108"/>
      <c r="U71" s="108"/>
      <c r="V71" s="108"/>
      <c r="W71" s="108"/>
      <c r="X71" s="108"/>
      <c r="Y71" s="108"/>
      <c r="Z71" s="108"/>
      <c r="AA71" s="108"/>
      <c r="AB71" s="108"/>
      <c r="AC71" s="108"/>
      <c r="AD71" s="108"/>
      <c r="AE71" s="108"/>
      <c r="AF71" s="108"/>
      <c r="AG71" s="108"/>
      <c r="AH71" s="108"/>
      <c r="AI71" s="108"/>
      <c r="AJ71" s="108"/>
      <c r="AK71" s="108"/>
      <c r="AL71" s="108"/>
      <c r="AM71" s="108"/>
      <c r="AN71" s="108"/>
      <c r="AO71" s="108"/>
      <c r="AP71" s="108"/>
      <c r="AQ71" s="108"/>
      <c r="AR71" s="108"/>
      <c r="AS71" s="108"/>
      <c r="AT71" s="108"/>
      <c r="AU71" s="108"/>
      <c r="AV71" s="108"/>
      <c r="AW71" s="108"/>
      <c r="AX71" s="108"/>
      <c r="AY71" s="108"/>
      <c r="AZ71" s="108"/>
      <c r="BA71" s="108"/>
      <c r="BB71" s="108"/>
      <c r="BC71" s="108"/>
      <c r="BD71" s="108"/>
      <c r="BE71" s="108"/>
      <c r="BF71" s="108"/>
      <c r="BG71" s="108"/>
      <c r="BH71" s="108"/>
      <c r="BI71" s="108"/>
      <c r="BJ71" s="108"/>
      <c r="BK71" s="108"/>
      <c r="BL71" s="108"/>
      <c r="BM71" s="108"/>
      <c r="BN71" s="108"/>
      <c r="BO71" s="108"/>
      <c r="BP71" s="108"/>
      <c r="BQ71" s="108"/>
      <c r="BR71" s="108"/>
      <c r="BS71" s="108"/>
      <c r="BT71" s="108"/>
      <c r="BU71" s="108"/>
      <c r="BV71" s="108"/>
      <c r="BW71" s="108"/>
      <c r="BX71" s="108"/>
      <c r="BY71" s="108"/>
      <c r="BZ71" s="108"/>
      <c r="CA71" s="108"/>
      <c r="CB71" s="108"/>
      <c r="CC71" s="108"/>
      <c r="CD71" s="108"/>
      <c r="CE71" s="108"/>
      <c r="CF71" s="108"/>
      <c r="CG71" s="108"/>
      <c r="CH71" s="108"/>
      <c r="CI71" s="108"/>
      <c r="CJ71" s="108"/>
      <c r="CK71" s="108"/>
      <c r="CL71" s="108"/>
      <c r="CM71" s="108"/>
      <c r="CN71" s="108"/>
      <c r="CO71" s="108"/>
      <c r="CP71" s="108"/>
      <c r="CQ71" s="108"/>
      <c r="CR71" s="108"/>
      <c r="CS71" s="108"/>
      <c r="CT71" s="108"/>
      <c r="CU71" s="108"/>
      <c r="CV71" s="108"/>
      <c r="CW71" s="108"/>
      <c r="CX71" s="108"/>
      <c r="CY71" s="108"/>
      <c r="CZ71" s="108"/>
      <c r="DA71" s="108"/>
      <c r="DB71" s="108"/>
      <c r="DC71" s="108"/>
      <c r="DD71" s="108"/>
      <c r="DE71" s="108"/>
      <c r="DF71" s="108"/>
      <c r="DG71" s="108"/>
      <c r="DH71" s="108"/>
      <c r="DI71" s="108"/>
      <c r="DJ71" s="108"/>
      <c r="DK71" s="108"/>
      <c r="DL71" s="108"/>
      <c r="DM71" s="108"/>
      <c r="DN71" s="108"/>
      <c r="DO71" s="108"/>
      <c r="DP71" s="108"/>
      <c r="DQ71" s="108"/>
      <c r="DR71" s="108"/>
      <c r="DS71" s="108"/>
      <c r="DT71" s="108"/>
      <c r="DU71" s="108"/>
      <c r="DV71" s="108"/>
      <c r="DW71" s="108"/>
      <c r="DX71" s="108"/>
      <c r="DY71" s="108"/>
      <c r="DZ71" s="108"/>
      <c r="EA71" s="108"/>
      <c r="EB71" s="108"/>
      <c r="EC71" s="108"/>
      <c r="ED71" s="108"/>
      <c r="EE71" s="108"/>
      <c r="EF71" s="108"/>
      <c r="EG71" s="108"/>
      <c r="EH71" s="108"/>
      <c r="EI71" s="108"/>
      <c r="EJ71" s="108"/>
      <c r="EK71" s="108"/>
      <c r="EL71" s="108"/>
      <c r="EM71" s="108"/>
      <c r="EN71" s="108"/>
      <c r="EO71" s="108"/>
      <c r="EP71" s="108"/>
      <c r="EQ71" s="108"/>
      <c r="ER71" s="108"/>
      <c r="ES71" s="108"/>
      <c r="ET71" s="108"/>
      <c r="EU71" s="108"/>
      <c r="EV71" s="108"/>
      <c r="EW71" s="108"/>
      <c r="EX71" s="108"/>
      <c r="EY71" s="108"/>
      <c r="EZ71" s="108"/>
      <c r="FA71" s="108"/>
      <c r="FB71" s="108"/>
      <c r="FC71" s="108"/>
      <c r="FD71" s="108"/>
      <c r="FE71" s="108"/>
      <c r="FF71" s="108"/>
      <c r="FG71" s="108"/>
      <c r="FH71" s="108"/>
      <c r="FI71" s="108"/>
      <c r="FJ71" s="108"/>
      <c r="FK71" s="108"/>
      <c r="FL71" s="108"/>
      <c r="FM71" s="108"/>
      <c r="FN71" s="108"/>
      <c r="FO71" s="108"/>
      <c r="FP71" s="108"/>
      <c r="FQ71" s="108"/>
      <c r="FR71" s="108"/>
      <c r="FS71" s="108"/>
      <c r="FT71" s="108"/>
      <c r="FU71" s="108"/>
      <c r="FV71" s="108"/>
      <c r="FW71" s="108"/>
      <c r="FX71" s="108"/>
      <c r="FY71" s="108"/>
      <c r="FZ71" s="108"/>
      <c r="GA71" s="108"/>
      <c r="GB71" s="108"/>
      <c r="GC71" s="108"/>
      <c r="GD71" s="108"/>
      <c r="GE71" s="108"/>
      <c r="GF71" s="108"/>
      <c r="GG71" s="108"/>
      <c r="GH71" s="108"/>
      <c r="GI71" s="108"/>
      <c r="GJ71" s="108"/>
      <c r="GK71" s="108"/>
      <c r="GL71" s="108"/>
      <c r="GM71" s="108"/>
      <c r="GN71" s="108"/>
      <c r="GO71" s="108"/>
      <c r="GP71" s="108"/>
      <c r="GQ71" s="108"/>
      <c r="GR71" s="108"/>
      <c r="GS71" s="108"/>
      <c r="GT71" s="108"/>
      <c r="GU71" s="108"/>
      <c r="GV71" s="108"/>
      <c r="GW71" s="108"/>
      <c r="GX71" s="108"/>
      <c r="GY71" s="108"/>
      <c r="GZ71" s="108"/>
      <c r="HA71" s="108"/>
      <c r="HB71" s="108"/>
      <c r="HC71" s="108"/>
      <c r="HD71" s="108"/>
      <c r="HE71" s="108"/>
      <c r="HF71" s="108"/>
      <c r="HG71" s="108"/>
      <c r="HH71" s="108"/>
      <c r="HI71" s="108"/>
      <c r="HJ71" s="108"/>
      <c r="HK71" s="108"/>
      <c r="HL71" s="108"/>
      <c r="HM71" s="108"/>
      <c r="HN71" s="108"/>
      <c r="HO71" s="108"/>
      <c r="HP71" s="108"/>
      <c r="HQ71" s="108"/>
      <c r="HR71" s="108"/>
      <c r="HS71" s="108"/>
      <c r="HT71" s="108"/>
      <c r="HU71" s="108"/>
      <c r="HV71" s="108"/>
      <c r="HW71" s="108"/>
      <c r="HX71" s="108"/>
      <c r="HY71" s="108"/>
      <c r="HZ71" s="108"/>
      <c r="IA71" s="108"/>
      <c r="IB71" s="108"/>
      <c r="IC71" s="108"/>
      <c r="ID71" s="108"/>
      <c r="IE71" s="108"/>
      <c r="IF71" s="108"/>
      <c r="IG71" s="108"/>
      <c r="IH71" s="108"/>
      <c r="II71" s="108"/>
      <c r="IJ71" s="108"/>
      <c r="IK71" s="108"/>
      <c r="IL71" s="108"/>
      <c r="IM71" s="108"/>
      <c r="IN71" s="108"/>
      <c r="IO71" s="108"/>
      <c r="IP71" s="108"/>
      <c r="IQ71" s="108"/>
      <c r="IR71" s="108"/>
      <c r="IS71" s="108"/>
      <c r="IT71" s="108"/>
      <c r="IU71" s="108"/>
      <c r="IV71" s="108"/>
      <c r="IW71" s="108"/>
    </row>
    <row r="72" spans="1:257" x14ac:dyDescent="0.3">
      <c r="A72" s="158"/>
      <c r="B72" s="158"/>
      <c r="C72" s="158"/>
      <c r="D72" s="158"/>
      <c r="E72" s="158"/>
      <c r="F72" s="158"/>
      <c r="G72" s="158"/>
      <c r="H72" s="158"/>
      <c r="I72" s="176"/>
      <c r="J72" s="158"/>
      <c r="K72" s="158"/>
      <c r="L72" s="158"/>
      <c r="M72" s="158"/>
      <c r="N72" s="158"/>
      <c r="O72" s="108"/>
      <c r="P72" s="108"/>
      <c r="Q72" s="108"/>
      <c r="R72" s="108"/>
      <c r="S72" s="108"/>
      <c r="T72" s="108"/>
      <c r="U72" s="108"/>
      <c r="V72" s="108"/>
      <c r="W72" s="108"/>
      <c r="X72" s="108"/>
      <c r="Y72" s="108"/>
      <c r="Z72" s="108"/>
      <c r="AA72" s="108"/>
      <c r="AB72" s="108"/>
      <c r="AC72" s="108"/>
      <c r="AD72" s="108"/>
      <c r="AE72" s="108"/>
      <c r="AF72" s="108"/>
      <c r="AG72" s="108"/>
      <c r="AH72" s="108"/>
      <c r="AI72" s="108"/>
      <c r="AJ72" s="108"/>
      <c r="AK72" s="108"/>
      <c r="AL72" s="108"/>
      <c r="AM72" s="108"/>
      <c r="AN72" s="108"/>
      <c r="AO72" s="108"/>
      <c r="AP72" s="108"/>
      <c r="AQ72" s="108"/>
      <c r="AR72" s="108"/>
      <c r="AS72" s="108"/>
      <c r="AT72" s="108"/>
      <c r="AU72" s="108"/>
      <c r="AV72" s="108"/>
      <c r="AW72" s="108"/>
      <c r="AX72" s="108"/>
      <c r="AY72" s="108"/>
      <c r="AZ72" s="108"/>
      <c r="BA72" s="108"/>
      <c r="BB72" s="108"/>
      <c r="BC72" s="108"/>
      <c r="BD72" s="108"/>
      <c r="BE72" s="108"/>
      <c r="BF72" s="108"/>
      <c r="BG72" s="108"/>
      <c r="BH72" s="108"/>
      <c r="BI72" s="108"/>
      <c r="BJ72" s="108"/>
      <c r="BK72" s="108"/>
      <c r="BL72" s="108"/>
      <c r="BM72" s="108"/>
      <c r="BN72" s="108"/>
      <c r="BO72" s="108"/>
      <c r="BP72" s="108"/>
      <c r="BQ72" s="108"/>
      <c r="BR72" s="108"/>
      <c r="BS72" s="108"/>
      <c r="BT72" s="108"/>
      <c r="BU72" s="108"/>
      <c r="BV72" s="108"/>
      <c r="BW72" s="108"/>
      <c r="BX72" s="108"/>
      <c r="BY72" s="108"/>
      <c r="BZ72" s="108"/>
      <c r="CA72" s="108"/>
      <c r="CB72" s="108"/>
      <c r="CC72" s="108"/>
      <c r="CD72" s="108"/>
      <c r="CE72" s="108"/>
      <c r="CF72" s="108"/>
      <c r="CG72" s="108"/>
      <c r="CH72" s="108"/>
      <c r="CI72" s="108"/>
      <c r="CJ72" s="108"/>
      <c r="CK72" s="108"/>
      <c r="CL72" s="108"/>
      <c r="CM72" s="108"/>
      <c r="CN72" s="108"/>
      <c r="CO72" s="108"/>
      <c r="CP72" s="108"/>
      <c r="CQ72" s="108"/>
      <c r="CR72" s="108"/>
      <c r="CS72" s="108"/>
      <c r="CT72" s="108"/>
      <c r="CU72" s="108"/>
      <c r="CV72" s="108"/>
      <c r="CW72" s="108"/>
      <c r="CX72" s="108"/>
      <c r="CY72" s="108"/>
      <c r="CZ72" s="108"/>
      <c r="DA72" s="108"/>
      <c r="DB72" s="108"/>
      <c r="DC72" s="108"/>
      <c r="DD72" s="108"/>
      <c r="DE72" s="108"/>
      <c r="DF72" s="108"/>
      <c r="DG72" s="108"/>
      <c r="DH72" s="108"/>
      <c r="DI72" s="108"/>
      <c r="DJ72" s="108"/>
      <c r="DK72" s="108"/>
      <c r="DL72" s="108"/>
      <c r="DM72" s="108"/>
      <c r="DN72" s="108"/>
      <c r="DO72" s="108"/>
      <c r="DP72" s="108"/>
      <c r="DQ72" s="108"/>
      <c r="DR72" s="108"/>
      <c r="DS72" s="108"/>
      <c r="DT72" s="108"/>
      <c r="DU72" s="108"/>
      <c r="DV72" s="108"/>
      <c r="DW72" s="108"/>
      <c r="DX72" s="108"/>
      <c r="DY72" s="108"/>
      <c r="DZ72" s="108"/>
      <c r="EA72" s="108"/>
      <c r="EB72" s="108"/>
      <c r="EC72" s="108"/>
      <c r="ED72" s="108"/>
      <c r="EE72" s="108"/>
      <c r="EF72" s="108"/>
      <c r="EG72" s="108"/>
      <c r="EH72" s="108"/>
      <c r="EI72" s="108"/>
      <c r="EJ72" s="108"/>
      <c r="EK72" s="108"/>
      <c r="EL72" s="108"/>
      <c r="EM72" s="108"/>
      <c r="EN72" s="108"/>
      <c r="EO72" s="108"/>
      <c r="EP72" s="108"/>
      <c r="EQ72" s="108"/>
      <c r="ER72" s="108"/>
      <c r="ES72" s="108"/>
      <c r="ET72" s="108"/>
      <c r="EU72" s="108"/>
      <c r="EV72" s="108"/>
      <c r="EW72" s="108"/>
      <c r="EX72" s="108"/>
      <c r="EY72" s="108"/>
      <c r="EZ72" s="108"/>
      <c r="FA72" s="108"/>
      <c r="FB72" s="108"/>
      <c r="FC72" s="108"/>
      <c r="FD72" s="108"/>
      <c r="FE72" s="108"/>
      <c r="FF72" s="108"/>
      <c r="FG72" s="108"/>
      <c r="FH72" s="108"/>
      <c r="FI72" s="108"/>
      <c r="FJ72" s="108"/>
      <c r="FK72" s="108"/>
      <c r="FL72" s="108"/>
      <c r="FM72" s="108"/>
      <c r="FN72" s="108"/>
      <c r="FO72" s="108"/>
      <c r="FP72" s="108"/>
      <c r="FQ72" s="108"/>
      <c r="FR72" s="108"/>
      <c r="FS72" s="108"/>
      <c r="FT72" s="108"/>
      <c r="FU72" s="108"/>
      <c r="FV72" s="108"/>
      <c r="FW72" s="108"/>
      <c r="FX72" s="108"/>
      <c r="FY72" s="108"/>
      <c r="FZ72" s="108"/>
      <c r="GA72" s="108"/>
      <c r="GB72" s="108"/>
      <c r="GC72" s="108"/>
      <c r="GD72" s="108"/>
      <c r="GE72" s="108"/>
      <c r="GF72" s="108"/>
      <c r="GG72" s="108"/>
      <c r="GH72" s="108"/>
      <c r="GI72" s="108"/>
      <c r="GJ72" s="108"/>
      <c r="GK72" s="108"/>
      <c r="GL72" s="108"/>
      <c r="GM72" s="108"/>
      <c r="GN72" s="108"/>
      <c r="GO72" s="108"/>
      <c r="GP72" s="108"/>
      <c r="GQ72" s="108"/>
      <c r="GR72" s="108"/>
      <c r="GS72" s="108"/>
      <c r="GT72" s="108"/>
      <c r="GU72" s="108"/>
      <c r="GV72" s="108"/>
      <c r="GW72" s="108"/>
      <c r="GX72" s="108"/>
      <c r="GY72" s="108"/>
      <c r="GZ72" s="108"/>
      <c r="HA72" s="108"/>
      <c r="HB72" s="108"/>
      <c r="HC72" s="108"/>
      <c r="HD72" s="108"/>
      <c r="HE72" s="108"/>
      <c r="HF72" s="108"/>
      <c r="HG72" s="108"/>
      <c r="HH72" s="108"/>
      <c r="HI72" s="108"/>
      <c r="HJ72" s="108"/>
      <c r="HK72" s="108"/>
      <c r="HL72" s="108"/>
      <c r="HM72" s="108"/>
      <c r="HN72" s="108"/>
      <c r="HO72" s="108"/>
      <c r="HP72" s="108"/>
      <c r="HQ72" s="108"/>
      <c r="HR72" s="108"/>
      <c r="HS72" s="108"/>
      <c r="HT72" s="108"/>
      <c r="HU72" s="108"/>
      <c r="HV72" s="108"/>
      <c r="HW72" s="108"/>
      <c r="HX72" s="108"/>
      <c r="HY72" s="108"/>
      <c r="HZ72" s="108"/>
      <c r="IA72" s="108"/>
      <c r="IB72" s="108"/>
      <c r="IC72" s="108"/>
      <c r="ID72" s="108"/>
      <c r="IE72" s="108"/>
      <c r="IF72" s="108"/>
      <c r="IG72" s="108"/>
      <c r="IH72" s="108"/>
      <c r="II72" s="108"/>
      <c r="IJ72" s="108"/>
      <c r="IK72" s="108"/>
      <c r="IL72" s="108"/>
      <c r="IM72" s="108"/>
      <c r="IN72" s="108"/>
      <c r="IO72" s="108"/>
      <c r="IP72" s="108"/>
      <c r="IQ72" s="108"/>
      <c r="IR72" s="108"/>
      <c r="IS72" s="108"/>
      <c r="IT72" s="108"/>
      <c r="IU72" s="108"/>
      <c r="IV72" s="108"/>
      <c r="IW72" s="108"/>
    </row>
    <row r="73" spans="1:257" x14ac:dyDescent="0.3">
      <c r="A73" s="158"/>
      <c r="B73" s="158"/>
      <c r="C73" s="158"/>
      <c r="D73" s="158"/>
      <c r="E73" s="158"/>
      <c r="F73" s="158"/>
      <c r="G73" s="158"/>
      <c r="H73" s="158"/>
      <c r="I73" s="176"/>
      <c r="J73" s="158"/>
      <c r="K73" s="158"/>
      <c r="L73" s="158"/>
      <c r="M73" s="158"/>
      <c r="N73" s="158"/>
      <c r="O73" s="108"/>
      <c r="P73" s="108"/>
      <c r="Q73" s="108"/>
      <c r="R73" s="108"/>
      <c r="S73" s="108"/>
      <c r="T73" s="108"/>
      <c r="U73" s="108"/>
      <c r="V73" s="108"/>
      <c r="W73" s="108"/>
      <c r="X73" s="108"/>
      <c r="Y73" s="108"/>
      <c r="Z73" s="108"/>
      <c r="AA73" s="108"/>
      <c r="AB73" s="108"/>
      <c r="AC73" s="108"/>
      <c r="AD73" s="108"/>
      <c r="AE73" s="108"/>
      <c r="AF73" s="108"/>
      <c r="AG73" s="108"/>
      <c r="AH73" s="108"/>
      <c r="AI73" s="108"/>
      <c r="AJ73" s="108"/>
      <c r="AK73" s="108"/>
      <c r="AL73" s="108"/>
      <c r="AM73" s="108"/>
      <c r="AN73" s="108"/>
      <c r="AO73" s="108"/>
      <c r="AP73" s="108"/>
      <c r="AQ73" s="108"/>
      <c r="AR73" s="108"/>
      <c r="AS73" s="108"/>
      <c r="AT73" s="108"/>
      <c r="AU73" s="108"/>
      <c r="AV73" s="108"/>
      <c r="AW73" s="108"/>
      <c r="AX73" s="108"/>
      <c r="AY73" s="108"/>
      <c r="AZ73" s="108"/>
      <c r="BA73" s="108"/>
      <c r="BB73" s="108"/>
      <c r="BC73" s="108"/>
      <c r="BD73" s="108"/>
      <c r="BE73" s="108"/>
      <c r="BF73" s="108"/>
      <c r="BG73" s="108"/>
      <c r="BH73" s="108"/>
      <c r="BI73" s="108"/>
      <c r="BJ73" s="108"/>
      <c r="BK73" s="108"/>
      <c r="BL73" s="108"/>
      <c r="BM73" s="108"/>
      <c r="BN73" s="108"/>
      <c r="BO73" s="108"/>
      <c r="BP73" s="108"/>
      <c r="BQ73" s="108"/>
      <c r="BR73" s="108"/>
      <c r="BS73" s="108"/>
      <c r="BT73" s="108"/>
      <c r="BU73" s="108"/>
      <c r="BV73" s="108"/>
      <c r="BW73" s="108"/>
      <c r="BX73" s="108"/>
      <c r="BY73" s="108"/>
      <c r="BZ73" s="108"/>
      <c r="CA73" s="108"/>
      <c r="CB73" s="108"/>
      <c r="CC73" s="108"/>
      <c r="CD73" s="108"/>
      <c r="CE73" s="108"/>
      <c r="CF73" s="108"/>
      <c r="CG73" s="108"/>
      <c r="CH73" s="108"/>
      <c r="CI73" s="108"/>
      <c r="CJ73" s="108"/>
      <c r="CK73" s="108"/>
      <c r="CL73" s="108"/>
      <c r="CM73" s="108"/>
      <c r="CN73" s="108"/>
      <c r="CO73" s="108"/>
      <c r="CP73" s="108"/>
      <c r="CQ73" s="108"/>
      <c r="CR73" s="108"/>
      <c r="CS73" s="108"/>
      <c r="CT73" s="108"/>
      <c r="CU73" s="108"/>
      <c r="CV73" s="108"/>
      <c r="CW73" s="108"/>
      <c r="CX73" s="108"/>
      <c r="CY73" s="108"/>
      <c r="CZ73" s="108"/>
      <c r="DA73" s="108"/>
      <c r="DB73" s="108"/>
      <c r="DC73" s="108"/>
      <c r="DD73" s="108"/>
      <c r="DE73" s="108"/>
      <c r="DF73" s="108"/>
      <c r="DG73" s="108"/>
      <c r="DH73" s="108"/>
      <c r="DI73" s="108"/>
      <c r="DJ73" s="108"/>
      <c r="DK73" s="108"/>
      <c r="DL73" s="108"/>
      <c r="DM73" s="108"/>
      <c r="DN73" s="108"/>
      <c r="DO73" s="108"/>
      <c r="DP73" s="108"/>
      <c r="DQ73" s="108"/>
      <c r="DR73" s="108"/>
      <c r="DS73" s="108"/>
      <c r="DT73" s="108"/>
      <c r="DU73" s="108"/>
      <c r="DV73" s="108"/>
      <c r="DW73" s="108"/>
      <c r="DX73" s="108"/>
      <c r="DY73" s="108"/>
      <c r="DZ73" s="108"/>
      <c r="EA73" s="108"/>
      <c r="EB73" s="108"/>
      <c r="EC73" s="108"/>
      <c r="ED73" s="108"/>
      <c r="EE73" s="108"/>
      <c r="EF73" s="108"/>
      <c r="EG73" s="108"/>
      <c r="EH73" s="108"/>
      <c r="EI73" s="108"/>
      <c r="EJ73" s="108"/>
      <c r="EK73" s="108"/>
      <c r="EL73" s="108"/>
      <c r="EM73" s="108"/>
      <c r="EN73" s="108"/>
      <c r="EO73" s="108"/>
      <c r="EP73" s="108"/>
      <c r="EQ73" s="108"/>
      <c r="ER73" s="108"/>
      <c r="ES73" s="108"/>
      <c r="ET73" s="108"/>
      <c r="EU73" s="108"/>
      <c r="EV73" s="108"/>
      <c r="EW73" s="108"/>
      <c r="EX73" s="108"/>
      <c r="EY73" s="108"/>
      <c r="EZ73" s="108"/>
      <c r="FA73" s="108"/>
      <c r="FB73" s="108"/>
      <c r="FC73" s="108"/>
      <c r="FD73" s="108"/>
      <c r="FE73" s="108"/>
      <c r="FF73" s="108"/>
      <c r="FG73" s="108"/>
      <c r="FH73" s="108"/>
      <c r="FI73" s="108"/>
      <c r="FJ73" s="108"/>
      <c r="FK73" s="108"/>
      <c r="FL73" s="108"/>
      <c r="FM73" s="108"/>
      <c r="FN73" s="108"/>
      <c r="FO73" s="108"/>
      <c r="FP73" s="108"/>
      <c r="FQ73" s="108"/>
      <c r="FR73" s="108"/>
      <c r="FS73" s="108"/>
      <c r="FT73" s="108"/>
      <c r="FU73" s="108"/>
      <c r="FV73" s="108"/>
      <c r="FW73" s="108"/>
      <c r="FX73" s="108"/>
      <c r="FY73" s="108"/>
      <c r="FZ73" s="108"/>
      <c r="GA73" s="108"/>
      <c r="GB73" s="108"/>
      <c r="GC73" s="108"/>
      <c r="GD73" s="108"/>
      <c r="GE73" s="108"/>
      <c r="GF73" s="108"/>
      <c r="GG73" s="108"/>
      <c r="GH73" s="108"/>
      <c r="GI73" s="108"/>
      <c r="GJ73" s="108"/>
      <c r="GK73" s="108"/>
      <c r="GL73" s="108"/>
      <c r="GM73" s="108"/>
      <c r="GN73" s="108"/>
      <c r="GO73" s="108"/>
      <c r="GP73" s="108"/>
      <c r="GQ73" s="108"/>
      <c r="GR73" s="108"/>
      <c r="GS73" s="108"/>
      <c r="GT73" s="108"/>
      <c r="GU73" s="108"/>
      <c r="GV73" s="108"/>
      <c r="GW73" s="108"/>
      <c r="GX73" s="108"/>
      <c r="GY73" s="108"/>
      <c r="GZ73" s="108"/>
      <c r="HA73" s="108"/>
      <c r="HB73" s="108"/>
      <c r="HC73" s="108"/>
      <c r="HD73" s="108"/>
      <c r="HE73" s="108"/>
      <c r="HF73" s="108"/>
      <c r="HG73" s="108"/>
      <c r="HH73" s="108"/>
      <c r="HI73" s="108"/>
      <c r="HJ73" s="108"/>
      <c r="HK73" s="108"/>
      <c r="HL73" s="108"/>
      <c r="HM73" s="108"/>
      <c r="HN73" s="108"/>
      <c r="HO73" s="108"/>
      <c r="HP73" s="108"/>
      <c r="HQ73" s="108"/>
      <c r="HR73" s="108"/>
      <c r="HS73" s="108"/>
      <c r="HT73" s="108"/>
      <c r="HU73" s="108"/>
      <c r="HV73" s="108"/>
      <c r="HW73" s="108"/>
      <c r="HX73" s="108"/>
      <c r="HY73" s="108"/>
      <c r="HZ73" s="108"/>
      <c r="IA73" s="108"/>
      <c r="IB73" s="108"/>
      <c r="IC73" s="108"/>
      <c r="ID73" s="108"/>
      <c r="IE73" s="108"/>
      <c r="IF73" s="108"/>
      <c r="IG73" s="108"/>
      <c r="IH73" s="108"/>
      <c r="II73" s="108"/>
      <c r="IJ73" s="108"/>
      <c r="IK73" s="108"/>
      <c r="IL73" s="108"/>
      <c r="IM73" s="108"/>
      <c r="IN73" s="108"/>
      <c r="IO73" s="108"/>
      <c r="IP73" s="108"/>
      <c r="IQ73" s="108"/>
      <c r="IR73" s="108"/>
      <c r="IS73" s="108"/>
      <c r="IT73" s="108"/>
      <c r="IU73" s="108"/>
      <c r="IV73" s="108"/>
      <c r="IW73" s="108"/>
    </row>
    <row r="74" spans="1:257" x14ac:dyDescent="0.3">
      <c r="A74" s="158"/>
      <c r="B74" s="158"/>
      <c r="C74" s="158"/>
      <c r="D74" s="158"/>
      <c r="E74" s="158"/>
      <c r="F74" s="158"/>
      <c r="G74" s="158"/>
      <c r="H74" s="158"/>
      <c r="I74" s="176"/>
      <c r="J74" s="158"/>
      <c r="K74" s="158"/>
      <c r="L74" s="158"/>
      <c r="M74" s="158"/>
      <c r="N74" s="158"/>
      <c r="O74" s="108"/>
      <c r="P74" s="108"/>
      <c r="Q74" s="108"/>
      <c r="R74" s="108"/>
      <c r="S74" s="108"/>
      <c r="T74" s="108"/>
      <c r="U74" s="108"/>
      <c r="V74" s="108"/>
      <c r="W74" s="108"/>
      <c r="X74" s="108"/>
      <c r="Y74" s="108"/>
      <c r="Z74" s="108"/>
      <c r="AA74" s="108"/>
      <c r="AB74" s="108"/>
      <c r="AC74" s="108"/>
      <c r="AD74" s="108"/>
      <c r="AE74" s="108"/>
      <c r="AF74" s="108"/>
      <c r="AG74" s="108"/>
      <c r="AH74" s="108"/>
      <c r="AI74" s="108"/>
      <c r="AJ74" s="108"/>
      <c r="AK74" s="108"/>
      <c r="AL74" s="108"/>
      <c r="AM74" s="108"/>
      <c r="AN74" s="108"/>
      <c r="AO74" s="108"/>
      <c r="AP74" s="108"/>
      <c r="AQ74" s="108"/>
      <c r="AR74" s="108"/>
      <c r="AS74" s="108"/>
      <c r="AT74" s="108"/>
      <c r="AU74" s="108"/>
      <c r="AV74" s="108"/>
      <c r="AW74" s="108"/>
      <c r="AX74" s="108"/>
      <c r="AY74" s="108"/>
      <c r="AZ74" s="108"/>
      <c r="BA74" s="108"/>
      <c r="BB74" s="108"/>
      <c r="BC74" s="108"/>
      <c r="BD74" s="108"/>
      <c r="BE74" s="108"/>
      <c r="BF74" s="108"/>
      <c r="BG74" s="108"/>
      <c r="BH74" s="108"/>
      <c r="BI74" s="108"/>
      <c r="BJ74" s="108"/>
      <c r="BK74" s="108"/>
      <c r="BL74" s="108"/>
      <c r="BM74" s="108"/>
      <c r="BN74" s="108"/>
      <c r="BO74" s="108"/>
      <c r="BP74" s="108"/>
      <c r="BQ74" s="108"/>
      <c r="BR74" s="108"/>
      <c r="BS74" s="108"/>
      <c r="BT74" s="108"/>
      <c r="BU74" s="108"/>
      <c r="BV74" s="108"/>
      <c r="BW74" s="108"/>
      <c r="BX74" s="108"/>
      <c r="BY74" s="108"/>
      <c r="BZ74" s="108"/>
      <c r="CA74" s="108"/>
      <c r="CB74" s="108"/>
      <c r="CC74" s="108"/>
      <c r="CD74" s="108"/>
      <c r="CE74" s="108"/>
      <c r="CF74" s="108"/>
      <c r="CG74" s="108"/>
      <c r="CH74" s="108"/>
      <c r="CI74" s="108"/>
      <c r="CJ74" s="108"/>
      <c r="CK74" s="108"/>
      <c r="CL74" s="108"/>
      <c r="CM74" s="108"/>
      <c r="CN74" s="108"/>
      <c r="CO74" s="108"/>
      <c r="CP74" s="108"/>
      <c r="CQ74" s="108"/>
      <c r="CR74" s="108"/>
      <c r="CS74" s="108"/>
      <c r="CT74" s="108"/>
      <c r="CU74" s="108"/>
      <c r="CV74" s="108"/>
      <c r="CW74" s="108"/>
      <c r="CX74" s="108"/>
      <c r="CY74" s="108"/>
      <c r="CZ74" s="108"/>
      <c r="DA74" s="108"/>
      <c r="DB74" s="108"/>
      <c r="DC74" s="108"/>
      <c r="DD74" s="108"/>
      <c r="DE74" s="108"/>
      <c r="DF74" s="108"/>
      <c r="DG74" s="108"/>
      <c r="DH74" s="108"/>
      <c r="DI74" s="108"/>
      <c r="DJ74" s="108"/>
      <c r="DK74" s="108"/>
      <c r="DL74" s="108"/>
      <c r="DM74" s="108"/>
      <c r="DN74" s="108"/>
      <c r="DO74" s="108"/>
      <c r="DP74" s="108"/>
      <c r="DQ74" s="108"/>
      <c r="DR74" s="108"/>
      <c r="DS74" s="108"/>
      <c r="DT74" s="108"/>
      <c r="DU74" s="108"/>
      <c r="DV74" s="108"/>
      <c r="DW74" s="108"/>
      <c r="DX74" s="108"/>
      <c r="DY74" s="108"/>
      <c r="DZ74" s="108"/>
      <c r="EA74" s="108"/>
      <c r="EB74" s="108"/>
      <c r="EC74" s="108"/>
      <c r="ED74" s="108"/>
      <c r="EE74" s="108"/>
      <c r="EF74" s="108"/>
      <c r="EG74" s="108"/>
      <c r="EH74" s="108"/>
      <c r="EI74" s="108"/>
      <c r="EJ74" s="108"/>
      <c r="EK74" s="108"/>
      <c r="EL74" s="108"/>
      <c r="EM74" s="108"/>
      <c r="EN74" s="108"/>
      <c r="EO74" s="108"/>
      <c r="EP74" s="108"/>
      <c r="EQ74" s="108"/>
      <c r="ER74" s="108"/>
      <c r="ES74" s="108"/>
      <c r="ET74" s="108"/>
      <c r="EU74" s="108"/>
      <c r="EV74" s="108"/>
      <c r="EW74" s="108"/>
      <c r="EX74" s="108"/>
      <c r="EY74" s="108"/>
      <c r="EZ74" s="108"/>
      <c r="FA74" s="108"/>
      <c r="FB74" s="108"/>
      <c r="FC74" s="108"/>
      <c r="FD74" s="108"/>
      <c r="FE74" s="108"/>
      <c r="FF74" s="108"/>
      <c r="FG74" s="108"/>
      <c r="FH74" s="108"/>
      <c r="FI74" s="108"/>
      <c r="FJ74" s="108"/>
      <c r="FK74" s="108"/>
      <c r="FL74" s="108"/>
      <c r="FM74" s="108"/>
      <c r="FN74" s="108"/>
      <c r="FO74" s="108"/>
      <c r="FP74" s="108"/>
      <c r="FQ74" s="108"/>
      <c r="FR74" s="108"/>
      <c r="FS74" s="108"/>
      <c r="FT74" s="108"/>
      <c r="FU74" s="108"/>
      <c r="FV74" s="108"/>
      <c r="FW74" s="108"/>
      <c r="FX74" s="108"/>
      <c r="FY74" s="108"/>
      <c r="FZ74" s="108"/>
      <c r="GA74" s="108"/>
      <c r="GB74" s="108"/>
      <c r="GC74" s="108"/>
      <c r="GD74" s="108"/>
      <c r="GE74" s="108"/>
      <c r="GF74" s="108"/>
      <c r="GG74" s="108"/>
      <c r="GH74" s="108"/>
      <c r="GI74" s="108"/>
      <c r="GJ74" s="108"/>
      <c r="GK74" s="108"/>
      <c r="GL74" s="108"/>
      <c r="GM74" s="108"/>
      <c r="GN74" s="108"/>
      <c r="GO74" s="108"/>
      <c r="GP74" s="108"/>
      <c r="GQ74" s="108"/>
      <c r="GR74" s="108"/>
      <c r="GS74" s="108"/>
      <c r="GT74" s="108"/>
      <c r="GU74" s="108"/>
      <c r="GV74" s="108"/>
      <c r="GW74" s="108"/>
      <c r="GX74" s="108"/>
      <c r="GY74" s="108"/>
      <c r="GZ74" s="108"/>
      <c r="HA74" s="108"/>
      <c r="HB74" s="108"/>
      <c r="HC74" s="108"/>
      <c r="HD74" s="108"/>
      <c r="HE74" s="108"/>
      <c r="HF74" s="108"/>
      <c r="HG74" s="108"/>
      <c r="HH74" s="108"/>
      <c r="HI74" s="108"/>
      <c r="HJ74" s="108"/>
      <c r="HK74" s="108"/>
      <c r="HL74" s="108"/>
      <c r="HM74" s="108"/>
      <c r="HN74" s="108"/>
      <c r="HO74" s="108"/>
      <c r="HP74" s="108"/>
      <c r="HQ74" s="108"/>
      <c r="HR74" s="108"/>
      <c r="HS74" s="108"/>
      <c r="HT74" s="108"/>
      <c r="HU74" s="108"/>
      <c r="HV74" s="108"/>
      <c r="HW74" s="108"/>
      <c r="HX74" s="108"/>
      <c r="HY74" s="108"/>
      <c r="HZ74" s="108"/>
      <c r="IA74" s="108"/>
      <c r="IB74" s="108"/>
      <c r="IC74" s="108"/>
      <c r="ID74" s="108"/>
      <c r="IE74" s="108"/>
      <c r="IF74" s="108"/>
      <c r="IG74" s="108"/>
      <c r="IH74" s="108"/>
      <c r="II74" s="108"/>
      <c r="IJ74" s="108"/>
      <c r="IK74" s="108"/>
      <c r="IL74" s="108"/>
      <c r="IM74" s="108"/>
      <c r="IN74" s="108"/>
      <c r="IO74" s="108"/>
      <c r="IP74" s="108"/>
      <c r="IQ74" s="108"/>
      <c r="IR74" s="108"/>
      <c r="IS74" s="108"/>
      <c r="IT74" s="108"/>
      <c r="IU74" s="108"/>
      <c r="IV74" s="108"/>
      <c r="IW74" s="108"/>
    </row>
    <row r="75" spans="1:257" x14ac:dyDescent="0.3">
      <c r="A75" s="158"/>
      <c r="B75" s="158"/>
      <c r="C75" s="158"/>
      <c r="D75" s="158"/>
      <c r="E75" s="158"/>
      <c r="F75" s="158"/>
      <c r="G75" s="158"/>
      <c r="H75" s="158"/>
      <c r="I75" s="176"/>
      <c r="J75" s="158"/>
      <c r="K75" s="158"/>
      <c r="L75" s="158"/>
      <c r="M75" s="158"/>
      <c r="N75" s="158"/>
      <c r="O75" s="108"/>
      <c r="P75" s="108"/>
      <c r="Q75" s="108"/>
      <c r="R75" s="108"/>
      <c r="S75" s="108"/>
      <c r="T75" s="108"/>
      <c r="U75" s="108"/>
      <c r="V75" s="108"/>
      <c r="W75" s="108"/>
      <c r="X75" s="108"/>
      <c r="Y75" s="108"/>
      <c r="Z75" s="108"/>
      <c r="AA75" s="108"/>
      <c r="AB75" s="108"/>
      <c r="AC75" s="108"/>
      <c r="AD75" s="108"/>
      <c r="AE75" s="108"/>
      <c r="AF75" s="108"/>
      <c r="AG75" s="108"/>
      <c r="AH75" s="108"/>
      <c r="AI75" s="108"/>
      <c r="AJ75" s="108"/>
      <c r="AK75" s="108"/>
      <c r="AL75" s="108"/>
      <c r="AM75" s="108"/>
      <c r="AN75" s="108"/>
      <c r="AO75" s="108"/>
      <c r="AP75" s="108"/>
      <c r="AQ75" s="108"/>
      <c r="AR75" s="108"/>
      <c r="AS75" s="108"/>
      <c r="AT75" s="108"/>
      <c r="AU75" s="108"/>
      <c r="AV75" s="108"/>
      <c r="AW75" s="108"/>
      <c r="AX75" s="108"/>
      <c r="AY75" s="108"/>
      <c r="AZ75" s="108"/>
      <c r="BA75" s="108"/>
      <c r="BB75" s="108"/>
      <c r="BC75" s="108"/>
      <c r="BD75" s="108"/>
      <c r="BE75" s="108"/>
      <c r="BF75" s="108"/>
      <c r="BG75" s="108"/>
      <c r="BH75" s="108"/>
      <c r="BI75" s="108"/>
      <c r="BJ75" s="108"/>
      <c r="BK75" s="108"/>
      <c r="BL75" s="108"/>
      <c r="BM75" s="108"/>
      <c r="BN75" s="108"/>
      <c r="BO75" s="108"/>
      <c r="BP75" s="108"/>
      <c r="BQ75" s="108"/>
      <c r="BR75" s="108"/>
      <c r="BS75" s="108"/>
      <c r="BT75" s="108"/>
      <c r="BU75" s="108"/>
      <c r="BV75" s="108"/>
      <c r="BW75" s="108"/>
      <c r="BX75" s="108"/>
      <c r="BY75" s="108"/>
      <c r="BZ75" s="108"/>
      <c r="CA75" s="108"/>
      <c r="CB75" s="108"/>
      <c r="CC75" s="108"/>
      <c r="CD75" s="108"/>
      <c r="CE75" s="108"/>
      <c r="CF75" s="108"/>
      <c r="CG75" s="108"/>
      <c r="CH75" s="108"/>
      <c r="CI75" s="108"/>
      <c r="CJ75" s="108"/>
      <c r="CK75" s="108"/>
      <c r="CL75" s="108"/>
      <c r="CM75" s="108"/>
      <c r="CN75" s="108"/>
      <c r="CO75" s="108"/>
      <c r="CP75" s="108"/>
      <c r="CQ75" s="108"/>
      <c r="CR75" s="108"/>
      <c r="CS75" s="108"/>
      <c r="CT75" s="108"/>
      <c r="CU75" s="108"/>
      <c r="CV75" s="108"/>
      <c r="CW75" s="108"/>
      <c r="CX75" s="108"/>
      <c r="CY75" s="108"/>
      <c r="CZ75" s="108"/>
      <c r="DA75" s="108"/>
      <c r="DB75" s="108"/>
      <c r="DC75" s="108"/>
      <c r="DD75" s="108"/>
      <c r="DE75" s="108"/>
      <c r="DF75" s="108"/>
      <c r="DG75" s="108"/>
      <c r="DH75" s="108"/>
      <c r="DI75" s="108"/>
      <c r="DJ75" s="108"/>
      <c r="DK75" s="108"/>
      <c r="DL75" s="108"/>
      <c r="DM75" s="108"/>
      <c r="DN75" s="108"/>
      <c r="DO75" s="108"/>
      <c r="DP75" s="108"/>
      <c r="DQ75" s="108"/>
      <c r="DR75" s="108"/>
      <c r="DS75" s="108"/>
      <c r="DT75" s="108"/>
      <c r="DU75" s="108"/>
      <c r="DV75" s="108"/>
      <c r="DW75" s="108"/>
      <c r="DX75" s="108"/>
      <c r="DY75" s="108"/>
      <c r="DZ75" s="108"/>
      <c r="EA75" s="108"/>
      <c r="EB75" s="108"/>
      <c r="EC75" s="108"/>
      <c r="ED75" s="108"/>
      <c r="EE75" s="108"/>
      <c r="EF75" s="108"/>
      <c r="EG75" s="108"/>
      <c r="EH75" s="108"/>
      <c r="EI75" s="108"/>
      <c r="EJ75" s="108"/>
      <c r="EK75" s="108"/>
      <c r="EL75" s="108"/>
      <c r="EM75" s="108"/>
      <c r="EN75" s="108"/>
      <c r="EO75" s="108"/>
      <c r="EP75" s="108"/>
      <c r="EQ75" s="108"/>
      <c r="ER75" s="108"/>
      <c r="ES75" s="108"/>
      <c r="ET75" s="108"/>
      <c r="EU75" s="108"/>
      <c r="EV75" s="108"/>
      <c r="EW75" s="108"/>
      <c r="EX75" s="108"/>
      <c r="EY75" s="108"/>
      <c r="EZ75" s="108"/>
      <c r="FA75" s="108"/>
      <c r="FB75" s="108"/>
      <c r="FC75" s="108"/>
      <c r="FD75" s="108"/>
      <c r="FE75" s="108"/>
      <c r="FF75" s="108"/>
      <c r="FG75" s="108"/>
      <c r="FH75" s="108"/>
      <c r="FI75" s="108"/>
      <c r="FJ75" s="108"/>
      <c r="FK75" s="108"/>
      <c r="FL75" s="108"/>
      <c r="FM75" s="108"/>
      <c r="FN75" s="108"/>
      <c r="FO75" s="108"/>
      <c r="FP75" s="108"/>
      <c r="FQ75" s="108"/>
      <c r="FR75" s="108"/>
      <c r="FS75" s="108"/>
      <c r="FT75" s="108"/>
      <c r="FU75" s="108"/>
      <c r="FV75" s="108"/>
      <c r="FW75" s="108"/>
      <c r="FX75" s="108"/>
      <c r="FY75" s="108"/>
      <c r="FZ75" s="108"/>
      <c r="GA75" s="108"/>
      <c r="GB75" s="108"/>
      <c r="GC75" s="108"/>
      <c r="GD75" s="108"/>
      <c r="GE75" s="108"/>
      <c r="GF75" s="108"/>
      <c r="GG75" s="108"/>
      <c r="GH75" s="108"/>
      <c r="GI75" s="108"/>
      <c r="GJ75" s="108"/>
      <c r="GK75" s="108"/>
      <c r="GL75" s="108"/>
      <c r="GM75" s="108"/>
      <c r="GN75" s="108"/>
      <c r="GO75" s="108"/>
      <c r="GP75" s="108"/>
      <c r="GQ75" s="108"/>
      <c r="GR75" s="108"/>
      <c r="GS75" s="108"/>
      <c r="GT75" s="108"/>
      <c r="GU75" s="108"/>
      <c r="GV75" s="108"/>
      <c r="GW75" s="108"/>
      <c r="GX75" s="108"/>
      <c r="GY75" s="108"/>
      <c r="GZ75" s="108"/>
      <c r="HA75" s="108"/>
      <c r="HB75" s="108"/>
      <c r="HC75" s="108"/>
      <c r="HD75" s="108"/>
      <c r="HE75" s="108"/>
      <c r="HF75" s="108"/>
      <c r="HG75" s="108"/>
      <c r="HH75" s="108"/>
      <c r="HI75" s="108"/>
      <c r="HJ75" s="108"/>
      <c r="HK75" s="108"/>
      <c r="HL75" s="108"/>
      <c r="HM75" s="108"/>
      <c r="HN75" s="108"/>
      <c r="HO75" s="108"/>
      <c r="HP75" s="108"/>
      <c r="HQ75" s="108"/>
      <c r="HR75" s="108"/>
      <c r="HS75" s="108"/>
      <c r="HT75" s="108"/>
      <c r="HU75" s="108"/>
      <c r="HV75" s="108"/>
      <c r="HW75" s="108"/>
      <c r="HX75" s="108"/>
      <c r="HY75" s="108"/>
      <c r="HZ75" s="108"/>
      <c r="IA75" s="108"/>
      <c r="IB75" s="108"/>
      <c r="IC75" s="108"/>
      <c r="ID75" s="108"/>
      <c r="IE75" s="108"/>
      <c r="IF75" s="108"/>
      <c r="IG75" s="108"/>
      <c r="IH75" s="108"/>
      <c r="II75" s="108"/>
      <c r="IJ75" s="108"/>
      <c r="IK75" s="108"/>
      <c r="IL75" s="108"/>
      <c r="IM75" s="108"/>
      <c r="IN75" s="108"/>
      <c r="IO75" s="108"/>
      <c r="IP75" s="108"/>
      <c r="IQ75" s="108"/>
      <c r="IR75" s="108"/>
      <c r="IS75" s="108"/>
      <c r="IT75" s="108"/>
      <c r="IU75" s="108"/>
      <c r="IV75" s="108"/>
      <c r="IW75" s="108"/>
    </row>
    <row r="76" spans="1:257" x14ac:dyDescent="0.3">
      <c r="A76" s="158"/>
      <c r="B76" s="158"/>
      <c r="C76" s="158"/>
      <c r="D76" s="158"/>
      <c r="E76" s="158"/>
      <c r="F76" s="158"/>
      <c r="G76" s="158"/>
      <c r="H76" s="158"/>
      <c r="I76" s="176"/>
      <c r="J76" s="158"/>
      <c r="K76" s="158"/>
      <c r="L76" s="158"/>
      <c r="M76" s="158"/>
      <c r="N76" s="158"/>
      <c r="O76" s="108"/>
      <c r="P76" s="108"/>
      <c r="Q76" s="108"/>
      <c r="R76" s="108"/>
      <c r="S76" s="108"/>
      <c r="T76" s="108"/>
      <c r="U76" s="108"/>
      <c r="V76" s="108"/>
      <c r="W76" s="108"/>
      <c r="X76" s="108"/>
      <c r="Y76" s="108"/>
      <c r="Z76" s="108"/>
      <c r="AA76" s="108"/>
      <c r="AB76" s="108"/>
      <c r="AC76" s="108"/>
      <c r="AD76" s="108"/>
      <c r="AE76" s="108"/>
      <c r="AF76" s="108"/>
      <c r="AG76" s="108"/>
      <c r="AH76" s="108"/>
      <c r="AI76" s="108"/>
      <c r="AJ76" s="108"/>
      <c r="AK76" s="108"/>
      <c r="AL76" s="108"/>
      <c r="AM76" s="108"/>
      <c r="AN76" s="108"/>
      <c r="AO76" s="108"/>
      <c r="AP76" s="108"/>
      <c r="AQ76" s="108"/>
      <c r="AR76" s="108"/>
      <c r="AS76" s="108"/>
      <c r="AT76" s="108"/>
      <c r="AU76" s="108"/>
      <c r="AV76" s="108"/>
      <c r="AW76" s="108"/>
      <c r="AX76" s="108"/>
      <c r="AY76" s="108"/>
      <c r="AZ76" s="108"/>
      <c r="BA76" s="108"/>
      <c r="BB76" s="108"/>
      <c r="BC76" s="108"/>
      <c r="BD76" s="108"/>
      <c r="BE76" s="108"/>
      <c r="BF76" s="108"/>
      <c r="BG76" s="108"/>
      <c r="BH76" s="108"/>
      <c r="BI76" s="108"/>
      <c r="BJ76" s="108"/>
      <c r="BK76" s="108"/>
      <c r="BL76" s="108"/>
      <c r="BM76" s="108"/>
      <c r="BN76" s="108"/>
      <c r="BO76" s="108"/>
      <c r="BP76" s="108"/>
      <c r="BQ76" s="108"/>
      <c r="BR76" s="108"/>
      <c r="BS76" s="108"/>
      <c r="BT76" s="108"/>
      <c r="BU76" s="108"/>
      <c r="BV76" s="108"/>
      <c r="BW76" s="108"/>
      <c r="BX76" s="108"/>
      <c r="BY76" s="108"/>
      <c r="BZ76" s="108"/>
      <c r="CA76" s="108"/>
      <c r="CB76" s="108"/>
      <c r="CC76" s="108"/>
      <c r="CD76" s="108"/>
      <c r="CE76" s="108"/>
      <c r="CF76" s="108"/>
      <c r="CG76" s="108"/>
      <c r="CH76" s="108"/>
      <c r="CI76" s="108"/>
      <c r="CJ76" s="108"/>
      <c r="CK76" s="108"/>
      <c r="CL76" s="108"/>
      <c r="CM76" s="108"/>
      <c r="CN76" s="108"/>
      <c r="CO76" s="108"/>
      <c r="CP76" s="108"/>
      <c r="CQ76" s="108"/>
      <c r="CR76" s="108"/>
      <c r="CS76" s="108"/>
      <c r="CT76" s="108"/>
      <c r="CU76" s="108"/>
      <c r="CV76" s="108"/>
      <c r="CW76" s="108"/>
      <c r="CX76" s="108"/>
      <c r="CY76" s="108"/>
      <c r="CZ76" s="108"/>
      <c r="DA76" s="108"/>
      <c r="DB76" s="108"/>
      <c r="DC76" s="108"/>
      <c r="DD76" s="108"/>
      <c r="DE76" s="108"/>
      <c r="DF76" s="108"/>
      <c r="DG76" s="108"/>
      <c r="DH76" s="108"/>
      <c r="DI76" s="108"/>
      <c r="DJ76" s="108"/>
      <c r="DK76" s="108"/>
      <c r="DL76" s="108"/>
      <c r="DM76" s="108"/>
      <c r="DN76" s="108"/>
      <c r="DO76" s="108"/>
      <c r="DP76" s="108"/>
      <c r="DQ76" s="108"/>
      <c r="DR76" s="108"/>
      <c r="DS76" s="108"/>
      <c r="DT76" s="108"/>
      <c r="DU76" s="108"/>
      <c r="DV76" s="108"/>
      <c r="DW76" s="108"/>
      <c r="DX76" s="108"/>
      <c r="DY76" s="108"/>
      <c r="DZ76" s="108"/>
      <c r="EA76" s="108"/>
      <c r="EB76" s="108"/>
      <c r="EC76" s="108"/>
      <c r="ED76" s="108"/>
      <c r="EE76" s="108"/>
      <c r="EF76" s="108"/>
      <c r="EG76" s="108"/>
      <c r="EH76" s="108"/>
      <c r="EI76" s="108"/>
      <c r="EJ76" s="108"/>
      <c r="EK76" s="108"/>
      <c r="EL76" s="108"/>
      <c r="EM76" s="108"/>
      <c r="EN76" s="108"/>
      <c r="EO76" s="108"/>
      <c r="EP76" s="108"/>
      <c r="EQ76" s="108"/>
      <c r="ER76" s="108"/>
      <c r="ES76" s="108"/>
      <c r="ET76" s="108"/>
      <c r="EU76" s="108"/>
      <c r="EV76" s="108"/>
      <c r="EW76" s="108"/>
      <c r="EX76" s="108"/>
      <c r="EY76" s="108"/>
      <c r="EZ76" s="108"/>
      <c r="FA76" s="108"/>
      <c r="FB76" s="108"/>
      <c r="FC76" s="108"/>
      <c r="FD76" s="108"/>
      <c r="FE76" s="108"/>
      <c r="FF76" s="108"/>
      <c r="FG76" s="108"/>
      <c r="FH76" s="108"/>
      <c r="FI76" s="108"/>
      <c r="FJ76" s="108"/>
      <c r="FK76" s="108"/>
      <c r="FL76" s="108"/>
      <c r="FM76" s="108"/>
      <c r="FN76" s="108"/>
      <c r="FO76" s="108"/>
      <c r="FP76" s="108"/>
      <c r="FQ76" s="108"/>
      <c r="FR76" s="108"/>
      <c r="FS76" s="108"/>
      <c r="FT76" s="108"/>
      <c r="FU76" s="108"/>
      <c r="FV76" s="108"/>
      <c r="FW76" s="108"/>
      <c r="FX76" s="108"/>
      <c r="FY76" s="108"/>
      <c r="FZ76" s="108"/>
      <c r="GA76" s="108"/>
      <c r="GB76" s="108"/>
      <c r="GC76" s="108"/>
      <c r="GD76" s="108"/>
      <c r="GE76" s="108"/>
      <c r="GF76" s="108"/>
      <c r="GG76" s="108"/>
      <c r="GH76" s="108"/>
      <c r="GI76" s="108"/>
      <c r="GJ76" s="108"/>
      <c r="GK76" s="108"/>
      <c r="GL76" s="108"/>
      <c r="GM76" s="108"/>
      <c r="GN76" s="108"/>
      <c r="GO76" s="108"/>
      <c r="GP76" s="108"/>
      <c r="GQ76" s="108"/>
      <c r="GR76" s="108"/>
      <c r="GS76" s="108"/>
      <c r="GT76" s="108"/>
      <c r="GU76" s="108"/>
      <c r="GV76" s="108"/>
      <c r="GW76" s="108"/>
      <c r="GX76" s="108"/>
      <c r="GY76" s="108"/>
      <c r="GZ76" s="108"/>
      <c r="HA76" s="108"/>
      <c r="HB76" s="108"/>
      <c r="HC76" s="108"/>
      <c r="HD76" s="108"/>
      <c r="HE76" s="108"/>
      <c r="HF76" s="108"/>
      <c r="HG76" s="108"/>
      <c r="HH76" s="108"/>
      <c r="HI76" s="108"/>
      <c r="HJ76" s="108"/>
      <c r="HK76" s="108"/>
      <c r="HL76" s="108"/>
      <c r="HM76" s="108"/>
      <c r="HN76" s="108"/>
      <c r="HO76" s="108"/>
      <c r="HP76" s="108"/>
      <c r="HQ76" s="108"/>
      <c r="HR76" s="108"/>
      <c r="HS76" s="108"/>
      <c r="HT76" s="108"/>
      <c r="HU76" s="108"/>
      <c r="HV76" s="108"/>
      <c r="HW76" s="108"/>
      <c r="HX76" s="108"/>
      <c r="HY76" s="108"/>
      <c r="HZ76" s="108"/>
      <c r="IA76" s="108"/>
      <c r="IB76" s="108"/>
      <c r="IC76" s="108"/>
      <c r="ID76" s="108"/>
      <c r="IE76" s="108"/>
      <c r="IF76" s="108"/>
      <c r="IG76" s="108"/>
      <c r="IH76" s="108"/>
      <c r="II76" s="108"/>
      <c r="IJ76" s="108"/>
      <c r="IK76" s="108"/>
      <c r="IL76" s="108"/>
      <c r="IM76" s="108"/>
      <c r="IN76" s="108"/>
      <c r="IO76" s="108"/>
      <c r="IP76" s="108"/>
      <c r="IQ76" s="108"/>
      <c r="IR76" s="108"/>
      <c r="IS76" s="108"/>
      <c r="IT76" s="108"/>
      <c r="IU76" s="108"/>
      <c r="IV76" s="108"/>
      <c r="IW76" s="108"/>
    </row>
    <row r="77" spans="1:257" x14ac:dyDescent="0.3">
      <c r="A77" s="158"/>
      <c r="B77" s="158"/>
      <c r="C77" s="158"/>
      <c r="D77" s="158"/>
      <c r="E77" s="158"/>
      <c r="F77" s="158"/>
      <c r="G77" s="158"/>
      <c r="H77" s="158"/>
      <c r="I77" s="176"/>
      <c r="J77" s="158"/>
      <c r="K77" s="158"/>
      <c r="L77" s="158"/>
      <c r="M77" s="158"/>
      <c r="N77" s="158"/>
      <c r="O77" s="108"/>
      <c r="P77" s="108"/>
      <c r="Q77" s="108"/>
      <c r="R77" s="108"/>
      <c r="S77" s="108"/>
      <c r="T77" s="108"/>
      <c r="U77" s="108"/>
      <c r="V77" s="108"/>
      <c r="W77" s="108"/>
      <c r="X77" s="108"/>
      <c r="Y77" s="108"/>
      <c r="Z77" s="108"/>
      <c r="AA77" s="108"/>
      <c r="AB77" s="108"/>
      <c r="AC77" s="108"/>
      <c r="AD77" s="108"/>
      <c r="AE77" s="108"/>
      <c r="AF77" s="108"/>
      <c r="AG77" s="108"/>
      <c r="AH77" s="108"/>
      <c r="AI77" s="108"/>
      <c r="AJ77" s="108"/>
      <c r="AK77" s="108"/>
      <c r="AL77" s="108"/>
      <c r="AM77" s="108"/>
      <c r="AN77" s="108"/>
      <c r="AO77" s="108"/>
      <c r="AP77" s="108"/>
      <c r="AQ77" s="108"/>
      <c r="AR77" s="108"/>
      <c r="AS77" s="108"/>
      <c r="AT77" s="108"/>
      <c r="AU77" s="108"/>
      <c r="AV77" s="108"/>
      <c r="AW77" s="108"/>
      <c r="AX77" s="108"/>
      <c r="AY77" s="108"/>
      <c r="AZ77" s="108"/>
      <c r="BA77" s="108"/>
      <c r="BB77" s="108"/>
      <c r="BC77" s="108"/>
      <c r="BD77" s="108"/>
      <c r="BE77" s="108"/>
      <c r="BF77" s="108"/>
      <c r="BG77" s="108"/>
      <c r="BH77" s="108"/>
      <c r="BI77" s="108"/>
      <c r="BJ77" s="108"/>
      <c r="BK77" s="108"/>
      <c r="BL77" s="108"/>
      <c r="BM77" s="108"/>
      <c r="BN77" s="108"/>
      <c r="BO77" s="108"/>
      <c r="BP77" s="108"/>
      <c r="BQ77" s="108"/>
      <c r="BR77" s="108"/>
      <c r="BS77" s="108"/>
      <c r="BT77" s="108"/>
      <c r="BU77" s="108"/>
      <c r="BV77" s="108"/>
      <c r="BW77" s="108"/>
      <c r="BX77" s="108"/>
      <c r="BY77" s="108"/>
      <c r="BZ77" s="108"/>
      <c r="CA77" s="108"/>
      <c r="CB77" s="108"/>
      <c r="CC77" s="108"/>
      <c r="CD77" s="108"/>
      <c r="CE77" s="108"/>
      <c r="CF77" s="108"/>
      <c r="CG77" s="108"/>
      <c r="CH77" s="108"/>
      <c r="CI77" s="108"/>
      <c r="CJ77" s="108"/>
      <c r="CK77" s="108"/>
      <c r="CL77" s="108"/>
      <c r="CM77" s="108"/>
      <c r="CN77" s="108"/>
      <c r="CO77" s="108"/>
      <c r="CP77" s="108"/>
      <c r="CQ77" s="108"/>
      <c r="CR77" s="108"/>
      <c r="CS77" s="108"/>
      <c r="CT77" s="108"/>
      <c r="CU77" s="108"/>
      <c r="CV77" s="108"/>
      <c r="CW77" s="108"/>
      <c r="CX77" s="108"/>
      <c r="CY77" s="108"/>
      <c r="CZ77" s="108"/>
      <c r="DA77" s="108"/>
      <c r="DB77" s="108"/>
      <c r="DC77" s="108"/>
      <c r="DD77" s="108"/>
      <c r="DE77" s="108"/>
      <c r="DF77" s="108"/>
      <c r="DG77" s="108"/>
      <c r="DH77" s="108"/>
      <c r="DI77" s="108"/>
      <c r="DJ77" s="108"/>
      <c r="DK77" s="108"/>
      <c r="DL77" s="108"/>
      <c r="DM77" s="108"/>
      <c r="DN77" s="108"/>
      <c r="DO77" s="108"/>
      <c r="DP77" s="108"/>
      <c r="DQ77" s="108"/>
      <c r="DR77" s="108"/>
      <c r="DS77" s="108"/>
      <c r="DT77" s="108"/>
      <c r="DU77" s="108"/>
      <c r="DV77" s="108"/>
      <c r="DW77" s="108"/>
      <c r="DX77" s="108"/>
      <c r="DY77" s="108"/>
      <c r="DZ77" s="108"/>
      <c r="EA77" s="108"/>
      <c r="EB77" s="108"/>
      <c r="EC77" s="108"/>
      <c r="ED77" s="108"/>
      <c r="EE77" s="108"/>
      <c r="EF77" s="108"/>
      <c r="EG77" s="108"/>
      <c r="EH77" s="108"/>
      <c r="EI77" s="108"/>
      <c r="EJ77" s="108"/>
      <c r="EK77" s="108"/>
      <c r="EL77" s="108"/>
      <c r="EM77" s="108"/>
      <c r="EN77" s="108"/>
      <c r="EO77" s="108"/>
      <c r="EP77" s="108"/>
      <c r="EQ77" s="108"/>
      <c r="ER77" s="108"/>
      <c r="ES77" s="108"/>
      <c r="ET77" s="108"/>
      <c r="EU77" s="108"/>
      <c r="EV77" s="108"/>
      <c r="EW77" s="108"/>
      <c r="EX77" s="108"/>
      <c r="EY77" s="108"/>
      <c r="EZ77" s="108"/>
      <c r="FA77" s="108"/>
      <c r="FB77" s="108"/>
      <c r="FC77" s="108"/>
      <c r="FD77" s="108"/>
      <c r="FE77" s="108"/>
      <c r="FF77" s="108"/>
      <c r="FG77" s="108"/>
      <c r="FH77" s="108"/>
      <c r="FI77" s="108"/>
      <c r="FJ77" s="108"/>
      <c r="FK77" s="108"/>
      <c r="FL77" s="108"/>
      <c r="FM77" s="108"/>
      <c r="FN77" s="108"/>
      <c r="FO77" s="108"/>
      <c r="FP77" s="108"/>
      <c r="FQ77" s="108"/>
      <c r="FR77" s="108"/>
      <c r="FS77" s="108"/>
      <c r="FT77" s="108"/>
      <c r="FU77" s="108"/>
      <c r="FV77" s="108"/>
      <c r="FW77" s="108"/>
      <c r="FX77" s="108"/>
      <c r="FY77" s="108"/>
      <c r="FZ77" s="108"/>
      <c r="GA77" s="108"/>
      <c r="GB77" s="108"/>
      <c r="GC77" s="108"/>
      <c r="GD77" s="108"/>
      <c r="GE77" s="108"/>
      <c r="GF77" s="108"/>
      <c r="GG77" s="108"/>
      <c r="GH77" s="108"/>
      <c r="GI77" s="108"/>
      <c r="GJ77" s="108"/>
      <c r="GK77" s="108"/>
      <c r="GL77" s="108"/>
      <c r="GM77" s="108"/>
      <c r="GN77" s="108"/>
      <c r="GO77" s="108"/>
      <c r="GP77" s="108"/>
      <c r="GQ77" s="108"/>
      <c r="GR77" s="108"/>
      <c r="GS77" s="108"/>
      <c r="GT77" s="108"/>
      <c r="GU77" s="108"/>
      <c r="GV77" s="108"/>
      <c r="GW77" s="108"/>
      <c r="GX77" s="108"/>
      <c r="GY77" s="108"/>
      <c r="GZ77" s="108"/>
      <c r="HA77" s="108"/>
      <c r="HB77" s="108"/>
      <c r="HC77" s="108"/>
      <c r="HD77" s="108"/>
      <c r="HE77" s="108"/>
      <c r="HF77" s="108"/>
      <c r="HG77" s="108"/>
      <c r="HH77" s="108"/>
      <c r="HI77" s="108"/>
      <c r="HJ77" s="108"/>
      <c r="HK77" s="108"/>
      <c r="HL77" s="108"/>
      <c r="HM77" s="108"/>
      <c r="HN77" s="108"/>
      <c r="HO77" s="108"/>
      <c r="HP77" s="108"/>
      <c r="HQ77" s="108"/>
      <c r="HR77" s="108"/>
      <c r="HS77" s="108"/>
      <c r="HT77" s="108"/>
      <c r="HU77" s="108"/>
      <c r="HV77" s="108"/>
      <c r="HW77" s="108"/>
      <c r="HX77" s="108"/>
      <c r="HY77" s="108"/>
      <c r="HZ77" s="108"/>
      <c r="IA77" s="108"/>
      <c r="IB77" s="108"/>
      <c r="IC77" s="108"/>
      <c r="ID77" s="108"/>
      <c r="IE77" s="108"/>
      <c r="IF77" s="108"/>
      <c r="IG77" s="108"/>
      <c r="IH77" s="108"/>
      <c r="II77" s="108"/>
      <c r="IJ77" s="108"/>
      <c r="IK77" s="108"/>
      <c r="IL77" s="108"/>
      <c r="IM77" s="108"/>
      <c r="IN77" s="108"/>
      <c r="IO77" s="108"/>
      <c r="IP77" s="108"/>
      <c r="IQ77" s="108"/>
      <c r="IR77" s="108"/>
      <c r="IS77" s="108"/>
      <c r="IT77" s="108"/>
      <c r="IU77" s="108"/>
      <c r="IV77" s="108"/>
      <c r="IW77" s="108"/>
    </row>
    <row r="78" spans="1:257" x14ac:dyDescent="0.3">
      <c r="A78" s="158"/>
      <c r="B78" s="158"/>
      <c r="C78" s="158"/>
      <c r="D78" s="158"/>
      <c r="E78" s="158"/>
      <c r="F78" s="158"/>
      <c r="G78" s="158"/>
      <c r="H78" s="158"/>
      <c r="I78" s="176"/>
      <c r="J78" s="158"/>
      <c r="K78" s="158"/>
      <c r="L78" s="158"/>
      <c r="M78" s="158"/>
      <c r="N78" s="158"/>
      <c r="O78" s="108"/>
      <c r="P78" s="108"/>
      <c r="Q78" s="108"/>
      <c r="R78" s="108"/>
      <c r="S78" s="108"/>
      <c r="T78" s="108"/>
      <c r="U78" s="108"/>
      <c r="V78" s="108"/>
      <c r="W78" s="108"/>
      <c r="X78" s="108"/>
      <c r="Y78" s="108"/>
      <c r="Z78" s="108"/>
      <c r="AA78" s="108"/>
      <c r="AB78" s="108"/>
      <c r="AC78" s="108"/>
      <c r="AD78" s="108"/>
      <c r="AE78" s="108"/>
      <c r="AF78" s="108"/>
      <c r="AG78" s="108"/>
      <c r="AH78" s="108"/>
      <c r="AI78" s="108"/>
      <c r="AJ78" s="108"/>
      <c r="AK78" s="108"/>
      <c r="AL78" s="108"/>
      <c r="AM78" s="108"/>
      <c r="AN78" s="108"/>
      <c r="AO78" s="108"/>
      <c r="AP78" s="108"/>
      <c r="AQ78" s="108"/>
      <c r="AR78" s="108"/>
      <c r="AS78" s="108"/>
      <c r="AT78" s="108"/>
      <c r="AU78" s="108"/>
      <c r="AV78" s="108"/>
      <c r="AW78" s="108"/>
      <c r="AX78" s="108"/>
      <c r="AY78" s="108"/>
      <c r="AZ78" s="108"/>
      <c r="BA78" s="108"/>
      <c r="BB78" s="108"/>
      <c r="BC78" s="108"/>
      <c r="BD78" s="108"/>
      <c r="BE78" s="108"/>
      <c r="BF78" s="108"/>
      <c r="BG78" s="108"/>
      <c r="BH78" s="108"/>
      <c r="BI78" s="108"/>
      <c r="BJ78" s="108"/>
      <c r="BK78" s="108"/>
      <c r="BL78" s="108"/>
      <c r="BM78" s="108"/>
      <c r="BN78" s="108"/>
      <c r="BO78" s="108"/>
      <c r="BP78" s="108"/>
      <c r="BQ78" s="108"/>
      <c r="BR78" s="108"/>
      <c r="BS78" s="108"/>
      <c r="BT78" s="108"/>
      <c r="BU78" s="108"/>
      <c r="BV78" s="108"/>
      <c r="BW78" s="108"/>
      <c r="BX78" s="108"/>
      <c r="BY78" s="108"/>
      <c r="BZ78" s="108"/>
      <c r="CA78" s="108"/>
      <c r="CB78" s="108"/>
      <c r="CC78" s="108"/>
      <c r="CD78" s="108"/>
      <c r="CE78" s="108"/>
      <c r="CF78" s="108"/>
      <c r="CG78" s="108"/>
      <c r="CH78" s="108"/>
      <c r="CI78" s="108"/>
      <c r="CJ78" s="108"/>
      <c r="CK78" s="108"/>
      <c r="CL78" s="108"/>
      <c r="CM78" s="108"/>
      <c r="CN78" s="108"/>
      <c r="CO78" s="108"/>
      <c r="CP78" s="108"/>
      <c r="CQ78" s="108"/>
      <c r="CR78" s="108"/>
      <c r="CS78" s="108"/>
      <c r="CT78" s="108"/>
      <c r="CU78" s="108"/>
      <c r="CV78" s="108"/>
      <c r="CW78" s="108"/>
      <c r="CX78" s="108"/>
      <c r="CY78" s="108"/>
      <c r="CZ78" s="108"/>
      <c r="DA78" s="108"/>
      <c r="DB78" s="108"/>
      <c r="DC78" s="108"/>
      <c r="DD78" s="108"/>
      <c r="DE78" s="108"/>
      <c r="DF78" s="108"/>
      <c r="DG78" s="108"/>
      <c r="DH78" s="108"/>
      <c r="DI78" s="108"/>
      <c r="DJ78" s="108"/>
      <c r="DK78" s="108"/>
      <c r="DL78" s="108"/>
      <c r="DM78" s="108"/>
      <c r="DN78" s="108"/>
      <c r="DO78" s="108"/>
      <c r="DP78" s="108"/>
      <c r="DQ78" s="108"/>
      <c r="DR78" s="108"/>
      <c r="DS78" s="108"/>
      <c r="DT78" s="108"/>
      <c r="DU78" s="108"/>
      <c r="DV78" s="108"/>
      <c r="DW78" s="108"/>
      <c r="DX78" s="108"/>
      <c r="DY78" s="108"/>
      <c r="DZ78" s="108"/>
      <c r="EA78" s="108"/>
      <c r="EB78" s="108"/>
      <c r="EC78" s="108"/>
      <c r="ED78" s="108"/>
      <c r="EE78" s="108"/>
      <c r="EF78" s="108"/>
      <c r="EG78" s="108"/>
      <c r="EH78" s="108"/>
      <c r="EI78" s="108"/>
      <c r="EJ78" s="108"/>
      <c r="EK78" s="108"/>
      <c r="EL78" s="108"/>
      <c r="EM78" s="108"/>
      <c r="EN78" s="108"/>
      <c r="EO78" s="108"/>
      <c r="EP78" s="108"/>
      <c r="EQ78" s="108"/>
      <c r="ER78" s="108"/>
      <c r="ES78" s="108"/>
      <c r="ET78" s="108"/>
      <c r="EU78" s="108"/>
      <c r="EV78" s="108"/>
      <c r="EW78" s="108"/>
      <c r="EX78" s="108"/>
      <c r="EY78" s="108"/>
      <c r="EZ78" s="108"/>
      <c r="FA78" s="108"/>
      <c r="FB78" s="108"/>
      <c r="FC78" s="108"/>
      <c r="FD78" s="108"/>
      <c r="FE78" s="108"/>
      <c r="FF78" s="108"/>
      <c r="FG78" s="108"/>
      <c r="FH78" s="108"/>
      <c r="FI78" s="108"/>
      <c r="FJ78" s="108"/>
      <c r="FK78" s="108"/>
      <c r="FL78" s="108"/>
      <c r="FM78" s="108"/>
      <c r="FN78" s="108"/>
      <c r="FO78" s="108"/>
      <c r="FP78" s="108"/>
      <c r="FQ78" s="108"/>
      <c r="FR78" s="108"/>
      <c r="FS78" s="108"/>
      <c r="FT78" s="108"/>
      <c r="FU78" s="108"/>
      <c r="FV78" s="108"/>
      <c r="FW78" s="108"/>
      <c r="FX78" s="108"/>
      <c r="FY78" s="108"/>
      <c r="FZ78" s="108"/>
      <c r="GA78" s="108"/>
      <c r="GB78" s="108"/>
      <c r="GC78" s="108"/>
      <c r="GD78" s="108"/>
      <c r="GE78" s="108"/>
      <c r="GF78" s="108"/>
      <c r="GG78" s="108"/>
      <c r="GH78" s="108"/>
      <c r="GI78" s="108"/>
      <c r="GJ78" s="108"/>
      <c r="GK78" s="108"/>
      <c r="GL78" s="108"/>
      <c r="GM78" s="108"/>
      <c r="GN78" s="108"/>
      <c r="GO78" s="108"/>
      <c r="GP78" s="108"/>
      <c r="GQ78" s="108"/>
      <c r="GR78" s="108"/>
      <c r="GS78" s="108"/>
      <c r="GT78" s="108"/>
      <c r="GU78" s="108"/>
      <c r="GV78" s="108"/>
      <c r="GW78" s="108"/>
      <c r="GX78" s="108"/>
      <c r="GY78" s="108"/>
      <c r="GZ78" s="108"/>
      <c r="HA78" s="108"/>
      <c r="HB78" s="108"/>
      <c r="HC78" s="108"/>
      <c r="HD78" s="108"/>
      <c r="HE78" s="108"/>
      <c r="HF78" s="108"/>
      <c r="HG78" s="108"/>
      <c r="HH78" s="108"/>
      <c r="HI78" s="108"/>
      <c r="HJ78" s="108"/>
      <c r="HK78" s="108"/>
      <c r="HL78" s="108"/>
      <c r="HM78" s="108"/>
      <c r="HN78" s="108"/>
      <c r="HO78" s="108"/>
      <c r="HP78" s="108"/>
      <c r="HQ78" s="108"/>
      <c r="HR78" s="108"/>
      <c r="HS78" s="108"/>
      <c r="HT78" s="108"/>
      <c r="HU78" s="108"/>
      <c r="HV78" s="108"/>
      <c r="HW78" s="108"/>
      <c r="HX78" s="108"/>
      <c r="HY78" s="108"/>
      <c r="HZ78" s="108"/>
      <c r="IA78" s="108"/>
      <c r="IB78" s="108"/>
      <c r="IC78" s="108"/>
      <c r="ID78" s="108"/>
      <c r="IE78" s="108"/>
      <c r="IF78" s="108"/>
      <c r="IG78" s="108"/>
      <c r="IH78" s="108"/>
      <c r="II78" s="108"/>
      <c r="IJ78" s="108"/>
      <c r="IK78" s="108"/>
      <c r="IL78" s="108"/>
      <c r="IM78" s="108"/>
      <c r="IN78" s="108"/>
      <c r="IO78" s="108"/>
      <c r="IP78" s="108"/>
      <c r="IQ78" s="108"/>
      <c r="IR78" s="108"/>
      <c r="IS78" s="108"/>
      <c r="IT78" s="108"/>
      <c r="IU78" s="108"/>
      <c r="IV78" s="108"/>
      <c r="IW78" s="108"/>
    </row>
    <row r="79" spans="1:257" x14ac:dyDescent="0.3">
      <c r="A79" s="158"/>
      <c r="B79" s="158"/>
      <c r="C79" s="158"/>
      <c r="D79" s="158"/>
      <c r="E79" s="158"/>
      <c r="F79" s="158"/>
      <c r="G79" s="158"/>
      <c r="H79" s="158"/>
      <c r="I79" s="176"/>
      <c r="J79" s="158"/>
      <c r="K79" s="158"/>
      <c r="L79" s="158"/>
      <c r="M79" s="158"/>
      <c r="N79" s="158"/>
      <c r="O79" s="108"/>
      <c r="P79" s="108"/>
      <c r="Q79" s="108"/>
      <c r="R79" s="108"/>
      <c r="S79" s="108"/>
      <c r="T79" s="108"/>
      <c r="U79" s="108"/>
      <c r="V79" s="108"/>
      <c r="W79" s="108"/>
      <c r="X79" s="108"/>
      <c r="Y79" s="108"/>
      <c r="Z79" s="108"/>
      <c r="AA79" s="108"/>
      <c r="AB79" s="108"/>
      <c r="AC79" s="108"/>
      <c r="AD79" s="108"/>
      <c r="AE79" s="108"/>
      <c r="AF79" s="108"/>
      <c r="AG79" s="108"/>
      <c r="AH79" s="108"/>
      <c r="AI79" s="108"/>
      <c r="AJ79" s="108"/>
      <c r="AK79" s="108"/>
      <c r="AL79" s="108"/>
      <c r="AM79" s="108"/>
      <c r="AN79" s="108"/>
      <c r="AO79" s="108"/>
      <c r="AP79" s="108"/>
      <c r="AQ79" s="108"/>
      <c r="AR79" s="108"/>
      <c r="AS79" s="108"/>
      <c r="AT79" s="108"/>
      <c r="AU79" s="108"/>
      <c r="AV79" s="108"/>
      <c r="AW79" s="108"/>
      <c r="AX79" s="108"/>
      <c r="AY79" s="108"/>
      <c r="AZ79" s="108"/>
      <c r="BA79" s="108"/>
      <c r="BB79" s="108"/>
      <c r="BC79" s="108"/>
      <c r="BD79" s="108"/>
      <c r="BE79" s="108"/>
      <c r="BF79" s="108"/>
      <c r="BG79" s="108"/>
      <c r="BH79" s="108"/>
      <c r="BI79" s="108"/>
      <c r="BJ79" s="108"/>
      <c r="BK79" s="108"/>
      <c r="BL79" s="108"/>
      <c r="BM79" s="108"/>
      <c r="BN79" s="108"/>
      <c r="BO79" s="108"/>
      <c r="BP79" s="108"/>
      <c r="BQ79" s="108"/>
      <c r="BR79" s="108"/>
      <c r="BS79" s="108"/>
      <c r="BT79" s="108"/>
      <c r="BU79" s="108"/>
      <c r="BV79" s="108"/>
      <c r="BW79" s="108"/>
      <c r="BX79" s="108"/>
      <c r="BY79" s="108"/>
      <c r="BZ79" s="108"/>
      <c r="CA79" s="108"/>
      <c r="CB79" s="108"/>
      <c r="CC79" s="108"/>
      <c r="CD79" s="108"/>
      <c r="CE79" s="108"/>
      <c r="CF79" s="108"/>
      <c r="CG79" s="108"/>
      <c r="CH79" s="108"/>
      <c r="CI79" s="108"/>
      <c r="CJ79" s="108"/>
      <c r="CK79" s="108"/>
      <c r="CL79" s="108"/>
      <c r="CM79" s="108"/>
      <c r="CN79" s="108"/>
      <c r="CO79" s="108"/>
      <c r="CP79" s="108"/>
      <c r="CQ79" s="108"/>
      <c r="CR79" s="108"/>
      <c r="CS79" s="108"/>
      <c r="CT79" s="108"/>
      <c r="CU79" s="108"/>
      <c r="CV79" s="108"/>
      <c r="CW79" s="108"/>
      <c r="CX79" s="108"/>
      <c r="CY79" s="108"/>
      <c r="CZ79" s="108"/>
      <c r="DA79" s="108"/>
      <c r="DB79" s="108"/>
      <c r="DC79" s="108"/>
      <c r="DD79" s="108"/>
      <c r="DE79" s="108"/>
      <c r="DF79" s="108"/>
      <c r="DG79" s="108"/>
      <c r="DH79" s="108"/>
      <c r="DI79" s="108"/>
      <c r="DJ79" s="108"/>
      <c r="DK79" s="108"/>
      <c r="DL79" s="108"/>
      <c r="DM79" s="108"/>
      <c r="DN79" s="108"/>
      <c r="DO79" s="108"/>
      <c r="DP79" s="108"/>
      <c r="DQ79" s="108"/>
      <c r="DR79" s="108"/>
      <c r="DS79" s="108"/>
      <c r="DT79" s="108"/>
      <c r="DU79" s="108"/>
      <c r="DV79" s="108"/>
      <c r="DW79" s="108"/>
      <c r="DX79" s="108"/>
      <c r="DY79" s="108"/>
      <c r="DZ79" s="108"/>
      <c r="EA79" s="108"/>
      <c r="EB79" s="108"/>
      <c r="EC79" s="108"/>
      <c r="ED79" s="108"/>
      <c r="EE79" s="108"/>
      <c r="EF79" s="108"/>
      <c r="EG79" s="108"/>
      <c r="EH79" s="108"/>
      <c r="EI79" s="108"/>
      <c r="EJ79" s="108"/>
      <c r="EK79" s="108"/>
      <c r="EL79" s="108"/>
      <c r="EM79" s="108"/>
      <c r="EN79" s="108"/>
      <c r="EO79" s="108"/>
      <c r="EP79" s="108"/>
      <c r="EQ79" s="108"/>
      <c r="ER79" s="108"/>
      <c r="ES79" s="108"/>
      <c r="ET79" s="108"/>
      <c r="EU79" s="108"/>
      <c r="EV79" s="108"/>
      <c r="EW79" s="108"/>
      <c r="EX79" s="108"/>
      <c r="EY79" s="108"/>
      <c r="EZ79" s="108"/>
      <c r="FA79" s="108"/>
      <c r="FB79" s="108"/>
      <c r="FC79" s="108"/>
      <c r="FD79" s="108"/>
      <c r="FE79" s="108"/>
      <c r="FF79" s="108"/>
      <c r="FG79" s="108"/>
      <c r="FH79" s="108"/>
      <c r="FI79" s="108"/>
      <c r="FJ79" s="108"/>
      <c r="FK79" s="108"/>
      <c r="FL79" s="108"/>
      <c r="FM79" s="108"/>
      <c r="FN79" s="108"/>
      <c r="FO79" s="108"/>
      <c r="FP79" s="108"/>
      <c r="FQ79" s="108"/>
      <c r="FR79" s="108"/>
      <c r="FS79" s="108"/>
      <c r="FT79" s="108"/>
      <c r="FU79" s="108"/>
      <c r="FV79" s="108"/>
      <c r="FW79" s="108"/>
      <c r="FX79" s="108"/>
      <c r="FY79" s="108"/>
      <c r="FZ79" s="108"/>
      <c r="GA79" s="108"/>
      <c r="GB79" s="108"/>
      <c r="GC79" s="108"/>
      <c r="GD79" s="108"/>
      <c r="GE79" s="108"/>
      <c r="GF79" s="108"/>
      <c r="GG79" s="108"/>
      <c r="GH79" s="108"/>
      <c r="GI79" s="108"/>
      <c r="GJ79" s="108"/>
      <c r="GK79" s="108"/>
      <c r="GL79" s="108"/>
      <c r="GM79" s="108"/>
      <c r="GN79" s="108"/>
      <c r="GO79" s="108"/>
      <c r="GP79" s="108"/>
      <c r="GQ79" s="108"/>
      <c r="GR79" s="108"/>
      <c r="GS79" s="108"/>
      <c r="GT79" s="108"/>
      <c r="GU79" s="108"/>
      <c r="GV79" s="108"/>
      <c r="GW79" s="108"/>
      <c r="GX79" s="108"/>
      <c r="GY79" s="108"/>
      <c r="GZ79" s="108"/>
      <c r="HA79" s="108"/>
      <c r="HB79" s="108"/>
      <c r="HC79" s="108"/>
      <c r="HD79" s="108"/>
      <c r="HE79" s="108"/>
      <c r="HF79" s="108"/>
      <c r="HG79" s="108"/>
      <c r="HH79" s="108"/>
      <c r="HI79" s="108"/>
      <c r="HJ79" s="108"/>
      <c r="HK79" s="108"/>
      <c r="HL79" s="108"/>
      <c r="HM79" s="108"/>
      <c r="HN79" s="108"/>
      <c r="HO79" s="108"/>
      <c r="HP79" s="108"/>
      <c r="HQ79" s="108"/>
      <c r="HR79" s="108"/>
      <c r="HS79" s="108"/>
      <c r="HT79" s="108"/>
      <c r="HU79" s="108"/>
      <c r="HV79" s="108"/>
      <c r="HW79" s="108"/>
      <c r="HX79" s="108"/>
      <c r="HY79" s="108"/>
      <c r="HZ79" s="108"/>
      <c r="IA79" s="108"/>
      <c r="IB79" s="108"/>
      <c r="IC79" s="108"/>
      <c r="ID79" s="108"/>
      <c r="IE79" s="108"/>
      <c r="IF79" s="108"/>
      <c r="IG79" s="108"/>
      <c r="IH79" s="108"/>
      <c r="II79" s="108"/>
      <c r="IJ79" s="108"/>
      <c r="IK79" s="108"/>
      <c r="IL79" s="108"/>
      <c r="IM79" s="108"/>
      <c r="IN79" s="108"/>
      <c r="IO79" s="108"/>
      <c r="IP79" s="108"/>
      <c r="IQ79" s="108"/>
      <c r="IR79" s="108"/>
      <c r="IS79" s="108"/>
      <c r="IT79" s="108"/>
      <c r="IU79" s="108"/>
      <c r="IV79" s="108"/>
      <c r="IW79" s="108"/>
    </row>
    <row r="80" spans="1:257" x14ac:dyDescent="0.3">
      <c r="A80" s="158"/>
      <c r="B80" s="158"/>
      <c r="C80" s="158"/>
      <c r="D80" s="158"/>
      <c r="E80" s="158"/>
      <c r="F80" s="158"/>
      <c r="G80" s="158"/>
      <c r="H80" s="158"/>
      <c r="I80" s="176"/>
      <c r="J80" s="158"/>
      <c r="K80" s="158"/>
      <c r="L80" s="158"/>
      <c r="M80" s="158"/>
      <c r="N80" s="158"/>
      <c r="O80" s="108"/>
      <c r="P80" s="108"/>
      <c r="Q80" s="108"/>
      <c r="R80" s="108"/>
      <c r="S80" s="108"/>
      <c r="T80" s="108"/>
      <c r="U80" s="108"/>
      <c r="V80" s="108"/>
      <c r="W80" s="108"/>
      <c r="X80" s="108"/>
      <c r="Y80" s="108"/>
      <c r="Z80" s="108"/>
      <c r="AA80" s="108"/>
      <c r="AB80" s="108"/>
      <c r="AC80" s="108"/>
      <c r="AD80" s="108"/>
      <c r="AE80" s="108"/>
      <c r="AF80" s="108"/>
      <c r="AG80" s="108"/>
      <c r="AH80" s="108"/>
      <c r="AI80" s="108"/>
      <c r="AJ80" s="108"/>
      <c r="AK80" s="108"/>
      <c r="AL80" s="108"/>
      <c r="AM80" s="108"/>
      <c r="AN80" s="108"/>
      <c r="AO80" s="108"/>
      <c r="AP80" s="108"/>
      <c r="AQ80" s="108"/>
      <c r="AR80" s="108"/>
      <c r="AS80" s="108"/>
      <c r="AT80" s="108"/>
      <c r="AU80" s="108"/>
      <c r="AV80" s="108"/>
      <c r="AW80" s="108"/>
      <c r="AX80" s="108"/>
      <c r="AY80" s="108"/>
      <c r="AZ80" s="108"/>
      <c r="BA80" s="108"/>
      <c r="BB80" s="108"/>
      <c r="BC80" s="108"/>
      <c r="BD80" s="108"/>
      <c r="BE80" s="108"/>
      <c r="BF80" s="108"/>
      <c r="BG80" s="108"/>
      <c r="BH80" s="108"/>
      <c r="BI80" s="108"/>
      <c r="BJ80" s="108"/>
      <c r="BK80" s="108"/>
      <c r="BL80" s="108"/>
      <c r="BM80" s="108"/>
      <c r="BN80" s="108"/>
      <c r="BO80" s="108"/>
      <c r="BP80" s="108"/>
      <c r="BQ80" s="108"/>
      <c r="BR80" s="108"/>
      <c r="BS80" s="108"/>
      <c r="BT80" s="108"/>
      <c r="BU80" s="108"/>
      <c r="BV80" s="108"/>
      <c r="BW80" s="108"/>
      <c r="BX80" s="108"/>
      <c r="BY80" s="108"/>
      <c r="BZ80" s="108"/>
      <c r="CA80" s="108"/>
      <c r="CB80" s="108"/>
      <c r="CC80" s="108"/>
      <c r="CD80" s="108"/>
      <c r="CE80" s="108"/>
      <c r="CF80" s="108"/>
      <c r="CG80" s="108"/>
      <c r="CH80" s="108"/>
      <c r="CI80" s="108"/>
      <c r="CJ80" s="108"/>
      <c r="CK80" s="108"/>
      <c r="CL80" s="108"/>
      <c r="CM80" s="108"/>
      <c r="CN80" s="108"/>
      <c r="CO80" s="108"/>
      <c r="CP80" s="108"/>
      <c r="CQ80" s="108"/>
      <c r="CR80" s="108"/>
      <c r="CS80" s="108"/>
      <c r="CT80" s="108"/>
      <c r="CU80" s="108"/>
      <c r="CV80" s="108"/>
      <c r="CW80" s="108"/>
      <c r="CX80" s="108"/>
      <c r="CY80" s="108"/>
      <c r="CZ80" s="108"/>
      <c r="DA80" s="108"/>
      <c r="DB80" s="108"/>
      <c r="DC80" s="108"/>
      <c r="DD80" s="108"/>
      <c r="DE80" s="108"/>
      <c r="DF80" s="108"/>
      <c r="DG80" s="108"/>
      <c r="DH80" s="108"/>
      <c r="DI80" s="108"/>
      <c r="DJ80" s="108"/>
      <c r="DK80" s="108"/>
      <c r="DL80" s="108"/>
      <c r="DM80" s="108"/>
      <c r="DN80" s="108"/>
      <c r="DO80" s="108"/>
      <c r="DP80" s="108"/>
      <c r="DQ80" s="108"/>
      <c r="DR80" s="108"/>
      <c r="DS80" s="108"/>
      <c r="DT80" s="108"/>
      <c r="DU80" s="108"/>
      <c r="DV80" s="108"/>
      <c r="DW80" s="108"/>
      <c r="DX80" s="108"/>
      <c r="DY80" s="108"/>
      <c r="DZ80" s="108"/>
      <c r="EA80" s="108"/>
      <c r="EB80" s="108"/>
      <c r="EC80" s="108"/>
      <c r="ED80" s="108"/>
      <c r="EE80" s="108"/>
      <c r="EF80" s="108"/>
      <c r="EG80" s="108"/>
      <c r="EH80" s="108"/>
      <c r="EI80" s="108"/>
      <c r="EJ80" s="108"/>
      <c r="EK80" s="108"/>
      <c r="EL80" s="108"/>
      <c r="EM80" s="108"/>
      <c r="EN80" s="108"/>
      <c r="EO80" s="108"/>
      <c r="EP80" s="108"/>
      <c r="EQ80" s="108"/>
      <c r="ER80" s="108"/>
      <c r="ES80" s="108"/>
      <c r="ET80" s="108"/>
      <c r="EU80" s="108"/>
      <c r="EV80" s="108"/>
      <c r="EW80" s="108"/>
      <c r="EX80" s="108"/>
      <c r="EY80" s="108"/>
      <c r="EZ80" s="108"/>
      <c r="FA80" s="108"/>
      <c r="FB80" s="108"/>
      <c r="FC80" s="108"/>
      <c r="FD80" s="108"/>
      <c r="FE80" s="108"/>
      <c r="FF80" s="108"/>
      <c r="FG80" s="108"/>
      <c r="FH80" s="108"/>
      <c r="FI80" s="108"/>
      <c r="FJ80" s="108"/>
      <c r="FK80" s="108"/>
      <c r="FL80" s="108"/>
      <c r="FM80" s="108"/>
      <c r="FN80" s="108"/>
      <c r="FO80" s="108"/>
      <c r="FP80" s="108"/>
      <c r="FQ80" s="108"/>
      <c r="FR80" s="108"/>
      <c r="FS80" s="108"/>
      <c r="FT80" s="108"/>
      <c r="FU80" s="108"/>
      <c r="FV80" s="108"/>
      <c r="FW80" s="108"/>
      <c r="FX80" s="108"/>
      <c r="FY80" s="108"/>
      <c r="FZ80" s="108"/>
      <c r="GA80" s="108"/>
      <c r="GB80" s="108"/>
      <c r="GC80" s="108"/>
      <c r="GD80" s="108"/>
      <c r="GE80" s="108"/>
      <c r="GF80" s="108"/>
      <c r="GG80" s="108"/>
      <c r="GH80" s="108"/>
      <c r="GI80" s="108"/>
      <c r="GJ80" s="108"/>
      <c r="GK80" s="108"/>
      <c r="GL80" s="108"/>
      <c r="GM80" s="108"/>
      <c r="GN80" s="108"/>
      <c r="GO80" s="108"/>
      <c r="GP80" s="108"/>
      <c r="GQ80" s="108"/>
      <c r="GR80" s="108"/>
      <c r="GS80" s="108"/>
      <c r="GT80" s="108"/>
      <c r="GU80" s="108"/>
      <c r="GV80" s="108"/>
      <c r="GW80" s="108"/>
      <c r="GX80" s="108"/>
      <c r="GY80" s="108"/>
      <c r="GZ80" s="108"/>
      <c r="HA80" s="108"/>
      <c r="HB80" s="108"/>
      <c r="HC80" s="108"/>
      <c r="HD80" s="108"/>
      <c r="HE80" s="108"/>
      <c r="HF80" s="108"/>
      <c r="HG80" s="108"/>
      <c r="HH80" s="108"/>
      <c r="HI80" s="108"/>
      <c r="HJ80" s="108"/>
      <c r="HK80" s="108"/>
      <c r="HL80" s="108"/>
      <c r="HM80" s="108"/>
      <c r="HN80" s="108"/>
      <c r="HO80" s="108"/>
      <c r="HP80" s="108"/>
      <c r="HQ80" s="108"/>
      <c r="HR80" s="108"/>
      <c r="HS80" s="108"/>
      <c r="HT80" s="108"/>
      <c r="HU80" s="108"/>
      <c r="HV80" s="108"/>
      <c r="HW80" s="108"/>
      <c r="HX80" s="108"/>
      <c r="HY80" s="108"/>
      <c r="HZ80" s="108"/>
      <c r="IA80" s="108"/>
      <c r="IB80" s="108"/>
      <c r="IC80" s="108"/>
      <c r="ID80" s="108"/>
      <c r="IE80" s="108"/>
      <c r="IF80" s="108"/>
      <c r="IG80" s="108"/>
      <c r="IH80" s="108"/>
      <c r="II80" s="108"/>
      <c r="IJ80" s="108"/>
      <c r="IK80" s="108"/>
      <c r="IL80" s="108"/>
      <c r="IM80" s="108"/>
      <c r="IN80" s="108"/>
      <c r="IO80" s="108"/>
      <c r="IP80" s="108"/>
      <c r="IQ80" s="108"/>
      <c r="IR80" s="108"/>
      <c r="IS80" s="108"/>
      <c r="IT80" s="108"/>
      <c r="IU80" s="108"/>
      <c r="IV80" s="108"/>
      <c r="IW80" s="108"/>
    </row>
    <row r="81" spans="1:257" x14ac:dyDescent="0.3">
      <c r="A81" s="158"/>
      <c r="B81" s="158"/>
      <c r="C81" s="158"/>
      <c r="D81" s="158"/>
      <c r="E81" s="158"/>
      <c r="F81" s="158"/>
      <c r="G81" s="158"/>
      <c r="H81" s="158"/>
      <c r="I81" s="176"/>
      <c r="J81" s="158"/>
      <c r="K81" s="158"/>
      <c r="L81" s="158"/>
      <c r="M81" s="158"/>
      <c r="N81" s="158"/>
      <c r="O81" s="108"/>
      <c r="P81" s="108"/>
      <c r="Q81" s="108"/>
      <c r="R81" s="108"/>
      <c r="S81" s="108"/>
      <c r="T81" s="108"/>
      <c r="U81" s="108"/>
      <c r="V81" s="108"/>
      <c r="W81" s="108"/>
      <c r="X81" s="108"/>
      <c r="Y81" s="108"/>
      <c r="Z81" s="108"/>
      <c r="AA81" s="108"/>
      <c r="AB81" s="108"/>
      <c r="AC81" s="108"/>
      <c r="AD81" s="108"/>
      <c r="AE81" s="108"/>
      <c r="AF81" s="108"/>
      <c r="AG81" s="108"/>
      <c r="AH81" s="108"/>
      <c r="AI81" s="108"/>
      <c r="AJ81" s="108"/>
      <c r="AK81" s="108"/>
      <c r="AL81" s="108"/>
      <c r="AM81" s="108"/>
      <c r="AN81" s="108"/>
      <c r="AO81" s="108"/>
      <c r="AP81" s="108"/>
      <c r="AQ81" s="108"/>
      <c r="AR81" s="108"/>
      <c r="AS81" s="108"/>
      <c r="AT81" s="108"/>
      <c r="AU81" s="108"/>
      <c r="AV81" s="108"/>
      <c r="AW81" s="108"/>
      <c r="AX81" s="108"/>
      <c r="AY81" s="108"/>
      <c r="AZ81" s="108"/>
      <c r="BA81" s="108"/>
      <c r="BB81" s="108"/>
      <c r="BC81" s="108"/>
      <c r="BD81" s="108"/>
      <c r="BE81" s="108"/>
      <c r="BF81" s="108"/>
      <c r="BG81" s="108"/>
      <c r="BH81" s="108"/>
      <c r="BI81" s="108"/>
      <c r="BJ81" s="108"/>
      <c r="BK81" s="108"/>
      <c r="BL81" s="108"/>
      <c r="BM81" s="108"/>
      <c r="BN81" s="108"/>
      <c r="BO81" s="108"/>
      <c r="BP81" s="108"/>
      <c r="BQ81" s="108"/>
      <c r="BR81" s="108"/>
      <c r="BS81" s="108"/>
      <c r="BT81" s="108"/>
      <c r="BU81" s="108"/>
      <c r="BV81" s="108"/>
      <c r="BW81" s="108"/>
      <c r="BX81" s="108"/>
      <c r="BY81" s="108"/>
      <c r="BZ81" s="108"/>
      <c r="CA81" s="108"/>
      <c r="CB81" s="108"/>
      <c r="CC81" s="108"/>
      <c r="CD81" s="108"/>
      <c r="CE81" s="108"/>
      <c r="CF81" s="108"/>
      <c r="CG81" s="108"/>
      <c r="CH81" s="108"/>
      <c r="CI81" s="108"/>
      <c r="CJ81" s="108"/>
      <c r="CK81" s="108"/>
      <c r="CL81" s="108"/>
      <c r="CM81" s="108"/>
      <c r="CN81" s="108"/>
      <c r="CO81" s="108"/>
      <c r="CP81" s="108"/>
      <c r="CQ81" s="108"/>
      <c r="CR81" s="108"/>
      <c r="CS81" s="108"/>
      <c r="CT81" s="108"/>
      <c r="CU81" s="108"/>
      <c r="CV81" s="108"/>
      <c r="CW81" s="108"/>
      <c r="CX81" s="108"/>
      <c r="CY81" s="108"/>
      <c r="CZ81" s="108"/>
      <c r="DA81" s="108"/>
      <c r="DB81" s="108"/>
      <c r="DC81" s="108"/>
      <c r="DD81" s="108"/>
      <c r="DE81" s="108"/>
      <c r="DF81" s="108"/>
      <c r="DG81" s="108"/>
      <c r="DH81" s="108"/>
      <c r="DI81" s="108"/>
      <c r="DJ81" s="108"/>
      <c r="DK81" s="108"/>
      <c r="DL81" s="108"/>
      <c r="DM81" s="108"/>
      <c r="DN81" s="108"/>
      <c r="DO81" s="108"/>
      <c r="DP81" s="108"/>
      <c r="DQ81" s="108"/>
      <c r="DR81" s="108"/>
      <c r="DS81" s="108"/>
      <c r="DT81" s="108"/>
      <c r="DU81" s="108"/>
      <c r="DV81" s="108"/>
      <c r="DW81" s="108"/>
      <c r="DX81" s="108"/>
      <c r="DY81" s="108"/>
      <c r="DZ81" s="108"/>
      <c r="EA81" s="108"/>
      <c r="EB81" s="108"/>
      <c r="EC81" s="108"/>
      <c r="ED81" s="108"/>
      <c r="EE81" s="108"/>
      <c r="EF81" s="108"/>
      <c r="EG81" s="108"/>
      <c r="EH81" s="108"/>
      <c r="EI81" s="108"/>
      <c r="EJ81" s="108"/>
      <c r="EK81" s="108"/>
      <c r="EL81" s="108"/>
      <c r="EM81" s="108"/>
      <c r="EN81" s="108"/>
      <c r="EO81" s="108"/>
      <c r="EP81" s="108"/>
      <c r="EQ81" s="108"/>
      <c r="ER81" s="108"/>
      <c r="ES81" s="108"/>
      <c r="ET81" s="108"/>
      <c r="EU81" s="108"/>
      <c r="EV81" s="108"/>
      <c r="EW81" s="108"/>
      <c r="EX81" s="108"/>
      <c r="EY81" s="108"/>
      <c r="EZ81" s="108"/>
      <c r="FA81" s="108"/>
      <c r="FB81" s="108"/>
      <c r="FC81" s="108"/>
      <c r="FD81" s="108"/>
      <c r="FE81" s="108"/>
      <c r="FF81" s="108"/>
      <c r="FG81" s="108"/>
      <c r="FH81" s="108"/>
      <c r="FI81" s="108"/>
      <c r="FJ81" s="108"/>
      <c r="FK81" s="108"/>
      <c r="FL81" s="108"/>
      <c r="FM81" s="108"/>
      <c r="FN81" s="108"/>
      <c r="FO81" s="108"/>
      <c r="FP81" s="108"/>
      <c r="FQ81" s="108"/>
      <c r="FR81" s="108"/>
      <c r="FS81" s="108"/>
      <c r="FT81" s="108"/>
      <c r="FU81" s="108"/>
      <c r="FV81" s="108"/>
      <c r="FW81" s="108"/>
      <c r="FX81" s="108"/>
      <c r="FY81" s="108"/>
      <c r="FZ81" s="108"/>
      <c r="GA81" s="108"/>
      <c r="GB81" s="108"/>
      <c r="GC81" s="108"/>
      <c r="GD81" s="108"/>
      <c r="GE81" s="108"/>
      <c r="GF81" s="108"/>
      <c r="GG81" s="108"/>
      <c r="GH81" s="108"/>
      <c r="GI81" s="108"/>
      <c r="GJ81" s="108"/>
      <c r="GK81" s="108"/>
      <c r="GL81" s="108"/>
      <c r="GM81" s="108"/>
      <c r="GN81" s="108"/>
      <c r="GO81" s="108"/>
      <c r="GP81" s="108"/>
      <c r="GQ81" s="108"/>
      <c r="GR81" s="108"/>
      <c r="GS81" s="108"/>
      <c r="GT81" s="108"/>
      <c r="GU81" s="108"/>
      <c r="GV81" s="108"/>
      <c r="GW81" s="108"/>
      <c r="GX81" s="108"/>
      <c r="GY81" s="108"/>
      <c r="GZ81" s="108"/>
      <c r="HA81" s="108"/>
      <c r="HB81" s="108"/>
      <c r="HC81" s="108"/>
      <c r="HD81" s="108"/>
      <c r="HE81" s="108"/>
      <c r="HF81" s="108"/>
      <c r="HG81" s="108"/>
      <c r="HH81" s="108"/>
      <c r="HI81" s="108"/>
      <c r="HJ81" s="108"/>
      <c r="HK81" s="108"/>
      <c r="HL81" s="108"/>
      <c r="HM81" s="108"/>
      <c r="HN81" s="108"/>
      <c r="HO81" s="108"/>
      <c r="HP81" s="108"/>
      <c r="HQ81" s="108"/>
      <c r="HR81" s="108"/>
      <c r="HS81" s="108"/>
      <c r="HT81" s="108"/>
      <c r="HU81" s="108"/>
      <c r="HV81" s="108"/>
      <c r="HW81" s="108"/>
      <c r="HX81" s="108"/>
      <c r="HY81" s="108"/>
      <c r="HZ81" s="108"/>
      <c r="IA81" s="108"/>
      <c r="IB81" s="108"/>
      <c r="IC81" s="108"/>
      <c r="ID81" s="108"/>
      <c r="IE81" s="108"/>
      <c r="IF81" s="108"/>
      <c r="IG81" s="108"/>
      <c r="IH81" s="108"/>
      <c r="II81" s="108"/>
      <c r="IJ81" s="108"/>
      <c r="IK81" s="108"/>
      <c r="IL81" s="108"/>
      <c r="IM81" s="108"/>
      <c r="IN81" s="108"/>
      <c r="IO81" s="108"/>
      <c r="IP81" s="108"/>
      <c r="IQ81" s="108"/>
      <c r="IR81" s="108"/>
      <c r="IS81" s="108"/>
      <c r="IT81" s="108"/>
      <c r="IU81" s="108"/>
      <c r="IV81" s="108"/>
      <c r="IW81" s="108"/>
    </row>
    <row r="82" spans="1:257" x14ac:dyDescent="0.3">
      <c r="A82" s="158"/>
      <c r="B82" s="158"/>
      <c r="C82" s="158"/>
      <c r="D82" s="158"/>
      <c r="E82" s="158"/>
      <c r="F82" s="158"/>
      <c r="G82" s="158"/>
      <c r="H82" s="158"/>
      <c r="I82" s="176"/>
      <c r="J82" s="158"/>
      <c r="K82" s="158"/>
      <c r="L82" s="158"/>
      <c r="M82" s="158"/>
      <c r="N82" s="158"/>
      <c r="O82" s="108"/>
      <c r="P82" s="108"/>
      <c r="Q82" s="108"/>
      <c r="R82" s="108"/>
      <c r="S82" s="108"/>
      <c r="T82" s="108"/>
      <c r="U82" s="108"/>
      <c r="V82" s="108"/>
      <c r="W82" s="108"/>
      <c r="X82" s="108"/>
      <c r="Y82" s="108"/>
      <c r="Z82" s="108"/>
      <c r="AA82" s="108"/>
      <c r="AB82" s="108"/>
      <c r="AC82" s="108"/>
      <c r="AD82" s="108"/>
      <c r="AE82" s="108"/>
      <c r="AF82" s="108"/>
      <c r="AG82" s="108"/>
      <c r="AH82" s="108"/>
      <c r="AI82" s="108"/>
      <c r="AJ82" s="108"/>
      <c r="AK82" s="108"/>
      <c r="AL82" s="108"/>
      <c r="AM82" s="108"/>
      <c r="AN82" s="108"/>
      <c r="AO82" s="108"/>
      <c r="AP82" s="108"/>
      <c r="AQ82" s="108"/>
      <c r="AR82" s="108"/>
      <c r="AS82" s="108"/>
      <c r="AT82" s="108"/>
      <c r="AU82" s="108"/>
      <c r="AV82" s="108"/>
      <c r="AW82" s="108"/>
      <c r="AX82" s="108"/>
      <c r="AY82" s="108"/>
      <c r="AZ82" s="108"/>
      <c r="BA82" s="108"/>
      <c r="BB82" s="108"/>
      <c r="BC82" s="108"/>
      <c r="BD82" s="108"/>
      <c r="BE82" s="108"/>
      <c r="BF82" s="108"/>
      <c r="BG82" s="108"/>
      <c r="BH82" s="108"/>
      <c r="BI82" s="108"/>
      <c r="BJ82" s="108"/>
      <c r="BK82" s="108"/>
      <c r="BL82" s="108"/>
      <c r="BM82" s="108"/>
      <c r="BN82" s="108"/>
      <c r="BO82" s="108"/>
      <c r="BP82" s="108"/>
      <c r="BQ82" s="108"/>
      <c r="BR82" s="108"/>
      <c r="BS82" s="108"/>
      <c r="BT82" s="108"/>
      <c r="BU82" s="108"/>
      <c r="BV82" s="108"/>
      <c r="BW82" s="108"/>
      <c r="BX82" s="108"/>
      <c r="BY82" s="108"/>
      <c r="BZ82" s="108"/>
      <c r="CA82" s="108"/>
      <c r="CB82" s="108"/>
      <c r="CC82" s="108"/>
      <c r="CD82" s="108"/>
      <c r="CE82" s="108"/>
      <c r="CF82" s="108"/>
      <c r="CG82" s="108"/>
      <c r="CH82" s="108"/>
      <c r="CI82" s="108"/>
      <c r="CJ82" s="108"/>
      <c r="CK82" s="108"/>
      <c r="CL82" s="108"/>
      <c r="CM82" s="108"/>
      <c r="CN82" s="108"/>
      <c r="CO82" s="108"/>
      <c r="CP82" s="108"/>
      <c r="CQ82" s="108"/>
      <c r="CR82" s="108"/>
      <c r="CS82" s="108"/>
      <c r="CT82" s="108"/>
      <c r="CU82" s="108"/>
      <c r="CV82" s="108"/>
      <c r="CW82" s="108"/>
      <c r="CX82" s="108"/>
      <c r="CY82" s="108"/>
      <c r="CZ82" s="108"/>
      <c r="DA82" s="108"/>
      <c r="DB82" s="108"/>
      <c r="DC82" s="108"/>
      <c r="DD82" s="108"/>
      <c r="DE82" s="108"/>
      <c r="DF82" s="108"/>
      <c r="DG82" s="108"/>
      <c r="DH82" s="108"/>
      <c r="DI82" s="108"/>
      <c r="DJ82" s="108"/>
      <c r="DK82" s="108"/>
      <c r="DL82" s="108"/>
      <c r="DM82" s="108"/>
      <c r="DN82" s="108"/>
      <c r="DO82" s="108"/>
      <c r="DP82" s="108"/>
      <c r="DQ82" s="108"/>
      <c r="DR82" s="108"/>
      <c r="DS82" s="108"/>
      <c r="DT82" s="108"/>
      <c r="DU82" s="108"/>
      <c r="DV82" s="108"/>
      <c r="DW82" s="108"/>
      <c r="DX82" s="108"/>
      <c r="DY82" s="108"/>
      <c r="DZ82" s="108"/>
      <c r="EA82" s="108"/>
      <c r="EB82" s="108"/>
      <c r="EC82" s="108"/>
      <c r="ED82" s="108"/>
      <c r="EE82" s="108"/>
      <c r="EF82" s="108"/>
      <c r="EG82" s="108"/>
      <c r="EH82" s="108"/>
      <c r="EI82" s="108"/>
      <c r="EJ82" s="108"/>
      <c r="EK82" s="108"/>
      <c r="EL82" s="108"/>
      <c r="EM82" s="108"/>
      <c r="EN82" s="108"/>
      <c r="EO82" s="108"/>
      <c r="EP82" s="108"/>
      <c r="EQ82" s="108"/>
      <c r="ER82" s="108"/>
      <c r="ES82" s="108"/>
      <c r="ET82" s="108"/>
      <c r="EU82" s="108"/>
      <c r="EV82" s="108"/>
      <c r="EW82" s="108"/>
      <c r="EX82" s="108"/>
      <c r="EY82" s="108"/>
      <c r="EZ82" s="108"/>
      <c r="FA82" s="108"/>
      <c r="FB82" s="108"/>
      <c r="FC82" s="108"/>
      <c r="FD82" s="108"/>
      <c r="FE82" s="108"/>
      <c r="FF82" s="108"/>
      <c r="FG82" s="108"/>
      <c r="FH82" s="108"/>
      <c r="FI82" s="108"/>
      <c r="FJ82" s="108"/>
      <c r="FK82" s="108"/>
      <c r="FL82" s="108"/>
      <c r="FM82" s="108"/>
      <c r="FN82" s="108"/>
      <c r="FO82" s="108"/>
      <c r="FP82" s="108"/>
      <c r="FQ82" s="108"/>
      <c r="FR82" s="108"/>
      <c r="FS82" s="108"/>
      <c r="FT82" s="108"/>
      <c r="FU82" s="108"/>
      <c r="FV82" s="108"/>
      <c r="FW82" s="108"/>
      <c r="FX82" s="108"/>
      <c r="FY82" s="108"/>
      <c r="FZ82" s="108"/>
      <c r="GA82" s="108"/>
      <c r="GB82" s="108"/>
      <c r="GC82" s="108"/>
      <c r="GD82" s="108"/>
      <c r="GE82" s="108"/>
      <c r="GF82" s="108"/>
      <c r="GG82" s="108"/>
      <c r="GH82" s="108"/>
      <c r="GI82" s="108"/>
      <c r="GJ82" s="108"/>
      <c r="GK82" s="108"/>
      <c r="GL82" s="108"/>
      <c r="GM82" s="108"/>
      <c r="GN82" s="108"/>
      <c r="GO82" s="108"/>
      <c r="GP82" s="108"/>
      <c r="GQ82" s="108"/>
      <c r="GR82" s="108"/>
      <c r="GS82" s="108"/>
      <c r="GT82" s="108"/>
      <c r="GU82" s="108"/>
      <c r="GV82" s="108"/>
      <c r="GW82" s="108"/>
      <c r="GX82" s="108"/>
      <c r="GY82" s="108"/>
      <c r="GZ82" s="108"/>
      <c r="HA82" s="108"/>
      <c r="HB82" s="108"/>
      <c r="HC82" s="108"/>
      <c r="HD82" s="108"/>
      <c r="HE82" s="108"/>
      <c r="HF82" s="108"/>
      <c r="HG82" s="108"/>
      <c r="HH82" s="108"/>
      <c r="HI82" s="108"/>
      <c r="HJ82" s="108"/>
      <c r="HK82" s="108"/>
      <c r="HL82" s="108"/>
      <c r="HM82" s="108"/>
      <c r="HN82" s="108"/>
      <c r="HO82" s="108"/>
      <c r="HP82" s="108"/>
      <c r="HQ82" s="108"/>
      <c r="HR82" s="108"/>
      <c r="HS82" s="108"/>
      <c r="HT82" s="108"/>
      <c r="HU82" s="108"/>
      <c r="HV82" s="108"/>
      <c r="HW82" s="108"/>
      <c r="HX82" s="108"/>
      <c r="HY82" s="108"/>
      <c r="HZ82" s="108"/>
      <c r="IA82" s="108"/>
      <c r="IB82" s="108"/>
      <c r="IC82" s="108"/>
      <c r="ID82" s="108"/>
      <c r="IE82" s="108"/>
      <c r="IF82" s="108"/>
      <c r="IG82" s="108"/>
      <c r="IH82" s="108"/>
      <c r="II82" s="108"/>
      <c r="IJ82" s="108"/>
      <c r="IK82" s="108"/>
      <c r="IL82" s="108"/>
      <c r="IM82" s="108"/>
      <c r="IN82" s="108"/>
      <c r="IO82" s="108"/>
      <c r="IP82" s="108"/>
      <c r="IQ82" s="108"/>
      <c r="IR82" s="108"/>
      <c r="IS82" s="108"/>
      <c r="IT82" s="108"/>
      <c r="IU82" s="108"/>
      <c r="IV82" s="108"/>
      <c r="IW82" s="108"/>
    </row>
    <row r="83" spans="1:257" x14ac:dyDescent="0.3">
      <c r="A83" s="158"/>
      <c r="B83" s="158"/>
      <c r="C83" s="158"/>
      <c r="D83" s="158"/>
      <c r="E83" s="158"/>
      <c r="F83" s="158"/>
      <c r="G83" s="158"/>
      <c r="H83" s="158"/>
      <c r="I83" s="176"/>
      <c r="J83" s="158"/>
      <c r="K83" s="158"/>
      <c r="L83" s="158"/>
      <c r="M83" s="158"/>
      <c r="N83" s="158"/>
      <c r="O83" s="108"/>
      <c r="P83" s="108"/>
      <c r="Q83" s="108"/>
      <c r="R83" s="108"/>
      <c r="S83" s="108"/>
      <c r="T83" s="108"/>
      <c r="U83" s="108"/>
      <c r="V83" s="108"/>
      <c r="W83" s="108"/>
      <c r="X83" s="108"/>
      <c r="Y83" s="108"/>
      <c r="Z83" s="108"/>
      <c r="AA83" s="108"/>
      <c r="AB83" s="108"/>
      <c r="AC83" s="108"/>
      <c r="AD83" s="108"/>
      <c r="AE83" s="108"/>
      <c r="AF83" s="108"/>
      <c r="AG83" s="108"/>
      <c r="AH83" s="108"/>
      <c r="AI83" s="108"/>
      <c r="AJ83" s="108"/>
      <c r="AK83" s="108"/>
      <c r="AL83" s="108"/>
      <c r="AM83" s="108"/>
      <c r="AN83" s="108"/>
      <c r="AO83" s="108"/>
      <c r="AP83" s="108"/>
      <c r="AQ83" s="108"/>
      <c r="AR83" s="108"/>
      <c r="AS83" s="108"/>
      <c r="AT83" s="108"/>
      <c r="AU83" s="108"/>
      <c r="AV83" s="108"/>
      <c r="AW83" s="108"/>
      <c r="AX83" s="108"/>
      <c r="AY83" s="108"/>
      <c r="AZ83" s="108"/>
      <c r="BA83" s="108"/>
      <c r="BB83" s="108"/>
      <c r="BC83" s="108"/>
      <c r="BD83" s="108"/>
      <c r="BE83" s="108"/>
      <c r="BF83" s="108"/>
      <c r="BG83" s="108"/>
      <c r="BH83" s="108"/>
      <c r="BI83" s="108"/>
      <c r="BJ83" s="108"/>
      <c r="BK83" s="108"/>
      <c r="BL83" s="108"/>
      <c r="BM83" s="108"/>
      <c r="BN83" s="108"/>
      <c r="BO83" s="108"/>
      <c r="BP83" s="108"/>
      <c r="BQ83" s="108"/>
      <c r="BR83" s="108"/>
      <c r="BS83" s="108"/>
      <c r="BT83" s="108"/>
      <c r="BU83" s="108"/>
      <c r="BV83" s="108"/>
      <c r="BW83" s="108"/>
      <c r="BX83" s="108"/>
      <c r="BY83" s="108"/>
      <c r="BZ83" s="108"/>
      <c r="CA83" s="108"/>
      <c r="CB83" s="108"/>
      <c r="CC83" s="108"/>
      <c r="CD83" s="108"/>
      <c r="CE83" s="108"/>
      <c r="CF83" s="108"/>
      <c r="CG83" s="108"/>
      <c r="CH83" s="108"/>
      <c r="CI83" s="108"/>
      <c r="CJ83" s="108"/>
      <c r="CK83" s="108"/>
      <c r="CL83" s="108"/>
      <c r="CM83" s="108"/>
      <c r="CN83" s="108"/>
      <c r="CO83" s="108"/>
      <c r="CP83" s="108"/>
      <c r="CQ83" s="108"/>
      <c r="CR83" s="108"/>
      <c r="CS83" s="108"/>
      <c r="CT83" s="108"/>
      <c r="CU83" s="108"/>
      <c r="CV83" s="108"/>
      <c r="CW83" s="108"/>
      <c r="CX83" s="108"/>
      <c r="CY83" s="108"/>
      <c r="CZ83" s="108"/>
      <c r="DA83" s="108"/>
      <c r="DB83" s="108"/>
      <c r="DC83" s="108"/>
      <c r="DD83" s="108"/>
      <c r="DE83" s="108"/>
      <c r="DF83" s="108"/>
      <c r="DG83" s="108"/>
      <c r="DH83" s="108"/>
      <c r="DI83" s="108"/>
      <c r="DJ83" s="108"/>
      <c r="DK83" s="108"/>
      <c r="DL83" s="108"/>
      <c r="DM83" s="108"/>
      <c r="DN83" s="108"/>
      <c r="DO83" s="108"/>
      <c r="DP83" s="108"/>
      <c r="DQ83" s="108"/>
      <c r="DR83" s="108"/>
      <c r="DS83" s="108"/>
      <c r="DT83" s="108"/>
      <c r="DU83" s="108"/>
      <c r="DV83" s="108"/>
      <c r="DW83" s="108"/>
      <c r="DX83" s="108"/>
      <c r="DY83" s="108"/>
      <c r="DZ83" s="108"/>
      <c r="EA83" s="108"/>
      <c r="EB83" s="108"/>
      <c r="EC83" s="108"/>
      <c r="ED83" s="108"/>
      <c r="EE83" s="108"/>
      <c r="EF83" s="108"/>
      <c r="EG83" s="108"/>
      <c r="EH83" s="108"/>
      <c r="EI83" s="108"/>
      <c r="EJ83" s="108"/>
      <c r="EK83" s="108"/>
      <c r="EL83" s="108"/>
      <c r="EM83" s="108"/>
      <c r="EN83" s="108"/>
      <c r="EO83" s="108"/>
      <c r="EP83" s="108"/>
      <c r="EQ83" s="108"/>
      <c r="ER83" s="108"/>
      <c r="ES83" s="108"/>
      <c r="ET83" s="108"/>
      <c r="EU83" s="108"/>
      <c r="EV83" s="108"/>
      <c r="EW83" s="108"/>
      <c r="EX83" s="108"/>
      <c r="EY83" s="108"/>
      <c r="EZ83" s="108"/>
      <c r="FA83" s="108"/>
      <c r="FB83" s="108"/>
      <c r="FC83" s="108"/>
      <c r="FD83" s="108"/>
      <c r="FE83" s="108"/>
      <c r="FF83" s="108"/>
      <c r="FG83" s="108"/>
      <c r="FH83" s="108"/>
      <c r="FI83" s="108"/>
      <c r="FJ83" s="108"/>
      <c r="FK83" s="108"/>
      <c r="FL83" s="108"/>
      <c r="FM83" s="108"/>
      <c r="FN83" s="108"/>
      <c r="FO83" s="108"/>
      <c r="FP83" s="108"/>
      <c r="FQ83" s="108"/>
      <c r="FR83" s="108"/>
      <c r="FS83" s="108"/>
      <c r="FT83" s="108"/>
      <c r="FU83" s="108"/>
      <c r="FV83" s="108"/>
      <c r="FW83" s="108"/>
      <c r="FX83" s="108"/>
      <c r="FY83" s="108"/>
      <c r="FZ83" s="108"/>
      <c r="GA83" s="108"/>
      <c r="GB83" s="108"/>
      <c r="GC83" s="108"/>
      <c r="GD83" s="108"/>
      <c r="GE83" s="108"/>
      <c r="GF83" s="108"/>
      <c r="GG83" s="108"/>
      <c r="GH83" s="108"/>
      <c r="GI83" s="108"/>
      <c r="GJ83" s="108"/>
      <c r="GK83" s="108"/>
      <c r="GL83" s="108"/>
      <c r="GM83" s="108"/>
      <c r="GN83" s="108"/>
      <c r="GO83" s="108"/>
      <c r="GP83" s="108"/>
      <c r="GQ83" s="108"/>
      <c r="GR83" s="108"/>
      <c r="GS83" s="108"/>
      <c r="GT83" s="108"/>
      <c r="GU83" s="108"/>
      <c r="GV83" s="108"/>
      <c r="GW83" s="108"/>
      <c r="GX83" s="108"/>
      <c r="GY83" s="108"/>
      <c r="GZ83" s="108"/>
      <c r="HA83" s="108"/>
      <c r="HB83" s="108"/>
      <c r="HC83" s="108"/>
      <c r="HD83" s="108"/>
      <c r="HE83" s="108"/>
      <c r="HF83" s="108"/>
      <c r="HG83" s="108"/>
      <c r="HH83" s="108"/>
      <c r="HI83" s="108"/>
      <c r="HJ83" s="108"/>
      <c r="HK83" s="108"/>
      <c r="HL83" s="108"/>
      <c r="HM83" s="108"/>
      <c r="HN83" s="108"/>
      <c r="HO83" s="108"/>
      <c r="HP83" s="108"/>
      <c r="HQ83" s="108"/>
      <c r="HR83" s="108"/>
      <c r="HS83" s="108"/>
      <c r="HT83" s="108"/>
      <c r="HU83" s="108"/>
      <c r="HV83" s="108"/>
      <c r="HW83" s="108"/>
      <c r="HX83" s="108"/>
      <c r="HY83" s="108"/>
      <c r="HZ83" s="108"/>
      <c r="IA83" s="108"/>
      <c r="IB83" s="108"/>
      <c r="IC83" s="108"/>
      <c r="ID83" s="108"/>
      <c r="IE83" s="108"/>
      <c r="IF83" s="108"/>
      <c r="IG83" s="108"/>
      <c r="IH83" s="108"/>
      <c r="II83" s="108"/>
      <c r="IJ83" s="108"/>
      <c r="IK83" s="108"/>
      <c r="IL83" s="108"/>
      <c r="IM83" s="108"/>
      <c r="IN83" s="108"/>
      <c r="IO83" s="108"/>
      <c r="IP83" s="108"/>
      <c r="IQ83" s="108"/>
      <c r="IR83" s="108"/>
      <c r="IS83" s="108"/>
      <c r="IT83" s="108"/>
      <c r="IU83" s="108"/>
      <c r="IV83" s="108"/>
      <c r="IW83" s="108"/>
    </row>
    <row r="84" spans="1:257" x14ac:dyDescent="0.3">
      <c r="A84" s="158"/>
      <c r="B84" s="158"/>
      <c r="C84" s="158"/>
      <c r="D84" s="158"/>
      <c r="E84" s="158"/>
      <c r="F84" s="158"/>
      <c r="G84" s="158"/>
      <c r="H84" s="158"/>
      <c r="I84" s="176"/>
      <c r="J84" s="158"/>
      <c r="K84" s="158"/>
      <c r="L84" s="158"/>
      <c r="M84" s="158"/>
      <c r="N84" s="158"/>
      <c r="O84" s="108"/>
      <c r="P84" s="108"/>
      <c r="Q84" s="108"/>
      <c r="R84" s="108"/>
      <c r="S84" s="108"/>
      <c r="T84" s="108"/>
      <c r="U84" s="108"/>
      <c r="V84" s="108"/>
      <c r="W84" s="108"/>
      <c r="X84" s="108"/>
      <c r="Y84" s="108"/>
      <c r="Z84" s="108"/>
      <c r="AA84" s="108"/>
      <c r="AB84" s="108"/>
      <c r="AC84" s="108"/>
      <c r="AD84" s="108"/>
      <c r="AE84" s="108"/>
      <c r="AF84" s="108"/>
      <c r="AG84" s="108"/>
      <c r="AH84" s="108"/>
      <c r="AI84" s="108"/>
      <c r="AJ84" s="108"/>
      <c r="AK84" s="108"/>
      <c r="AL84" s="108"/>
      <c r="AM84" s="108"/>
      <c r="AN84" s="108"/>
      <c r="AO84" s="108"/>
      <c r="AP84" s="108"/>
      <c r="AQ84" s="108"/>
      <c r="AR84" s="108"/>
      <c r="AS84" s="108"/>
      <c r="AT84" s="108"/>
      <c r="AU84" s="108"/>
      <c r="AV84" s="108"/>
      <c r="AW84" s="108"/>
      <c r="AX84" s="108"/>
      <c r="AY84" s="108"/>
      <c r="AZ84" s="108"/>
      <c r="BA84" s="108"/>
      <c r="BB84" s="108"/>
      <c r="BC84" s="108"/>
      <c r="BD84" s="108"/>
      <c r="BE84" s="108"/>
      <c r="BF84" s="108"/>
      <c r="BG84" s="108"/>
      <c r="BH84" s="108"/>
      <c r="BI84" s="108"/>
      <c r="BJ84" s="108"/>
      <c r="BK84" s="108"/>
      <c r="BL84" s="108"/>
      <c r="BM84" s="108"/>
      <c r="BN84" s="108"/>
      <c r="BO84" s="108"/>
      <c r="BP84" s="108"/>
      <c r="BQ84" s="108"/>
      <c r="BR84" s="108"/>
      <c r="BS84" s="108"/>
      <c r="BT84" s="108"/>
      <c r="BU84" s="108"/>
      <c r="BV84" s="108"/>
      <c r="BW84" s="108"/>
      <c r="BX84" s="108"/>
      <c r="BY84" s="108"/>
      <c r="BZ84" s="108"/>
      <c r="CA84" s="108"/>
      <c r="CB84" s="108"/>
      <c r="CC84" s="108"/>
      <c r="CD84" s="108"/>
      <c r="CE84" s="108"/>
      <c r="CF84" s="108"/>
      <c r="CG84" s="108"/>
      <c r="CH84" s="108"/>
      <c r="CI84" s="108"/>
      <c r="CJ84" s="108"/>
      <c r="CK84" s="108"/>
      <c r="CL84" s="108"/>
      <c r="CM84" s="108"/>
      <c r="CN84" s="108"/>
      <c r="CO84" s="108"/>
      <c r="CP84" s="108"/>
      <c r="CQ84" s="108"/>
      <c r="CR84" s="108"/>
      <c r="CS84" s="108"/>
      <c r="CT84" s="108"/>
      <c r="CU84" s="108"/>
      <c r="CV84" s="108"/>
      <c r="CW84" s="108"/>
      <c r="CX84" s="108"/>
      <c r="CY84" s="108"/>
      <c r="CZ84" s="108"/>
      <c r="DA84" s="108"/>
      <c r="DB84" s="108"/>
      <c r="DC84" s="108"/>
      <c r="DD84" s="108"/>
      <c r="DE84" s="108"/>
      <c r="DF84" s="108"/>
      <c r="DG84" s="108"/>
      <c r="DH84" s="108"/>
      <c r="DI84" s="108"/>
      <c r="DJ84" s="108"/>
      <c r="DK84" s="108"/>
      <c r="DL84" s="108"/>
      <c r="DM84" s="108"/>
      <c r="DN84" s="108"/>
      <c r="DO84" s="108"/>
      <c r="DP84" s="108"/>
      <c r="DQ84" s="108"/>
      <c r="DR84" s="108"/>
      <c r="DS84" s="108"/>
      <c r="DT84" s="108"/>
      <c r="DU84" s="108"/>
      <c r="DV84" s="108"/>
      <c r="DW84" s="108"/>
      <c r="DX84" s="108"/>
      <c r="DY84" s="108"/>
      <c r="DZ84" s="108"/>
      <c r="EA84" s="108"/>
      <c r="EB84" s="108"/>
      <c r="EC84" s="108"/>
      <c r="ED84" s="108"/>
      <c r="EE84" s="108"/>
      <c r="EF84" s="108"/>
      <c r="EG84" s="108"/>
      <c r="EH84" s="108"/>
      <c r="EI84" s="108"/>
      <c r="EJ84" s="108"/>
      <c r="EK84" s="108"/>
      <c r="EL84" s="108"/>
      <c r="EM84" s="108"/>
      <c r="EN84" s="108"/>
      <c r="EO84" s="108"/>
      <c r="EP84" s="108"/>
      <c r="EQ84" s="108"/>
      <c r="ER84" s="108"/>
      <c r="ES84" s="108"/>
      <c r="ET84" s="108"/>
      <c r="EU84" s="108"/>
      <c r="EV84" s="108"/>
      <c r="EW84" s="108"/>
      <c r="EX84" s="108"/>
      <c r="EY84" s="108"/>
      <c r="EZ84" s="108"/>
      <c r="FA84" s="108"/>
      <c r="FB84" s="108"/>
      <c r="FC84" s="108"/>
      <c r="FD84" s="108"/>
      <c r="FE84" s="108"/>
      <c r="FF84" s="108"/>
      <c r="FG84" s="108"/>
      <c r="FH84" s="108"/>
      <c r="FI84" s="108"/>
      <c r="FJ84" s="108"/>
      <c r="FK84" s="108"/>
      <c r="FL84" s="108"/>
      <c r="FM84" s="108"/>
      <c r="FN84" s="108"/>
      <c r="FO84" s="108"/>
      <c r="FP84" s="108"/>
      <c r="FQ84" s="108"/>
      <c r="FR84" s="108"/>
      <c r="FS84" s="108"/>
      <c r="FT84" s="108"/>
      <c r="FU84" s="108"/>
      <c r="FV84" s="108"/>
      <c r="FW84" s="108"/>
      <c r="FX84" s="108"/>
      <c r="FY84" s="108"/>
      <c r="FZ84" s="108"/>
      <c r="GA84" s="108"/>
      <c r="GB84" s="108"/>
      <c r="GC84" s="108"/>
      <c r="GD84" s="108"/>
      <c r="GE84" s="108"/>
      <c r="GF84" s="108"/>
      <c r="GG84" s="108"/>
      <c r="GH84" s="108"/>
      <c r="GI84" s="108"/>
      <c r="GJ84" s="108"/>
      <c r="GK84" s="108"/>
      <c r="GL84" s="108"/>
      <c r="GM84" s="108"/>
      <c r="GN84" s="108"/>
      <c r="GO84" s="108"/>
      <c r="GP84" s="108"/>
      <c r="GQ84" s="108"/>
      <c r="GR84" s="108"/>
      <c r="GS84" s="108"/>
      <c r="GT84" s="108"/>
      <c r="GU84" s="108"/>
      <c r="GV84" s="108"/>
      <c r="GW84" s="108"/>
      <c r="GX84" s="108"/>
      <c r="GY84" s="108"/>
      <c r="GZ84" s="108"/>
      <c r="HA84" s="108"/>
      <c r="HB84" s="108"/>
      <c r="HC84" s="108"/>
      <c r="HD84" s="108"/>
      <c r="HE84" s="108"/>
      <c r="HF84" s="108"/>
      <c r="HG84" s="108"/>
      <c r="HH84" s="108"/>
      <c r="HI84" s="108"/>
      <c r="HJ84" s="108"/>
      <c r="HK84" s="108"/>
      <c r="HL84" s="108"/>
      <c r="HM84" s="108"/>
      <c r="HN84" s="108"/>
      <c r="HO84" s="108"/>
      <c r="HP84" s="108"/>
      <c r="HQ84" s="108"/>
      <c r="HR84" s="108"/>
      <c r="HS84" s="108"/>
      <c r="HT84" s="108"/>
      <c r="HU84" s="108"/>
      <c r="HV84" s="108"/>
      <c r="HW84" s="108"/>
      <c r="HX84" s="108"/>
      <c r="HY84" s="108"/>
      <c r="HZ84" s="108"/>
      <c r="IA84" s="108"/>
      <c r="IB84" s="108"/>
      <c r="IC84" s="108"/>
      <c r="ID84" s="108"/>
      <c r="IE84" s="108"/>
      <c r="IF84" s="108"/>
      <c r="IG84" s="108"/>
      <c r="IH84" s="108"/>
      <c r="II84" s="108"/>
      <c r="IJ84" s="108"/>
      <c r="IK84" s="108"/>
      <c r="IL84" s="108"/>
      <c r="IM84" s="108"/>
      <c r="IN84" s="108"/>
      <c r="IO84" s="108"/>
      <c r="IP84" s="108"/>
      <c r="IQ84" s="108"/>
      <c r="IR84" s="108"/>
      <c r="IS84" s="108"/>
      <c r="IT84" s="108"/>
      <c r="IU84" s="108"/>
      <c r="IV84" s="108"/>
      <c r="IW84" s="108"/>
    </row>
    <row r="85" spans="1:257" x14ac:dyDescent="0.3">
      <c r="A85" s="158"/>
      <c r="B85" s="158"/>
      <c r="C85" s="158"/>
      <c r="D85" s="158"/>
      <c r="E85" s="158"/>
      <c r="F85" s="158"/>
      <c r="G85" s="158"/>
      <c r="H85" s="158"/>
      <c r="I85" s="176"/>
      <c r="J85" s="158"/>
      <c r="K85" s="158"/>
      <c r="L85" s="158"/>
      <c r="M85" s="158"/>
      <c r="N85" s="158"/>
      <c r="O85" s="108"/>
      <c r="P85" s="108"/>
      <c r="Q85" s="108"/>
      <c r="R85" s="108"/>
      <c r="S85" s="108"/>
      <c r="T85" s="108"/>
      <c r="U85" s="108"/>
      <c r="V85" s="108"/>
      <c r="W85" s="108"/>
      <c r="X85" s="108"/>
      <c r="Y85" s="108"/>
      <c r="Z85" s="108"/>
      <c r="AA85" s="108"/>
      <c r="AB85" s="108"/>
      <c r="AC85" s="108"/>
      <c r="AD85" s="108"/>
      <c r="AE85" s="108"/>
      <c r="AF85" s="108"/>
      <c r="AG85" s="108"/>
      <c r="AH85" s="108"/>
      <c r="AI85" s="108"/>
      <c r="AJ85" s="108"/>
      <c r="AK85" s="108"/>
      <c r="AL85" s="108"/>
      <c r="AM85" s="108"/>
      <c r="AN85" s="108"/>
      <c r="AO85" s="108"/>
      <c r="AP85" s="108"/>
      <c r="AQ85" s="108"/>
      <c r="AR85" s="108"/>
      <c r="AS85" s="108"/>
      <c r="AT85" s="108"/>
      <c r="AU85" s="108"/>
      <c r="AV85" s="108"/>
      <c r="AW85" s="108"/>
      <c r="AX85" s="108"/>
      <c r="AY85" s="108"/>
      <c r="AZ85" s="108"/>
      <c r="BA85" s="108"/>
      <c r="BB85" s="108"/>
      <c r="BC85" s="108"/>
      <c r="BD85" s="108"/>
      <c r="BE85" s="108"/>
      <c r="BF85" s="108"/>
      <c r="BG85" s="108"/>
      <c r="BH85" s="108"/>
      <c r="BI85" s="108"/>
      <c r="BJ85" s="108"/>
      <c r="BK85" s="108"/>
      <c r="BL85" s="108"/>
      <c r="BM85" s="108"/>
      <c r="BN85" s="108"/>
      <c r="BO85" s="108"/>
      <c r="BP85" s="108"/>
      <c r="BQ85" s="108"/>
      <c r="BR85" s="108"/>
      <c r="BS85" s="108"/>
      <c r="BT85" s="108"/>
      <c r="BU85" s="108"/>
      <c r="BV85" s="108"/>
      <c r="BW85" s="108"/>
      <c r="BX85" s="108"/>
      <c r="BY85" s="108"/>
      <c r="BZ85" s="108"/>
      <c r="CA85" s="108"/>
      <c r="CB85" s="108"/>
      <c r="CC85" s="108"/>
      <c r="CD85" s="108"/>
      <c r="CE85" s="108"/>
      <c r="CF85" s="108"/>
      <c r="CG85" s="108"/>
      <c r="CH85" s="108"/>
      <c r="CI85" s="108"/>
      <c r="CJ85" s="108"/>
      <c r="CK85" s="108"/>
      <c r="CL85" s="108"/>
      <c r="CM85" s="108"/>
      <c r="CN85" s="108"/>
      <c r="CO85" s="108"/>
      <c r="CP85" s="108"/>
      <c r="CQ85" s="108"/>
      <c r="CR85" s="108"/>
      <c r="CS85" s="108"/>
      <c r="CT85" s="108"/>
      <c r="CU85" s="108"/>
      <c r="CV85" s="108"/>
      <c r="CW85" s="108"/>
      <c r="CX85" s="108"/>
      <c r="CY85" s="108"/>
      <c r="CZ85" s="108"/>
      <c r="DA85" s="108"/>
      <c r="DB85" s="108"/>
      <c r="DC85" s="108"/>
      <c r="DD85" s="108"/>
      <c r="DE85" s="108"/>
      <c r="DF85" s="108"/>
      <c r="DG85" s="108"/>
      <c r="DH85" s="108"/>
      <c r="DI85" s="108"/>
      <c r="DJ85" s="108"/>
      <c r="DK85" s="108"/>
      <c r="DL85" s="108"/>
      <c r="DM85" s="108"/>
      <c r="DN85" s="108"/>
      <c r="DO85" s="108"/>
      <c r="DP85" s="108"/>
      <c r="DQ85" s="108"/>
      <c r="DR85" s="108"/>
      <c r="DS85" s="108"/>
      <c r="DT85" s="108"/>
      <c r="DU85" s="108"/>
      <c r="DV85" s="108"/>
      <c r="DW85" s="108"/>
      <c r="DX85" s="108"/>
      <c r="DY85" s="108"/>
      <c r="DZ85" s="108"/>
      <c r="EA85" s="108"/>
      <c r="EB85" s="108"/>
      <c r="EC85" s="108"/>
      <c r="ED85" s="108"/>
      <c r="EE85" s="108"/>
      <c r="EF85" s="108"/>
      <c r="EG85" s="108"/>
      <c r="EH85" s="108"/>
      <c r="EI85" s="108"/>
      <c r="EJ85" s="108"/>
      <c r="EK85" s="108"/>
      <c r="EL85" s="108"/>
      <c r="EM85" s="108"/>
      <c r="EN85" s="108"/>
      <c r="EO85" s="108"/>
      <c r="EP85" s="108"/>
      <c r="EQ85" s="108"/>
      <c r="ER85" s="108"/>
      <c r="ES85" s="108"/>
      <c r="ET85" s="108"/>
      <c r="EU85" s="108"/>
      <c r="EV85" s="108"/>
      <c r="EW85" s="108"/>
      <c r="EX85" s="108"/>
      <c r="EY85" s="108"/>
      <c r="EZ85" s="108"/>
      <c r="FA85" s="108"/>
      <c r="FB85" s="108"/>
      <c r="FC85" s="108"/>
      <c r="FD85" s="108"/>
      <c r="FE85" s="108"/>
      <c r="FF85" s="108"/>
      <c r="FG85" s="108"/>
      <c r="FH85" s="108"/>
      <c r="FI85" s="108"/>
      <c r="FJ85" s="108"/>
      <c r="FK85" s="108"/>
      <c r="FL85" s="108"/>
      <c r="FM85" s="108"/>
      <c r="FN85" s="108"/>
      <c r="FO85" s="108"/>
      <c r="FP85" s="108"/>
      <c r="FQ85" s="108"/>
      <c r="FR85" s="108"/>
      <c r="FS85" s="108"/>
      <c r="FT85" s="108"/>
      <c r="FU85" s="108"/>
      <c r="FV85" s="108"/>
      <c r="FW85" s="108"/>
      <c r="FX85" s="108"/>
      <c r="FY85" s="108"/>
      <c r="FZ85" s="108"/>
      <c r="GA85" s="108"/>
      <c r="GB85" s="108"/>
      <c r="GC85" s="108"/>
      <c r="GD85" s="108"/>
      <c r="GE85" s="108"/>
      <c r="GF85" s="108"/>
      <c r="GG85" s="108"/>
      <c r="GH85" s="108"/>
      <c r="GI85" s="108"/>
      <c r="GJ85" s="108"/>
      <c r="GK85" s="108"/>
      <c r="GL85" s="108"/>
      <c r="GM85" s="108"/>
      <c r="GN85" s="108"/>
      <c r="GO85" s="108"/>
      <c r="GP85" s="108"/>
      <c r="GQ85" s="108"/>
      <c r="GR85" s="108"/>
      <c r="GS85" s="108"/>
      <c r="GT85" s="108"/>
      <c r="GU85" s="108"/>
      <c r="GV85" s="108"/>
      <c r="GW85" s="108"/>
      <c r="GX85" s="108"/>
      <c r="GY85" s="108"/>
      <c r="GZ85" s="108"/>
      <c r="HA85" s="108"/>
      <c r="HB85" s="108"/>
      <c r="HC85" s="108"/>
      <c r="HD85" s="108"/>
      <c r="HE85" s="108"/>
      <c r="HF85" s="108"/>
      <c r="HG85" s="108"/>
      <c r="HH85" s="108"/>
      <c r="HI85" s="108"/>
      <c r="HJ85" s="108"/>
      <c r="HK85" s="108"/>
      <c r="HL85" s="108"/>
      <c r="HM85" s="108"/>
      <c r="HN85" s="108"/>
      <c r="HO85" s="108"/>
      <c r="HP85" s="108"/>
      <c r="HQ85" s="108"/>
      <c r="HR85" s="108"/>
      <c r="HS85" s="108"/>
      <c r="HT85" s="108"/>
      <c r="HU85" s="108"/>
      <c r="HV85" s="108"/>
      <c r="HW85" s="108"/>
      <c r="HX85" s="108"/>
      <c r="HY85" s="108"/>
      <c r="HZ85" s="108"/>
      <c r="IA85" s="108"/>
      <c r="IB85" s="108"/>
      <c r="IC85" s="108"/>
      <c r="ID85" s="108"/>
      <c r="IE85" s="108"/>
      <c r="IF85" s="108"/>
      <c r="IG85" s="108"/>
      <c r="IH85" s="108"/>
      <c r="II85" s="108"/>
      <c r="IJ85" s="108"/>
      <c r="IK85" s="108"/>
      <c r="IL85" s="108"/>
      <c r="IM85" s="108"/>
      <c r="IN85" s="108"/>
      <c r="IO85" s="108"/>
      <c r="IP85" s="108"/>
      <c r="IQ85" s="108"/>
      <c r="IR85" s="108"/>
      <c r="IS85" s="108"/>
      <c r="IT85" s="108"/>
      <c r="IU85" s="108"/>
      <c r="IV85" s="108"/>
      <c r="IW85" s="108"/>
    </row>
    <row r="86" spans="1:257" x14ac:dyDescent="0.3">
      <c r="A86" s="158"/>
      <c r="B86" s="158"/>
      <c r="C86" s="158"/>
      <c r="D86" s="158"/>
      <c r="E86" s="158"/>
      <c r="F86" s="158"/>
      <c r="G86" s="158"/>
      <c r="H86" s="158"/>
      <c r="I86" s="176"/>
      <c r="J86" s="158"/>
      <c r="K86" s="158"/>
      <c r="L86" s="158"/>
      <c r="M86" s="158"/>
      <c r="N86" s="158"/>
      <c r="O86" s="108"/>
      <c r="P86" s="108"/>
      <c r="Q86" s="108"/>
      <c r="R86" s="108"/>
      <c r="S86" s="108"/>
      <c r="T86" s="108"/>
      <c r="U86" s="108"/>
      <c r="V86" s="108"/>
      <c r="W86" s="108"/>
      <c r="X86" s="108"/>
      <c r="Y86" s="108"/>
      <c r="Z86" s="108"/>
      <c r="AA86" s="108"/>
      <c r="AB86" s="108"/>
      <c r="AC86" s="108"/>
      <c r="AD86" s="108"/>
      <c r="AE86" s="108"/>
      <c r="AF86" s="108"/>
      <c r="AG86" s="108"/>
      <c r="AH86" s="108"/>
      <c r="AI86" s="108"/>
      <c r="AJ86" s="108"/>
      <c r="AK86" s="108"/>
      <c r="AL86" s="108"/>
      <c r="AM86" s="108"/>
      <c r="AN86" s="108"/>
      <c r="AO86" s="108"/>
      <c r="AP86" s="108"/>
      <c r="AQ86" s="108"/>
      <c r="AR86" s="108"/>
      <c r="AS86" s="108"/>
      <c r="AT86" s="108"/>
      <c r="AU86" s="108"/>
      <c r="AV86" s="108"/>
      <c r="AW86" s="108"/>
      <c r="AX86" s="108"/>
      <c r="AY86" s="108"/>
      <c r="AZ86" s="108"/>
      <c r="BA86" s="108"/>
      <c r="BB86" s="108"/>
      <c r="BC86" s="108"/>
      <c r="BD86" s="108"/>
      <c r="BE86" s="108"/>
      <c r="BF86" s="108"/>
      <c r="BG86" s="108"/>
      <c r="BH86" s="108"/>
      <c r="BI86" s="108"/>
      <c r="BJ86" s="108"/>
      <c r="BK86" s="108"/>
      <c r="BL86" s="108"/>
      <c r="BM86" s="108"/>
      <c r="BN86" s="108"/>
      <c r="BO86" s="108"/>
      <c r="BP86" s="108"/>
      <c r="BQ86" s="108"/>
      <c r="BR86" s="108"/>
      <c r="BS86" s="108"/>
      <c r="BT86" s="108"/>
      <c r="BU86" s="108"/>
      <c r="BV86" s="108"/>
      <c r="BW86" s="108"/>
      <c r="BX86" s="108"/>
      <c r="BY86" s="108"/>
      <c r="BZ86" s="108"/>
      <c r="CA86" s="108"/>
      <c r="CB86" s="108"/>
      <c r="CC86" s="108"/>
      <c r="CD86" s="108"/>
      <c r="CE86" s="108"/>
      <c r="CF86" s="108"/>
      <c r="CG86" s="108"/>
      <c r="CH86" s="108"/>
      <c r="CI86" s="108"/>
      <c r="CJ86" s="108"/>
      <c r="CK86" s="108"/>
      <c r="CL86" s="108"/>
      <c r="CM86" s="108"/>
      <c r="CN86" s="108"/>
      <c r="CO86" s="108"/>
      <c r="CP86" s="108"/>
      <c r="CQ86" s="108"/>
      <c r="CR86" s="108"/>
      <c r="CS86" s="108"/>
      <c r="CT86" s="108"/>
      <c r="CU86" s="108"/>
      <c r="CV86" s="108"/>
      <c r="CW86" s="108"/>
      <c r="CX86" s="108"/>
      <c r="CY86" s="108"/>
      <c r="CZ86" s="108"/>
      <c r="DA86" s="108"/>
      <c r="DB86" s="108"/>
      <c r="DC86" s="108"/>
      <c r="DD86" s="108"/>
      <c r="DE86" s="108"/>
      <c r="DF86" s="108"/>
      <c r="DG86" s="108"/>
      <c r="DH86" s="108"/>
      <c r="DI86" s="108"/>
      <c r="DJ86" s="108"/>
      <c r="DK86" s="108"/>
      <c r="DL86" s="108"/>
      <c r="DM86" s="108"/>
      <c r="DN86" s="108"/>
      <c r="DO86" s="108"/>
      <c r="DP86" s="108"/>
      <c r="DQ86" s="108"/>
      <c r="DR86" s="108"/>
      <c r="DS86" s="108"/>
      <c r="DT86" s="108"/>
      <c r="DU86" s="108"/>
      <c r="DV86" s="108"/>
      <c r="DW86" s="108"/>
      <c r="DX86" s="108"/>
      <c r="DY86" s="108"/>
      <c r="DZ86" s="108"/>
      <c r="EA86" s="108"/>
      <c r="EB86" s="108"/>
      <c r="EC86" s="108"/>
      <c r="ED86" s="108"/>
      <c r="EE86" s="108"/>
      <c r="EF86" s="108"/>
      <c r="EG86" s="108"/>
      <c r="EH86" s="108"/>
      <c r="EI86" s="108"/>
      <c r="EJ86" s="108"/>
      <c r="EK86" s="108"/>
      <c r="EL86" s="108"/>
      <c r="EM86" s="108"/>
      <c r="EN86" s="108"/>
      <c r="EO86" s="108"/>
      <c r="EP86" s="108"/>
      <c r="EQ86" s="108"/>
      <c r="ER86" s="108"/>
      <c r="ES86" s="108"/>
      <c r="ET86" s="108"/>
      <c r="EU86" s="108"/>
      <c r="EV86" s="108"/>
      <c r="EW86" s="108"/>
      <c r="EX86" s="108"/>
      <c r="EY86" s="108"/>
      <c r="EZ86" s="108"/>
      <c r="FA86" s="108"/>
      <c r="FB86" s="108"/>
      <c r="FC86" s="108"/>
      <c r="FD86" s="108"/>
      <c r="FE86" s="108"/>
      <c r="FF86" s="108"/>
      <c r="FG86" s="108"/>
      <c r="FH86" s="108"/>
      <c r="FI86" s="108"/>
      <c r="FJ86" s="108"/>
      <c r="FK86" s="108"/>
      <c r="FL86" s="108"/>
      <c r="FM86" s="108"/>
      <c r="FN86" s="108"/>
      <c r="FO86" s="108"/>
      <c r="FP86" s="108"/>
      <c r="FQ86" s="108"/>
      <c r="FR86" s="108"/>
      <c r="FS86" s="108"/>
      <c r="FT86" s="108"/>
      <c r="FU86" s="108"/>
      <c r="FV86" s="108"/>
      <c r="FW86" s="108"/>
      <c r="FX86" s="108"/>
      <c r="FY86" s="108"/>
      <c r="FZ86" s="108"/>
      <c r="GA86" s="108"/>
      <c r="GB86" s="108"/>
      <c r="GC86" s="108"/>
      <c r="GD86" s="108"/>
      <c r="GE86" s="108"/>
      <c r="GF86" s="108"/>
      <c r="GG86" s="108"/>
      <c r="GH86" s="108"/>
      <c r="GI86" s="108"/>
      <c r="GJ86" s="108"/>
      <c r="GK86" s="108"/>
      <c r="GL86" s="108"/>
      <c r="GM86" s="108"/>
      <c r="GN86" s="108"/>
      <c r="GO86" s="108"/>
      <c r="GP86" s="108"/>
      <c r="GQ86" s="108"/>
      <c r="GR86" s="108"/>
      <c r="GS86" s="108"/>
      <c r="GT86" s="108"/>
      <c r="GU86" s="108"/>
      <c r="GV86" s="108"/>
      <c r="GW86" s="108"/>
      <c r="GX86" s="108"/>
      <c r="GY86" s="108"/>
      <c r="GZ86" s="108"/>
      <c r="HA86" s="108"/>
      <c r="HB86" s="108"/>
      <c r="HC86" s="108"/>
      <c r="HD86" s="108"/>
      <c r="HE86" s="108"/>
      <c r="HF86" s="108"/>
      <c r="HG86" s="108"/>
      <c r="HH86" s="108"/>
      <c r="HI86" s="108"/>
      <c r="HJ86" s="108"/>
      <c r="HK86" s="108"/>
      <c r="HL86" s="108"/>
      <c r="HM86" s="108"/>
      <c r="HN86" s="108"/>
      <c r="HO86" s="108"/>
      <c r="HP86" s="108"/>
      <c r="HQ86" s="108"/>
      <c r="HR86" s="108"/>
      <c r="HS86" s="108"/>
      <c r="HT86" s="108"/>
      <c r="HU86" s="108"/>
      <c r="HV86" s="108"/>
      <c r="HW86" s="108"/>
      <c r="HX86" s="108"/>
      <c r="HY86" s="108"/>
      <c r="HZ86" s="108"/>
      <c r="IA86" s="108"/>
      <c r="IB86" s="108"/>
      <c r="IC86" s="108"/>
      <c r="ID86" s="108"/>
      <c r="IE86" s="108"/>
      <c r="IF86" s="108"/>
      <c r="IG86" s="108"/>
      <c r="IH86" s="108"/>
      <c r="II86" s="108"/>
      <c r="IJ86" s="108"/>
      <c r="IK86" s="108"/>
      <c r="IL86" s="108"/>
      <c r="IM86" s="108"/>
      <c r="IN86" s="108"/>
      <c r="IO86" s="108"/>
      <c r="IP86" s="108"/>
      <c r="IQ86" s="108"/>
      <c r="IR86" s="108"/>
      <c r="IS86" s="108"/>
      <c r="IT86" s="108"/>
      <c r="IU86" s="108"/>
      <c r="IV86" s="108"/>
      <c r="IW86" s="108"/>
    </row>
    <row r="87" spans="1:257" x14ac:dyDescent="0.3">
      <c r="A87" s="158"/>
      <c r="B87" s="158"/>
      <c r="C87" s="158"/>
      <c r="D87" s="158"/>
      <c r="E87" s="158"/>
      <c r="F87" s="158"/>
      <c r="G87" s="158"/>
      <c r="H87" s="158"/>
      <c r="I87" s="176"/>
      <c r="J87" s="158"/>
      <c r="K87" s="158"/>
      <c r="L87" s="158"/>
      <c r="M87" s="158"/>
      <c r="N87" s="158"/>
      <c r="O87" s="108"/>
      <c r="P87" s="108"/>
      <c r="Q87" s="108"/>
      <c r="R87" s="108"/>
      <c r="S87" s="108"/>
      <c r="T87" s="108"/>
      <c r="U87" s="108"/>
      <c r="V87" s="108"/>
      <c r="W87" s="108"/>
      <c r="X87" s="108"/>
      <c r="Y87" s="108"/>
      <c r="Z87" s="108"/>
      <c r="AA87" s="108"/>
      <c r="AB87" s="108"/>
      <c r="AC87" s="108"/>
      <c r="AD87" s="108"/>
      <c r="AE87" s="108"/>
      <c r="AF87" s="108"/>
      <c r="AG87" s="108"/>
      <c r="AH87" s="108"/>
      <c r="AI87" s="108"/>
      <c r="AJ87" s="108"/>
      <c r="AK87" s="108"/>
      <c r="AL87" s="108"/>
      <c r="AM87" s="108"/>
      <c r="AN87" s="108"/>
      <c r="AO87" s="108"/>
      <c r="AP87" s="108"/>
      <c r="AQ87" s="108"/>
      <c r="AR87" s="108"/>
      <c r="AS87" s="108"/>
      <c r="AT87" s="108"/>
      <c r="AU87" s="108"/>
      <c r="AV87" s="108"/>
      <c r="AW87" s="108"/>
      <c r="AX87" s="108"/>
      <c r="AY87" s="108"/>
      <c r="AZ87" s="108"/>
      <c r="BA87" s="108"/>
      <c r="BB87" s="108"/>
      <c r="BC87" s="108"/>
      <c r="BD87" s="108"/>
      <c r="BE87" s="108"/>
      <c r="BF87" s="108"/>
      <c r="BG87" s="108"/>
      <c r="BH87" s="108"/>
      <c r="BI87" s="108"/>
      <c r="BJ87" s="108"/>
      <c r="BK87" s="108"/>
      <c r="BL87" s="108"/>
      <c r="BM87" s="108"/>
      <c r="BN87" s="108"/>
      <c r="BO87" s="108"/>
      <c r="BP87" s="108"/>
      <c r="BQ87" s="108"/>
      <c r="BR87" s="108"/>
      <c r="BS87" s="108"/>
      <c r="BT87" s="108"/>
      <c r="BU87" s="108"/>
      <c r="BV87" s="108"/>
      <c r="BW87" s="108"/>
      <c r="BX87" s="108"/>
      <c r="BY87" s="108"/>
      <c r="BZ87" s="108"/>
      <c r="CA87" s="108"/>
      <c r="CB87" s="108"/>
      <c r="CC87" s="108"/>
      <c r="CD87" s="108"/>
      <c r="CE87" s="108"/>
      <c r="CF87" s="108"/>
      <c r="CG87" s="108"/>
      <c r="CH87" s="108"/>
      <c r="CI87" s="108"/>
      <c r="CJ87" s="108"/>
      <c r="CK87" s="108"/>
      <c r="CL87" s="108"/>
      <c r="CM87" s="108"/>
      <c r="CN87" s="108"/>
      <c r="CO87" s="108"/>
      <c r="CP87" s="108"/>
      <c r="CQ87" s="108"/>
      <c r="CR87" s="108"/>
      <c r="CS87" s="108"/>
      <c r="CT87" s="108"/>
      <c r="CU87" s="108"/>
      <c r="CV87" s="108"/>
      <c r="CW87" s="108"/>
      <c r="CX87" s="108"/>
      <c r="CY87" s="108"/>
      <c r="CZ87" s="108"/>
      <c r="DA87" s="108"/>
      <c r="DB87" s="108"/>
      <c r="DC87" s="108"/>
      <c r="DD87" s="108"/>
      <c r="DE87" s="108"/>
      <c r="DF87" s="108"/>
      <c r="DG87" s="108"/>
      <c r="DH87" s="108"/>
      <c r="DI87" s="108"/>
      <c r="DJ87" s="108"/>
      <c r="DK87" s="108"/>
      <c r="DL87" s="108"/>
      <c r="DM87" s="108"/>
      <c r="DN87" s="108"/>
      <c r="DO87" s="108"/>
      <c r="DP87" s="108"/>
      <c r="DQ87" s="108"/>
      <c r="DR87" s="108"/>
      <c r="DS87" s="108"/>
      <c r="DT87" s="108"/>
      <c r="DU87" s="108"/>
      <c r="DV87" s="108"/>
      <c r="DW87" s="108"/>
      <c r="DX87" s="108"/>
      <c r="DY87" s="108"/>
      <c r="DZ87" s="108"/>
      <c r="EA87" s="108"/>
      <c r="EB87" s="108"/>
      <c r="EC87" s="108"/>
      <c r="ED87" s="108"/>
      <c r="EE87" s="108"/>
      <c r="EF87" s="108"/>
      <c r="EG87" s="108"/>
      <c r="EH87" s="108"/>
      <c r="EI87" s="108"/>
      <c r="EJ87" s="108"/>
      <c r="EK87" s="108"/>
      <c r="EL87" s="108"/>
      <c r="EM87" s="108"/>
      <c r="EN87" s="108"/>
      <c r="EO87" s="108"/>
      <c r="EP87" s="108"/>
      <c r="EQ87" s="108"/>
      <c r="ER87" s="108"/>
      <c r="ES87" s="108"/>
      <c r="ET87" s="108"/>
      <c r="EU87" s="108"/>
      <c r="EV87" s="108"/>
      <c r="EW87" s="108"/>
      <c r="EX87" s="108"/>
      <c r="EY87" s="108"/>
      <c r="EZ87" s="108"/>
      <c r="FA87" s="108"/>
      <c r="FB87" s="108"/>
      <c r="FC87" s="108"/>
      <c r="FD87" s="108"/>
      <c r="FE87" s="108"/>
      <c r="FF87" s="108"/>
      <c r="FG87" s="108"/>
      <c r="FH87" s="108"/>
      <c r="FI87" s="108"/>
      <c r="FJ87" s="108"/>
      <c r="FK87" s="108"/>
      <c r="FL87" s="108"/>
      <c r="FM87" s="108"/>
      <c r="FN87" s="108"/>
      <c r="FO87" s="108"/>
      <c r="FP87" s="108"/>
      <c r="FQ87" s="108"/>
      <c r="FR87" s="108"/>
      <c r="FS87" s="108"/>
      <c r="FT87" s="108"/>
      <c r="FU87" s="108"/>
      <c r="FV87" s="108"/>
      <c r="FW87" s="108"/>
      <c r="FX87" s="108"/>
      <c r="FY87" s="108"/>
      <c r="FZ87" s="108"/>
      <c r="GA87" s="108"/>
      <c r="GB87" s="108"/>
      <c r="GC87" s="108"/>
      <c r="GD87" s="108"/>
      <c r="GE87" s="108"/>
      <c r="GF87" s="108"/>
      <c r="GG87" s="108"/>
      <c r="GH87" s="108"/>
      <c r="GI87" s="108"/>
      <c r="GJ87" s="108"/>
      <c r="GK87" s="108"/>
      <c r="GL87" s="108"/>
      <c r="GM87" s="108"/>
      <c r="GN87" s="108"/>
      <c r="GO87" s="108"/>
      <c r="GP87" s="108"/>
      <c r="GQ87" s="108"/>
      <c r="GR87" s="108"/>
      <c r="GS87" s="108"/>
      <c r="GT87" s="108"/>
      <c r="GU87" s="108"/>
      <c r="GV87" s="108"/>
      <c r="GW87" s="108"/>
      <c r="GX87" s="108"/>
      <c r="GY87" s="108"/>
      <c r="GZ87" s="108"/>
      <c r="HA87" s="108"/>
      <c r="HB87" s="108"/>
      <c r="HC87" s="108"/>
      <c r="HD87" s="108"/>
      <c r="HE87" s="108"/>
      <c r="HF87" s="108"/>
      <c r="HG87" s="108"/>
      <c r="HH87" s="108"/>
      <c r="HI87" s="108"/>
      <c r="HJ87" s="108"/>
      <c r="HK87" s="108"/>
      <c r="HL87" s="108"/>
      <c r="HM87" s="108"/>
      <c r="HN87" s="108"/>
      <c r="HO87" s="108"/>
      <c r="HP87" s="108"/>
      <c r="HQ87" s="108"/>
      <c r="HR87" s="108"/>
      <c r="HS87" s="108"/>
      <c r="HT87" s="108"/>
      <c r="HU87" s="108"/>
      <c r="HV87" s="108"/>
      <c r="HW87" s="108"/>
      <c r="HX87" s="108"/>
      <c r="HY87" s="108"/>
      <c r="HZ87" s="108"/>
      <c r="IA87" s="108"/>
      <c r="IB87" s="108"/>
      <c r="IC87" s="108"/>
      <c r="ID87" s="108"/>
      <c r="IE87" s="108"/>
      <c r="IF87" s="108"/>
      <c r="IG87" s="108"/>
      <c r="IH87" s="108"/>
      <c r="II87" s="108"/>
      <c r="IJ87" s="108"/>
      <c r="IK87" s="108"/>
      <c r="IL87" s="108"/>
      <c r="IM87" s="108"/>
      <c r="IN87" s="108"/>
      <c r="IO87" s="108"/>
      <c r="IP87" s="108"/>
      <c r="IQ87" s="108"/>
      <c r="IR87" s="108"/>
      <c r="IS87" s="108"/>
      <c r="IT87" s="108"/>
      <c r="IU87" s="108"/>
      <c r="IV87" s="108"/>
      <c r="IW87" s="108"/>
    </row>
    <row r="88" spans="1:257" x14ac:dyDescent="0.3">
      <c r="A88" s="158"/>
      <c r="B88" s="158"/>
      <c r="C88" s="158"/>
      <c r="D88" s="158"/>
      <c r="E88" s="158"/>
      <c r="F88" s="158"/>
      <c r="G88" s="158"/>
      <c r="H88" s="158"/>
      <c r="I88" s="176"/>
      <c r="J88" s="158"/>
      <c r="K88" s="158"/>
      <c r="L88" s="158"/>
      <c r="M88" s="158"/>
      <c r="N88" s="158"/>
      <c r="O88" s="108"/>
      <c r="P88" s="108"/>
      <c r="Q88" s="108"/>
      <c r="R88" s="108"/>
      <c r="S88" s="108"/>
      <c r="T88" s="108"/>
      <c r="U88" s="108"/>
      <c r="V88" s="108"/>
      <c r="W88" s="108"/>
      <c r="X88" s="108"/>
      <c r="Y88" s="108"/>
      <c r="Z88" s="108"/>
      <c r="AA88" s="108"/>
      <c r="AB88" s="108"/>
      <c r="AC88" s="108"/>
      <c r="AD88" s="108"/>
      <c r="AE88" s="108"/>
      <c r="AF88" s="108"/>
      <c r="AG88" s="108"/>
      <c r="AH88" s="108"/>
      <c r="AI88" s="108"/>
      <c r="AJ88" s="108"/>
      <c r="AK88" s="108"/>
      <c r="AL88" s="108"/>
      <c r="AM88" s="108"/>
      <c r="AN88" s="108"/>
      <c r="AO88" s="108"/>
      <c r="AP88" s="108"/>
      <c r="AQ88" s="108"/>
      <c r="AR88" s="108"/>
      <c r="AS88" s="108"/>
      <c r="AT88" s="108"/>
      <c r="AU88" s="108"/>
      <c r="AV88" s="108"/>
      <c r="AW88" s="108"/>
      <c r="AX88" s="108"/>
      <c r="AY88" s="108"/>
      <c r="AZ88" s="108"/>
      <c r="BA88" s="108"/>
      <c r="BB88" s="108"/>
      <c r="BC88" s="108"/>
      <c r="BD88" s="108"/>
      <c r="BE88" s="108"/>
      <c r="BF88" s="108"/>
      <c r="BG88" s="108"/>
      <c r="BH88" s="108"/>
      <c r="BI88" s="108"/>
      <c r="BJ88" s="108"/>
      <c r="BK88" s="108"/>
      <c r="BL88" s="108"/>
      <c r="BM88" s="108"/>
      <c r="BN88" s="108"/>
      <c r="BO88" s="108"/>
      <c r="BP88" s="108"/>
      <c r="BQ88" s="108"/>
      <c r="BR88" s="108"/>
      <c r="BS88" s="108"/>
      <c r="BT88" s="108"/>
      <c r="BU88" s="108"/>
      <c r="BV88" s="108"/>
      <c r="BW88" s="108"/>
      <c r="BX88" s="108"/>
      <c r="BY88" s="108"/>
      <c r="BZ88" s="108"/>
      <c r="CA88" s="108"/>
      <c r="CB88" s="108"/>
      <c r="CC88" s="108"/>
      <c r="CD88" s="108"/>
      <c r="CE88" s="108"/>
      <c r="CF88" s="108"/>
      <c r="CG88" s="108"/>
      <c r="CH88" s="108"/>
      <c r="CI88" s="108"/>
      <c r="CJ88" s="108"/>
      <c r="CK88" s="108"/>
      <c r="CL88" s="108"/>
      <c r="CM88" s="108"/>
      <c r="CN88" s="108"/>
      <c r="CO88" s="108"/>
      <c r="CP88" s="108"/>
      <c r="CQ88" s="108"/>
      <c r="CR88" s="108"/>
      <c r="CS88" s="108"/>
      <c r="CT88" s="108"/>
      <c r="CU88" s="108"/>
      <c r="CV88" s="108"/>
      <c r="CW88" s="108"/>
      <c r="CX88" s="108"/>
      <c r="CY88" s="108"/>
      <c r="CZ88" s="108"/>
      <c r="DA88" s="108"/>
      <c r="DB88" s="108"/>
      <c r="DC88" s="108"/>
      <c r="DD88" s="108"/>
      <c r="DE88" s="108"/>
      <c r="DF88" s="108"/>
      <c r="DG88" s="108"/>
      <c r="DH88" s="108"/>
      <c r="DI88" s="108"/>
      <c r="DJ88" s="108"/>
      <c r="DK88" s="108"/>
      <c r="DL88" s="108"/>
      <c r="DM88" s="108"/>
      <c r="DN88" s="108"/>
      <c r="DO88" s="108"/>
      <c r="DP88" s="108"/>
      <c r="DQ88" s="108"/>
      <c r="DR88" s="108"/>
      <c r="DS88" s="108"/>
      <c r="DT88" s="108"/>
      <c r="DU88" s="108"/>
      <c r="DV88" s="108"/>
      <c r="DW88" s="108"/>
      <c r="DX88" s="108"/>
      <c r="DY88" s="108"/>
      <c r="DZ88" s="108"/>
      <c r="EA88" s="108"/>
      <c r="EB88" s="108"/>
      <c r="EC88" s="108"/>
      <c r="ED88" s="108"/>
      <c r="EE88" s="108"/>
      <c r="EF88" s="108"/>
      <c r="EG88" s="108"/>
      <c r="EH88" s="108"/>
      <c r="EI88" s="108"/>
      <c r="EJ88" s="108"/>
      <c r="EK88" s="108"/>
      <c r="EL88" s="108"/>
      <c r="EM88" s="108"/>
      <c r="EN88" s="108"/>
      <c r="EO88" s="108"/>
      <c r="EP88" s="108"/>
      <c r="EQ88" s="108"/>
      <c r="ER88" s="108"/>
      <c r="ES88" s="108"/>
      <c r="ET88" s="108"/>
      <c r="EU88" s="108"/>
      <c r="EV88" s="108"/>
      <c r="EW88" s="108"/>
      <c r="EX88" s="108"/>
      <c r="EY88" s="108"/>
      <c r="EZ88" s="108"/>
      <c r="FA88" s="108"/>
      <c r="FB88" s="108"/>
      <c r="FC88" s="108"/>
      <c r="FD88" s="108"/>
      <c r="FE88" s="108"/>
      <c r="FF88" s="108"/>
      <c r="FG88" s="108"/>
      <c r="FH88" s="108"/>
      <c r="FI88" s="108"/>
      <c r="FJ88" s="108"/>
      <c r="FK88" s="108"/>
      <c r="FL88" s="108"/>
      <c r="FM88" s="108"/>
      <c r="FN88" s="108"/>
      <c r="FO88" s="108"/>
      <c r="FP88" s="108"/>
      <c r="FQ88" s="108"/>
      <c r="FR88" s="108"/>
      <c r="FS88" s="108"/>
      <c r="FT88" s="108"/>
      <c r="FU88" s="108"/>
      <c r="FV88" s="108"/>
      <c r="FW88" s="108"/>
      <c r="FX88" s="108"/>
      <c r="FY88" s="108"/>
      <c r="FZ88" s="108"/>
      <c r="GA88" s="108"/>
      <c r="GB88" s="108"/>
      <c r="GC88" s="108"/>
      <c r="GD88" s="108"/>
      <c r="GE88" s="108"/>
      <c r="GF88" s="108"/>
      <c r="GG88" s="108"/>
      <c r="GH88" s="108"/>
      <c r="GI88" s="108"/>
      <c r="GJ88" s="108"/>
      <c r="GK88" s="108"/>
      <c r="GL88" s="108"/>
      <c r="GM88" s="108"/>
      <c r="GN88" s="108"/>
      <c r="GO88" s="108"/>
      <c r="GP88" s="108"/>
      <c r="GQ88" s="108"/>
      <c r="GR88" s="108"/>
      <c r="GS88" s="108"/>
      <c r="GT88" s="108"/>
      <c r="GU88" s="108"/>
      <c r="GV88" s="108"/>
      <c r="GW88" s="108"/>
      <c r="GX88" s="108"/>
      <c r="GY88" s="108"/>
      <c r="GZ88" s="108"/>
      <c r="HA88" s="108"/>
      <c r="HB88" s="108"/>
      <c r="HC88" s="108"/>
      <c r="HD88" s="108"/>
      <c r="HE88" s="108"/>
      <c r="HF88" s="108"/>
      <c r="HG88" s="108"/>
      <c r="HH88" s="108"/>
      <c r="HI88" s="108"/>
      <c r="HJ88" s="108"/>
      <c r="HK88" s="108"/>
      <c r="HL88" s="108"/>
      <c r="HM88" s="108"/>
      <c r="HN88" s="108"/>
      <c r="HO88" s="108"/>
      <c r="HP88" s="108"/>
      <c r="HQ88" s="108"/>
      <c r="HR88" s="108"/>
      <c r="HS88" s="108"/>
      <c r="HT88" s="108"/>
      <c r="HU88" s="108"/>
      <c r="HV88" s="108"/>
      <c r="HW88" s="108"/>
      <c r="HX88" s="108"/>
      <c r="HY88" s="108"/>
      <c r="HZ88" s="108"/>
      <c r="IA88" s="108"/>
      <c r="IB88" s="108"/>
      <c r="IC88" s="108"/>
      <c r="ID88" s="108"/>
      <c r="IE88" s="108"/>
      <c r="IF88" s="108"/>
      <c r="IG88" s="108"/>
      <c r="IH88" s="108"/>
      <c r="II88" s="108"/>
      <c r="IJ88" s="108"/>
      <c r="IK88" s="108"/>
      <c r="IL88" s="108"/>
      <c r="IM88" s="108"/>
      <c r="IN88" s="108"/>
      <c r="IO88" s="108"/>
      <c r="IP88" s="108"/>
      <c r="IQ88" s="108"/>
      <c r="IR88" s="108"/>
      <c r="IS88" s="108"/>
      <c r="IT88" s="108"/>
      <c r="IU88" s="108"/>
      <c r="IV88" s="108"/>
      <c r="IW88" s="108"/>
    </row>
    <row r="89" spans="1:257" x14ac:dyDescent="0.3">
      <c r="A89" s="158"/>
      <c r="B89" s="158"/>
      <c r="C89" s="158"/>
      <c r="D89" s="158"/>
      <c r="E89" s="158"/>
      <c r="F89" s="158"/>
      <c r="G89" s="158"/>
      <c r="H89" s="158"/>
      <c r="I89" s="176"/>
      <c r="J89" s="158"/>
      <c r="K89" s="158"/>
      <c r="L89" s="158"/>
      <c r="M89" s="158"/>
      <c r="N89" s="158"/>
      <c r="O89" s="108"/>
      <c r="P89" s="108"/>
      <c r="Q89" s="108"/>
      <c r="R89" s="108"/>
      <c r="S89" s="108"/>
      <c r="T89" s="108"/>
      <c r="U89" s="108"/>
      <c r="V89" s="108"/>
      <c r="W89" s="108"/>
      <c r="X89" s="108"/>
      <c r="Y89" s="108"/>
      <c r="Z89" s="108"/>
      <c r="AA89" s="108"/>
      <c r="AB89" s="108"/>
      <c r="AC89" s="108"/>
      <c r="AD89" s="108"/>
      <c r="AE89" s="108"/>
      <c r="AF89" s="108"/>
      <c r="AG89" s="108"/>
      <c r="AH89" s="108"/>
      <c r="AI89" s="108"/>
      <c r="AJ89" s="108"/>
      <c r="AK89" s="108"/>
      <c r="AL89" s="108"/>
      <c r="AM89" s="108"/>
      <c r="AN89" s="108"/>
      <c r="AO89" s="108"/>
      <c r="AP89" s="108"/>
      <c r="AQ89" s="108"/>
      <c r="AR89" s="108"/>
      <c r="AS89" s="108"/>
      <c r="AT89" s="108"/>
      <c r="AU89" s="108"/>
      <c r="AV89" s="108"/>
      <c r="AW89" s="108"/>
      <c r="AX89" s="108"/>
      <c r="AY89" s="108"/>
      <c r="AZ89" s="108"/>
      <c r="BA89" s="108"/>
      <c r="BB89" s="108"/>
      <c r="BC89" s="108"/>
      <c r="BD89" s="108"/>
      <c r="BE89" s="108"/>
      <c r="BF89" s="108"/>
      <c r="BG89" s="108"/>
      <c r="BH89" s="108"/>
      <c r="BI89" s="108"/>
      <c r="BJ89" s="108"/>
      <c r="BK89" s="108"/>
      <c r="BL89" s="108"/>
      <c r="BM89" s="108"/>
      <c r="BN89" s="108"/>
      <c r="BO89" s="108"/>
      <c r="BP89" s="108"/>
      <c r="BQ89" s="108"/>
      <c r="BR89" s="108"/>
      <c r="BS89" s="108"/>
      <c r="BT89" s="108"/>
      <c r="BU89" s="108"/>
      <c r="BV89" s="108"/>
      <c r="BW89" s="108"/>
      <c r="BX89" s="108"/>
      <c r="BY89" s="108"/>
      <c r="BZ89" s="108"/>
      <c r="CA89" s="108"/>
      <c r="CB89" s="108"/>
      <c r="CC89" s="108"/>
      <c r="CD89" s="108"/>
      <c r="CE89" s="108"/>
      <c r="CF89" s="108"/>
      <c r="CG89" s="108"/>
      <c r="CH89" s="108"/>
      <c r="CI89" s="108"/>
      <c r="CJ89" s="108"/>
      <c r="CK89" s="108"/>
      <c r="CL89" s="108"/>
      <c r="CM89" s="108"/>
      <c r="CN89" s="108"/>
      <c r="CO89" s="108"/>
      <c r="CP89" s="108"/>
      <c r="CQ89" s="108"/>
      <c r="CR89" s="108"/>
      <c r="CS89" s="108"/>
      <c r="CT89" s="108"/>
      <c r="CU89" s="108"/>
      <c r="CV89" s="108"/>
      <c r="CW89" s="108"/>
      <c r="CX89" s="108"/>
      <c r="CY89" s="108"/>
      <c r="CZ89" s="108"/>
      <c r="DA89" s="108"/>
      <c r="DB89" s="108"/>
      <c r="DC89" s="108"/>
      <c r="DD89" s="108"/>
      <c r="DE89" s="108"/>
      <c r="DF89" s="108"/>
      <c r="DG89" s="108"/>
      <c r="DH89" s="108"/>
      <c r="DI89" s="108"/>
      <c r="DJ89" s="108"/>
      <c r="DK89" s="108"/>
      <c r="DL89" s="108"/>
      <c r="DM89" s="108"/>
      <c r="DN89" s="108"/>
      <c r="DO89" s="108"/>
      <c r="DP89" s="108"/>
      <c r="DQ89" s="108"/>
      <c r="DR89" s="108"/>
      <c r="DS89" s="108"/>
      <c r="DT89" s="108"/>
      <c r="DU89" s="108"/>
      <c r="DV89" s="108"/>
      <c r="DW89" s="108"/>
      <c r="DX89" s="108"/>
      <c r="DY89" s="108"/>
      <c r="DZ89" s="108"/>
      <c r="EA89" s="108"/>
      <c r="EB89" s="108"/>
      <c r="EC89" s="108"/>
      <c r="ED89" s="108"/>
      <c r="EE89" s="108"/>
      <c r="EF89" s="108"/>
      <c r="EG89" s="108"/>
      <c r="EH89" s="108"/>
      <c r="EI89" s="108"/>
      <c r="EJ89" s="108"/>
      <c r="EK89" s="108"/>
      <c r="EL89" s="108"/>
      <c r="EM89" s="108"/>
      <c r="EN89" s="108"/>
      <c r="EO89" s="108"/>
      <c r="EP89" s="108"/>
      <c r="EQ89" s="108"/>
      <c r="ER89" s="108"/>
      <c r="ES89" s="108"/>
      <c r="ET89" s="108"/>
      <c r="EU89" s="108"/>
      <c r="EV89" s="108"/>
      <c r="EW89" s="108"/>
      <c r="EX89" s="108"/>
      <c r="EY89" s="108"/>
      <c r="EZ89" s="108"/>
      <c r="FA89" s="108"/>
      <c r="FB89" s="108"/>
      <c r="FC89" s="108"/>
      <c r="FD89" s="108"/>
      <c r="FE89" s="108"/>
      <c r="FF89" s="108"/>
      <c r="FG89" s="108"/>
      <c r="FH89" s="108"/>
      <c r="FI89" s="108"/>
      <c r="FJ89" s="108"/>
      <c r="FK89" s="108"/>
      <c r="FL89" s="108"/>
      <c r="FM89" s="108"/>
      <c r="FN89" s="108"/>
      <c r="FO89" s="108"/>
      <c r="FP89" s="108"/>
      <c r="FQ89" s="108"/>
      <c r="FR89" s="108"/>
      <c r="FS89" s="108"/>
      <c r="FT89" s="108"/>
      <c r="FU89" s="108"/>
      <c r="FV89" s="108"/>
      <c r="FW89" s="108"/>
      <c r="FX89" s="108"/>
      <c r="FY89" s="108"/>
      <c r="FZ89" s="108"/>
      <c r="GA89" s="108"/>
      <c r="GB89" s="108"/>
      <c r="GC89" s="108"/>
      <c r="GD89" s="108"/>
      <c r="GE89" s="108"/>
      <c r="GF89" s="108"/>
      <c r="GG89" s="108"/>
      <c r="GH89" s="108"/>
      <c r="GI89" s="108"/>
      <c r="GJ89" s="108"/>
      <c r="GK89" s="108"/>
      <c r="GL89" s="108"/>
      <c r="GM89" s="108"/>
      <c r="GN89" s="108"/>
      <c r="GO89" s="108"/>
      <c r="GP89" s="108"/>
      <c r="GQ89" s="108"/>
      <c r="GR89" s="108"/>
      <c r="GS89" s="108"/>
      <c r="GT89" s="108"/>
      <c r="GU89" s="108"/>
      <c r="GV89" s="108"/>
      <c r="GW89" s="108"/>
      <c r="GX89" s="108"/>
      <c r="GY89" s="108"/>
      <c r="GZ89" s="108"/>
      <c r="HA89" s="108"/>
      <c r="HB89" s="108"/>
      <c r="HC89" s="108"/>
      <c r="HD89" s="108"/>
      <c r="HE89" s="108"/>
      <c r="HF89" s="108"/>
      <c r="HG89" s="108"/>
      <c r="HH89" s="108"/>
      <c r="HI89" s="108"/>
      <c r="HJ89" s="108"/>
      <c r="HK89" s="108"/>
      <c r="HL89" s="108"/>
      <c r="HM89" s="108"/>
      <c r="HN89" s="108"/>
      <c r="HO89" s="108"/>
      <c r="HP89" s="108"/>
      <c r="HQ89" s="108"/>
      <c r="HR89" s="108"/>
      <c r="HS89" s="108"/>
      <c r="HT89" s="108"/>
      <c r="HU89" s="108"/>
      <c r="HV89" s="108"/>
      <c r="HW89" s="108"/>
      <c r="HX89" s="108"/>
      <c r="HY89" s="108"/>
      <c r="HZ89" s="108"/>
      <c r="IA89" s="108"/>
      <c r="IB89" s="108"/>
      <c r="IC89" s="108"/>
      <c r="ID89" s="108"/>
      <c r="IE89" s="108"/>
      <c r="IF89" s="108"/>
      <c r="IG89" s="108"/>
      <c r="IH89" s="108"/>
      <c r="II89" s="108"/>
      <c r="IJ89" s="108"/>
      <c r="IK89" s="108"/>
      <c r="IL89" s="108"/>
      <c r="IM89" s="108"/>
      <c r="IN89" s="108"/>
      <c r="IO89" s="108"/>
      <c r="IP89" s="108"/>
      <c r="IQ89" s="108"/>
      <c r="IR89" s="108"/>
      <c r="IS89" s="108"/>
      <c r="IT89" s="108"/>
      <c r="IU89" s="108"/>
      <c r="IV89" s="108"/>
      <c r="IW89" s="108"/>
    </row>
    <row r="90" spans="1:257" x14ac:dyDescent="0.3">
      <c r="A90" s="158"/>
      <c r="B90" s="158"/>
      <c r="C90" s="158"/>
      <c r="D90" s="158"/>
      <c r="E90" s="158"/>
      <c r="F90" s="158"/>
      <c r="G90" s="158"/>
      <c r="H90" s="158"/>
      <c r="I90" s="176"/>
      <c r="J90" s="158"/>
      <c r="K90" s="158"/>
      <c r="L90" s="158"/>
      <c r="M90" s="158"/>
      <c r="N90" s="158"/>
      <c r="O90" s="108"/>
      <c r="P90" s="108"/>
      <c r="Q90" s="108"/>
      <c r="R90" s="108"/>
      <c r="S90" s="108"/>
      <c r="T90" s="108"/>
      <c r="U90" s="108"/>
      <c r="V90" s="108"/>
      <c r="W90" s="108"/>
      <c r="X90" s="108"/>
      <c r="Y90" s="108"/>
      <c r="Z90" s="108"/>
      <c r="AA90" s="108"/>
      <c r="AB90" s="108"/>
      <c r="AC90" s="108"/>
      <c r="AD90" s="108"/>
      <c r="AE90" s="108"/>
      <c r="AF90" s="108"/>
      <c r="AG90" s="108"/>
      <c r="AH90" s="108"/>
      <c r="AI90" s="108"/>
      <c r="AJ90" s="108"/>
      <c r="AK90" s="108"/>
      <c r="AL90" s="108"/>
      <c r="AM90" s="108"/>
      <c r="AN90" s="108"/>
      <c r="AO90" s="108"/>
      <c r="AP90" s="108"/>
      <c r="AQ90" s="108"/>
      <c r="AR90" s="108"/>
      <c r="AS90" s="108"/>
      <c r="AT90" s="108"/>
      <c r="AU90" s="108"/>
      <c r="AV90" s="108"/>
      <c r="AW90" s="108"/>
      <c r="AX90" s="108"/>
      <c r="AY90" s="108"/>
      <c r="AZ90" s="108"/>
      <c r="BA90" s="108"/>
      <c r="BB90" s="108"/>
      <c r="BC90" s="108"/>
      <c r="BD90" s="108"/>
      <c r="BE90" s="108"/>
      <c r="BF90" s="108"/>
      <c r="BG90" s="108"/>
      <c r="BH90" s="108"/>
      <c r="BI90" s="108"/>
      <c r="BJ90" s="108"/>
      <c r="BK90" s="108"/>
      <c r="BL90" s="108"/>
      <c r="BM90" s="108"/>
      <c r="BN90" s="108"/>
      <c r="BO90" s="108"/>
      <c r="BP90" s="108"/>
      <c r="BQ90" s="108"/>
      <c r="BR90" s="108"/>
      <c r="BS90" s="108"/>
      <c r="BT90" s="108"/>
      <c r="BU90" s="108"/>
      <c r="BV90" s="108"/>
      <c r="BW90" s="108"/>
      <c r="BX90" s="108"/>
      <c r="BY90" s="108"/>
      <c r="BZ90" s="108"/>
      <c r="CA90" s="108"/>
      <c r="CB90" s="108"/>
      <c r="CC90" s="108"/>
      <c r="CD90" s="108"/>
      <c r="CE90" s="108"/>
      <c r="CF90" s="108"/>
      <c r="CG90" s="108"/>
      <c r="CH90" s="108"/>
      <c r="CI90" s="108"/>
      <c r="CJ90" s="108"/>
      <c r="CK90" s="108"/>
      <c r="CL90" s="108"/>
      <c r="CM90" s="108"/>
      <c r="CN90" s="108"/>
      <c r="CO90" s="108"/>
      <c r="CP90" s="108"/>
      <c r="CQ90" s="108"/>
      <c r="CR90" s="108"/>
      <c r="CS90" s="108"/>
      <c r="CT90" s="108"/>
      <c r="CU90" s="108"/>
      <c r="CV90" s="108"/>
      <c r="CW90" s="108"/>
      <c r="CX90" s="108"/>
      <c r="CY90" s="108"/>
      <c r="CZ90" s="108"/>
      <c r="DA90" s="108"/>
      <c r="DB90" s="108"/>
      <c r="DC90" s="108"/>
      <c r="DD90" s="108"/>
      <c r="DE90" s="108"/>
      <c r="DF90" s="108"/>
      <c r="DG90" s="108"/>
      <c r="DH90" s="108"/>
      <c r="DI90" s="108"/>
      <c r="DJ90" s="108"/>
      <c r="DK90" s="108"/>
      <c r="DL90" s="108"/>
      <c r="DM90" s="108"/>
      <c r="DN90" s="108"/>
      <c r="DO90" s="108"/>
      <c r="DP90" s="108"/>
      <c r="DQ90" s="108"/>
      <c r="DR90" s="108"/>
      <c r="DS90" s="108"/>
      <c r="DT90" s="108"/>
      <c r="DU90" s="108"/>
      <c r="DV90" s="108"/>
      <c r="DW90" s="108"/>
      <c r="DX90" s="108"/>
      <c r="DY90" s="108"/>
      <c r="DZ90" s="108"/>
      <c r="EA90" s="108"/>
      <c r="EB90" s="108"/>
      <c r="EC90" s="108"/>
      <c r="ED90" s="108"/>
      <c r="EE90" s="108"/>
      <c r="EF90" s="108"/>
      <c r="EG90" s="108"/>
      <c r="EH90" s="108"/>
      <c r="EI90" s="108"/>
      <c r="EJ90" s="108"/>
      <c r="EK90" s="108"/>
      <c r="EL90" s="108"/>
      <c r="EM90" s="108"/>
      <c r="EN90" s="108"/>
      <c r="EO90" s="108"/>
      <c r="EP90" s="108"/>
      <c r="EQ90" s="108"/>
      <c r="ER90" s="108"/>
      <c r="ES90" s="108"/>
      <c r="ET90" s="108"/>
      <c r="EU90" s="108"/>
      <c r="EV90" s="108"/>
      <c r="EW90" s="108"/>
      <c r="EX90" s="108"/>
      <c r="EY90" s="108"/>
      <c r="EZ90" s="108"/>
      <c r="FA90" s="108"/>
      <c r="FB90" s="108"/>
      <c r="FC90" s="108"/>
      <c r="FD90" s="108"/>
      <c r="FE90" s="108"/>
      <c r="FF90" s="108"/>
      <c r="FG90" s="108"/>
      <c r="FH90" s="108"/>
      <c r="FI90" s="108"/>
      <c r="FJ90" s="108"/>
      <c r="FK90" s="108"/>
      <c r="FL90" s="108"/>
      <c r="FM90" s="108"/>
      <c r="FN90" s="108"/>
      <c r="FO90" s="108"/>
      <c r="FP90" s="108"/>
      <c r="FQ90" s="108"/>
      <c r="FR90" s="108"/>
      <c r="FS90" s="108"/>
      <c r="FT90" s="108"/>
      <c r="FU90" s="108"/>
      <c r="FV90" s="108"/>
      <c r="FW90" s="108"/>
      <c r="FX90" s="108"/>
      <c r="FY90" s="108"/>
      <c r="FZ90" s="108"/>
      <c r="GA90" s="108"/>
      <c r="GB90" s="108"/>
      <c r="GC90" s="108"/>
      <c r="GD90" s="108"/>
      <c r="GE90" s="108"/>
      <c r="GF90" s="108"/>
      <c r="GG90" s="108"/>
      <c r="GH90" s="108"/>
      <c r="GI90" s="108"/>
      <c r="GJ90" s="108"/>
      <c r="GK90" s="108"/>
      <c r="GL90" s="108"/>
      <c r="GM90" s="108"/>
      <c r="GN90" s="108"/>
      <c r="GO90" s="108"/>
      <c r="GP90" s="108"/>
      <c r="GQ90" s="108"/>
      <c r="GR90" s="108"/>
      <c r="GS90" s="108"/>
      <c r="GT90" s="108"/>
      <c r="GU90" s="108"/>
      <c r="GV90" s="108"/>
      <c r="GW90" s="108"/>
      <c r="GX90" s="108"/>
      <c r="GY90" s="108"/>
      <c r="GZ90" s="108"/>
      <c r="HA90" s="108"/>
      <c r="HB90" s="108"/>
      <c r="HC90" s="108"/>
      <c r="HD90" s="108"/>
      <c r="HE90" s="108"/>
      <c r="HF90" s="108"/>
      <c r="HG90" s="108"/>
      <c r="HH90" s="108"/>
      <c r="HI90" s="108"/>
      <c r="HJ90" s="108"/>
      <c r="HK90" s="108"/>
      <c r="HL90" s="108"/>
      <c r="HM90" s="108"/>
      <c r="HN90" s="108"/>
      <c r="HO90" s="108"/>
      <c r="HP90" s="108"/>
      <c r="HQ90" s="108"/>
      <c r="HR90" s="108"/>
      <c r="HS90" s="108"/>
      <c r="HT90" s="108"/>
      <c r="HU90" s="108"/>
      <c r="HV90" s="108"/>
      <c r="HW90" s="108"/>
      <c r="HX90" s="108"/>
      <c r="HY90" s="108"/>
      <c r="HZ90" s="108"/>
      <c r="IA90" s="108"/>
      <c r="IB90" s="108"/>
      <c r="IC90" s="108"/>
      <c r="ID90" s="108"/>
      <c r="IE90" s="108"/>
      <c r="IF90" s="108"/>
      <c r="IG90" s="108"/>
      <c r="IH90" s="108"/>
      <c r="II90" s="108"/>
      <c r="IJ90" s="108"/>
      <c r="IK90" s="108"/>
      <c r="IL90" s="108"/>
      <c r="IM90" s="108"/>
      <c r="IN90" s="108"/>
      <c r="IO90" s="108"/>
      <c r="IP90" s="108"/>
      <c r="IQ90" s="108"/>
      <c r="IR90" s="108"/>
      <c r="IS90" s="108"/>
      <c r="IT90" s="108"/>
      <c r="IU90" s="108"/>
      <c r="IV90" s="108"/>
      <c r="IW90" s="108"/>
    </row>
    <row r="91" spans="1:257" x14ac:dyDescent="0.3">
      <c r="A91" s="158"/>
      <c r="B91" s="158"/>
      <c r="C91" s="158"/>
      <c r="D91" s="158"/>
      <c r="E91" s="158"/>
      <c r="F91" s="158"/>
      <c r="G91" s="158"/>
      <c r="H91" s="158"/>
      <c r="I91" s="176"/>
      <c r="J91" s="158"/>
      <c r="K91" s="158"/>
      <c r="L91" s="158"/>
      <c r="M91" s="158"/>
      <c r="N91" s="158"/>
      <c r="O91" s="108"/>
      <c r="P91" s="108"/>
      <c r="Q91" s="108"/>
      <c r="R91" s="108"/>
      <c r="S91" s="108"/>
      <c r="T91" s="108"/>
      <c r="U91" s="108"/>
      <c r="V91" s="108"/>
      <c r="W91" s="108"/>
      <c r="X91" s="108"/>
      <c r="Y91" s="108"/>
      <c r="Z91" s="108"/>
      <c r="AA91" s="108"/>
      <c r="AB91" s="108"/>
      <c r="AC91" s="108"/>
      <c r="AD91" s="108"/>
      <c r="AE91" s="108"/>
      <c r="AF91" s="108"/>
      <c r="AG91" s="108"/>
      <c r="AH91" s="108"/>
      <c r="AI91" s="108"/>
      <c r="AJ91" s="108"/>
      <c r="AK91" s="108"/>
      <c r="AL91" s="108"/>
      <c r="AM91" s="108"/>
      <c r="AN91" s="108"/>
      <c r="AO91" s="108"/>
      <c r="AP91" s="108"/>
      <c r="AQ91" s="108"/>
      <c r="AR91" s="108"/>
      <c r="AS91" s="108"/>
      <c r="AT91" s="108"/>
      <c r="AU91" s="108"/>
      <c r="AV91" s="108"/>
      <c r="AW91" s="108"/>
      <c r="AX91" s="108"/>
      <c r="AY91" s="108"/>
      <c r="AZ91" s="108"/>
      <c r="BA91" s="108"/>
      <c r="BB91" s="108"/>
      <c r="BC91" s="108"/>
      <c r="BD91" s="108"/>
      <c r="BE91" s="108"/>
      <c r="BF91" s="108"/>
      <c r="BG91" s="108"/>
      <c r="BH91" s="108"/>
      <c r="BI91" s="108"/>
      <c r="BJ91" s="108"/>
      <c r="BK91" s="108"/>
      <c r="BL91" s="108"/>
      <c r="BM91" s="108"/>
      <c r="BN91" s="108"/>
      <c r="BO91" s="108"/>
      <c r="BP91" s="108"/>
      <c r="BQ91" s="108"/>
      <c r="BR91" s="108"/>
      <c r="BS91" s="108"/>
      <c r="BT91" s="108"/>
      <c r="BU91" s="108"/>
      <c r="BV91" s="108"/>
      <c r="BW91" s="108"/>
      <c r="BX91" s="108"/>
      <c r="BY91" s="108"/>
      <c r="BZ91" s="108"/>
      <c r="CA91" s="108"/>
      <c r="CB91" s="108"/>
      <c r="CC91" s="108"/>
      <c r="CD91" s="108"/>
      <c r="CE91" s="108"/>
      <c r="CF91" s="108"/>
      <c r="CG91" s="108"/>
      <c r="CH91" s="108"/>
      <c r="CI91" s="108"/>
      <c r="CJ91" s="108"/>
      <c r="CK91" s="108"/>
      <c r="CL91" s="108"/>
      <c r="CM91" s="108"/>
      <c r="CN91" s="108"/>
      <c r="CO91" s="108"/>
      <c r="CP91" s="108"/>
      <c r="CQ91" s="108"/>
      <c r="CR91" s="108"/>
      <c r="CS91" s="108"/>
      <c r="CT91" s="108"/>
      <c r="CU91" s="108"/>
      <c r="CV91" s="108"/>
      <c r="CW91" s="108"/>
      <c r="CX91" s="108"/>
      <c r="CY91" s="108"/>
      <c r="CZ91" s="108"/>
      <c r="DA91" s="108"/>
      <c r="DB91" s="108"/>
      <c r="DC91" s="108"/>
      <c r="DD91" s="108"/>
      <c r="DE91" s="108"/>
      <c r="DF91" s="108"/>
      <c r="DG91" s="108"/>
      <c r="DH91" s="108"/>
      <c r="DI91" s="108"/>
      <c r="DJ91" s="108"/>
      <c r="DK91" s="108"/>
      <c r="DL91" s="108"/>
      <c r="DM91" s="108"/>
      <c r="DN91" s="108"/>
      <c r="DO91" s="108"/>
      <c r="DP91" s="108"/>
      <c r="DQ91" s="108"/>
      <c r="DR91" s="108"/>
      <c r="DS91" s="108"/>
      <c r="DT91" s="108"/>
      <c r="DU91" s="108"/>
      <c r="DV91" s="108"/>
      <c r="DW91" s="108"/>
      <c r="DX91" s="108"/>
      <c r="DY91" s="108"/>
      <c r="DZ91" s="108"/>
      <c r="EA91" s="108"/>
      <c r="EB91" s="108"/>
      <c r="EC91" s="108"/>
      <c r="ED91" s="108"/>
      <c r="EE91" s="108"/>
      <c r="EF91" s="108"/>
      <c r="EG91" s="108"/>
      <c r="EH91" s="108"/>
      <c r="EI91" s="108"/>
      <c r="EJ91" s="108"/>
      <c r="EK91" s="108"/>
      <c r="EL91" s="108"/>
      <c r="EM91" s="108"/>
      <c r="EN91" s="108"/>
      <c r="EO91" s="108"/>
      <c r="EP91" s="108"/>
      <c r="EQ91" s="108"/>
      <c r="ER91" s="108"/>
      <c r="ES91" s="108"/>
      <c r="ET91" s="108"/>
      <c r="EU91" s="108"/>
      <c r="EV91" s="108"/>
      <c r="EW91" s="108"/>
      <c r="EX91" s="108"/>
      <c r="EY91" s="108"/>
      <c r="EZ91" s="108"/>
      <c r="FA91" s="108"/>
      <c r="FB91" s="108"/>
      <c r="FC91" s="108"/>
      <c r="FD91" s="108"/>
      <c r="FE91" s="108"/>
      <c r="FF91" s="108"/>
      <c r="FG91" s="108"/>
      <c r="FH91" s="108"/>
      <c r="FI91" s="108"/>
      <c r="FJ91" s="108"/>
      <c r="FK91" s="108"/>
      <c r="FL91" s="108"/>
      <c r="FM91" s="108"/>
      <c r="FN91" s="108"/>
      <c r="FO91" s="108"/>
      <c r="FP91" s="108"/>
      <c r="FQ91" s="108"/>
      <c r="FR91" s="108"/>
      <c r="FS91" s="108"/>
      <c r="FT91" s="108"/>
      <c r="FU91" s="108"/>
      <c r="FV91" s="108"/>
      <c r="FW91" s="108"/>
      <c r="FX91" s="108"/>
      <c r="FY91" s="108"/>
      <c r="FZ91" s="108"/>
      <c r="GA91" s="108"/>
      <c r="GB91" s="108"/>
      <c r="GC91" s="108"/>
      <c r="GD91" s="108"/>
      <c r="GE91" s="108"/>
      <c r="GF91" s="108"/>
      <c r="GG91" s="108"/>
      <c r="GH91" s="108"/>
      <c r="GI91" s="108"/>
      <c r="GJ91" s="108"/>
      <c r="GK91" s="108"/>
      <c r="GL91" s="108"/>
      <c r="GM91" s="108"/>
      <c r="GN91" s="108"/>
      <c r="GO91" s="108"/>
      <c r="GP91" s="108"/>
      <c r="GQ91" s="108"/>
      <c r="GR91" s="108"/>
      <c r="GS91" s="108"/>
      <c r="GT91" s="108"/>
      <c r="GU91" s="108"/>
      <c r="GV91" s="108"/>
      <c r="GW91" s="108"/>
      <c r="GX91" s="108"/>
      <c r="GY91" s="108"/>
      <c r="GZ91" s="108"/>
      <c r="HA91" s="108"/>
      <c r="HB91" s="108"/>
      <c r="HC91" s="108"/>
      <c r="HD91" s="108"/>
      <c r="HE91" s="108"/>
      <c r="HF91" s="108"/>
      <c r="HG91" s="108"/>
      <c r="HH91" s="108"/>
      <c r="HI91" s="108"/>
      <c r="HJ91" s="108"/>
      <c r="HK91" s="108"/>
      <c r="HL91" s="108"/>
      <c r="HM91" s="108"/>
      <c r="HN91" s="108"/>
      <c r="HO91" s="108"/>
      <c r="HP91" s="108"/>
      <c r="HQ91" s="108"/>
      <c r="HR91" s="108"/>
      <c r="HS91" s="108"/>
      <c r="HT91" s="108"/>
      <c r="HU91" s="108"/>
      <c r="HV91" s="108"/>
      <c r="HW91" s="108"/>
      <c r="HX91" s="108"/>
      <c r="HY91" s="108"/>
      <c r="HZ91" s="108"/>
      <c r="IA91" s="108"/>
      <c r="IB91" s="108"/>
      <c r="IC91" s="108"/>
      <c r="ID91" s="108"/>
      <c r="IE91" s="108"/>
      <c r="IF91" s="108"/>
      <c r="IG91" s="108"/>
      <c r="IH91" s="108"/>
      <c r="II91" s="108"/>
      <c r="IJ91" s="108"/>
      <c r="IK91" s="108"/>
      <c r="IL91" s="108"/>
      <c r="IM91" s="108"/>
      <c r="IN91" s="108"/>
      <c r="IO91" s="108"/>
      <c r="IP91" s="108"/>
      <c r="IQ91" s="108"/>
      <c r="IR91" s="108"/>
      <c r="IS91" s="108"/>
      <c r="IT91" s="108"/>
      <c r="IU91" s="108"/>
      <c r="IV91" s="108"/>
      <c r="IW91" s="108"/>
    </row>
    <row r="92" spans="1:257" x14ac:dyDescent="0.3">
      <c r="A92" s="158"/>
      <c r="B92" s="158"/>
      <c r="C92" s="158"/>
      <c r="D92" s="158"/>
      <c r="E92" s="158"/>
      <c r="F92" s="158"/>
      <c r="G92" s="158"/>
      <c r="H92" s="158"/>
      <c r="I92" s="176"/>
      <c r="J92" s="158"/>
      <c r="K92" s="158"/>
      <c r="L92" s="158"/>
      <c r="M92" s="158"/>
      <c r="N92" s="158"/>
      <c r="O92" s="108"/>
      <c r="P92" s="108"/>
      <c r="Q92" s="108"/>
      <c r="R92" s="108"/>
      <c r="S92" s="108"/>
      <c r="T92" s="108"/>
      <c r="U92" s="108"/>
      <c r="V92" s="108"/>
      <c r="W92" s="108"/>
      <c r="X92" s="108"/>
      <c r="Y92" s="108"/>
      <c r="Z92" s="108"/>
      <c r="AA92" s="108"/>
      <c r="AB92" s="108"/>
      <c r="AC92" s="108"/>
      <c r="AD92" s="108"/>
      <c r="AE92" s="108"/>
      <c r="AF92" s="108"/>
      <c r="AG92" s="108"/>
      <c r="AH92" s="108"/>
      <c r="AI92" s="108"/>
      <c r="AJ92" s="108"/>
      <c r="AK92" s="108"/>
      <c r="AL92" s="108"/>
      <c r="AM92" s="108"/>
      <c r="AN92" s="108"/>
      <c r="AO92" s="108"/>
      <c r="AP92" s="108"/>
      <c r="AQ92" s="108"/>
      <c r="AR92" s="108"/>
      <c r="AS92" s="108"/>
      <c r="AT92" s="108"/>
      <c r="AU92" s="108"/>
      <c r="AV92" s="108"/>
      <c r="AW92" s="108"/>
      <c r="AX92" s="108"/>
      <c r="AY92" s="108"/>
      <c r="AZ92" s="108"/>
      <c r="BA92" s="108"/>
      <c r="BB92" s="108"/>
      <c r="BC92" s="108"/>
      <c r="BD92" s="108"/>
      <c r="BE92" s="108"/>
      <c r="BF92" s="108"/>
      <c r="BG92" s="108"/>
      <c r="BH92" s="108"/>
      <c r="BI92" s="108"/>
      <c r="BJ92" s="108"/>
      <c r="BK92" s="108"/>
      <c r="BL92" s="108"/>
      <c r="BM92" s="108"/>
      <c r="BN92" s="108"/>
      <c r="BO92" s="108"/>
      <c r="BP92" s="108"/>
      <c r="BQ92" s="108"/>
      <c r="BR92" s="108"/>
      <c r="BS92" s="108"/>
      <c r="BT92" s="108"/>
      <c r="BU92" s="108"/>
      <c r="BV92" s="108"/>
      <c r="BW92" s="108"/>
      <c r="BX92" s="108"/>
      <c r="BY92" s="108"/>
      <c r="BZ92" s="108"/>
      <c r="CA92" s="108"/>
      <c r="CB92" s="108"/>
      <c r="CC92" s="108"/>
      <c r="CD92" s="108"/>
      <c r="CE92" s="108"/>
      <c r="CF92" s="108"/>
      <c r="CG92" s="108"/>
      <c r="CH92" s="108"/>
      <c r="CI92" s="108"/>
      <c r="CJ92" s="108"/>
      <c r="CK92" s="108"/>
      <c r="CL92" s="108"/>
      <c r="CM92" s="108"/>
      <c r="CN92" s="108"/>
      <c r="CO92" s="108"/>
      <c r="CP92" s="108"/>
      <c r="CQ92" s="108"/>
      <c r="CR92" s="108"/>
      <c r="CS92" s="108"/>
      <c r="CT92" s="108"/>
      <c r="CU92" s="108"/>
      <c r="CV92" s="108"/>
      <c r="CW92" s="108"/>
      <c r="CX92" s="108"/>
      <c r="CY92" s="108"/>
      <c r="CZ92" s="108"/>
      <c r="DA92" s="108"/>
      <c r="DB92" s="108"/>
      <c r="DC92" s="108"/>
      <c r="DD92" s="108"/>
      <c r="DE92" s="108"/>
      <c r="DF92" s="108"/>
      <c r="DG92" s="108"/>
      <c r="DH92" s="108"/>
      <c r="DI92" s="108"/>
      <c r="DJ92" s="108"/>
      <c r="DK92" s="108"/>
      <c r="DL92" s="108"/>
      <c r="DM92" s="108"/>
      <c r="DN92" s="108"/>
      <c r="DO92" s="108"/>
      <c r="DP92" s="108"/>
      <c r="DQ92" s="108"/>
      <c r="DR92" s="108"/>
      <c r="DS92" s="108"/>
      <c r="DT92" s="108"/>
      <c r="DU92" s="108"/>
      <c r="DV92" s="108"/>
      <c r="DW92" s="108"/>
      <c r="DX92" s="108"/>
      <c r="DY92" s="108"/>
      <c r="DZ92" s="108"/>
      <c r="EA92" s="108"/>
      <c r="EB92" s="108"/>
      <c r="EC92" s="108"/>
      <c r="ED92" s="108"/>
      <c r="EE92" s="108"/>
      <c r="EF92" s="108"/>
      <c r="EG92" s="108"/>
      <c r="EH92" s="108"/>
      <c r="EI92" s="108"/>
      <c r="EJ92" s="108"/>
      <c r="EK92" s="108"/>
      <c r="EL92" s="108"/>
      <c r="EM92" s="108"/>
      <c r="EN92" s="108"/>
      <c r="EO92" s="108"/>
      <c r="EP92" s="108"/>
      <c r="EQ92" s="108"/>
      <c r="ER92" s="108"/>
      <c r="ES92" s="108"/>
      <c r="ET92" s="108"/>
      <c r="EU92" s="108"/>
      <c r="EV92" s="108"/>
      <c r="EW92" s="108"/>
      <c r="EX92" s="108"/>
      <c r="EY92" s="108"/>
      <c r="EZ92" s="108"/>
      <c r="FA92" s="108"/>
      <c r="FB92" s="108"/>
      <c r="FC92" s="108"/>
      <c r="FD92" s="108"/>
      <c r="FE92" s="108"/>
      <c r="FF92" s="108"/>
      <c r="FG92" s="108"/>
      <c r="FH92" s="108"/>
      <c r="FI92" s="108"/>
      <c r="FJ92" s="108"/>
      <c r="FK92" s="108"/>
      <c r="FL92" s="108"/>
      <c r="FM92" s="108"/>
      <c r="FN92" s="108"/>
      <c r="FO92" s="108"/>
      <c r="FP92" s="108"/>
      <c r="FQ92" s="108"/>
      <c r="FR92" s="108"/>
      <c r="FS92" s="108"/>
      <c r="FT92" s="108"/>
      <c r="FU92" s="108"/>
      <c r="FV92" s="108"/>
      <c r="FW92" s="108"/>
      <c r="FX92" s="108"/>
      <c r="FY92" s="108"/>
      <c r="FZ92" s="108"/>
      <c r="GA92" s="108"/>
      <c r="GB92" s="108"/>
      <c r="GC92" s="108"/>
      <c r="GD92" s="108"/>
      <c r="GE92" s="108"/>
      <c r="GF92" s="108"/>
      <c r="GG92" s="108"/>
      <c r="GH92" s="108"/>
      <c r="GI92" s="108"/>
      <c r="GJ92" s="108"/>
      <c r="GK92" s="108"/>
      <c r="GL92" s="108"/>
      <c r="GM92" s="108"/>
      <c r="GN92" s="108"/>
      <c r="GO92" s="108"/>
      <c r="GP92" s="108"/>
      <c r="GQ92" s="108"/>
      <c r="GR92" s="108"/>
      <c r="GS92" s="108"/>
      <c r="GT92" s="108"/>
      <c r="GU92" s="108"/>
      <c r="GV92" s="108"/>
      <c r="GW92" s="108"/>
      <c r="GX92" s="108"/>
      <c r="GY92" s="108"/>
      <c r="GZ92" s="108"/>
      <c r="HA92" s="108"/>
      <c r="HB92" s="108"/>
      <c r="HC92" s="108"/>
      <c r="HD92" s="108"/>
      <c r="HE92" s="108"/>
      <c r="HF92" s="108"/>
      <c r="HG92" s="108"/>
      <c r="HH92" s="108"/>
      <c r="HI92" s="108"/>
      <c r="HJ92" s="108"/>
      <c r="HK92" s="108"/>
      <c r="HL92" s="108"/>
      <c r="HM92" s="108"/>
      <c r="HN92" s="108"/>
      <c r="HO92" s="108"/>
      <c r="HP92" s="108"/>
      <c r="HQ92" s="108"/>
      <c r="HR92" s="108"/>
      <c r="HS92" s="108"/>
      <c r="HT92" s="108"/>
      <c r="HU92" s="108"/>
      <c r="HV92" s="108"/>
      <c r="HW92" s="108"/>
      <c r="HX92" s="108"/>
      <c r="HY92" s="108"/>
      <c r="HZ92" s="108"/>
      <c r="IA92" s="108"/>
      <c r="IB92" s="108"/>
      <c r="IC92" s="108"/>
      <c r="ID92" s="108"/>
      <c r="IE92" s="108"/>
      <c r="IF92" s="108"/>
      <c r="IG92" s="108"/>
      <c r="IH92" s="108"/>
      <c r="II92" s="108"/>
      <c r="IJ92" s="108"/>
      <c r="IK92" s="108"/>
      <c r="IL92" s="108"/>
      <c r="IM92" s="108"/>
      <c r="IN92" s="108"/>
      <c r="IO92" s="108"/>
      <c r="IP92" s="108"/>
      <c r="IQ92" s="108"/>
      <c r="IR92" s="108"/>
      <c r="IS92" s="108"/>
      <c r="IT92" s="108"/>
      <c r="IU92" s="108"/>
      <c r="IV92" s="108"/>
      <c r="IW92" s="108"/>
    </row>
    <row r="93" spans="1:257" x14ac:dyDescent="0.3">
      <c r="A93" s="158"/>
      <c r="B93" s="158"/>
      <c r="C93" s="158"/>
      <c r="D93" s="158"/>
      <c r="E93" s="158"/>
      <c r="F93" s="158"/>
      <c r="G93" s="158"/>
      <c r="H93" s="158"/>
      <c r="I93" s="176"/>
      <c r="J93" s="158"/>
      <c r="K93" s="158"/>
      <c r="L93" s="158"/>
      <c r="M93" s="158"/>
      <c r="N93" s="158"/>
      <c r="O93" s="108"/>
      <c r="P93" s="108"/>
      <c r="Q93" s="108"/>
      <c r="R93" s="108"/>
      <c r="S93" s="108"/>
      <c r="T93" s="108"/>
      <c r="U93" s="108"/>
      <c r="V93" s="108"/>
      <c r="W93" s="108"/>
      <c r="X93" s="108"/>
      <c r="Y93" s="108"/>
      <c r="Z93" s="108"/>
      <c r="AA93" s="108"/>
      <c r="AB93" s="108"/>
      <c r="AC93" s="108"/>
      <c r="AD93" s="108"/>
      <c r="AE93" s="108"/>
      <c r="AF93" s="108"/>
      <c r="AG93" s="108"/>
      <c r="AH93" s="108"/>
      <c r="AI93" s="108"/>
      <c r="AJ93" s="108"/>
      <c r="AK93" s="108"/>
      <c r="AL93" s="108"/>
      <c r="AM93" s="108"/>
      <c r="AN93" s="108"/>
      <c r="AO93" s="108"/>
      <c r="AP93" s="108"/>
      <c r="AQ93" s="108"/>
      <c r="AR93" s="108"/>
      <c r="AS93" s="108"/>
      <c r="AT93" s="108"/>
      <c r="AU93" s="108"/>
      <c r="AV93" s="108"/>
      <c r="AW93" s="108"/>
      <c r="AX93" s="108"/>
      <c r="AY93" s="108"/>
      <c r="AZ93" s="108"/>
      <c r="BA93" s="108"/>
      <c r="BB93" s="108"/>
      <c r="BC93" s="108"/>
      <c r="BD93" s="108"/>
      <c r="BE93" s="108"/>
      <c r="BF93" s="108"/>
      <c r="BG93" s="108"/>
      <c r="BH93" s="108"/>
      <c r="BI93" s="108"/>
      <c r="BJ93" s="108"/>
      <c r="BK93" s="108"/>
      <c r="BL93" s="108"/>
      <c r="BM93" s="108"/>
      <c r="BN93" s="108"/>
      <c r="BO93" s="108"/>
      <c r="BP93" s="108"/>
      <c r="BQ93" s="108"/>
      <c r="BR93" s="108"/>
      <c r="BS93" s="108"/>
      <c r="BT93" s="108"/>
      <c r="BU93" s="108"/>
      <c r="BV93" s="108"/>
      <c r="BW93" s="108"/>
      <c r="BX93" s="108"/>
      <c r="BY93" s="108"/>
      <c r="BZ93" s="108"/>
      <c r="CA93" s="108"/>
      <c r="CB93" s="108"/>
      <c r="CC93" s="108"/>
      <c r="CD93" s="108"/>
      <c r="CE93" s="108"/>
      <c r="CF93" s="108"/>
      <c r="CG93" s="108"/>
      <c r="CH93" s="108"/>
      <c r="CI93" s="108"/>
      <c r="CJ93" s="108"/>
      <c r="CK93" s="108"/>
      <c r="CL93" s="108"/>
      <c r="CM93" s="108"/>
      <c r="CN93" s="108"/>
      <c r="CO93" s="108"/>
      <c r="CP93" s="108"/>
      <c r="CQ93" s="108"/>
      <c r="CR93" s="108"/>
      <c r="CS93" s="108"/>
      <c r="CT93" s="108"/>
      <c r="CU93" s="108"/>
      <c r="CV93" s="108"/>
      <c r="CW93" s="108"/>
      <c r="CX93" s="108"/>
      <c r="CY93" s="108"/>
      <c r="CZ93" s="108"/>
      <c r="DA93" s="108"/>
      <c r="DB93" s="108"/>
      <c r="DC93" s="108"/>
      <c r="DD93" s="108"/>
      <c r="DE93" s="108"/>
      <c r="DF93" s="108"/>
      <c r="DG93" s="108"/>
      <c r="DH93" s="108"/>
      <c r="DI93" s="108"/>
      <c r="DJ93" s="108"/>
      <c r="DK93" s="108"/>
      <c r="DL93" s="108"/>
      <c r="DM93" s="108"/>
      <c r="DN93" s="108"/>
      <c r="DO93" s="108"/>
      <c r="DP93" s="108"/>
      <c r="DQ93" s="108"/>
      <c r="DR93" s="108"/>
      <c r="DS93" s="108"/>
      <c r="DT93" s="108"/>
      <c r="DU93" s="108"/>
      <c r="DV93" s="108"/>
      <c r="DW93" s="108"/>
      <c r="DX93" s="108"/>
      <c r="DY93" s="108"/>
      <c r="DZ93" s="108"/>
      <c r="EA93" s="108"/>
      <c r="EB93" s="108"/>
      <c r="EC93" s="108"/>
      <c r="ED93" s="108"/>
      <c r="EE93" s="108"/>
      <c r="EF93" s="108"/>
      <c r="EG93" s="108"/>
      <c r="EH93" s="108"/>
      <c r="EI93" s="108"/>
      <c r="EJ93" s="108"/>
      <c r="EK93" s="108"/>
      <c r="EL93" s="108"/>
      <c r="EM93" s="108"/>
      <c r="EN93" s="108"/>
      <c r="EO93" s="108"/>
      <c r="EP93" s="108"/>
      <c r="EQ93" s="108"/>
      <c r="ER93" s="108"/>
      <c r="ES93" s="108"/>
      <c r="ET93" s="108"/>
      <c r="EU93" s="108"/>
      <c r="EV93" s="108"/>
      <c r="EW93" s="108"/>
      <c r="EX93" s="108"/>
      <c r="EY93" s="108"/>
      <c r="EZ93" s="108"/>
      <c r="FA93" s="108"/>
      <c r="FB93" s="108"/>
      <c r="FC93" s="108"/>
      <c r="FD93" s="108"/>
      <c r="FE93" s="108"/>
      <c r="FF93" s="108"/>
      <c r="FG93" s="108"/>
      <c r="FH93" s="108"/>
      <c r="FI93" s="108"/>
      <c r="FJ93" s="108"/>
      <c r="FK93" s="108"/>
      <c r="FL93" s="108"/>
      <c r="FM93" s="108"/>
      <c r="FN93" s="108"/>
      <c r="FO93" s="108"/>
      <c r="FP93" s="108"/>
      <c r="FQ93" s="108"/>
      <c r="FR93" s="108"/>
      <c r="FS93" s="108"/>
      <c r="FT93" s="108"/>
      <c r="FU93" s="108"/>
      <c r="FV93" s="108"/>
      <c r="FW93" s="108"/>
      <c r="FX93" s="108"/>
      <c r="FY93" s="108"/>
      <c r="FZ93" s="108"/>
      <c r="GA93" s="108"/>
      <c r="GB93" s="108"/>
      <c r="GC93" s="108"/>
      <c r="GD93" s="108"/>
      <c r="GE93" s="108"/>
      <c r="GF93" s="108"/>
      <c r="GG93" s="108"/>
      <c r="GH93" s="108"/>
      <c r="GI93" s="108"/>
      <c r="GJ93" s="108"/>
      <c r="GK93" s="108"/>
      <c r="GL93" s="108"/>
      <c r="GM93" s="108"/>
      <c r="GN93" s="108"/>
      <c r="GO93" s="108"/>
      <c r="GP93" s="108"/>
      <c r="GQ93" s="108"/>
      <c r="GR93" s="108"/>
      <c r="GS93" s="108"/>
      <c r="GT93" s="108"/>
      <c r="GU93" s="108"/>
      <c r="GV93" s="108"/>
      <c r="GW93" s="108"/>
      <c r="GX93" s="108"/>
      <c r="GY93" s="108"/>
      <c r="GZ93" s="108"/>
      <c r="HA93" s="108"/>
      <c r="HB93" s="108"/>
      <c r="HC93" s="108"/>
      <c r="HD93" s="108"/>
      <c r="HE93" s="108"/>
      <c r="HF93" s="108"/>
      <c r="HG93" s="108"/>
      <c r="HH93" s="108"/>
      <c r="HI93" s="108"/>
      <c r="HJ93" s="108"/>
      <c r="HK93" s="108"/>
      <c r="HL93" s="108"/>
      <c r="HM93" s="108"/>
      <c r="HN93" s="108"/>
      <c r="HO93" s="108"/>
      <c r="HP93" s="108"/>
      <c r="HQ93" s="108"/>
      <c r="HR93" s="108"/>
      <c r="HS93" s="108"/>
      <c r="HT93" s="108"/>
      <c r="HU93" s="108"/>
      <c r="HV93" s="108"/>
      <c r="HW93" s="108"/>
      <c r="HX93" s="108"/>
      <c r="HY93" s="108"/>
      <c r="HZ93" s="108"/>
      <c r="IA93" s="108"/>
      <c r="IB93" s="108"/>
      <c r="IC93" s="108"/>
      <c r="ID93" s="108"/>
      <c r="IE93" s="108"/>
      <c r="IF93" s="108"/>
      <c r="IG93" s="108"/>
      <c r="IH93" s="108"/>
      <c r="II93" s="108"/>
      <c r="IJ93" s="108"/>
      <c r="IK93" s="108"/>
      <c r="IL93" s="108"/>
      <c r="IM93" s="108"/>
      <c r="IN93" s="108"/>
      <c r="IO93" s="108"/>
      <c r="IP93" s="108"/>
      <c r="IQ93" s="108"/>
      <c r="IR93" s="108"/>
      <c r="IS93" s="108"/>
      <c r="IT93" s="108"/>
      <c r="IU93" s="108"/>
      <c r="IV93" s="108"/>
      <c r="IW93" s="108"/>
    </row>
    <row r="94" spans="1:257" x14ac:dyDescent="0.3">
      <c r="A94" s="158"/>
      <c r="B94" s="158"/>
      <c r="C94" s="158"/>
      <c r="D94" s="158"/>
      <c r="E94" s="158"/>
      <c r="F94" s="158"/>
      <c r="G94" s="158"/>
      <c r="H94" s="158"/>
      <c r="I94" s="176"/>
      <c r="J94" s="158"/>
      <c r="K94" s="158"/>
      <c r="L94" s="158"/>
      <c r="M94" s="158"/>
      <c r="N94" s="158"/>
      <c r="O94" s="108"/>
      <c r="P94" s="108"/>
      <c r="Q94" s="108"/>
      <c r="R94" s="108"/>
      <c r="S94" s="108"/>
      <c r="T94" s="108"/>
      <c r="U94" s="108"/>
      <c r="V94" s="108"/>
      <c r="W94" s="108"/>
      <c r="X94" s="108"/>
      <c r="Y94" s="108"/>
      <c r="Z94" s="108"/>
      <c r="AA94" s="108"/>
      <c r="AB94" s="108"/>
      <c r="AC94" s="108"/>
      <c r="AD94" s="108"/>
      <c r="AE94" s="108"/>
      <c r="AF94" s="108"/>
      <c r="AG94" s="108"/>
      <c r="AH94" s="108"/>
      <c r="AI94" s="108"/>
      <c r="AJ94" s="108"/>
      <c r="AK94" s="108"/>
      <c r="AL94" s="108"/>
      <c r="AM94" s="108"/>
      <c r="AN94" s="108"/>
      <c r="AO94" s="108"/>
      <c r="AP94" s="108"/>
      <c r="AQ94" s="108"/>
      <c r="AR94" s="108"/>
      <c r="AS94" s="108"/>
      <c r="AT94" s="108"/>
      <c r="AU94" s="108"/>
      <c r="AV94" s="108"/>
      <c r="AW94" s="108"/>
      <c r="AX94" s="108"/>
      <c r="AY94" s="108"/>
      <c r="AZ94" s="108"/>
      <c r="BA94" s="108"/>
      <c r="BB94" s="108"/>
      <c r="BC94" s="108"/>
      <c r="BD94" s="108"/>
      <c r="BE94" s="108"/>
      <c r="BF94" s="108"/>
      <c r="BG94" s="108"/>
      <c r="BH94" s="108"/>
      <c r="BI94" s="108"/>
      <c r="BJ94" s="108"/>
      <c r="BK94" s="108"/>
      <c r="BL94" s="108"/>
      <c r="BM94" s="108"/>
      <c r="BN94" s="108"/>
      <c r="BO94" s="108"/>
      <c r="BP94" s="108"/>
      <c r="BQ94" s="108"/>
      <c r="BR94" s="108"/>
      <c r="BS94" s="108"/>
      <c r="BT94" s="108"/>
      <c r="BU94" s="108"/>
      <c r="BV94" s="108"/>
      <c r="BW94" s="108"/>
      <c r="BX94" s="108"/>
      <c r="BY94" s="108"/>
      <c r="BZ94" s="108"/>
      <c r="CA94" s="108"/>
      <c r="CB94" s="108"/>
      <c r="CC94" s="108"/>
      <c r="CD94" s="108"/>
      <c r="CE94" s="108"/>
      <c r="CF94" s="108"/>
      <c r="CG94" s="108"/>
      <c r="CH94" s="108"/>
      <c r="CI94" s="108"/>
      <c r="CJ94" s="108"/>
      <c r="CK94" s="108"/>
      <c r="CL94" s="108"/>
      <c r="CM94" s="108"/>
      <c r="CN94" s="108"/>
      <c r="CO94" s="108"/>
      <c r="CP94" s="108"/>
      <c r="CQ94" s="108"/>
      <c r="CR94" s="108"/>
      <c r="CS94" s="108"/>
      <c r="CT94" s="108"/>
      <c r="CU94" s="108"/>
      <c r="CV94" s="108"/>
      <c r="CW94" s="108"/>
      <c r="CX94" s="108"/>
      <c r="CY94" s="108"/>
      <c r="CZ94" s="108"/>
      <c r="DA94" s="108"/>
      <c r="DB94" s="108"/>
      <c r="DC94" s="108"/>
      <c r="DD94" s="108"/>
      <c r="DE94" s="108"/>
      <c r="DF94" s="108"/>
      <c r="DG94" s="108"/>
      <c r="DH94" s="108"/>
      <c r="DI94" s="108"/>
      <c r="DJ94" s="108"/>
      <c r="DK94" s="108"/>
      <c r="DL94" s="108"/>
      <c r="DM94" s="108"/>
      <c r="DN94" s="108"/>
      <c r="DO94" s="108"/>
      <c r="DP94" s="108"/>
      <c r="DQ94" s="108"/>
      <c r="DR94" s="108"/>
      <c r="DS94" s="108"/>
      <c r="DT94" s="108"/>
      <c r="DU94" s="108"/>
      <c r="DV94" s="108"/>
      <c r="DW94" s="108"/>
      <c r="DX94" s="108"/>
      <c r="DY94" s="108"/>
      <c r="DZ94" s="108"/>
      <c r="EA94" s="108"/>
      <c r="EB94" s="108"/>
      <c r="EC94" s="108"/>
      <c r="ED94" s="108"/>
      <c r="EE94" s="108"/>
      <c r="EF94" s="108"/>
      <c r="EG94" s="108"/>
      <c r="EH94" s="108"/>
      <c r="EI94" s="108"/>
      <c r="EJ94" s="108"/>
      <c r="EK94" s="108"/>
      <c r="EL94" s="108"/>
      <c r="EM94" s="108"/>
      <c r="EN94" s="108"/>
      <c r="EO94" s="108"/>
      <c r="EP94" s="108"/>
      <c r="EQ94" s="108"/>
      <c r="ER94" s="108"/>
      <c r="ES94" s="108"/>
      <c r="ET94" s="108"/>
      <c r="EU94" s="108"/>
      <c r="EV94" s="108"/>
      <c r="EW94" s="108"/>
      <c r="EX94" s="108"/>
      <c r="EY94" s="108"/>
      <c r="EZ94" s="108"/>
      <c r="FA94" s="108"/>
      <c r="FB94" s="108"/>
      <c r="FC94" s="108"/>
      <c r="FD94" s="108"/>
      <c r="FE94" s="108"/>
      <c r="FF94" s="108"/>
      <c r="FG94" s="108"/>
      <c r="FH94" s="108"/>
      <c r="FI94" s="108"/>
      <c r="FJ94" s="108"/>
      <c r="FK94" s="108"/>
      <c r="FL94" s="108"/>
      <c r="FM94" s="108"/>
      <c r="FN94" s="108"/>
      <c r="FO94" s="108"/>
      <c r="FP94" s="108"/>
      <c r="FQ94" s="108"/>
      <c r="FR94" s="108"/>
      <c r="FS94" s="108"/>
      <c r="FT94" s="108"/>
      <c r="FU94" s="108"/>
      <c r="FV94" s="108"/>
      <c r="FW94" s="108"/>
      <c r="FX94" s="108"/>
      <c r="FY94" s="108"/>
      <c r="FZ94" s="108"/>
      <c r="GA94" s="108"/>
      <c r="GB94" s="108"/>
      <c r="GC94" s="108"/>
      <c r="GD94" s="108"/>
      <c r="GE94" s="108"/>
      <c r="GF94" s="108"/>
      <c r="GG94" s="108"/>
      <c r="GH94" s="108"/>
      <c r="GI94" s="108"/>
      <c r="GJ94" s="108"/>
      <c r="GK94" s="108"/>
      <c r="GL94" s="108"/>
      <c r="GM94" s="108"/>
      <c r="GN94" s="108"/>
      <c r="GO94" s="108"/>
      <c r="GP94" s="108"/>
      <c r="GQ94" s="108"/>
      <c r="GR94" s="108"/>
      <c r="GS94" s="108"/>
      <c r="GT94" s="108"/>
      <c r="GU94" s="108"/>
      <c r="GV94" s="108"/>
      <c r="GW94" s="108"/>
      <c r="GX94" s="108"/>
      <c r="GY94" s="108"/>
      <c r="GZ94" s="108"/>
      <c r="HA94" s="108"/>
      <c r="HB94" s="108"/>
      <c r="HC94" s="108"/>
      <c r="HD94" s="108"/>
      <c r="HE94" s="108"/>
      <c r="HF94" s="108"/>
      <c r="HG94" s="108"/>
      <c r="HH94" s="108"/>
      <c r="HI94" s="108"/>
      <c r="HJ94" s="108"/>
      <c r="HK94" s="108"/>
      <c r="HL94" s="108"/>
      <c r="HM94" s="108"/>
      <c r="HN94" s="108"/>
      <c r="HO94" s="108"/>
      <c r="HP94" s="108"/>
      <c r="HQ94" s="108"/>
      <c r="HR94" s="108"/>
      <c r="HS94" s="108"/>
      <c r="HT94" s="108"/>
      <c r="HU94" s="108"/>
      <c r="HV94" s="108"/>
      <c r="HW94" s="108"/>
      <c r="HX94" s="108"/>
      <c r="HY94" s="108"/>
      <c r="HZ94" s="108"/>
      <c r="IA94" s="108"/>
      <c r="IB94" s="108"/>
      <c r="IC94" s="108"/>
      <c r="ID94" s="108"/>
      <c r="IE94" s="108"/>
      <c r="IF94" s="108"/>
      <c r="IG94" s="108"/>
      <c r="IH94" s="108"/>
      <c r="II94" s="108"/>
      <c r="IJ94" s="108"/>
      <c r="IK94" s="108"/>
      <c r="IL94" s="108"/>
      <c r="IM94" s="108"/>
      <c r="IN94" s="108"/>
      <c r="IO94" s="108"/>
      <c r="IP94" s="108"/>
      <c r="IQ94" s="108"/>
      <c r="IR94" s="108"/>
      <c r="IS94" s="108"/>
      <c r="IT94" s="108"/>
      <c r="IU94" s="108"/>
      <c r="IV94" s="108"/>
      <c r="IW94" s="108"/>
    </row>
    <row r="95" spans="1:257" x14ac:dyDescent="0.3">
      <c r="A95" s="158"/>
      <c r="B95" s="158"/>
      <c r="C95" s="158"/>
      <c r="D95" s="158"/>
      <c r="E95" s="158"/>
      <c r="F95" s="158"/>
      <c r="G95" s="158"/>
      <c r="H95" s="158"/>
      <c r="I95" s="176"/>
      <c r="J95" s="158"/>
      <c r="K95" s="158"/>
      <c r="L95" s="158"/>
      <c r="M95" s="158"/>
      <c r="N95" s="158"/>
      <c r="O95" s="108"/>
      <c r="P95" s="108"/>
      <c r="Q95" s="108"/>
      <c r="R95" s="108"/>
      <c r="S95" s="108"/>
      <c r="T95" s="108"/>
      <c r="U95" s="108"/>
      <c r="V95" s="108"/>
      <c r="W95" s="108"/>
      <c r="X95" s="108"/>
      <c r="Y95" s="108"/>
      <c r="Z95" s="108"/>
      <c r="AA95" s="108"/>
      <c r="AB95" s="108"/>
      <c r="AC95" s="108"/>
      <c r="AD95" s="108"/>
      <c r="AE95" s="108"/>
      <c r="AF95" s="108"/>
      <c r="AG95" s="108"/>
      <c r="AH95" s="108"/>
      <c r="AI95" s="108"/>
      <c r="AJ95" s="108"/>
      <c r="AK95" s="108"/>
      <c r="AL95" s="108"/>
      <c r="AM95" s="108"/>
      <c r="AN95" s="108"/>
      <c r="AO95" s="108"/>
      <c r="AP95" s="108"/>
      <c r="AQ95" s="108"/>
      <c r="AR95" s="108"/>
      <c r="AS95" s="108"/>
      <c r="AT95" s="108"/>
      <c r="AU95" s="108"/>
      <c r="AV95" s="108"/>
      <c r="AW95" s="108"/>
      <c r="AX95" s="108"/>
      <c r="AY95" s="108"/>
      <c r="AZ95" s="108"/>
      <c r="BA95" s="108"/>
      <c r="BB95" s="108"/>
      <c r="BC95" s="108"/>
      <c r="BD95" s="108"/>
      <c r="BE95" s="108"/>
      <c r="BF95" s="108"/>
      <c r="BG95" s="108"/>
      <c r="BH95" s="108"/>
      <c r="BI95" s="108"/>
      <c r="BJ95" s="108"/>
      <c r="BK95" s="108"/>
      <c r="BL95" s="108"/>
      <c r="BM95" s="108"/>
      <c r="BN95" s="108"/>
      <c r="BO95" s="108"/>
      <c r="BP95" s="108"/>
      <c r="BQ95" s="108"/>
      <c r="BR95" s="108"/>
      <c r="BS95" s="108"/>
      <c r="BT95" s="108"/>
      <c r="BU95" s="108"/>
      <c r="BV95" s="108"/>
      <c r="BW95" s="108"/>
      <c r="BX95" s="108"/>
      <c r="BY95" s="108"/>
      <c r="BZ95" s="108"/>
      <c r="CA95" s="108"/>
      <c r="CB95" s="108"/>
      <c r="CC95" s="108"/>
      <c r="CD95" s="108"/>
      <c r="CE95" s="108"/>
      <c r="CF95" s="108"/>
      <c r="CG95" s="108"/>
      <c r="CH95" s="108"/>
      <c r="CI95" s="108"/>
      <c r="CJ95" s="108"/>
      <c r="CK95" s="108"/>
      <c r="CL95" s="108"/>
      <c r="CM95" s="108"/>
      <c r="CN95" s="108"/>
      <c r="CO95" s="108"/>
      <c r="CP95" s="108"/>
      <c r="CQ95" s="108"/>
      <c r="CR95" s="108"/>
      <c r="CS95" s="108"/>
      <c r="CT95" s="108"/>
      <c r="CU95" s="108"/>
      <c r="CV95" s="108"/>
      <c r="CW95" s="108"/>
      <c r="CX95" s="108"/>
      <c r="CY95" s="108"/>
      <c r="CZ95" s="108"/>
      <c r="DA95" s="108"/>
      <c r="DB95" s="108"/>
      <c r="DC95" s="108"/>
      <c r="DD95" s="108"/>
      <c r="DE95" s="108"/>
      <c r="DF95" s="108"/>
      <c r="DG95" s="108"/>
      <c r="DH95" s="108"/>
      <c r="DI95" s="108"/>
      <c r="DJ95" s="108"/>
      <c r="DK95" s="108"/>
      <c r="DL95" s="108"/>
      <c r="DM95" s="108"/>
      <c r="DN95" s="108"/>
      <c r="DO95" s="108"/>
      <c r="DP95" s="108"/>
      <c r="DQ95" s="108"/>
      <c r="DR95" s="108"/>
      <c r="DS95" s="108"/>
      <c r="DT95" s="108"/>
      <c r="DU95" s="108"/>
      <c r="DV95" s="108"/>
      <c r="DW95" s="108"/>
      <c r="DX95" s="108"/>
      <c r="DY95" s="108"/>
      <c r="DZ95" s="108"/>
      <c r="EA95" s="108"/>
      <c r="EB95" s="108"/>
      <c r="EC95" s="108"/>
      <c r="ED95" s="108"/>
      <c r="EE95" s="108"/>
      <c r="EF95" s="108"/>
      <c r="EG95" s="108"/>
      <c r="EH95" s="108"/>
      <c r="EI95" s="108"/>
      <c r="EJ95" s="108"/>
      <c r="EK95" s="108"/>
      <c r="EL95" s="108"/>
      <c r="EM95" s="108"/>
      <c r="EN95" s="108"/>
      <c r="EO95" s="108"/>
      <c r="EP95" s="108"/>
      <c r="EQ95" s="108"/>
      <c r="ER95" s="108"/>
      <c r="ES95" s="108"/>
      <c r="ET95" s="108"/>
      <c r="EU95" s="108"/>
      <c r="EV95" s="108"/>
      <c r="EW95" s="108"/>
      <c r="EX95" s="108"/>
      <c r="EY95" s="108"/>
      <c r="EZ95" s="108"/>
      <c r="FA95" s="108"/>
      <c r="FB95" s="108"/>
      <c r="FC95" s="108"/>
      <c r="FD95" s="108"/>
      <c r="FE95" s="108"/>
      <c r="FF95" s="108"/>
      <c r="FG95" s="108"/>
      <c r="FH95" s="108"/>
      <c r="FI95" s="108"/>
      <c r="FJ95" s="108"/>
      <c r="FK95" s="108"/>
      <c r="FL95" s="108"/>
      <c r="FM95" s="108"/>
      <c r="FN95" s="108"/>
      <c r="FO95" s="108"/>
      <c r="FP95" s="108"/>
      <c r="FQ95" s="108"/>
      <c r="FR95" s="108"/>
      <c r="FS95" s="108"/>
      <c r="FT95" s="108"/>
      <c r="FU95" s="108"/>
      <c r="FV95" s="108"/>
      <c r="FW95" s="108"/>
      <c r="FX95" s="108"/>
      <c r="FY95" s="108"/>
      <c r="FZ95" s="108"/>
      <c r="GA95" s="108"/>
      <c r="GB95" s="108"/>
      <c r="GC95" s="108"/>
      <c r="GD95" s="108"/>
      <c r="GE95" s="108"/>
      <c r="GF95" s="108"/>
      <c r="GG95" s="108"/>
      <c r="GH95" s="108"/>
      <c r="GI95" s="108"/>
      <c r="GJ95" s="108"/>
      <c r="GK95" s="108"/>
      <c r="GL95" s="108"/>
      <c r="GM95" s="108"/>
      <c r="GN95" s="108"/>
      <c r="GO95" s="108"/>
      <c r="GP95" s="108"/>
      <c r="GQ95" s="108"/>
      <c r="GR95" s="108"/>
      <c r="GS95" s="108"/>
      <c r="GT95" s="108"/>
      <c r="GU95" s="108"/>
      <c r="GV95" s="108"/>
      <c r="GW95" s="108"/>
      <c r="GX95" s="108"/>
      <c r="GY95" s="108"/>
      <c r="GZ95" s="108"/>
      <c r="HA95" s="108"/>
      <c r="HB95" s="108"/>
      <c r="HC95" s="108"/>
      <c r="HD95" s="108"/>
      <c r="HE95" s="108"/>
      <c r="HF95" s="108"/>
      <c r="HG95" s="108"/>
      <c r="HH95" s="108"/>
      <c r="HI95" s="108"/>
      <c r="HJ95" s="108"/>
      <c r="HK95" s="108"/>
      <c r="HL95" s="108"/>
      <c r="HM95" s="108"/>
      <c r="HN95" s="108"/>
      <c r="HO95" s="108"/>
      <c r="HP95" s="108"/>
      <c r="HQ95" s="108"/>
      <c r="HR95" s="108"/>
      <c r="HS95" s="108"/>
      <c r="HT95" s="108"/>
      <c r="HU95" s="108"/>
      <c r="HV95" s="108"/>
      <c r="HW95" s="108"/>
      <c r="HX95" s="108"/>
      <c r="HY95" s="108"/>
      <c r="HZ95" s="108"/>
      <c r="IA95" s="108"/>
      <c r="IB95" s="108"/>
      <c r="IC95" s="108"/>
      <c r="ID95" s="108"/>
      <c r="IE95" s="108"/>
      <c r="IF95" s="108"/>
      <c r="IG95" s="108"/>
      <c r="IH95" s="108"/>
      <c r="II95" s="108"/>
      <c r="IJ95" s="108"/>
      <c r="IK95" s="108"/>
      <c r="IL95" s="108"/>
      <c r="IM95" s="108"/>
      <c r="IN95" s="108"/>
      <c r="IO95" s="108"/>
      <c r="IP95" s="108"/>
      <c r="IQ95" s="108"/>
      <c r="IR95" s="108"/>
      <c r="IS95" s="108"/>
      <c r="IT95" s="108"/>
      <c r="IU95" s="108"/>
      <c r="IV95" s="108"/>
      <c r="IW95" s="108"/>
    </row>
    <row r="96" spans="1:257" x14ac:dyDescent="0.3">
      <c r="A96" s="158"/>
      <c r="B96" s="158"/>
      <c r="C96" s="158"/>
      <c r="D96" s="158"/>
      <c r="E96" s="158"/>
      <c r="F96" s="158"/>
      <c r="G96" s="158"/>
      <c r="H96" s="158"/>
      <c r="I96" s="176"/>
      <c r="J96" s="158"/>
      <c r="K96" s="158"/>
      <c r="L96" s="158"/>
      <c r="M96" s="158"/>
      <c r="N96" s="158"/>
      <c r="O96" s="108"/>
      <c r="P96" s="108"/>
      <c r="Q96" s="108"/>
      <c r="R96" s="108"/>
      <c r="S96" s="108"/>
      <c r="T96" s="108"/>
      <c r="U96" s="108"/>
      <c r="V96" s="108"/>
      <c r="W96" s="108"/>
      <c r="X96" s="108"/>
      <c r="Y96" s="108"/>
      <c r="Z96" s="108"/>
      <c r="AA96" s="108"/>
      <c r="AB96" s="108"/>
      <c r="AC96" s="108"/>
      <c r="AD96" s="108"/>
      <c r="AE96" s="108"/>
      <c r="AF96" s="108"/>
      <c r="AG96" s="108"/>
      <c r="AH96" s="108"/>
      <c r="AI96" s="108"/>
      <c r="AJ96" s="108"/>
      <c r="AK96" s="108"/>
      <c r="AL96" s="108"/>
      <c r="AM96" s="108"/>
      <c r="AN96" s="108"/>
      <c r="AO96" s="108"/>
      <c r="AP96" s="108"/>
      <c r="AQ96" s="108"/>
      <c r="AR96" s="108"/>
      <c r="AS96" s="108"/>
      <c r="AT96" s="108"/>
      <c r="AU96" s="108"/>
      <c r="AV96" s="108"/>
      <c r="AW96" s="108"/>
      <c r="AX96" s="108"/>
      <c r="AY96" s="108"/>
      <c r="AZ96" s="108"/>
      <c r="BA96" s="108"/>
      <c r="BB96" s="108"/>
      <c r="BC96" s="108"/>
      <c r="BD96" s="108"/>
      <c r="BE96" s="108"/>
      <c r="BF96" s="108"/>
      <c r="BG96" s="108"/>
      <c r="BH96" s="108"/>
      <c r="BI96" s="108"/>
      <c r="BJ96" s="108"/>
      <c r="BK96" s="108"/>
      <c r="BL96" s="108"/>
      <c r="BM96" s="108"/>
      <c r="BN96" s="108"/>
      <c r="BO96" s="108"/>
      <c r="BP96" s="108"/>
      <c r="BQ96" s="108"/>
      <c r="BR96" s="108"/>
      <c r="BS96" s="108"/>
      <c r="BT96" s="108"/>
      <c r="BU96" s="108"/>
      <c r="BV96" s="108"/>
      <c r="BW96" s="108"/>
      <c r="BX96" s="108"/>
      <c r="BY96" s="108"/>
      <c r="BZ96" s="108"/>
      <c r="CA96" s="108"/>
      <c r="CB96" s="108"/>
      <c r="CC96" s="108"/>
      <c r="CD96" s="108"/>
      <c r="CE96" s="108"/>
      <c r="CF96" s="108"/>
      <c r="CG96" s="108"/>
      <c r="CH96" s="108"/>
      <c r="CI96" s="108"/>
      <c r="CJ96" s="108"/>
      <c r="CK96" s="108"/>
      <c r="CL96" s="108"/>
      <c r="CM96" s="108"/>
      <c r="CN96" s="108"/>
      <c r="CO96" s="108"/>
      <c r="CP96" s="108"/>
      <c r="CQ96" s="108"/>
      <c r="CR96" s="108"/>
      <c r="CS96" s="108"/>
      <c r="CT96" s="108"/>
      <c r="CU96" s="108"/>
      <c r="CV96" s="108"/>
      <c r="CW96" s="108"/>
      <c r="CX96" s="108"/>
      <c r="CY96" s="108"/>
      <c r="CZ96" s="108"/>
      <c r="DA96" s="108"/>
      <c r="DB96" s="108"/>
      <c r="DC96" s="108"/>
      <c r="DD96" s="108"/>
      <c r="DE96" s="108"/>
      <c r="DF96" s="108"/>
      <c r="DG96" s="108"/>
      <c r="DH96" s="108"/>
      <c r="DI96" s="108"/>
      <c r="DJ96" s="108"/>
      <c r="DK96" s="108"/>
      <c r="DL96" s="108"/>
      <c r="DM96" s="108"/>
      <c r="DN96" s="108"/>
      <c r="DO96" s="108"/>
      <c r="DP96" s="108"/>
      <c r="DQ96" s="108"/>
      <c r="DR96" s="108"/>
      <c r="DS96" s="108"/>
      <c r="DT96" s="108"/>
      <c r="DU96" s="108"/>
      <c r="DV96" s="108"/>
      <c r="DW96" s="108"/>
      <c r="DX96" s="108"/>
      <c r="DY96" s="108"/>
      <c r="DZ96" s="108"/>
      <c r="EA96" s="108"/>
      <c r="EB96" s="108"/>
      <c r="EC96" s="108"/>
      <c r="ED96" s="108"/>
      <c r="EE96" s="108"/>
      <c r="EF96" s="108"/>
      <c r="EG96" s="108"/>
      <c r="EH96" s="108"/>
      <c r="EI96" s="108"/>
      <c r="EJ96" s="108"/>
      <c r="EK96" s="108"/>
      <c r="EL96" s="108"/>
      <c r="EM96" s="108"/>
      <c r="EN96" s="108"/>
      <c r="EO96" s="108"/>
      <c r="EP96" s="108"/>
      <c r="EQ96" s="108"/>
      <c r="ER96" s="108"/>
      <c r="ES96" s="108"/>
      <c r="ET96" s="108"/>
      <c r="EU96" s="108"/>
      <c r="EV96" s="108"/>
      <c r="EW96" s="108"/>
      <c r="EX96" s="108"/>
      <c r="EY96" s="108"/>
      <c r="EZ96" s="108"/>
      <c r="FA96" s="108"/>
      <c r="FB96" s="108"/>
      <c r="FC96" s="108"/>
      <c r="FD96" s="108"/>
      <c r="FE96" s="108"/>
      <c r="FF96" s="108"/>
      <c r="FG96" s="108"/>
      <c r="FH96" s="108"/>
      <c r="FI96" s="108"/>
      <c r="FJ96" s="108"/>
      <c r="FK96" s="108"/>
      <c r="FL96" s="108"/>
      <c r="FM96" s="108"/>
      <c r="FN96" s="108"/>
      <c r="FO96" s="108"/>
      <c r="FP96" s="108"/>
      <c r="FQ96" s="108"/>
      <c r="FR96" s="108"/>
      <c r="FS96" s="108"/>
      <c r="FT96" s="108"/>
      <c r="FU96" s="108"/>
      <c r="FV96" s="108"/>
      <c r="FW96" s="108"/>
      <c r="FX96" s="108"/>
      <c r="FY96" s="108"/>
      <c r="FZ96" s="108"/>
      <c r="GA96" s="108"/>
      <c r="GB96" s="108"/>
      <c r="GC96" s="108"/>
      <c r="GD96" s="108"/>
      <c r="GE96" s="108"/>
      <c r="GF96" s="108"/>
      <c r="GG96" s="108"/>
      <c r="GH96" s="108"/>
      <c r="GI96" s="108"/>
      <c r="GJ96" s="108"/>
      <c r="GK96" s="108"/>
      <c r="GL96" s="108"/>
      <c r="GM96" s="108"/>
      <c r="GN96" s="108"/>
      <c r="GO96" s="108"/>
      <c r="GP96" s="108"/>
      <c r="GQ96" s="108"/>
      <c r="GR96" s="108"/>
      <c r="GS96" s="108"/>
      <c r="GT96" s="108"/>
      <c r="GU96" s="108"/>
      <c r="GV96" s="108"/>
      <c r="GW96" s="108"/>
      <c r="GX96" s="108"/>
      <c r="GY96" s="108"/>
      <c r="GZ96" s="108"/>
      <c r="HA96" s="108"/>
      <c r="HB96" s="108"/>
      <c r="HC96" s="108"/>
      <c r="HD96" s="108"/>
      <c r="HE96" s="108"/>
      <c r="HF96" s="108"/>
      <c r="HG96" s="108"/>
      <c r="HH96" s="108"/>
      <c r="HI96" s="108"/>
      <c r="HJ96" s="108"/>
      <c r="HK96" s="108"/>
      <c r="HL96" s="108"/>
      <c r="HM96" s="108"/>
      <c r="HN96" s="108"/>
      <c r="HO96" s="108"/>
      <c r="HP96" s="108"/>
      <c r="HQ96" s="108"/>
      <c r="HR96" s="108"/>
      <c r="HS96" s="108"/>
      <c r="HT96" s="108"/>
      <c r="HU96" s="108"/>
      <c r="HV96" s="108"/>
      <c r="HW96" s="108"/>
      <c r="HX96" s="108"/>
      <c r="HY96" s="108"/>
      <c r="HZ96" s="108"/>
      <c r="IA96" s="108"/>
      <c r="IB96" s="108"/>
      <c r="IC96" s="108"/>
      <c r="ID96" s="108"/>
      <c r="IE96" s="108"/>
      <c r="IF96" s="108"/>
      <c r="IG96" s="108"/>
      <c r="IH96" s="108"/>
      <c r="II96" s="108"/>
      <c r="IJ96" s="108"/>
      <c r="IK96" s="108"/>
      <c r="IL96" s="108"/>
      <c r="IM96" s="108"/>
      <c r="IN96" s="108"/>
      <c r="IO96" s="108"/>
      <c r="IP96" s="108"/>
      <c r="IQ96" s="108"/>
      <c r="IR96" s="108"/>
      <c r="IS96" s="108"/>
      <c r="IT96" s="108"/>
      <c r="IU96" s="108"/>
      <c r="IV96" s="108"/>
      <c r="IW96" s="108"/>
    </row>
    <row r="97" spans="1:257" x14ac:dyDescent="0.3">
      <c r="A97" s="158"/>
      <c r="B97" s="158"/>
      <c r="C97" s="158"/>
      <c r="D97" s="158"/>
      <c r="E97" s="158"/>
      <c r="F97" s="158"/>
      <c r="G97" s="158"/>
      <c r="H97" s="158"/>
      <c r="I97" s="176"/>
      <c r="J97" s="158"/>
      <c r="K97" s="158"/>
      <c r="L97" s="158"/>
      <c r="M97" s="158"/>
      <c r="N97" s="158"/>
      <c r="O97" s="108"/>
      <c r="P97" s="108"/>
      <c r="Q97" s="108"/>
      <c r="R97" s="108"/>
      <c r="S97" s="108"/>
      <c r="T97" s="108"/>
      <c r="U97" s="108"/>
      <c r="V97" s="108"/>
      <c r="W97" s="108"/>
      <c r="X97" s="108"/>
      <c r="Y97" s="108"/>
      <c r="Z97" s="108"/>
      <c r="AA97" s="108"/>
      <c r="AB97" s="108"/>
      <c r="AC97" s="108"/>
      <c r="AD97" s="108"/>
      <c r="AE97" s="108"/>
      <c r="AF97" s="108"/>
      <c r="AG97" s="108"/>
      <c r="AH97" s="108"/>
      <c r="AI97" s="108"/>
      <c r="AJ97" s="108"/>
      <c r="AK97" s="108"/>
      <c r="AL97" s="108"/>
      <c r="AM97" s="108"/>
      <c r="AN97" s="108"/>
      <c r="AO97" s="108"/>
      <c r="AP97" s="108"/>
      <c r="AQ97" s="108"/>
      <c r="AR97" s="108"/>
      <c r="AS97" s="108"/>
      <c r="AT97" s="108"/>
      <c r="AU97" s="108"/>
      <c r="AV97" s="108"/>
      <c r="AW97" s="108"/>
      <c r="AX97" s="108"/>
      <c r="AY97" s="108"/>
      <c r="AZ97" s="108"/>
      <c r="BA97" s="108"/>
      <c r="BB97" s="108"/>
      <c r="BC97" s="108"/>
      <c r="BD97" s="108"/>
      <c r="BE97" s="108"/>
      <c r="BF97" s="108"/>
      <c r="BG97" s="108"/>
      <c r="BH97" s="108"/>
      <c r="BI97" s="108"/>
      <c r="BJ97" s="108"/>
      <c r="BK97" s="108"/>
      <c r="BL97" s="108"/>
      <c r="BM97" s="108"/>
      <c r="BN97" s="108"/>
      <c r="BO97" s="108"/>
      <c r="BP97" s="108"/>
      <c r="BQ97" s="108"/>
      <c r="BR97" s="108"/>
      <c r="BS97" s="108"/>
      <c r="BT97" s="108"/>
      <c r="BU97" s="108"/>
      <c r="BV97" s="108"/>
      <c r="BW97" s="108"/>
      <c r="BX97" s="108"/>
      <c r="BY97" s="108"/>
      <c r="BZ97" s="108"/>
      <c r="CA97" s="108"/>
      <c r="CB97" s="108"/>
      <c r="CC97" s="108"/>
      <c r="CD97" s="108"/>
      <c r="CE97" s="108"/>
      <c r="CF97" s="108"/>
      <c r="CG97" s="108"/>
      <c r="CH97" s="108"/>
      <c r="CI97" s="108"/>
      <c r="CJ97" s="108"/>
      <c r="CK97" s="108"/>
      <c r="CL97" s="108"/>
      <c r="CM97" s="108"/>
      <c r="CN97" s="108"/>
      <c r="CO97" s="108"/>
      <c r="CP97" s="108"/>
      <c r="CQ97" s="108"/>
      <c r="CR97" s="108"/>
      <c r="CS97" s="108"/>
      <c r="CT97" s="108"/>
      <c r="CU97" s="108"/>
      <c r="CV97" s="108"/>
      <c r="CW97" s="108"/>
      <c r="CX97" s="108"/>
      <c r="CY97" s="108"/>
      <c r="CZ97" s="108"/>
      <c r="DA97" s="108"/>
      <c r="DB97" s="108"/>
      <c r="DC97" s="108"/>
      <c r="DD97" s="108"/>
      <c r="DE97" s="108"/>
      <c r="DF97" s="108"/>
      <c r="DG97" s="108"/>
      <c r="DH97" s="108"/>
      <c r="DI97" s="108"/>
      <c r="DJ97" s="108"/>
      <c r="DK97" s="108"/>
      <c r="DL97" s="108"/>
      <c r="DM97" s="108"/>
      <c r="DN97" s="108"/>
      <c r="DO97" s="108"/>
      <c r="DP97" s="108"/>
      <c r="DQ97" s="108"/>
      <c r="DR97" s="108"/>
      <c r="DS97" s="108"/>
      <c r="DT97" s="108"/>
      <c r="DU97" s="108"/>
      <c r="DV97" s="108"/>
      <c r="DW97" s="108"/>
      <c r="DX97" s="108"/>
      <c r="DY97" s="108"/>
      <c r="DZ97" s="108"/>
      <c r="EA97" s="108"/>
      <c r="EB97" s="108"/>
      <c r="EC97" s="108"/>
      <c r="ED97" s="108"/>
      <c r="EE97" s="108"/>
      <c r="EF97" s="108"/>
      <c r="EG97" s="108"/>
      <c r="EH97" s="108"/>
      <c r="EI97" s="108"/>
      <c r="EJ97" s="108"/>
      <c r="EK97" s="108"/>
      <c r="EL97" s="108"/>
      <c r="EM97" s="108"/>
      <c r="EN97" s="108"/>
      <c r="EO97" s="108"/>
      <c r="EP97" s="108"/>
      <c r="EQ97" s="108"/>
      <c r="ER97" s="108"/>
      <c r="ES97" s="108"/>
      <c r="ET97" s="108"/>
      <c r="EU97" s="108"/>
      <c r="EV97" s="108"/>
      <c r="EW97" s="108"/>
      <c r="EX97" s="108"/>
      <c r="EY97" s="108"/>
      <c r="EZ97" s="108"/>
      <c r="FA97" s="108"/>
      <c r="FB97" s="108"/>
      <c r="FC97" s="108"/>
      <c r="FD97" s="108"/>
      <c r="FE97" s="108"/>
      <c r="FF97" s="108"/>
      <c r="FG97" s="108"/>
      <c r="FH97" s="108"/>
      <c r="FI97" s="108"/>
      <c r="FJ97" s="108"/>
      <c r="FK97" s="108"/>
      <c r="FL97" s="108"/>
      <c r="FM97" s="108"/>
      <c r="FN97" s="108"/>
      <c r="FO97" s="108"/>
      <c r="FP97" s="108"/>
      <c r="FQ97" s="108"/>
      <c r="FR97" s="108"/>
      <c r="FS97" s="108"/>
      <c r="FT97" s="108"/>
      <c r="FU97" s="108"/>
      <c r="FV97" s="108"/>
      <c r="FW97" s="108"/>
      <c r="FX97" s="108"/>
      <c r="FY97" s="108"/>
      <c r="FZ97" s="108"/>
      <c r="GA97" s="108"/>
      <c r="GB97" s="108"/>
      <c r="GC97" s="108"/>
      <c r="GD97" s="108"/>
      <c r="GE97" s="108"/>
      <c r="GF97" s="108"/>
      <c r="GG97" s="108"/>
      <c r="GH97" s="108"/>
      <c r="GI97" s="108"/>
      <c r="GJ97" s="108"/>
      <c r="GK97" s="108"/>
      <c r="GL97" s="108"/>
      <c r="GM97" s="108"/>
      <c r="GN97" s="108"/>
      <c r="GO97" s="108"/>
      <c r="GP97" s="108"/>
      <c r="GQ97" s="108"/>
      <c r="GR97" s="108"/>
      <c r="GS97" s="108"/>
      <c r="GT97" s="108"/>
      <c r="GU97" s="108"/>
      <c r="GV97" s="108"/>
      <c r="GW97" s="108"/>
      <c r="GX97" s="108"/>
      <c r="GY97" s="108"/>
      <c r="GZ97" s="108"/>
      <c r="HA97" s="108"/>
      <c r="HB97" s="108"/>
      <c r="HC97" s="108"/>
      <c r="HD97" s="108"/>
      <c r="HE97" s="108"/>
      <c r="HF97" s="108"/>
      <c r="HG97" s="108"/>
      <c r="HH97" s="108"/>
      <c r="HI97" s="108"/>
      <c r="HJ97" s="108"/>
      <c r="HK97" s="108"/>
      <c r="HL97" s="108"/>
      <c r="HM97" s="108"/>
      <c r="HN97" s="108"/>
      <c r="HO97" s="108"/>
      <c r="HP97" s="108"/>
      <c r="HQ97" s="108"/>
      <c r="HR97" s="108"/>
      <c r="HS97" s="108"/>
      <c r="HT97" s="108"/>
      <c r="HU97" s="108"/>
      <c r="HV97" s="108"/>
      <c r="HW97" s="108"/>
      <c r="HX97" s="108"/>
      <c r="HY97" s="108"/>
      <c r="HZ97" s="108"/>
      <c r="IA97" s="108"/>
      <c r="IB97" s="108"/>
      <c r="IC97" s="108"/>
      <c r="ID97" s="108"/>
      <c r="IE97" s="108"/>
      <c r="IF97" s="108"/>
      <c r="IG97" s="108"/>
      <c r="IH97" s="108"/>
      <c r="II97" s="108"/>
      <c r="IJ97" s="108"/>
      <c r="IK97" s="108"/>
      <c r="IL97" s="108"/>
      <c r="IM97" s="108"/>
      <c r="IN97" s="108"/>
      <c r="IO97" s="108"/>
      <c r="IP97" s="108"/>
      <c r="IQ97" s="108"/>
      <c r="IR97" s="108"/>
      <c r="IS97" s="108"/>
      <c r="IT97" s="108"/>
      <c r="IU97" s="108"/>
      <c r="IV97" s="108"/>
      <c r="IW97" s="108"/>
    </row>
    <row r="98" spans="1:257" x14ac:dyDescent="0.3">
      <c r="A98" s="158"/>
      <c r="B98" s="158"/>
      <c r="C98" s="158"/>
      <c r="D98" s="158"/>
      <c r="E98" s="158"/>
      <c r="F98" s="158"/>
      <c r="G98" s="158"/>
      <c r="H98" s="158"/>
      <c r="I98" s="176"/>
      <c r="J98" s="158"/>
      <c r="K98" s="158"/>
      <c r="L98" s="158"/>
      <c r="M98" s="158"/>
      <c r="N98" s="158"/>
      <c r="O98" s="108"/>
      <c r="P98" s="108"/>
      <c r="Q98" s="108"/>
      <c r="R98" s="108"/>
      <c r="S98" s="108"/>
      <c r="T98" s="108"/>
      <c r="U98" s="108"/>
      <c r="V98" s="108"/>
      <c r="W98" s="108"/>
      <c r="X98" s="108"/>
      <c r="Y98" s="108"/>
      <c r="Z98" s="108"/>
      <c r="AA98" s="108"/>
      <c r="AB98" s="108"/>
      <c r="AC98" s="108"/>
      <c r="AD98" s="108"/>
      <c r="AE98" s="108"/>
      <c r="AF98" s="108"/>
      <c r="AG98" s="108"/>
      <c r="AH98" s="108"/>
      <c r="AI98" s="108"/>
      <c r="AJ98" s="108"/>
      <c r="AK98" s="108"/>
      <c r="AL98" s="108"/>
      <c r="AM98" s="108"/>
      <c r="AN98" s="108"/>
      <c r="AO98" s="108"/>
      <c r="AP98" s="108"/>
      <c r="AQ98" s="108"/>
      <c r="AR98" s="108"/>
      <c r="AS98" s="108"/>
      <c r="AT98" s="108"/>
      <c r="AU98" s="108"/>
      <c r="AV98" s="108"/>
      <c r="AW98" s="108"/>
      <c r="AX98" s="108"/>
      <c r="AY98" s="108"/>
      <c r="AZ98" s="108"/>
      <c r="BA98" s="108"/>
      <c r="BB98" s="108"/>
      <c r="BC98" s="108"/>
      <c r="BD98" s="108"/>
      <c r="BE98" s="108"/>
      <c r="BF98" s="108"/>
      <c r="BG98" s="108"/>
      <c r="BH98" s="108"/>
      <c r="BI98" s="108"/>
      <c r="BJ98" s="108"/>
      <c r="BK98" s="108"/>
      <c r="BL98" s="108"/>
      <c r="BM98" s="108"/>
      <c r="BN98" s="108"/>
      <c r="BO98" s="108"/>
      <c r="BP98" s="108"/>
      <c r="BQ98" s="108"/>
      <c r="BR98" s="108"/>
      <c r="BS98" s="108"/>
      <c r="BT98" s="108"/>
      <c r="BU98" s="108"/>
      <c r="BV98" s="108"/>
      <c r="BW98" s="108"/>
      <c r="BX98" s="108"/>
      <c r="BY98" s="108"/>
      <c r="BZ98" s="108"/>
      <c r="CA98" s="108"/>
      <c r="CB98" s="108"/>
      <c r="CC98" s="108"/>
      <c r="CD98" s="108"/>
      <c r="CE98" s="108"/>
      <c r="CF98" s="108"/>
      <c r="CG98" s="108"/>
      <c r="CH98" s="108"/>
      <c r="CI98" s="108"/>
      <c r="CJ98" s="108"/>
      <c r="CK98" s="108"/>
      <c r="CL98" s="108"/>
      <c r="CM98" s="108"/>
      <c r="CN98" s="108"/>
      <c r="CO98" s="108"/>
      <c r="CP98" s="108"/>
      <c r="CQ98" s="108"/>
      <c r="CR98" s="108"/>
      <c r="CS98" s="108"/>
      <c r="CT98" s="108"/>
      <c r="CU98" s="108"/>
      <c r="CV98" s="108"/>
      <c r="CW98" s="108"/>
      <c r="CX98" s="108"/>
      <c r="CY98" s="108"/>
      <c r="CZ98" s="108"/>
      <c r="DA98" s="108"/>
      <c r="DB98" s="108"/>
      <c r="DC98" s="108"/>
      <c r="DD98" s="108"/>
      <c r="DE98" s="108"/>
      <c r="DF98" s="108"/>
      <c r="DG98" s="108"/>
      <c r="DH98" s="108"/>
      <c r="DI98" s="108"/>
      <c r="DJ98" s="108"/>
      <c r="DK98" s="108"/>
      <c r="DL98" s="108"/>
      <c r="DM98" s="108"/>
      <c r="DN98" s="108"/>
      <c r="DO98" s="108"/>
      <c r="DP98" s="108"/>
      <c r="DQ98" s="108"/>
      <c r="DR98" s="108"/>
      <c r="DS98" s="108"/>
      <c r="DT98" s="108"/>
      <c r="DU98" s="108"/>
      <c r="DV98" s="108"/>
      <c r="DW98" s="108"/>
      <c r="DX98" s="108"/>
      <c r="DY98" s="108"/>
      <c r="DZ98" s="108"/>
      <c r="EA98" s="108"/>
      <c r="EB98" s="108"/>
      <c r="EC98" s="108"/>
      <c r="ED98" s="108"/>
      <c r="EE98" s="108"/>
      <c r="EF98" s="108"/>
      <c r="EG98" s="108"/>
      <c r="EH98" s="108"/>
      <c r="EI98" s="108"/>
      <c r="EJ98" s="108"/>
      <c r="EK98" s="108"/>
      <c r="EL98" s="108"/>
      <c r="EM98" s="108"/>
      <c r="EN98" s="108"/>
      <c r="EO98" s="108"/>
      <c r="EP98" s="108"/>
      <c r="EQ98" s="108"/>
      <c r="ER98" s="108"/>
      <c r="ES98" s="108"/>
      <c r="ET98" s="108"/>
      <c r="EU98" s="108"/>
      <c r="EV98" s="108"/>
      <c r="EW98" s="108"/>
      <c r="EX98" s="108"/>
      <c r="EY98" s="108"/>
      <c r="EZ98" s="108"/>
      <c r="FA98" s="108"/>
      <c r="FB98" s="108"/>
      <c r="FC98" s="108"/>
      <c r="FD98" s="108"/>
      <c r="FE98" s="108"/>
      <c r="FF98" s="108"/>
      <c r="FG98" s="108"/>
      <c r="FH98" s="108"/>
      <c r="FI98" s="108"/>
      <c r="FJ98" s="108"/>
      <c r="FK98" s="108"/>
      <c r="FL98" s="108"/>
      <c r="FM98" s="108"/>
      <c r="FN98" s="108"/>
      <c r="FO98" s="108"/>
      <c r="FP98" s="108"/>
      <c r="FQ98" s="108"/>
      <c r="FR98" s="108"/>
      <c r="FS98" s="108"/>
      <c r="FT98" s="108"/>
      <c r="FU98" s="108"/>
      <c r="FV98" s="108"/>
      <c r="FW98" s="108"/>
      <c r="FX98" s="108"/>
      <c r="FY98" s="108"/>
      <c r="FZ98" s="108"/>
      <c r="GA98" s="108"/>
      <c r="GB98" s="108"/>
      <c r="GC98" s="108"/>
      <c r="GD98" s="108"/>
      <c r="GE98" s="108"/>
      <c r="GF98" s="108"/>
      <c r="GG98" s="108"/>
      <c r="GH98" s="108"/>
      <c r="GI98" s="108"/>
      <c r="GJ98" s="108"/>
      <c r="GK98" s="108"/>
      <c r="GL98" s="108"/>
      <c r="GM98" s="108"/>
      <c r="GN98" s="108"/>
      <c r="GO98" s="108"/>
      <c r="GP98" s="108"/>
      <c r="GQ98" s="108"/>
      <c r="GR98" s="108"/>
      <c r="GS98" s="108"/>
      <c r="GT98" s="108"/>
      <c r="GU98" s="108"/>
      <c r="GV98" s="108"/>
      <c r="GW98" s="108"/>
      <c r="GX98" s="108"/>
      <c r="GY98" s="108"/>
      <c r="GZ98" s="108"/>
      <c r="HA98" s="108"/>
      <c r="HB98" s="108"/>
      <c r="HC98" s="108"/>
      <c r="HD98" s="108"/>
      <c r="HE98" s="108"/>
      <c r="HF98" s="108"/>
      <c r="HG98" s="108"/>
      <c r="HH98" s="108"/>
      <c r="HI98" s="108"/>
      <c r="HJ98" s="108"/>
      <c r="HK98" s="108"/>
      <c r="HL98" s="108"/>
      <c r="HM98" s="108"/>
      <c r="HN98" s="108"/>
      <c r="HO98" s="108"/>
      <c r="HP98" s="108"/>
      <c r="HQ98" s="108"/>
      <c r="HR98" s="108"/>
      <c r="HS98" s="108"/>
      <c r="HT98" s="108"/>
      <c r="HU98" s="108"/>
      <c r="HV98" s="108"/>
      <c r="HW98" s="108"/>
      <c r="HX98" s="108"/>
      <c r="HY98" s="108"/>
      <c r="HZ98" s="108"/>
      <c r="IA98" s="108"/>
      <c r="IB98" s="108"/>
      <c r="IC98" s="108"/>
      <c r="ID98" s="108"/>
      <c r="IE98" s="108"/>
      <c r="IF98" s="108"/>
      <c r="IG98" s="108"/>
      <c r="IH98" s="108"/>
      <c r="II98" s="108"/>
      <c r="IJ98" s="108"/>
      <c r="IK98" s="108"/>
      <c r="IL98" s="108"/>
      <c r="IM98" s="108"/>
      <c r="IN98" s="108"/>
      <c r="IO98" s="108"/>
      <c r="IP98" s="108"/>
      <c r="IQ98" s="108"/>
      <c r="IR98" s="108"/>
      <c r="IS98" s="108"/>
      <c r="IT98" s="108"/>
      <c r="IU98" s="108"/>
      <c r="IV98" s="108"/>
      <c r="IW98" s="108"/>
    </row>
    <row r="99" spans="1:257" x14ac:dyDescent="0.3">
      <c r="A99" s="158"/>
      <c r="B99" s="158"/>
      <c r="C99" s="158"/>
      <c r="D99" s="158"/>
      <c r="E99" s="158"/>
      <c r="F99" s="158"/>
      <c r="G99" s="158"/>
      <c r="H99" s="158"/>
      <c r="I99" s="176"/>
      <c r="J99" s="158"/>
      <c r="K99" s="158"/>
      <c r="L99" s="158"/>
      <c r="M99" s="158"/>
      <c r="N99" s="158"/>
      <c r="O99" s="108"/>
      <c r="P99" s="108"/>
      <c r="Q99" s="108"/>
      <c r="R99" s="108"/>
      <c r="S99" s="108"/>
      <c r="T99" s="108"/>
      <c r="U99" s="108"/>
      <c r="V99" s="108"/>
      <c r="W99" s="108"/>
      <c r="X99" s="108"/>
      <c r="Y99" s="108"/>
      <c r="Z99" s="108"/>
      <c r="AA99" s="108"/>
      <c r="AB99" s="108"/>
      <c r="AC99" s="108"/>
      <c r="AD99" s="108"/>
      <c r="AE99" s="108"/>
      <c r="AF99" s="108"/>
      <c r="AG99" s="108"/>
      <c r="AH99" s="108"/>
      <c r="AI99" s="108"/>
      <c r="AJ99" s="108"/>
      <c r="AK99" s="108"/>
      <c r="AL99" s="108"/>
      <c r="AM99" s="108"/>
      <c r="AN99" s="108"/>
      <c r="AO99" s="108"/>
      <c r="AP99" s="108"/>
      <c r="AQ99" s="108"/>
      <c r="AR99" s="108"/>
      <c r="AS99" s="108"/>
      <c r="AT99" s="108"/>
      <c r="AU99" s="108"/>
      <c r="AV99" s="108"/>
      <c r="AW99" s="108"/>
      <c r="AX99" s="108"/>
      <c r="AY99" s="108"/>
      <c r="AZ99" s="108"/>
      <c r="BA99" s="108"/>
      <c r="BB99" s="108"/>
      <c r="BC99" s="108"/>
      <c r="BD99" s="108"/>
      <c r="BE99" s="108"/>
      <c r="BF99" s="108"/>
      <c r="BG99" s="108"/>
      <c r="BH99" s="108"/>
      <c r="BI99" s="108"/>
      <c r="BJ99" s="108"/>
      <c r="BK99" s="108"/>
      <c r="BL99" s="108"/>
      <c r="BM99" s="108"/>
      <c r="BN99" s="108"/>
      <c r="BO99" s="108"/>
      <c r="BP99" s="108"/>
      <c r="BQ99" s="108"/>
      <c r="BR99" s="108"/>
      <c r="BS99" s="108"/>
      <c r="BT99" s="108"/>
      <c r="BU99" s="108"/>
      <c r="BV99" s="108"/>
      <c r="BW99" s="108"/>
      <c r="BX99" s="108"/>
      <c r="BY99" s="108"/>
      <c r="BZ99" s="108"/>
      <c r="CA99" s="108"/>
      <c r="CB99" s="108"/>
      <c r="CC99" s="108"/>
      <c r="CD99" s="108"/>
      <c r="CE99" s="108"/>
      <c r="CF99" s="108"/>
      <c r="CG99" s="108"/>
      <c r="CH99" s="108"/>
      <c r="CI99" s="108"/>
      <c r="CJ99" s="108"/>
      <c r="CK99" s="108"/>
      <c r="CL99" s="108"/>
      <c r="CM99" s="108"/>
      <c r="CN99" s="108"/>
      <c r="CO99" s="108"/>
      <c r="CP99" s="108"/>
      <c r="CQ99" s="108"/>
      <c r="CR99" s="108"/>
      <c r="CS99" s="108"/>
      <c r="CT99" s="108"/>
      <c r="CU99" s="108"/>
      <c r="CV99" s="108"/>
      <c r="CW99" s="108"/>
      <c r="CX99" s="108"/>
      <c r="CY99" s="108"/>
      <c r="CZ99" s="108"/>
      <c r="DA99" s="108"/>
      <c r="DB99" s="108"/>
      <c r="DC99" s="108"/>
      <c r="DD99" s="108"/>
      <c r="DE99" s="108"/>
      <c r="DF99" s="108"/>
      <c r="DG99" s="108"/>
      <c r="DH99" s="108"/>
      <c r="DI99" s="108"/>
      <c r="DJ99" s="108"/>
      <c r="DK99" s="108"/>
      <c r="DL99" s="108"/>
      <c r="DM99" s="108"/>
      <c r="DN99" s="108"/>
      <c r="DO99" s="108"/>
      <c r="DP99" s="108"/>
      <c r="DQ99" s="108"/>
      <c r="DR99" s="108"/>
      <c r="DS99" s="108"/>
      <c r="DT99" s="108"/>
      <c r="DU99" s="108"/>
      <c r="DV99" s="108"/>
      <c r="DW99" s="108"/>
      <c r="DX99" s="108"/>
      <c r="DY99" s="108"/>
      <c r="DZ99" s="108"/>
      <c r="EA99" s="108"/>
      <c r="EB99" s="108"/>
      <c r="EC99" s="108"/>
      <c r="ED99" s="108"/>
      <c r="EE99" s="108"/>
      <c r="EF99" s="108"/>
      <c r="EG99" s="108"/>
      <c r="EH99" s="108"/>
      <c r="EI99" s="108"/>
      <c r="EJ99" s="108"/>
      <c r="EK99" s="108"/>
      <c r="EL99" s="108"/>
      <c r="EM99" s="108"/>
      <c r="EN99" s="108"/>
      <c r="EO99" s="108"/>
      <c r="EP99" s="108"/>
      <c r="EQ99" s="108"/>
      <c r="ER99" s="108"/>
      <c r="ES99" s="108"/>
      <c r="ET99" s="108"/>
      <c r="EU99" s="108"/>
      <c r="EV99" s="108"/>
      <c r="EW99" s="108"/>
      <c r="EX99" s="108"/>
      <c r="EY99" s="108"/>
      <c r="EZ99" s="108"/>
      <c r="FA99" s="108"/>
      <c r="FB99" s="108"/>
      <c r="FC99" s="108"/>
      <c r="FD99" s="108"/>
      <c r="FE99" s="108"/>
      <c r="FF99" s="108"/>
      <c r="FG99" s="108"/>
      <c r="FH99" s="108"/>
      <c r="FI99" s="108"/>
      <c r="FJ99" s="108"/>
      <c r="FK99" s="108"/>
      <c r="FL99" s="108"/>
      <c r="FM99" s="108"/>
      <c r="FN99" s="108"/>
      <c r="FO99" s="108"/>
      <c r="FP99" s="108"/>
      <c r="FQ99" s="108"/>
      <c r="FR99" s="108"/>
      <c r="FS99" s="108"/>
      <c r="FT99" s="108"/>
      <c r="FU99" s="108"/>
      <c r="FV99" s="108"/>
      <c r="FW99" s="108"/>
      <c r="FX99" s="108"/>
      <c r="FY99" s="108"/>
      <c r="FZ99" s="108"/>
      <c r="GA99" s="108"/>
      <c r="GB99" s="108"/>
      <c r="GC99" s="108"/>
      <c r="GD99" s="108"/>
      <c r="GE99" s="108"/>
      <c r="GF99" s="108"/>
      <c r="GG99" s="108"/>
      <c r="GH99" s="108"/>
      <c r="GI99" s="108"/>
      <c r="GJ99" s="108"/>
      <c r="GK99" s="108"/>
      <c r="GL99" s="108"/>
      <c r="GM99" s="108"/>
      <c r="GN99" s="108"/>
      <c r="GO99" s="108"/>
      <c r="GP99" s="108"/>
      <c r="GQ99" s="108"/>
      <c r="GR99" s="108"/>
      <c r="GS99" s="108"/>
      <c r="GT99" s="108"/>
      <c r="GU99" s="108"/>
      <c r="GV99" s="108"/>
      <c r="GW99" s="108"/>
      <c r="GX99" s="108"/>
      <c r="GY99" s="108"/>
      <c r="GZ99" s="108"/>
      <c r="HA99" s="108"/>
      <c r="HB99" s="108"/>
      <c r="HC99" s="108"/>
      <c r="HD99" s="108"/>
      <c r="HE99" s="108"/>
      <c r="HF99" s="108"/>
      <c r="HG99" s="108"/>
      <c r="HH99" s="108"/>
      <c r="HI99" s="108"/>
      <c r="HJ99" s="108"/>
      <c r="HK99" s="108"/>
      <c r="HL99" s="108"/>
      <c r="HM99" s="108"/>
      <c r="HN99" s="108"/>
      <c r="HO99" s="108"/>
      <c r="HP99" s="108"/>
      <c r="HQ99" s="108"/>
      <c r="HR99" s="108"/>
      <c r="HS99" s="108"/>
      <c r="HT99" s="108"/>
      <c r="HU99" s="108"/>
      <c r="HV99" s="108"/>
      <c r="HW99" s="108"/>
      <c r="HX99" s="108"/>
      <c r="HY99" s="108"/>
      <c r="HZ99" s="108"/>
      <c r="IA99" s="108"/>
      <c r="IB99" s="108"/>
      <c r="IC99" s="108"/>
      <c r="ID99" s="108"/>
      <c r="IE99" s="108"/>
      <c r="IF99" s="108"/>
      <c r="IG99" s="108"/>
      <c r="IH99" s="108"/>
      <c r="II99" s="108"/>
      <c r="IJ99" s="108"/>
      <c r="IK99" s="108"/>
      <c r="IL99" s="108"/>
      <c r="IM99" s="108"/>
      <c r="IN99" s="108"/>
      <c r="IO99" s="108"/>
      <c r="IP99" s="108"/>
      <c r="IQ99" s="108"/>
      <c r="IR99" s="108"/>
      <c r="IS99" s="108"/>
      <c r="IT99" s="108"/>
      <c r="IU99" s="108"/>
      <c r="IV99" s="108"/>
      <c r="IW99" s="108"/>
    </row>
    <row r="100" spans="1:257" x14ac:dyDescent="0.3">
      <c r="A100" s="158"/>
      <c r="B100" s="158"/>
      <c r="C100" s="158"/>
      <c r="D100" s="158"/>
      <c r="E100" s="158"/>
      <c r="F100" s="158"/>
      <c r="G100" s="158"/>
      <c r="H100" s="158"/>
      <c r="I100" s="176"/>
      <c r="J100" s="158"/>
      <c r="K100" s="158"/>
      <c r="L100" s="158"/>
      <c r="M100" s="158"/>
      <c r="N100" s="158"/>
      <c r="O100" s="108"/>
      <c r="P100" s="108"/>
      <c r="Q100" s="108"/>
      <c r="R100" s="108"/>
      <c r="S100" s="108"/>
      <c r="T100" s="108"/>
      <c r="U100" s="108"/>
      <c r="V100" s="108"/>
      <c r="W100" s="108"/>
      <c r="X100" s="108"/>
      <c r="Y100" s="108"/>
      <c r="Z100" s="108"/>
      <c r="AA100" s="108"/>
      <c r="AB100" s="108"/>
      <c r="AC100" s="108"/>
      <c r="AD100" s="108"/>
      <c r="AE100" s="108"/>
      <c r="AF100" s="108"/>
      <c r="AG100" s="108"/>
      <c r="AH100" s="108"/>
      <c r="AI100" s="108"/>
      <c r="AJ100" s="108"/>
      <c r="AK100" s="108"/>
      <c r="AL100" s="108"/>
      <c r="AM100" s="108"/>
      <c r="AN100" s="108"/>
      <c r="AO100" s="108"/>
      <c r="AP100" s="108"/>
      <c r="AQ100" s="108"/>
      <c r="AR100" s="108"/>
      <c r="AS100" s="108"/>
      <c r="AT100" s="108"/>
      <c r="AU100" s="108"/>
      <c r="AV100" s="108"/>
      <c r="AW100" s="108"/>
      <c r="AX100" s="108"/>
      <c r="AY100" s="108"/>
      <c r="AZ100" s="108"/>
      <c r="BA100" s="108"/>
      <c r="BB100" s="108"/>
      <c r="BC100" s="108"/>
      <c r="BD100" s="108"/>
      <c r="BE100" s="108"/>
      <c r="BF100" s="108"/>
      <c r="BG100" s="108"/>
      <c r="BH100" s="108"/>
      <c r="BI100" s="108"/>
      <c r="BJ100" s="108"/>
      <c r="BK100" s="108"/>
      <c r="BL100" s="108"/>
      <c r="BM100" s="108"/>
      <c r="BN100" s="108"/>
      <c r="BO100" s="108"/>
      <c r="BP100" s="108"/>
      <c r="BQ100" s="108"/>
      <c r="BR100" s="108"/>
      <c r="BS100" s="108"/>
      <c r="BT100" s="108"/>
      <c r="BU100" s="108"/>
      <c r="BV100" s="108"/>
      <c r="BW100" s="108"/>
      <c r="BX100" s="108"/>
      <c r="BY100" s="108"/>
      <c r="BZ100" s="108"/>
      <c r="CA100" s="108"/>
      <c r="CB100" s="108"/>
      <c r="CC100" s="108"/>
      <c r="CD100" s="108"/>
      <c r="CE100" s="108"/>
      <c r="CF100" s="108"/>
      <c r="CG100" s="108"/>
      <c r="CH100" s="108"/>
      <c r="CI100" s="108"/>
      <c r="CJ100" s="108"/>
      <c r="CK100" s="108"/>
      <c r="CL100" s="108"/>
      <c r="CM100" s="108"/>
      <c r="CN100" s="108"/>
      <c r="CO100" s="108"/>
      <c r="CP100" s="108"/>
      <c r="CQ100" s="108"/>
      <c r="CR100" s="108"/>
      <c r="CS100" s="108"/>
      <c r="CT100" s="108"/>
      <c r="CU100" s="108"/>
      <c r="CV100" s="108"/>
      <c r="CW100" s="108"/>
      <c r="CX100" s="108"/>
      <c r="CY100" s="108"/>
      <c r="CZ100" s="108"/>
      <c r="DA100" s="108"/>
      <c r="DB100" s="108"/>
      <c r="DC100" s="108"/>
      <c r="DD100" s="108"/>
      <c r="DE100" s="108"/>
      <c r="DF100" s="108"/>
      <c r="DG100" s="108"/>
      <c r="DH100" s="108"/>
      <c r="DI100" s="108"/>
      <c r="DJ100" s="108"/>
      <c r="DK100" s="108"/>
      <c r="DL100" s="108"/>
      <c r="DM100" s="108"/>
      <c r="DN100" s="108"/>
      <c r="DO100" s="108"/>
      <c r="DP100" s="108"/>
      <c r="DQ100" s="108"/>
      <c r="DR100" s="108"/>
      <c r="DS100" s="108"/>
      <c r="DT100" s="108"/>
      <c r="DU100" s="108"/>
      <c r="DV100" s="108"/>
      <c r="DW100" s="108"/>
      <c r="DX100" s="108"/>
      <c r="DY100" s="108"/>
      <c r="DZ100" s="108"/>
      <c r="EA100" s="108"/>
      <c r="EB100" s="108"/>
      <c r="EC100" s="108"/>
      <c r="ED100" s="108"/>
      <c r="EE100" s="108"/>
      <c r="EF100" s="108"/>
      <c r="EG100" s="108"/>
      <c r="EH100" s="108"/>
      <c r="EI100" s="108"/>
      <c r="EJ100" s="108"/>
      <c r="EK100" s="108"/>
      <c r="EL100" s="108"/>
      <c r="EM100" s="108"/>
      <c r="EN100" s="108"/>
      <c r="EO100" s="108"/>
      <c r="EP100" s="108"/>
      <c r="EQ100" s="108"/>
      <c r="ER100" s="108"/>
      <c r="ES100" s="108"/>
      <c r="ET100" s="108"/>
      <c r="EU100" s="108"/>
      <c r="EV100" s="108"/>
      <c r="EW100" s="108"/>
      <c r="EX100" s="108"/>
      <c r="EY100" s="108"/>
      <c r="EZ100" s="108"/>
      <c r="FA100" s="108"/>
      <c r="FB100" s="108"/>
      <c r="FC100" s="108"/>
      <c r="FD100" s="108"/>
      <c r="FE100" s="108"/>
      <c r="FF100" s="108"/>
      <c r="FG100" s="108"/>
      <c r="FH100" s="108"/>
      <c r="FI100" s="108"/>
      <c r="FJ100" s="108"/>
      <c r="FK100" s="108"/>
      <c r="FL100" s="108"/>
      <c r="FM100" s="108"/>
      <c r="FN100" s="108"/>
      <c r="FO100" s="108"/>
      <c r="FP100" s="108"/>
      <c r="FQ100" s="108"/>
      <c r="FR100" s="108"/>
      <c r="FS100" s="108"/>
      <c r="FT100" s="108"/>
      <c r="FU100" s="108"/>
      <c r="FV100" s="108"/>
      <c r="FW100" s="108"/>
      <c r="FX100" s="108"/>
      <c r="FY100" s="108"/>
      <c r="FZ100" s="108"/>
      <c r="GA100" s="108"/>
      <c r="GB100" s="108"/>
      <c r="GC100" s="108"/>
      <c r="GD100" s="108"/>
      <c r="GE100" s="108"/>
      <c r="GF100" s="108"/>
      <c r="GG100" s="108"/>
      <c r="GH100" s="108"/>
      <c r="GI100" s="108"/>
      <c r="GJ100" s="108"/>
      <c r="GK100" s="108"/>
      <c r="GL100" s="108"/>
      <c r="GM100" s="108"/>
      <c r="GN100" s="108"/>
      <c r="GO100" s="108"/>
      <c r="GP100" s="108"/>
      <c r="GQ100" s="108"/>
      <c r="GR100" s="108"/>
      <c r="GS100" s="108"/>
      <c r="GT100" s="108"/>
      <c r="GU100" s="108"/>
      <c r="GV100" s="108"/>
      <c r="GW100" s="108"/>
      <c r="GX100" s="108"/>
      <c r="GY100" s="108"/>
      <c r="GZ100" s="108"/>
      <c r="HA100" s="108"/>
      <c r="HB100" s="108"/>
      <c r="HC100" s="108"/>
      <c r="HD100" s="108"/>
      <c r="HE100" s="108"/>
      <c r="HF100" s="108"/>
      <c r="HG100" s="108"/>
      <c r="HH100" s="108"/>
      <c r="HI100" s="108"/>
      <c r="HJ100" s="108"/>
      <c r="HK100" s="108"/>
      <c r="HL100" s="108"/>
      <c r="HM100" s="108"/>
      <c r="HN100" s="108"/>
      <c r="HO100" s="108"/>
      <c r="HP100" s="108"/>
      <c r="HQ100" s="108"/>
      <c r="HR100" s="108"/>
      <c r="HS100" s="108"/>
      <c r="HT100" s="108"/>
      <c r="HU100" s="108"/>
      <c r="HV100" s="108"/>
      <c r="HW100" s="108"/>
      <c r="HX100" s="108"/>
      <c r="HY100" s="108"/>
      <c r="HZ100" s="108"/>
      <c r="IA100" s="108"/>
      <c r="IB100" s="108"/>
      <c r="IC100" s="108"/>
      <c r="ID100" s="108"/>
      <c r="IE100" s="108"/>
      <c r="IF100" s="108"/>
      <c r="IG100" s="108"/>
      <c r="IH100" s="108"/>
      <c r="II100" s="108"/>
      <c r="IJ100" s="108"/>
      <c r="IK100" s="108"/>
      <c r="IL100" s="108"/>
      <c r="IM100" s="108"/>
      <c r="IN100" s="108"/>
      <c r="IO100" s="108"/>
      <c r="IP100" s="108"/>
      <c r="IQ100" s="108"/>
      <c r="IR100" s="108"/>
      <c r="IS100" s="108"/>
      <c r="IT100" s="108"/>
      <c r="IU100" s="108"/>
      <c r="IV100" s="108"/>
      <c r="IW100" s="108"/>
    </row>
    <row r="101" spans="1:257" x14ac:dyDescent="0.3">
      <c r="A101" s="158"/>
      <c r="B101" s="158"/>
      <c r="C101" s="158"/>
      <c r="D101" s="158"/>
      <c r="E101" s="158"/>
      <c r="F101" s="158"/>
      <c r="G101" s="158"/>
      <c r="H101" s="158"/>
      <c r="I101" s="176"/>
      <c r="J101" s="158"/>
      <c r="K101" s="158"/>
      <c r="L101" s="158"/>
      <c r="M101" s="158"/>
      <c r="N101" s="158"/>
      <c r="O101" s="108"/>
      <c r="P101" s="108"/>
      <c r="Q101" s="108"/>
      <c r="R101" s="108"/>
      <c r="S101" s="108"/>
      <c r="T101" s="108"/>
      <c r="U101" s="108"/>
      <c r="V101" s="108"/>
      <c r="W101" s="108"/>
      <c r="X101" s="108"/>
      <c r="Y101" s="108"/>
      <c r="Z101" s="108"/>
      <c r="AA101" s="108"/>
      <c r="AB101" s="108"/>
      <c r="AC101" s="108"/>
      <c r="AD101" s="108"/>
      <c r="AE101" s="108"/>
      <c r="AF101" s="108"/>
      <c r="AG101" s="108"/>
      <c r="AH101" s="108"/>
      <c r="AI101" s="108"/>
      <c r="AJ101" s="108"/>
      <c r="AK101" s="108"/>
      <c r="AL101" s="108"/>
      <c r="AM101" s="108"/>
      <c r="AN101" s="108"/>
      <c r="AO101" s="108"/>
      <c r="AP101" s="108"/>
      <c r="AQ101" s="108"/>
      <c r="AR101" s="108"/>
      <c r="AS101" s="108"/>
      <c r="AT101" s="108"/>
      <c r="AU101" s="108"/>
      <c r="AV101" s="108"/>
      <c r="AW101" s="108"/>
      <c r="AX101" s="108"/>
      <c r="AY101" s="108"/>
      <c r="AZ101" s="108"/>
      <c r="BA101" s="108"/>
      <c r="BB101" s="108"/>
      <c r="BC101" s="108"/>
      <c r="BD101" s="108"/>
      <c r="BE101" s="108"/>
      <c r="BF101" s="108"/>
      <c r="BG101" s="108"/>
      <c r="BH101" s="108"/>
      <c r="BI101" s="108"/>
      <c r="BJ101" s="108"/>
      <c r="BK101" s="108"/>
      <c r="BL101" s="108"/>
      <c r="BM101" s="108"/>
      <c r="BN101" s="108"/>
      <c r="BO101" s="108"/>
      <c r="BP101" s="108"/>
      <c r="BQ101" s="108"/>
      <c r="BR101" s="108"/>
      <c r="BS101" s="108"/>
      <c r="BT101" s="108"/>
      <c r="BU101" s="108"/>
      <c r="BV101" s="108"/>
      <c r="BW101" s="108"/>
      <c r="BX101" s="108"/>
      <c r="BY101" s="108"/>
      <c r="BZ101" s="108"/>
      <c r="CA101" s="108"/>
      <c r="CB101" s="108"/>
      <c r="CC101" s="108"/>
      <c r="CD101" s="108"/>
      <c r="CE101" s="108"/>
      <c r="CF101" s="108"/>
      <c r="CG101" s="108"/>
      <c r="CH101" s="108"/>
      <c r="CI101" s="108"/>
      <c r="CJ101" s="108"/>
      <c r="CK101" s="108"/>
      <c r="CL101" s="108"/>
      <c r="CM101" s="108"/>
      <c r="CN101" s="108"/>
      <c r="CO101" s="108"/>
      <c r="CP101" s="108"/>
      <c r="CQ101" s="108"/>
      <c r="CR101" s="108"/>
      <c r="CS101" s="108"/>
      <c r="CT101" s="108"/>
      <c r="CU101" s="108"/>
      <c r="CV101" s="108"/>
      <c r="CW101" s="108"/>
      <c r="CX101" s="108"/>
      <c r="CY101" s="108"/>
      <c r="CZ101" s="108"/>
      <c r="DA101" s="108"/>
      <c r="DB101" s="108"/>
      <c r="DC101" s="108"/>
      <c r="DD101" s="108"/>
      <c r="DE101" s="108"/>
      <c r="DF101" s="108"/>
      <c r="DG101" s="108"/>
      <c r="DH101" s="108"/>
      <c r="DI101" s="108"/>
      <c r="DJ101" s="108"/>
      <c r="DK101" s="108"/>
      <c r="DL101" s="108"/>
      <c r="DM101" s="108"/>
      <c r="DN101" s="108"/>
      <c r="DO101" s="108"/>
      <c r="DP101" s="108"/>
      <c r="DQ101" s="108"/>
      <c r="DR101" s="108"/>
      <c r="DS101" s="108"/>
      <c r="DT101" s="108"/>
      <c r="DU101" s="108"/>
      <c r="DV101" s="108"/>
      <c r="DW101" s="108"/>
      <c r="DX101" s="108"/>
      <c r="DY101" s="108"/>
      <c r="DZ101" s="108"/>
      <c r="EA101" s="108"/>
      <c r="EB101" s="108"/>
      <c r="EC101" s="108"/>
      <c r="ED101" s="108"/>
      <c r="EE101" s="108"/>
      <c r="EF101" s="108"/>
      <c r="EG101" s="108"/>
      <c r="EH101" s="108"/>
      <c r="EI101" s="108"/>
      <c r="EJ101" s="108"/>
      <c r="EK101" s="108"/>
      <c r="EL101" s="108"/>
      <c r="EM101" s="108"/>
      <c r="EN101" s="108"/>
      <c r="EO101" s="108"/>
      <c r="EP101" s="108"/>
      <c r="EQ101" s="108"/>
      <c r="ER101" s="108"/>
      <c r="ES101" s="108"/>
      <c r="ET101" s="108"/>
      <c r="EU101" s="108"/>
      <c r="EV101" s="108"/>
      <c r="EW101" s="108"/>
      <c r="EX101" s="108"/>
      <c r="EY101" s="108"/>
      <c r="EZ101" s="108"/>
      <c r="FA101" s="108"/>
      <c r="FB101" s="108"/>
      <c r="FC101" s="108"/>
      <c r="FD101" s="108"/>
      <c r="FE101" s="108"/>
      <c r="FF101" s="108"/>
      <c r="FG101" s="108"/>
      <c r="FH101" s="108"/>
      <c r="FI101" s="108"/>
      <c r="FJ101" s="108"/>
      <c r="FK101" s="108"/>
      <c r="FL101" s="108"/>
      <c r="FM101" s="108"/>
      <c r="FN101" s="108"/>
      <c r="FO101" s="108"/>
      <c r="FP101" s="108"/>
      <c r="FQ101" s="108"/>
      <c r="FR101" s="108"/>
      <c r="FS101" s="108"/>
      <c r="FT101" s="108"/>
      <c r="FU101" s="108"/>
      <c r="FV101" s="108"/>
      <c r="FW101" s="108"/>
      <c r="FX101" s="108"/>
      <c r="FY101" s="108"/>
      <c r="FZ101" s="108"/>
      <c r="GA101" s="108"/>
      <c r="GB101" s="108"/>
      <c r="GC101" s="108"/>
      <c r="GD101" s="108"/>
      <c r="GE101" s="108"/>
      <c r="GF101" s="108"/>
      <c r="GG101" s="108"/>
      <c r="GH101" s="108"/>
      <c r="GI101" s="108"/>
      <c r="GJ101" s="108"/>
      <c r="GK101" s="108"/>
      <c r="GL101" s="108"/>
      <c r="GM101" s="108"/>
      <c r="GN101" s="108"/>
      <c r="GO101" s="108"/>
      <c r="GP101" s="108"/>
      <c r="GQ101" s="108"/>
      <c r="GR101" s="108"/>
      <c r="GS101" s="108"/>
      <c r="GT101" s="108"/>
      <c r="GU101" s="108"/>
      <c r="GV101" s="108"/>
      <c r="GW101" s="108"/>
      <c r="GX101" s="108"/>
      <c r="GY101" s="108"/>
      <c r="GZ101" s="108"/>
      <c r="HA101" s="108"/>
      <c r="HB101" s="108"/>
      <c r="HC101" s="108"/>
      <c r="HD101" s="108"/>
      <c r="HE101" s="108"/>
      <c r="HF101" s="108"/>
      <c r="HG101" s="108"/>
      <c r="HH101" s="108"/>
      <c r="HI101" s="108"/>
      <c r="HJ101" s="108"/>
      <c r="HK101" s="108"/>
      <c r="HL101" s="108"/>
      <c r="HM101" s="108"/>
      <c r="HN101" s="108"/>
      <c r="HO101" s="108"/>
      <c r="HP101" s="108"/>
      <c r="HQ101" s="108"/>
      <c r="HR101" s="108"/>
      <c r="HS101" s="108"/>
      <c r="HT101" s="108"/>
      <c r="HU101" s="108"/>
      <c r="HV101" s="108"/>
      <c r="HW101" s="108"/>
      <c r="HX101" s="108"/>
      <c r="HY101" s="108"/>
      <c r="HZ101" s="108"/>
      <c r="IA101" s="108"/>
      <c r="IB101" s="108"/>
      <c r="IC101" s="108"/>
      <c r="ID101" s="108"/>
      <c r="IE101" s="108"/>
      <c r="IF101" s="108"/>
      <c r="IG101" s="108"/>
      <c r="IH101" s="108"/>
      <c r="II101" s="108"/>
      <c r="IJ101" s="108"/>
      <c r="IK101" s="108"/>
      <c r="IL101" s="108"/>
      <c r="IM101" s="108"/>
      <c r="IN101" s="108"/>
      <c r="IO101" s="108"/>
      <c r="IP101" s="108"/>
      <c r="IQ101" s="108"/>
      <c r="IR101" s="108"/>
      <c r="IS101" s="108"/>
      <c r="IT101" s="108"/>
      <c r="IU101" s="108"/>
      <c r="IV101" s="108"/>
      <c r="IW101" s="108"/>
    </row>
    <row r="102" spans="1:257" x14ac:dyDescent="0.3">
      <c r="A102" s="158"/>
      <c r="B102" s="158"/>
      <c r="C102" s="158"/>
      <c r="D102" s="158"/>
      <c r="E102" s="158"/>
      <c r="F102" s="158"/>
      <c r="G102" s="158"/>
      <c r="H102" s="158"/>
      <c r="I102" s="176"/>
      <c r="J102" s="158"/>
      <c r="K102" s="158"/>
      <c r="L102" s="158"/>
      <c r="M102" s="158"/>
      <c r="N102" s="158"/>
      <c r="O102" s="108"/>
      <c r="P102" s="108"/>
      <c r="Q102" s="108"/>
      <c r="R102" s="108"/>
      <c r="S102" s="108"/>
      <c r="T102" s="108"/>
      <c r="U102" s="108"/>
      <c r="V102" s="108"/>
      <c r="W102" s="108"/>
      <c r="X102" s="108"/>
      <c r="Y102" s="108"/>
      <c r="Z102" s="108"/>
      <c r="AA102" s="108"/>
      <c r="AB102" s="108"/>
      <c r="AC102" s="108"/>
      <c r="AD102" s="108"/>
      <c r="AE102" s="108"/>
      <c r="AF102" s="108"/>
      <c r="AG102" s="108"/>
      <c r="AH102" s="108"/>
      <c r="AI102" s="108"/>
      <c r="AJ102" s="108"/>
      <c r="AK102" s="108"/>
      <c r="AL102" s="108"/>
      <c r="AM102" s="108"/>
      <c r="AN102" s="108"/>
      <c r="AO102" s="108"/>
      <c r="AP102" s="108"/>
      <c r="AQ102" s="108"/>
      <c r="AR102" s="108"/>
      <c r="AS102" s="108"/>
      <c r="AT102" s="108"/>
      <c r="AU102" s="108"/>
      <c r="AV102" s="108"/>
      <c r="AW102" s="108"/>
      <c r="AX102" s="108"/>
      <c r="AY102" s="108"/>
      <c r="AZ102" s="108"/>
      <c r="BA102" s="108"/>
      <c r="BB102" s="108"/>
      <c r="BC102" s="108"/>
      <c r="BD102" s="108"/>
      <c r="BE102" s="108"/>
      <c r="BF102" s="108"/>
      <c r="BG102" s="108"/>
      <c r="BH102" s="108"/>
      <c r="BI102" s="108"/>
      <c r="BJ102" s="108"/>
      <c r="BK102" s="108"/>
      <c r="BL102" s="108"/>
      <c r="BM102" s="108"/>
      <c r="BN102" s="108"/>
      <c r="BO102" s="108"/>
      <c r="BP102" s="108"/>
      <c r="BQ102" s="108"/>
      <c r="BR102" s="108"/>
      <c r="BS102" s="108"/>
      <c r="BT102" s="108"/>
      <c r="BU102" s="108"/>
      <c r="BV102" s="108"/>
      <c r="BW102" s="108"/>
      <c r="BX102" s="108"/>
      <c r="BY102" s="108"/>
      <c r="BZ102" s="108"/>
      <c r="CA102" s="108"/>
      <c r="CB102" s="108"/>
      <c r="CC102" s="108"/>
      <c r="CD102" s="108"/>
      <c r="CE102" s="108"/>
      <c r="CF102" s="108"/>
      <c r="CG102" s="108"/>
      <c r="CH102" s="108"/>
      <c r="CI102" s="108"/>
      <c r="CJ102" s="108"/>
      <c r="CK102" s="108"/>
      <c r="CL102" s="108"/>
      <c r="CM102" s="108"/>
      <c r="CN102" s="108"/>
      <c r="CO102" s="108"/>
      <c r="CP102" s="108"/>
      <c r="CQ102" s="108"/>
      <c r="CR102" s="108"/>
      <c r="CS102" s="108"/>
      <c r="CT102" s="108"/>
      <c r="CU102" s="108"/>
      <c r="CV102" s="108"/>
      <c r="CW102" s="108"/>
      <c r="CX102" s="108"/>
      <c r="CY102" s="108"/>
      <c r="CZ102" s="108"/>
      <c r="DA102" s="108"/>
      <c r="DB102" s="108"/>
      <c r="DC102" s="108"/>
      <c r="DD102" s="108"/>
      <c r="DE102" s="108"/>
      <c r="DF102" s="108"/>
      <c r="DG102" s="108"/>
      <c r="DH102" s="108"/>
      <c r="DI102" s="108"/>
      <c r="DJ102" s="108"/>
      <c r="DK102" s="108"/>
      <c r="DL102" s="108"/>
      <c r="DM102" s="108"/>
      <c r="DN102" s="108"/>
      <c r="DO102" s="108"/>
      <c r="DP102" s="108"/>
      <c r="DQ102" s="108"/>
      <c r="DR102" s="108"/>
      <c r="DS102" s="108"/>
      <c r="DT102" s="108"/>
      <c r="DU102" s="108"/>
      <c r="DV102" s="108"/>
      <c r="DW102" s="108"/>
      <c r="DX102" s="108"/>
      <c r="DY102" s="108"/>
      <c r="DZ102" s="108"/>
      <c r="EA102" s="108"/>
      <c r="EB102" s="108"/>
      <c r="EC102" s="108"/>
      <c r="ED102" s="108"/>
      <c r="EE102" s="108"/>
      <c r="EF102" s="108"/>
      <c r="EG102" s="108"/>
      <c r="EH102" s="108"/>
      <c r="EI102" s="108"/>
      <c r="EJ102" s="108"/>
      <c r="EK102" s="108"/>
      <c r="EL102" s="108"/>
      <c r="EM102" s="108"/>
      <c r="EN102" s="108"/>
      <c r="EO102" s="108"/>
      <c r="EP102" s="108"/>
      <c r="EQ102" s="108"/>
      <c r="ER102" s="108"/>
      <c r="ES102" s="108"/>
      <c r="ET102" s="108"/>
      <c r="EU102" s="108"/>
      <c r="EV102" s="108"/>
      <c r="EW102" s="108"/>
      <c r="EX102" s="108"/>
      <c r="EY102" s="108"/>
      <c r="EZ102" s="108"/>
      <c r="FA102" s="108"/>
      <c r="FB102" s="108"/>
      <c r="FC102" s="108"/>
      <c r="FD102" s="108"/>
      <c r="FE102" s="108"/>
      <c r="FF102" s="108"/>
      <c r="FG102" s="108"/>
      <c r="FH102" s="108"/>
      <c r="FI102" s="108"/>
      <c r="FJ102" s="108"/>
      <c r="FK102" s="108"/>
      <c r="FL102" s="108"/>
      <c r="FM102" s="108"/>
      <c r="FN102" s="108"/>
      <c r="FO102" s="108"/>
      <c r="FP102" s="108"/>
      <c r="FQ102" s="108"/>
      <c r="FR102" s="108"/>
      <c r="FS102" s="108"/>
      <c r="FT102" s="108"/>
      <c r="FU102" s="108"/>
      <c r="FV102" s="108"/>
      <c r="FW102" s="108"/>
      <c r="FX102" s="108"/>
      <c r="FY102" s="108"/>
      <c r="FZ102" s="108"/>
      <c r="GA102" s="108"/>
      <c r="GB102" s="108"/>
      <c r="GC102" s="108"/>
      <c r="GD102" s="108"/>
      <c r="GE102" s="108"/>
      <c r="GF102" s="108"/>
      <c r="GG102" s="108"/>
      <c r="GH102" s="108"/>
      <c r="GI102" s="108"/>
      <c r="GJ102" s="108"/>
      <c r="GK102" s="108"/>
      <c r="GL102" s="108"/>
      <c r="GM102" s="108"/>
      <c r="GN102" s="108"/>
      <c r="GO102" s="108"/>
      <c r="GP102" s="108"/>
      <c r="GQ102" s="108"/>
      <c r="GR102" s="108"/>
      <c r="GS102" s="108"/>
      <c r="GT102" s="108"/>
      <c r="GU102" s="108"/>
      <c r="GV102" s="108"/>
      <c r="GW102" s="108"/>
      <c r="GX102" s="108"/>
      <c r="GY102" s="108"/>
      <c r="GZ102" s="108"/>
      <c r="HA102" s="108"/>
      <c r="HB102" s="108"/>
      <c r="HC102" s="108"/>
      <c r="HD102" s="108"/>
      <c r="HE102" s="108"/>
      <c r="HF102" s="108"/>
      <c r="HG102" s="108"/>
      <c r="HH102" s="108"/>
      <c r="HI102" s="108"/>
      <c r="HJ102" s="108"/>
      <c r="HK102" s="108"/>
      <c r="HL102" s="108"/>
      <c r="HM102" s="108"/>
      <c r="HN102" s="108"/>
      <c r="HO102" s="108"/>
      <c r="HP102" s="108"/>
      <c r="HQ102" s="108"/>
      <c r="HR102" s="108"/>
      <c r="HS102" s="108"/>
      <c r="HT102" s="108"/>
      <c r="HU102" s="108"/>
      <c r="HV102" s="108"/>
      <c r="HW102" s="108"/>
      <c r="HX102" s="108"/>
      <c r="HY102" s="108"/>
      <c r="HZ102" s="108"/>
      <c r="IA102" s="108"/>
      <c r="IB102" s="108"/>
      <c r="IC102" s="108"/>
      <c r="ID102" s="108"/>
      <c r="IE102" s="108"/>
      <c r="IF102" s="108"/>
      <c r="IG102" s="108"/>
      <c r="IH102" s="108"/>
      <c r="II102" s="108"/>
      <c r="IJ102" s="108"/>
      <c r="IK102" s="108"/>
      <c r="IL102" s="108"/>
      <c r="IM102" s="108"/>
      <c r="IN102" s="108"/>
      <c r="IO102" s="108"/>
      <c r="IP102" s="108"/>
      <c r="IQ102" s="108"/>
      <c r="IR102" s="108"/>
      <c r="IS102" s="108"/>
      <c r="IT102" s="108"/>
      <c r="IU102" s="108"/>
      <c r="IV102" s="108"/>
      <c r="IW102" s="108"/>
    </row>
    <row r="103" spans="1:257" x14ac:dyDescent="0.3">
      <c r="A103" s="158"/>
      <c r="B103" s="158"/>
      <c r="C103" s="158"/>
      <c r="D103" s="158"/>
      <c r="E103" s="158"/>
      <c r="F103" s="158"/>
      <c r="G103" s="158"/>
      <c r="H103" s="158"/>
      <c r="I103" s="176"/>
      <c r="J103" s="158"/>
      <c r="K103" s="158"/>
      <c r="L103" s="158"/>
      <c r="M103" s="158"/>
      <c r="N103" s="158"/>
      <c r="O103" s="108"/>
      <c r="P103" s="108"/>
      <c r="Q103" s="108"/>
      <c r="R103" s="108"/>
      <c r="S103" s="108"/>
      <c r="T103" s="108"/>
      <c r="U103" s="108"/>
      <c r="V103" s="108"/>
      <c r="W103" s="108"/>
      <c r="X103" s="108"/>
      <c r="Y103" s="108"/>
      <c r="Z103" s="108"/>
      <c r="AA103" s="108"/>
      <c r="AB103" s="108"/>
      <c r="AC103" s="108"/>
      <c r="AD103" s="108"/>
      <c r="AE103" s="108"/>
      <c r="AF103" s="108"/>
      <c r="AG103" s="108"/>
      <c r="AH103" s="108"/>
      <c r="AI103" s="108"/>
      <c r="AJ103" s="108"/>
      <c r="AK103" s="108"/>
      <c r="AL103" s="108"/>
      <c r="AM103" s="108"/>
      <c r="AN103" s="108"/>
      <c r="AO103" s="108"/>
      <c r="AP103" s="108"/>
      <c r="AQ103" s="108"/>
      <c r="AR103" s="108"/>
      <c r="AS103" s="108"/>
      <c r="AT103" s="108"/>
      <c r="AU103" s="108"/>
      <c r="AV103" s="108"/>
      <c r="AW103" s="108"/>
      <c r="AX103" s="108"/>
      <c r="AY103" s="108"/>
      <c r="AZ103" s="108"/>
      <c r="BA103" s="108"/>
      <c r="BB103" s="108"/>
      <c r="BC103" s="108"/>
      <c r="BD103" s="108"/>
      <c r="BE103" s="108"/>
      <c r="BF103" s="108"/>
      <c r="BG103" s="108"/>
      <c r="BH103" s="108"/>
      <c r="BI103" s="108"/>
      <c r="BJ103" s="108"/>
      <c r="BK103" s="108"/>
      <c r="BL103" s="108"/>
      <c r="BM103" s="108"/>
      <c r="BN103" s="108"/>
      <c r="BO103" s="108"/>
      <c r="BP103" s="108"/>
      <c r="BQ103" s="108"/>
      <c r="BR103" s="108"/>
      <c r="BS103" s="108"/>
      <c r="BT103" s="108"/>
      <c r="BU103" s="108"/>
      <c r="BV103" s="108"/>
      <c r="BW103" s="108"/>
      <c r="BX103" s="108"/>
      <c r="BY103" s="108"/>
      <c r="BZ103" s="108"/>
      <c r="CA103" s="108"/>
      <c r="CB103" s="108"/>
      <c r="CC103" s="108"/>
      <c r="CD103" s="108"/>
      <c r="CE103" s="108"/>
      <c r="CF103" s="108"/>
      <c r="CG103" s="108"/>
      <c r="CH103" s="108"/>
      <c r="CI103" s="108"/>
      <c r="CJ103" s="108"/>
      <c r="CK103" s="108"/>
      <c r="CL103" s="108"/>
      <c r="CM103" s="108"/>
      <c r="CN103" s="108"/>
      <c r="CO103" s="108"/>
      <c r="CP103" s="108"/>
      <c r="CQ103" s="108"/>
      <c r="CR103" s="108"/>
      <c r="CS103" s="108"/>
      <c r="CT103" s="108"/>
      <c r="CU103" s="108"/>
      <c r="CV103" s="108"/>
      <c r="CW103" s="108"/>
      <c r="CX103" s="108"/>
      <c r="CY103" s="108"/>
      <c r="CZ103" s="108"/>
      <c r="DA103" s="108"/>
      <c r="DB103" s="108"/>
      <c r="DC103" s="108"/>
      <c r="DD103" s="108"/>
      <c r="DE103" s="108"/>
      <c r="DF103" s="108"/>
      <c r="DG103" s="108"/>
      <c r="DH103" s="108"/>
      <c r="DI103" s="108"/>
      <c r="DJ103" s="108"/>
      <c r="DK103" s="108"/>
      <c r="DL103" s="108"/>
      <c r="DM103" s="108"/>
      <c r="DN103" s="108"/>
      <c r="DO103" s="108"/>
      <c r="DP103" s="108"/>
      <c r="DQ103" s="108"/>
      <c r="DR103" s="108"/>
      <c r="DS103" s="108"/>
      <c r="DT103" s="108"/>
      <c r="DU103" s="108"/>
      <c r="DV103" s="108"/>
      <c r="DW103" s="108"/>
      <c r="DX103" s="108"/>
      <c r="DY103" s="108"/>
      <c r="DZ103" s="108"/>
      <c r="EA103" s="108"/>
      <c r="EB103" s="108"/>
      <c r="EC103" s="108"/>
      <c r="ED103" s="108"/>
      <c r="EE103" s="108"/>
      <c r="EF103" s="108"/>
      <c r="EG103" s="108"/>
      <c r="EH103" s="108"/>
      <c r="EI103" s="108"/>
      <c r="EJ103" s="108"/>
      <c r="EK103" s="108"/>
      <c r="EL103" s="108"/>
      <c r="EM103" s="108"/>
      <c r="EN103" s="108"/>
      <c r="EO103" s="108"/>
      <c r="EP103" s="108"/>
      <c r="EQ103" s="108"/>
      <c r="ER103" s="108"/>
      <c r="ES103" s="108"/>
      <c r="ET103" s="108"/>
      <c r="EU103" s="108"/>
      <c r="EV103" s="108"/>
      <c r="EW103" s="108"/>
      <c r="EX103" s="108"/>
      <c r="EY103" s="108"/>
      <c r="EZ103" s="108"/>
      <c r="FA103" s="108"/>
      <c r="FB103" s="108"/>
      <c r="FC103" s="108"/>
      <c r="FD103" s="108"/>
      <c r="FE103" s="108"/>
      <c r="FF103" s="108"/>
      <c r="FG103" s="108"/>
      <c r="FH103" s="108"/>
      <c r="FI103" s="108"/>
      <c r="FJ103" s="108"/>
      <c r="FK103" s="108"/>
      <c r="FL103" s="108"/>
      <c r="FM103" s="108"/>
      <c r="FN103" s="108"/>
      <c r="FO103" s="108"/>
      <c r="FP103" s="108"/>
      <c r="FQ103" s="108"/>
      <c r="FR103" s="108"/>
      <c r="FS103" s="108"/>
      <c r="FT103" s="108"/>
      <c r="FU103" s="108"/>
      <c r="FV103" s="108"/>
      <c r="FW103" s="108"/>
      <c r="FX103" s="108"/>
      <c r="FY103" s="108"/>
      <c r="FZ103" s="108"/>
      <c r="GA103" s="108"/>
      <c r="GB103" s="108"/>
      <c r="GC103" s="108"/>
      <c r="GD103" s="108"/>
      <c r="GE103" s="108"/>
      <c r="GF103" s="108"/>
      <c r="GG103" s="108"/>
      <c r="GH103" s="108"/>
      <c r="GI103" s="108"/>
      <c r="GJ103" s="108"/>
      <c r="GK103" s="108"/>
      <c r="GL103" s="108"/>
      <c r="GM103" s="108"/>
      <c r="GN103" s="108"/>
      <c r="GO103" s="108"/>
      <c r="GP103" s="108"/>
      <c r="GQ103" s="108"/>
      <c r="GR103" s="108"/>
      <c r="GS103" s="108"/>
      <c r="GT103" s="108"/>
      <c r="GU103" s="108"/>
      <c r="GV103" s="108"/>
      <c r="GW103" s="108"/>
      <c r="GX103" s="108"/>
      <c r="GY103" s="108"/>
      <c r="GZ103" s="108"/>
      <c r="HA103" s="108"/>
      <c r="HB103" s="108"/>
      <c r="HC103" s="108"/>
      <c r="HD103" s="108"/>
      <c r="HE103" s="108"/>
      <c r="HF103" s="108"/>
      <c r="HG103" s="108"/>
      <c r="HH103" s="108"/>
      <c r="HI103" s="108"/>
      <c r="HJ103" s="108"/>
      <c r="HK103" s="108"/>
      <c r="HL103" s="108"/>
      <c r="HM103" s="108"/>
      <c r="HN103" s="108"/>
      <c r="HO103" s="108"/>
      <c r="HP103" s="108"/>
      <c r="HQ103" s="108"/>
      <c r="HR103" s="108"/>
      <c r="HS103" s="108"/>
      <c r="HT103" s="108"/>
      <c r="HU103" s="108"/>
      <c r="HV103" s="108"/>
      <c r="HW103" s="108"/>
      <c r="HX103" s="108"/>
      <c r="HY103" s="108"/>
      <c r="HZ103" s="108"/>
      <c r="IA103" s="108"/>
      <c r="IB103" s="108"/>
      <c r="IC103" s="108"/>
      <c r="ID103" s="108"/>
      <c r="IE103" s="108"/>
      <c r="IF103" s="108"/>
      <c r="IG103" s="108"/>
      <c r="IH103" s="108"/>
      <c r="II103" s="108"/>
      <c r="IJ103" s="108"/>
      <c r="IK103" s="108"/>
      <c r="IL103" s="108"/>
      <c r="IM103" s="108"/>
      <c r="IN103" s="108"/>
      <c r="IO103" s="108"/>
      <c r="IP103" s="108"/>
      <c r="IQ103" s="108"/>
      <c r="IR103" s="108"/>
      <c r="IS103" s="108"/>
      <c r="IT103" s="108"/>
      <c r="IU103" s="108"/>
      <c r="IV103" s="108"/>
      <c r="IW103" s="108"/>
    </row>
    <row r="104" spans="1:257" x14ac:dyDescent="0.3">
      <c r="A104" s="158"/>
      <c r="B104" s="158"/>
      <c r="C104" s="158"/>
      <c r="D104" s="158"/>
      <c r="E104" s="158"/>
      <c r="F104" s="158"/>
      <c r="G104" s="158"/>
      <c r="H104" s="158"/>
      <c r="I104" s="176"/>
      <c r="J104" s="158"/>
      <c r="K104" s="158"/>
      <c r="L104" s="158"/>
      <c r="M104" s="158"/>
      <c r="N104" s="158"/>
      <c r="O104" s="108"/>
      <c r="P104" s="108"/>
      <c r="Q104" s="108"/>
      <c r="R104" s="108"/>
      <c r="S104" s="108"/>
      <c r="T104" s="108"/>
      <c r="U104" s="108"/>
      <c r="V104" s="108"/>
      <c r="W104" s="108"/>
      <c r="X104" s="108"/>
      <c r="Y104" s="108"/>
      <c r="Z104" s="108"/>
      <c r="AA104" s="108"/>
      <c r="AB104" s="108"/>
      <c r="AC104" s="108"/>
      <c r="AD104" s="108"/>
      <c r="AE104" s="108"/>
      <c r="AF104" s="108"/>
      <c r="AG104" s="108"/>
      <c r="AH104" s="108"/>
      <c r="AI104" s="108"/>
      <c r="AJ104" s="108"/>
      <c r="AK104" s="108"/>
      <c r="AL104" s="108"/>
      <c r="AM104" s="108"/>
      <c r="AN104" s="108"/>
      <c r="AO104" s="108"/>
      <c r="AP104" s="108"/>
      <c r="AQ104" s="108"/>
      <c r="AR104" s="108"/>
      <c r="AS104" s="108"/>
      <c r="AT104" s="108"/>
      <c r="AU104" s="108"/>
      <c r="AV104" s="108"/>
      <c r="AW104" s="108"/>
      <c r="AX104" s="108"/>
      <c r="AY104" s="108"/>
      <c r="AZ104" s="108"/>
      <c r="BA104" s="108"/>
      <c r="BB104" s="108"/>
      <c r="BC104" s="108"/>
      <c r="BD104" s="108"/>
      <c r="BE104" s="108"/>
      <c r="BF104" s="108"/>
      <c r="BG104" s="108"/>
      <c r="BH104" s="108"/>
      <c r="BI104" s="108"/>
      <c r="BJ104" s="108"/>
      <c r="BK104" s="108"/>
      <c r="BL104" s="108"/>
      <c r="BM104" s="108"/>
      <c r="BN104" s="108"/>
      <c r="BO104" s="108"/>
      <c r="BP104" s="108"/>
      <c r="BQ104" s="108"/>
      <c r="BR104" s="108"/>
      <c r="BS104" s="108"/>
      <c r="BT104" s="108"/>
      <c r="BU104" s="108"/>
      <c r="BV104" s="108"/>
      <c r="BW104" s="108"/>
      <c r="BX104" s="108"/>
      <c r="BY104" s="108"/>
      <c r="BZ104" s="108"/>
      <c r="CA104" s="108"/>
      <c r="CB104" s="108"/>
      <c r="CC104" s="108"/>
      <c r="CD104" s="108"/>
      <c r="CE104" s="108"/>
      <c r="CF104" s="108"/>
      <c r="CG104" s="108"/>
      <c r="CH104" s="108"/>
      <c r="CI104" s="108"/>
      <c r="CJ104" s="108"/>
      <c r="CK104" s="108"/>
      <c r="CL104" s="108"/>
      <c r="CM104" s="108"/>
      <c r="CN104" s="108"/>
      <c r="CO104" s="108"/>
      <c r="CP104" s="108"/>
      <c r="CQ104" s="108"/>
      <c r="CR104" s="108"/>
      <c r="CS104" s="108"/>
      <c r="CT104" s="108"/>
      <c r="CU104" s="108"/>
      <c r="CV104" s="108"/>
      <c r="CW104" s="108"/>
      <c r="CX104" s="108"/>
      <c r="CY104" s="108"/>
      <c r="CZ104" s="108"/>
      <c r="DA104" s="108"/>
      <c r="DB104" s="108"/>
      <c r="DC104" s="108"/>
      <c r="DD104" s="108"/>
      <c r="DE104" s="108"/>
      <c r="DF104" s="108"/>
      <c r="DG104" s="108"/>
      <c r="DH104" s="108"/>
      <c r="DI104" s="108"/>
      <c r="DJ104" s="108"/>
      <c r="DK104" s="108"/>
      <c r="DL104" s="108"/>
      <c r="DM104" s="108"/>
      <c r="DN104" s="108"/>
      <c r="DO104" s="108"/>
      <c r="DP104" s="108"/>
      <c r="DQ104" s="108"/>
      <c r="DR104" s="108"/>
      <c r="DS104" s="108"/>
      <c r="DT104" s="108"/>
      <c r="DU104" s="108"/>
      <c r="DV104" s="108"/>
      <c r="DW104" s="108"/>
      <c r="DX104" s="108"/>
      <c r="DY104" s="108"/>
      <c r="DZ104" s="108"/>
      <c r="EA104" s="108"/>
      <c r="EB104" s="108"/>
      <c r="EC104" s="108"/>
      <c r="ED104" s="108"/>
      <c r="EE104" s="108"/>
      <c r="EF104" s="108"/>
      <c r="EG104" s="108"/>
      <c r="EH104" s="108"/>
      <c r="EI104" s="108"/>
      <c r="EJ104" s="108"/>
      <c r="EK104" s="108"/>
      <c r="EL104" s="108"/>
      <c r="EM104" s="108"/>
      <c r="EN104" s="108"/>
      <c r="EO104" s="108"/>
      <c r="EP104" s="108"/>
      <c r="EQ104" s="108"/>
      <c r="ER104" s="108"/>
      <c r="ES104" s="108"/>
      <c r="ET104" s="108"/>
      <c r="EU104" s="108"/>
      <c r="EV104" s="108"/>
      <c r="EW104" s="108"/>
      <c r="EX104" s="108"/>
      <c r="EY104" s="108"/>
      <c r="EZ104" s="108"/>
      <c r="FA104" s="108"/>
      <c r="FB104" s="108"/>
      <c r="FC104" s="108"/>
      <c r="FD104" s="108"/>
      <c r="FE104" s="108"/>
      <c r="FF104" s="108"/>
      <c r="FG104" s="108"/>
      <c r="FH104" s="108"/>
      <c r="FI104" s="108"/>
      <c r="FJ104" s="108"/>
      <c r="FK104" s="108"/>
      <c r="FL104" s="108"/>
      <c r="FM104" s="108"/>
      <c r="FN104" s="108"/>
      <c r="FO104" s="108"/>
      <c r="FP104" s="108"/>
      <c r="FQ104" s="108"/>
      <c r="FR104" s="108"/>
      <c r="FS104" s="108"/>
      <c r="FT104" s="108"/>
      <c r="FU104" s="108"/>
      <c r="FV104" s="108"/>
      <c r="FW104" s="108"/>
      <c r="FX104" s="108"/>
      <c r="FY104" s="108"/>
      <c r="FZ104" s="108"/>
      <c r="GA104" s="108"/>
      <c r="GB104" s="108"/>
      <c r="GC104" s="108"/>
      <c r="GD104" s="108"/>
      <c r="GE104" s="108"/>
      <c r="GF104" s="108"/>
      <c r="GG104" s="108"/>
      <c r="GH104" s="108"/>
      <c r="GI104" s="108"/>
      <c r="GJ104" s="108"/>
      <c r="GK104" s="108"/>
      <c r="GL104" s="108"/>
      <c r="GM104" s="108"/>
      <c r="GN104" s="108"/>
      <c r="GO104" s="108"/>
      <c r="GP104" s="108"/>
      <c r="GQ104" s="108"/>
      <c r="GR104" s="108"/>
      <c r="GS104" s="108"/>
      <c r="GT104" s="108"/>
      <c r="GU104" s="108"/>
      <c r="GV104" s="108"/>
      <c r="GW104" s="108"/>
      <c r="GX104" s="108"/>
      <c r="GY104" s="108"/>
      <c r="GZ104" s="108"/>
      <c r="HA104" s="108"/>
      <c r="HB104" s="108"/>
      <c r="HC104" s="108"/>
      <c r="HD104" s="108"/>
      <c r="HE104" s="108"/>
      <c r="HF104" s="108"/>
      <c r="HG104" s="108"/>
      <c r="HH104" s="108"/>
      <c r="HI104" s="108"/>
      <c r="HJ104" s="108"/>
      <c r="HK104" s="108"/>
      <c r="HL104" s="108"/>
      <c r="HM104" s="108"/>
      <c r="HN104" s="108"/>
      <c r="HO104" s="108"/>
      <c r="HP104" s="108"/>
      <c r="HQ104" s="108"/>
      <c r="HR104" s="108"/>
      <c r="HS104" s="108"/>
      <c r="HT104" s="108"/>
      <c r="HU104" s="108"/>
      <c r="HV104" s="108"/>
      <c r="HW104" s="108"/>
      <c r="HX104" s="108"/>
      <c r="HY104" s="108"/>
      <c r="HZ104" s="108"/>
      <c r="IA104" s="108"/>
      <c r="IB104" s="108"/>
      <c r="IC104" s="108"/>
      <c r="ID104" s="108"/>
      <c r="IE104" s="108"/>
      <c r="IF104" s="108"/>
      <c r="IG104" s="108"/>
      <c r="IH104" s="108"/>
      <c r="II104" s="108"/>
      <c r="IJ104" s="108"/>
      <c r="IK104" s="108"/>
      <c r="IL104" s="108"/>
      <c r="IM104" s="108"/>
      <c r="IN104" s="108"/>
      <c r="IO104" s="108"/>
      <c r="IP104" s="108"/>
      <c r="IQ104" s="108"/>
      <c r="IR104" s="108"/>
      <c r="IS104" s="108"/>
      <c r="IT104" s="108"/>
      <c r="IU104" s="108"/>
      <c r="IV104" s="108"/>
      <c r="IW104" s="108"/>
    </row>
    <row r="105" spans="1:257" x14ac:dyDescent="0.3">
      <c r="A105" s="158"/>
      <c r="B105" s="158"/>
      <c r="C105" s="158"/>
      <c r="D105" s="158"/>
      <c r="E105" s="158"/>
      <c r="F105" s="158"/>
      <c r="G105" s="158"/>
      <c r="H105" s="158"/>
      <c r="I105" s="176"/>
      <c r="J105" s="158"/>
      <c r="K105" s="158"/>
      <c r="L105" s="158"/>
      <c r="M105" s="158"/>
      <c r="N105" s="158"/>
      <c r="O105" s="108"/>
      <c r="P105" s="108"/>
      <c r="Q105" s="108"/>
      <c r="R105" s="108"/>
      <c r="S105" s="108"/>
      <c r="T105" s="108"/>
      <c r="U105" s="108"/>
      <c r="V105" s="108"/>
      <c r="W105" s="108"/>
      <c r="X105" s="108"/>
      <c r="Y105" s="108"/>
      <c r="Z105" s="108"/>
      <c r="AA105" s="108"/>
      <c r="AB105" s="108"/>
      <c r="AC105" s="108"/>
      <c r="AD105" s="108"/>
      <c r="AE105" s="108"/>
      <c r="AF105" s="108"/>
      <c r="AG105" s="108"/>
      <c r="AH105" s="108"/>
      <c r="AI105" s="108"/>
      <c r="AJ105" s="108"/>
      <c r="AK105" s="108"/>
      <c r="AL105" s="108"/>
      <c r="AM105" s="108"/>
      <c r="AN105" s="108"/>
      <c r="AO105" s="108"/>
      <c r="AP105" s="108"/>
      <c r="AQ105" s="108"/>
      <c r="AR105" s="108"/>
      <c r="AS105" s="108"/>
      <c r="AT105" s="108"/>
      <c r="AU105" s="108"/>
      <c r="AV105" s="108"/>
      <c r="AW105" s="108"/>
      <c r="AX105" s="108"/>
      <c r="AY105" s="108"/>
      <c r="AZ105" s="108"/>
      <c r="BA105" s="108"/>
      <c r="BB105" s="108"/>
      <c r="BC105" s="108"/>
      <c r="BD105" s="108"/>
      <c r="BE105" s="108"/>
      <c r="BF105" s="108"/>
      <c r="BG105" s="108"/>
      <c r="BH105" s="108"/>
      <c r="BI105" s="108"/>
      <c r="BJ105" s="108"/>
      <c r="BK105" s="108"/>
      <c r="BL105" s="108"/>
      <c r="BM105" s="108"/>
      <c r="BN105" s="108"/>
      <c r="BO105" s="108"/>
      <c r="BP105" s="108"/>
      <c r="BQ105" s="108"/>
      <c r="BR105" s="108"/>
      <c r="BS105" s="108"/>
      <c r="BT105" s="108"/>
      <c r="BU105" s="108"/>
      <c r="BV105" s="108"/>
      <c r="BW105" s="108"/>
      <c r="BX105" s="108"/>
      <c r="BY105" s="108"/>
      <c r="BZ105" s="108"/>
      <c r="CA105" s="108"/>
      <c r="CB105" s="108"/>
      <c r="CC105" s="108"/>
      <c r="CD105" s="108"/>
      <c r="CE105" s="108"/>
      <c r="CF105" s="108"/>
      <c r="CG105" s="108"/>
      <c r="CH105" s="108"/>
      <c r="CI105" s="108"/>
      <c r="CJ105" s="108"/>
      <c r="CK105" s="108"/>
      <c r="CL105" s="108"/>
      <c r="CM105" s="108"/>
      <c r="CN105" s="108"/>
      <c r="CO105" s="108"/>
      <c r="CP105" s="108"/>
      <c r="CQ105" s="108"/>
      <c r="CR105" s="108"/>
      <c r="CS105" s="108"/>
      <c r="CT105" s="108"/>
      <c r="CU105" s="108"/>
      <c r="CV105" s="108"/>
      <c r="CW105" s="108"/>
      <c r="CX105" s="108"/>
      <c r="CY105" s="108"/>
      <c r="CZ105" s="108"/>
      <c r="DA105" s="108"/>
      <c r="DB105" s="108"/>
      <c r="DC105" s="108"/>
      <c r="DD105" s="108"/>
      <c r="DE105" s="108"/>
      <c r="DF105" s="108"/>
      <c r="DG105" s="108"/>
      <c r="DH105" s="108"/>
      <c r="DI105" s="108"/>
      <c r="DJ105" s="108"/>
      <c r="DK105" s="108"/>
      <c r="DL105" s="108"/>
      <c r="DM105" s="108"/>
      <c r="DN105" s="108"/>
      <c r="DO105" s="108"/>
      <c r="DP105" s="108"/>
      <c r="DQ105" s="108"/>
      <c r="DR105" s="108"/>
      <c r="DS105" s="108"/>
      <c r="DT105" s="108"/>
      <c r="DU105" s="108"/>
      <c r="DV105" s="108"/>
      <c r="DW105" s="108"/>
      <c r="DX105" s="108"/>
      <c r="DY105" s="108"/>
      <c r="DZ105" s="108"/>
      <c r="EA105" s="108"/>
      <c r="EB105" s="108"/>
      <c r="EC105" s="108"/>
      <c r="ED105" s="108"/>
      <c r="EE105" s="108"/>
      <c r="EF105" s="108"/>
      <c r="EG105" s="108"/>
      <c r="EH105" s="108"/>
      <c r="EI105" s="108"/>
      <c r="EJ105" s="108"/>
      <c r="EK105" s="108"/>
      <c r="EL105" s="108"/>
      <c r="EM105" s="108"/>
      <c r="EN105" s="108"/>
      <c r="EO105" s="108"/>
      <c r="EP105" s="108"/>
      <c r="EQ105" s="108"/>
      <c r="ER105" s="108"/>
      <c r="ES105" s="108"/>
      <c r="ET105" s="108"/>
      <c r="EU105" s="108"/>
      <c r="EV105" s="108"/>
      <c r="EW105" s="108"/>
      <c r="EX105" s="108"/>
      <c r="EY105" s="108"/>
      <c r="EZ105" s="108"/>
      <c r="FA105" s="108"/>
      <c r="FB105" s="108"/>
      <c r="FC105" s="108"/>
      <c r="FD105" s="108"/>
      <c r="FE105" s="108"/>
      <c r="FF105" s="108"/>
      <c r="FG105" s="108"/>
      <c r="FH105" s="108"/>
      <c r="FI105" s="108"/>
      <c r="FJ105" s="108"/>
      <c r="FK105" s="108"/>
      <c r="FL105" s="108"/>
      <c r="FM105" s="108"/>
      <c r="FN105" s="108"/>
      <c r="FO105" s="108"/>
      <c r="FP105" s="108"/>
      <c r="FQ105" s="108"/>
      <c r="FR105" s="108"/>
      <c r="FS105" s="108"/>
      <c r="FT105" s="108"/>
      <c r="FU105" s="108"/>
      <c r="FV105" s="108"/>
      <c r="FW105" s="108"/>
      <c r="FX105" s="108"/>
      <c r="FY105" s="108"/>
      <c r="FZ105" s="108"/>
      <c r="GA105" s="108"/>
      <c r="GB105" s="108"/>
      <c r="GC105" s="108"/>
      <c r="GD105" s="108"/>
      <c r="GE105" s="108"/>
      <c r="GF105" s="108"/>
      <c r="GG105" s="108"/>
      <c r="GH105" s="108"/>
      <c r="GI105" s="108"/>
      <c r="GJ105" s="108"/>
      <c r="GK105" s="108"/>
      <c r="GL105" s="108"/>
      <c r="GM105" s="108"/>
      <c r="GN105" s="108"/>
      <c r="GO105" s="108"/>
      <c r="GP105" s="108"/>
      <c r="GQ105" s="108"/>
      <c r="GR105" s="108"/>
      <c r="GS105" s="108"/>
      <c r="GT105" s="108"/>
      <c r="GU105" s="108"/>
      <c r="GV105" s="108"/>
      <c r="GW105" s="108"/>
      <c r="GX105" s="108"/>
      <c r="GY105" s="108"/>
      <c r="GZ105" s="108"/>
      <c r="HA105" s="108"/>
      <c r="HB105" s="108"/>
      <c r="HC105" s="108"/>
      <c r="HD105" s="108"/>
      <c r="HE105" s="108"/>
      <c r="HF105" s="108"/>
      <c r="HG105" s="108"/>
      <c r="HH105" s="108"/>
      <c r="HI105" s="108"/>
      <c r="HJ105" s="108"/>
      <c r="HK105" s="108"/>
      <c r="HL105" s="108"/>
      <c r="HM105" s="108"/>
      <c r="HN105" s="108"/>
      <c r="HO105" s="108"/>
      <c r="HP105" s="108"/>
      <c r="HQ105" s="108"/>
      <c r="HR105" s="108"/>
      <c r="HS105" s="108"/>
      <c r="HT105" s="108"/>
      <c r="HU105" s="108"/>
      <c r="HV105" s="108"/>
      <c r="HW105" s="108"/>
      <c r="HX105" s="108"/>
      <c r="HY105" s="108"/>
      <c r="HZ105" s="108"/>
      <c r="IA105" s="108"/>
      <c r="IB105" s="108"/>
      <c r="IC105" s="108"/>
      <c r="ID105" s="108"/>
      <c r="IE105" s="108"/>
      <c r="IF105" s="108"/>
      <c r="IG105" s="108"/>
      <c r="IH105" s="108"/>
      <c r="II105" s="108"/>
      <c r="IJ105" s="108"/>
      <c r="IK105" s="108"/>
      <c r="IL105" s="108"/>
      <c r="IM105" s="108"/>
      <c r="IN105" s="108"/>
      <c r="IO105" s="108"/>
      <c r="IP105" s="108"/>
      <c r="IQ105" s="108"/>
      <c r="IR105" s="108"/>
      <c r="IS105" s="108"/>
      <c r="IT105" s="108"/>
      <c r="IU105" s="108"/>
      <c r="IV105" s="108"/>
      <c r="IW105" s="108"/>
    </row>
    <row r="106" spans="1:257" x14ac:dyDescent="0.3">
      <c r="A106" s="158"/>
      <c r="B106" s="158"/>
      <c r="C106" s="158"/>
      <c r="D106" s="158"/>
      <c r="E106" s="158"/>
      <c r="F106" s="158"/>
      <c r="G106" s="158"/>
      <c r="H106" s="158"/>
      <c r="I106" s="176"/>
      <c r="J106" s="158"/>
      <c r="K106" s="158"/>
      <c r="L106" s="158"/>
      <c r="M106" s="158"/>
      <c r="N106" s="158"/>
      <c r="O106" s="108"/>
      <c r="P106" s="108"/>
      <c r="Q106" s="108"/>
      <c r="R106" s="108"/>
      <c r="S106" s="108"/>
      <c r="T106" s="108"/>
      <c r="U106" s="108"/>
      <c r="V106" s="108"/>
      <c r="W106" s="108"/>
      <c r="X106" s="108"/>
      <c r="Y106" s="108"/>
      <c r="Z106" s="108"/>
      <c r="AA106" s="108"/>
      <c r="AB106" s="108"/>
      <c r="AC106" s="108"/>
      <c r="AD106" s="108"/>
      <c r="AE106" s="108"/>
      <c r="AF106" s="108"/>
      <c r="AG106" s="108"/>
      <c r="AH106" s="108"/>
      <c r="AI106" s="108"/>
      <c r="AJ106" s="108"/>
      <c r="AK106" s="108"/>
      <c r="AL106" s="108"/>
      <c r="AM106" s="108"/>
      <c r="AN106" s="108"/>
      <c r="AO106" s="108"/>
      <c r="AP106" s="108"/>
      <c r="AQ106" s="108"/>
      <c r="AR106" s="108"/>
      <c r="AS106" s="108"/>
      <c r="AT106" s="108"/>
      <c r="AU106" s="108"/>
      <c r="AV106" s="108"/>
      <c r="AW106" s="108"/>
      <c r="AX106" s="108"/>
      <c r="AY106" s="108"/>
      <c r="AZ106" s="108"/>
      <c r="BA106" s="108"/>
      <c r="BB106" s="108"/>
      <c r="BC106" s="108"/>
      <c r="BD106" s="108"/>
      <c r="BE106" s="108"/>
      <c r="BF106" s="108"/>
      <c r="BG106" s="108"/>
      <c r="BH106" s="108"/>
      <c r="BI106" s="108"/>
      <c r="BJ106" s="108"/>
      <c r="BK106" s="108"/>
      <c r="BL106" s="108"/>
      <c r="BM106" s="108"/>
      <c r="BN106" s="108"/>
      <c r="BO106" s="108"/>
      <c r="BP106" s="108"/>
      <c r="BQ106" s="108"/>
      <c r="BR106" s="108"/>
      <c r="BS106" s="108"/>
      <c r="BT106" s="108"/>
      <c r="BU106" s="108"/>
      <c r="BV106" s="108"/>
      <c r="BW106" s="108"/>
      <c r="BX106" s="108"/>
      <c r="BY106" s="108"/>
      <c r="BZ106" s="108"/>
      <c r="CA106" s="108"/>
      <c r="CB106" s="108"/>
      <c r="CC106" s="108"/>
      <c r="CD106" s="108"/>
      <c r="CE106" s="108"/>
      <c r="CF106" s="108"/>
      <c r="CG106" s="108"/>
      <c r="CH106" s="108"/>
      <c r="CI106" s="108"/>
      <c r="CJ106" s="108"/>
      <c r="CK106" s="108"/>
      <c r="CL106" s="108"/>
      <c r="CM106" s="108"/>
      <c r="CN106" s="108"/>
      <c r="CO106" s="108"/>
      <c r="CP106" s="108"/>
      <c r="CQ106" s="108"/>
      <c r="CR106" s="108"/>
      <c r="CS106" s="108"/>
      <c r="CT106" s="108"/>
      <c r="CU106" s="108"/>
      <c r="CV106" s="108"/>
      <c r="CW106" s="108"/>
      <c r="CX106" s="108"/>
      <c r="CY106" s="108"/>
      <c r="CZ106" s="108"/>
      <c r="DA106" s="108"/>
      <c r="DB106" s="108"/>
      <c r="DC106" s="108"/>
      <c r="DD106" s="108"/>
      <c r="DE106" s="108"/>
      <c r="DF106" s="108"/>
      <c r="DG106" s="108"/>
      <c r="DH106" s="108"/>
      <c r="DI106" s="108"/>
      <c r="DJ106" s="108"/>
      <c r="DK106" s="108"/>
      <c r="DL106" s="108"/>
      <c r="DM106" s="108"/>
      <c r="DN106" s="108"/>
      <c r="DO106" s="108"/>
      <c r="DP106" s="108"/>
      <c r="DQ106" s="108"/>
      <c r="DR106" s="108"/>
      <c r="DS106" s="108"/>
      <c r="DT106" s="108"/>
      <c r="DU106" s="108"/>
      <c r="DV106" s="108"/>
      <c r="DW106" s="108"/>
      <c r="DX106" s="108"/>
      <c r="DY106" s="108"/>
      <c r="DZ106" s="108"/>
      <c r="EA106" s="108"/>
      <c r="EB106" s="108"/>
      <c r="EC106" s="108"/>
      <c r="ED106" s="108"/>
      <c r="EE106" s="108"/>
      <c r="EF106" s="108"/>
      <c r="EG106" s="108"/>
      <c r="EH106" s="108"/>
      <c r="EI106" s="108"/>
      <c r="EJ106" s="108"/>
      <c r="EK106" s="108"/>
      <c r="EL106" s="108"/>
      <c r="EM106" s="108"/>
      <c r="EN106" s="108"/>
      <c r="EO106" s="108"/>
      <c r="EP106" s="108"/>
      <c r="EQ106" s="108"/>
      <c r="ER106" s="108"/>
      <c r="ES106" s="108"/>
      <c r="ET106" s="108"/>
      <c r="EU106" s="108"/>
      <c r="EV106" s="108"/>
      <c r="EW106" s="108"/>
      <c r="EX106" s="108"/>
      <c r="EY106" s="108"/>
      <c r="EZ106" s="108"/>
      <c r="FA106" s="108"/>
      <c r="FB106" s="108"/>
      <c r="FC106" s="108"/>
      <c r="FD106" s="108"/>
      <c r="FE106" s="108"/>
      <c r="FF106" s="108"/>
      <c r="FG106" s="108"/>
      <c r="FH106" s="108"/>
      <c r="FI106" s="108"/>
      <c r="FJ106" s="108"/>
      <c r="FK106" s="108"/>
      <c r="FL106" s="108"/>
      <c r="FM106" s="108"/>
      <c r="FN106" s="108"/>
      <c r="FO106" s="108"/>
      <c r="FP106" s="108"/>
      <c r="FQ106" s="108"/>
      <c r="FR106" s="108"/>
      <c r="FS106" s="108"/>
      <c r="FT106" s="108"/>
      <c r="FU106" s="108"/>
      <c r="FV106" s="108"/>
      <c r="FW106" s="108"/>
      <c r="FX106" s="108"/>
      <c r="FY106" s="108"/>
      <c r="FZ106" s="108"/>
      <c r="GA106" s="108"/>
      <c r="GB106" s="108"/>
      <c r="GC106" s="108"/>
      <c r="GD106" s="108"/>
      <c r="GE106" s="108"/>
      <c r="GF106" s="108"/>
      <c r="GG106" s="108"/>
      <c r="GH106" s="108"/>
      <c r="GI106" s="108"/>
      <c r="GJ106" s="108"/>
      <c r="GK106" s="108"/>
      <c r="GL106" s="108"/>
      <c r="GM106" s="108"/>
      <c r="GN106" s="108"/>
      <c r="GO106" s="108"/>
      <c r="GP106" s="108"/>
      <c r="GQ106" s="108"/>
      <c r="GR106" s="108"/>
      <c r="GS106" s="108"/>
      <c r="GT106" s="108"/>
      <c r="GU106" s="108"/>
      <c r="GV106" s="108"/>
      <c r="GW106" s="108"/>
      <c r="GX106" s="108"/>
      <c r="GY106" s="108"/>
      <c r="GZ106" s="108"/>
      <c r="HA106" s="108"/>
      <c r="HB106" s="108"/>
      <c r="HC106" s="108"/>
      <c r="HD106" s="108"/>
      <c r="HE106" s="108"/>
      <c r="HF106" s="108"/>
      <c r="HG106" s="108"/>
      <c r="HH106" s="108"/>
      <c r="HI106" s="108"/>
      <c r="HJ106" s="108"/>
      <c r="HK106" s="108"/>
      <c r="HL106" s="108"/>
      <c r="HM106" s="108"/>
      <c r="HN106" s="108"/>
      <c r="HO106" s="108"/>
      <c r="HP106" s="108"/>
      <c r="HQ106" s="108"/>
      <c r="HR106" s="108"/>
      <c r="HS106" s="108"/>
      <c r="HT106" s="108"/>
      <c r="HU106" s="108"/>
      <c r="HV106" s="108"/>
      <c r="HW106" s="108"/>
      <c r="HX106" s="108"/>
      <c r="HY106" s="108"/>
      <c r="HZ106" s="108"/>
      <c r="IA106" s="108"/>
      <c r="IB106" s="108"/>
      <c r="IC106" s="108"/>
      <c r="ID106" s="108"/>
      <c r="IE106" s="108"/>
      <c r="IF106" s="108"/>
      <c r="IG106" s="108"/>
      <c r="IH106" s="108"/>
      <c r="II106" s="108"/>
      <c r="IJ106" s="108"/>
      <c r="IK106" s="108"/>
      <c r="IL106" s="108"/>
      <c r="IM106" s="108"/>
      <c r="IN106" s="108"/>
      <c r="IO106" s="108"/>
      <c r="IP106" s="108"/>
      <c r="IQ106" s="108"/>
      <c r="IR106" s="108"/>
      <c r="IS106" s="108"/>
      <c r="IT106" s="108"/>
      <c r="IU106" s="108"/>
      <c r="IV106" s="108"/>
      <c r="IW106" s="108"/>
    </row>
    <row r="107" spans="1:257" x14ac:dyDescent="0.3">
      <c r="A107" s="158"/>
      <c r="B107" s="158"/>
      <c r="C107" s="158"/>
      <c r="D107" s="158"/>
      <c r="E107" s="158"/>
      <c r="F107" s="158"/>
      <c r="G107" s="158"/>
      <c r="H107" s="158"/>
      <c r="I107" s="176"/>
      <c r="J107" s="158"/>
      <c r="K107" s="158"/>
      <c r="L107" s="158"/>
      <c r="M107" s="158"/>
      <c r="N107" s="158"/>
      <c r="O107" s="108"/>
      <c r="P107" s="108"/>
      <c r="Q107" s="108"/>
      <c r="R107" s="108"/>
      <c r="S107" s="108"/>
      <c r="T107" s="108"/>
      <c r="U107" s="108"/>
      <c r="V107" s="108"/>
      <c r="W107" s="108"/>
      <c r="X107" s="108"/>
      <c r="Y107" s="108"/>
      <c r="Z107" s="108"/>
      <c r="AA107" s="108"/>
      <c r="AB107" s="108"/>
      <c r="AC107" s="108"/>
      <c r="AD107" s="108"/>
      <c r="AE107" s="108"/>
      <c r="AF107" s="108"/>
      <c r="AG107" s="108"/>
      <c r="AH107" s="108"/>
      <c r="AI107" s="108"/>
      <c r="AJ107" s="108"/>
      <c r="AK107" s="108"/>
      <c r="AL107" s="108"/>
      <c r="AM107" s="108"/>
      <c r="AN107" s="108"/>
      <c r="AO107" s="108"/>
      <c r="AP107" s="108"/>
      <c r="AQ107" s="108"/>
      <c r="AR107" s="108"/>
      <c r="AS107" s="108"/>
      <c r="AT107" s="108"/>
      <c r="AU107" s="108"/>
      <c r="AV107" s="108"/>
      <c r="AW107" s="108"/>
      <c r="AX107" s="108"/>
      <c r="AY107" s="108"/>
      <c r="AZ107" s="108"/>
      <c r="BA107" s="108"/>
      <c r="BB107" s="108"/>
      <c r="BC107" s="108"/>
      <c r="BD107" s="108"/>
      <c r="BE107" s="108"/>
      <c r="BF107" s="108"/>
      <c r="BG107" s="108"/>
      <c r="BH107" s="108"/>
      <c r="BI107" s="108"/>
      <c r="BJ107" s="108"/>
      <c r="BK107" s="108"/>
      <c r="BL107" s="108"/>
      <c r="BM107" s="108"/>
      <c r="BN107" s="108"/>
      <c r="BO107" s="108"/>
      <c r="BP107" s="108"/>
      <c r="BQ107" s="108"/>
      <c r="BR107" s="108"/>
      <c r="BS107" s="108"/>
      <c r="BT107" s="108"/>
      <c r="BU107" s="108"/>
      <c r="BV107" s="108"/>
      <c r="BW107" s="108"/>
      <c r="BX107" s="108"/>
      <c r="BY107" s="108"/>
      <c r="BZ107" s="108"/>
      <c r="CA107" s="108"/>
      <c r="CB107" s="108"/>
      <c r="CC107" s="108"/>
      <c r="CD107" s="108"/>
      <c r="CE107" s="108"/>
      <c r="CF107" s="108"/>
      <c r="CG107" s="108"/>
      <c r="CH107" s="108"/>
      <c r="CI107" s="108"/>
      <c r="CJ107" s="108"/>
      <c r="CK107" s="108"/>
      <c r="CL107" s="108"/>
      <c r="CM107" s="108"/>
      <c r="CN107" s="108"/>
      <c r="CO107" s="108"/>
      <c r="CP107" s="108"/>
      <c r="CQ107" s="108"/>
      <c r="CR107" s="108"/>
      <c r="CS107" s="108"/>
      <c r="CT107" s="108"/>
      <c r="CU107" s="108"/>
      <c r="CV107" s="108"/>
      <c r="CW107" s="108"/>
      <c r="CX107" s="108"/>
      <c r="CY107" s="108"/>
      <c r="CZ107" s="108"/>
      <c r="DA107" s="108"/>
      <c r="DB107" s="108"/>
      <c r="DC107" s="108"/>
      <c r="DD107" s="108"/>
      <c r="DE107" s="108"/>
      <c r="DF107" s="108"/>
      <c r="DG107" s="108"/>
      <c r="DH107" s="108"/>
      <c r="DI107" s="108"/>
      <c r="DJ107" s="108"/>
      <c r="DK107" s="108"/>
      <c r="DL107" s="108"/>
      <c r="DM107" s="108"/>
      <c r="DN107" s="108"/>
      <c r="DO107" s="108"/>
      <c r="DP107" s="108"/>
      <c r="DQ107" s="108"/>
      <c r="DR107" s="108"/>
      <c r="DS107" s="108"/>
      <c r="DT107" s="108"/>
      <c r="DU107" s="108"/>
      <c r="DV107" s="108"/>
      <c r="DW107" s="108"/>
      <c r="DX107" s="108"/>
      <c r="DY107" s="108"/>
      <c r="DZ107" s="108"/>
      <c r="EA107" s="108"/>
      <c r="EB107" s="108"/>
      <c r="EC107" s="108"/>
      <c r="ED107" s="108"/>
      <c r="EE107" s="108"/>
      <c r="EF107" s="108"/>
      <c r="EG107" s="108"/>
      <c r="EH107" s="108"/>
      <c r="EI107" s="108"/>
      <c r="EJ107" s="108"/>
      <c r="EK107" s="108"/>
      <c r="EL107" s="108"/>
      <c r="EM107" s="108"/>
      <c r="EN107" s="108"/>
      <c r="EO107" s="108"/>
      <c r="EP107" s="108"/>
      <c r="EQ107" s="108"/>
      <c r="ER107" s="108"/>
      <c r="ES107" s="108"/>
      <c r="ET107" s="108"/>
      <c r="EU107" s="108"/>
      <c r="EV107" s="108"/>
      <c r="EW107" s="108"/>
      <c r="EX107" s="108"/>
      <c r="EY107" s="108"/>
      <c r="EZ107" s="108"/>
      <c r="FA107" s="108"/>
      <c r="FB107" s="108"/>
      <c r="FC107" s="108"/>
      <c r="FD107" s="108"/>
      <c r="FE107" s="108"/>
      <c r="FF107" s="108"/>
      <c r="FG107" s="108"/>
      <c r="FH107" s="108"/>
      <c r="FI107" s="108"/>
      <c r="FJ107" s="108"/>
      <c r="FK107" s="108"/>
      <c r="FL107" s="108"/>
      <c r="FM107" s="108"/>
      <c r="FN107" s="108"/>
      <c r="FO107" s="108"/>
      <c r="FP107" s="108"/>
      <c r="FQ107" s="108"/>
      <c r="FR107" s="108"/>
      <c r="FS107" s="108"/>
      <c r="FT107" s="108"/>
      <c r="FU107" s="108"/>
      <c r="FV107" s="108"/>
      <c r="FW107" s="108"/>
      <c r="FX107" s="108"/>
      <c r="FY107" s="108"/>
      <c r="FZ107" s="108"/>
      <c r="GA107" s="108"/>
      <c r="GB107" s="108"/>
      <c r="GC107" s="108"/>
      <c r="GD107" s="108"/>
      <c r="GE107" s="108"/>
      <c r="GF107" s="108"/>
      <c r="GG107" s="108"/>
      <c r="GH107" s="108"/>
      <c r="GI107" s="108"/>
      <c r="GJ107" s="108"/>
      <c r="GK107" s="108"/>
      <c r="GL107" s="108"/>
      <c r="GM107" s="108"/>
      <c r="GN107" s="108"/>
      <c r="GO107" s="108"/>
      <c r="GP107" s="108"/>
      <c r="GQ107" s="108"/>
      <c r="GR107" s="108"/>
      <c r="GS107" s="108"/>
      <c r="GT107" s="108"/>
      <c r="GU107" s="108"/>
      <c r="GV107" s="108"/>
      <c r="GW107" s="108"/>
      <c r="GX107" s="108"/>
      <c r="GY107" s="108"/>
      <c r="GZ107" s="108"/>
      <c r="HA107" s="108"/>
      <c r="HB107" s="108"/>
      <c r="HC107" s="108"/>
      <c r="HD107" s="108"/>
      <c r="HE107" s="108"/>
      <c r="HF107" s="108"/>
      <c r="HG107" s="108"/>
      <c r="HH107" s="108"/>
      <c r="HI107" s="108"/>
      <c r="HJ107" s="108"/>
      <c r="HK107" s="108"/>
      <c r="HL107" s="108"/>
      <c r="HM107" s="108"/>
      <c r="HN107" s="108"/>
      <c r="HO107" s="108"/>
      <c r="HP107" s="108"/>
      <c r="HQ107" s="108"/>
      <c r="HR107" s="108"/>
      <c r="HS107" s="108"/>
      <c r="HT107" s="108"/>
      <c r="HU107" s="108"/>
      <c r="HV107" s="108"/>
      <c r="HW107" s="108"/>
      <c r="HX107" s="108"/>
      <c r="HY107" s="108"/>
      <c r="HZ107" s="108"/>
      <c r="IA107" s="108"/>
      <c r="IB107" s="108"/>
      <c r="IC107" s="108"/>
      <c r="ID107" s="108"/>
      <c r="IE107" s="108"/>
      <c r="IF107" s="108"/>
      <c r="IG107" s="108"/>
      <c r="IH107" s="108"/>
      <c r="II107" s="108"/>
      <c r="IJ107" s="108"/>
      <c r="IK107" s="108"/>
      <c r="IL107" s="108"/>
      <c r="IM107" s="108"/>
      <c r="IN107" s="108"/>
      <c r="IO107" s="108"/>
      <c r="IP107" s="108"/>
      <c r="IQ107" s="108"/>
      <c r="IR107" s="108"/>
      <c r="IS107" s="108"/>
      <c r="IT107" s="108"/>
      <c r="IU107" s="108"/>
      <c r="IV107" s="108"/>
      <c r="IW107" s="108"/>
    </row>
    <row r="108" spans="1:257" x14ac:dyDescent="0.3">
      <c r="A108" s="158"/>
      <c r="B108" s="158"/>
      <c r="C108" s="158"/>
      <c r="D108" s="158"/>
      <c r="E108" s="158"/>
      <c r="F108" s="158"/>
      <c r="G108" s="158"/>
      <c r="H108" s="158"/>
      <c r="I108" s="176"/>
      <c r="J108" s="158"/>
      <c r="K108" s="158"/>
      <c r="L108" s="158"/>
      <c r="M108" s="158"/>
      <c r="N108" s="158"/>
      <c r="O108" s="108"/>
      <c r="P108" s="108"/>
      <c r="Q108" s="108"/>
      <c r="R108" s="108"/>
      <c r="S108" s="108"/>
      <c r="T108" s="108"/>
      <c r="U108" s="108"/>
      <c r="V108" s="108"/>
      <c r="W108" s="108"/>
      <c r="X108" s="108"/>
      <c r="Y108" s="108"/>
      <c r="Z108" s="108"/>
      <c r="AA108" s="108"/>
      <c r="AB108" s="108"/>
      <c r="AC108" s="108"/>
      <c r="AD108" s="108"/>
      <c r="AE108" s="108"/>
      <c r="AF108" s="108"/>
      <c r="AG108" s="108"/>
      <c r="AH108" s="108"/>
      <c r="AI108" s="108"/>
      <c r="AJ108" s="108"/>
      <c r="AK108" s="108"/>
      <c r="AL108" s="108"/>
      <c r="AM108" s="108"/>
      <c r="AN108" s="108"/>
      <c r="AO108" s="108"/>
      <c r="AP108" s="108"/>
      <c r="AQ108" s="108"/>
      <c r="AR108" s="108"/>
      <c r="AS108" s="108"/>
      <c r="AT108" s="108"/>
      <c r="AU108" s="108"/>
      <c r="AV108" s="108"/>
      <c r="AW108" s="108"/>
      <c r="AX108" s="108"/>
      <c r="AY108" s="108"/>
      <c r="AZ108" s="108"/>
      <c r="BA108" s="108"/>
      <c r="BB108" s="108"/>
      <c r="BC108" s="108"/>
      <c r="BD108" s="108"/>
      <c r="BE108" s="108"/>
      <c r="BF108" s="108"/>
      <c r="BG108" s="108"/>
      <c r="BH108" s="108"/>
      <c r="BI108" s="108"/>
      <c r="BJ108" s="108"/>
      <c r="BK108" s="108"/>
      <c r="BL108" s="108"/>
      <c r="BM108" s="108"/>
      <c r="BN108" s="108"/>
      <c r="BO108" s="108"/>
      <c r="BP108" s="108"/>
      <c r="BQ108" s="108"/>
      <c r="BR108" s="108"/>
      <c r="BS108" s="108"/>
      <c r="BT108" s="108"/>
      <c r="BU108" s="108"/>
      <c r="BV108" s="108"/>
      <c r="BW108" s="108"/>
      <c r="BX108" s="108"/>
      <c r="BY108" s="108"/>
      <c r="BZ108" s="108"/>
      <c r="CA108" s="108"/>
      <c r="CB108" s="108"/>
      <c r="CC108" s="108"/>
      <c r="CD108" s="108"/>
      <c r="CE108" s="108"/>
      <c r="CF108" s="108"/>
      <c r="CG108" s="108"/>
      <c r="CH108" s="108"/>
      <c r="CI108" s="108"/>
      <c r="CJ108" s="108"/>
      <c r="CK108" s="108"/>
      <c r="CL108" s="108"/>
      <c r="CM108" s="108"/>
      <c r="CN108" s="108"/>
      <c r="CO108" s="108"/>
      <c r="CP108" s="108"/>
      <c r="CQ108" s="108"/>
      <c r="CR108" s="108"/>
      <c r="CS108" s="108"/>
      <c r="CT108" s="108"/>
      <c r="CU108" s="108"/>
      <c r="CV108" s="108"/>
      <c r="CW108" s="108"/>
      <c r="CX108" s="108"/>
      <c r="CY108" s="108"/>
      <c r="CZ108" s="108"/>
      <c r="DA108" s="108"/>
      <c r="DB108" s="108"/>
      <c r="DC108" s="108"/>
      <c r="DD108" s="108"/>
      <c r="DE108" s="108"/>
      <c r="DF108" s="108"/>
      <c r="DG108" s="108"/>
      <c r="DH108" s="108"/>
      <c r="DI108" s="108"/>
      <c r="DJ108" s="108"/>
      <c r="DK108" s="108"/>
      <c r="DL108" s="108"/>
      <c r="DM108" s="108"/>
      <c r="DN108" s="108"/>
      <c r="DO108" s="108"/>
      <c r="DP108" s="108"/>
      <c r="DQ108" s="108"/>
      <c r="DR108" s="108"/>
      <c r="DS108" s="108"/>
      <c r="DT108" s="108"/>
      <c r="DU108" s="108"/>
      <c r="DV108" s="108"/>
      <c r="DW108" s="108"/>
      <c r="DX108" s="108"/>
      <c r="DY108" s="108"/>
      <c r="DZ108" s="108"/>
      <c r="EA108" s="108"/>
      <c r="EB108" s="108"/>
      <c r="EC108" s="108"/>
      <c r="ED108" s="108"/>
      <c r="EE108" s="108"/>
      <c r="EF108" s="108"/>
      <c r="EG108" s="108"/>
      <c r="EH108" s="108"/>
      <c r="EI108" s="108"/>
      <c r="EJ108" s="108"/>
      <c r="EK108" s="108"/>
      <c r="EL108" s="108"/>
      <c r="EM108" s="108"/>
      <c r="EN108" s="108"/>
      <c r="EO108" s="108"/>
      <c r="EP108" s="108"/>
      <c r="EQ108" s="108"/>
      <c r="ER108" s="108"/>
      <c r="ES108" s="108"/>
      <c r="ET108" s="108"/>
      <c r="EU108" s="108"/>
      <c r="EV108" s="108"/>
      <c r="EW108" s="108"/>
      <c r="EX108" s="108"/>
      <c r="EY108" s="108"/>
      <c r="EZ108" s="108"/>
      <c r="FA108" s="108"/>
      <c r="FB108" s="108"/>
      <c r="FC108" s="108"/>
      <c r="FD108" s="108"/>
      <c r="FE108" s="108"/>
      <c r="FF108" s="108"/>
      <c r="FG108" s="108"/>
      <c r="FH108" s="108"/>
      <c r="FI108" s="108"/>
      <c r="FJ108" s="108"/>
      <c r="FK108" s="108"/>
      <c r="FL108" s="108"/>
      <c r="FM108" s="108"/>
      <c r="FN108" s="108"/>
      <c r="FO108" s="108"/>
      <c r="FP108" s="108"/>
      <c r="FQ108" s="108"/>
      <c r="FR108" s="108"/>
      <c r="FS108" s="108"/>
      <c r="FT108" s="108"/>
      <c r="FU108" s="108"/>
      <c r="FV108" s="108"/>
      <c r="FW108" s="108"/>
      <c r="FX108" s="108"/>
      <c r="FY108" s="108"/>
      <c r="FZ108" s="108"/>
      <c r="GA108" s="108"/>
      <c r="GB108" s="108"/>
      <c r="GC108" s="108"/>
      <c r="GD108" s="108"/>
      <c r="GE108" s="108"/>
      <c r="GF108" s="108"/>
      <c r="GG108" s="108"/>
      <c r="GH108" s="108"/>
      <c r="GI108" s="108"/>
      <c r="GJ108" s="108"/>
      <c r="GK108" s="108"/>
      <c r="GL108" s="108"/>
      <c r="GM108" s="108"/>
      <c r="GN108" s="108"/>
      <c r="GO108" s="108"/>
      <c r="GP108" s="108"/>
      <c r="GQ108" s="108"/>
      <c r="GR108" s="108"/>
      <c r="GS108" s="108"/>
      <c r="GT108" s="108"/>
      <c r="GU108" s="108"/>
      <c r="GV108" s="108"/>
      <c r="GW108" s="108"/>
      <c r="GX108" s="108"/>
      <c r="GY108" s="108"/>
      <c r="GZ108" s="108"/>
      <c r="HA108" s="108"/>
      <c r="HB108" s="108"/>
      <c r="HC108" s="108"/>
      <c r="HD108" s="108"/>
      <c r="HE108" s="108"/>
      <c r="HF108" s="108"/>
      <c r="HG108" s="108"/>
      <c r="HH108" s="108"/>
      <c r="HI108" s="108"/>
      <c r="HJ108" s="108"/>
      <c r="HK108" s="108"/>
      <c r="HL108" s="108"/>
      <c r="HM108" s="108"/>
      <c r="HN108" s="108"/>
      <c r="HO108" s="108"/>
      <c r="HP108" s="108"/>
      <c r="HQ108" s="108"/>
      <c r="HR108" s="108"/>
      <c r="HS108" s="108"/>
      <c r="HT108" s="108"/>
      <c r="HU108" s="108"/>
      <c r="HV108" s="108"/>
      <c r="HW108" s="108"/>
      <c r="HX108" s="108"/>
      <c r="HY108" s="108"/>
      <c r="HZ108" s="108"/>
      <c r="IA108" s="108"/>
      <c r="IB108" s="108"/>
      <c r="IC108" s="108"/>
      <c r="ID108" s="108"/>
      <c r="IE108" s="108"/>
      <c r="IF108" s="108"/>
      <c r="IG108" s="108"/>
      <c r="IH108" s="108"/>
      <c r="II108" s="108"/>
      <c r="IJ108" s="108"/>
      <c r="IK108" s="108"/>
      <c r="IL108" s="108"/>
      <c r="IM108" s="108"/>
      <c r="IN108" s="108"/>
      <c r="IO108" s="108"/>
      <c r="IP108" s="108"/>
      <c r="IQ108" s="108"/>
      <c r="IR108" s="108"/>
      <c r="IS108" s="108"/>
      <c r="IT108" s="108"/>
      <c r="IU108" s="108"/>
      <c r="IV108" s="108"/>
      <c r="IW108" s="108"/>
    </row>
    <row r="109" spans="1:257" x14ac:dyDescent="0.3">
      <c r="A109" s="158"/>
      <c r="B109" s="158"/>
      <c r="C109" s="158"/>
      <c r="D109" s="158"/>
      <c r="E109" s="158"/>
      <c r="F109" s="158"/>
      <c r="G109" s="158"/>
      <c r="H109" s="158"/>
      <c r="I109" s="176"/>
      <c r="J109" s="158"/>
      <c r="K109" s="158"/>
      <c r="L109" s="158"/>
      <c r="M109" s="158"/>
      <c r="N109" s="158"/>
      <c r="O109" s="108"/>
      <c r="P109" s="108"/>
      <c r="Q109" s="108"/>
      <c r="R109" s="108"/>
      <c r="S109" s="108"/>
      <c r="T109" s="108"/>
      <c r="U109" s="108"/>
      <c r="V109" s="108"/>
      <c r="W109" s="108"/>
      <c r="X109" s="108"/>
      <c r="Y109" s="108"/>
      <c r="Z109" s="108"/>
      <c r="AA109" s="108"/>
      <c r="AB109" s="108"/>
      <c r="AC109" s="108"/>
      <c r="AD109" s="108"/>
      <c r="AE109" s="108"/>
      <c r="AF109" s="108"/>
      <c r="AG109" s="108"/>
      <c r="AH109" s="108"/>
      <c r="AI109" s="108"/>
      <c r="AJ109" s="108"/>
      <c r="AK109" s="108"/>
      <c r="AL109" s="108"/>
      <c r="AM109" s="108"/>
      <c r="AN109" s="108"/>
      <c r="AO109" s="108"/>
      <c r="AP109" s="108"/>
      <c r="AQ109" s="108"/>
      <c r="AR109" s="108"/>
      <c r="AS109" s="108"/>
      <c r="AT109" s="108"/>
      <c r="AU109" s="108"/>
      <c r="AV109" s="108"/>
      <c r="AW109" s="108"/>
      <c r="AX109" s="108"/>
      <c r="AY109" s="108"/>
      <c r="AZ109" s="108"/>
      <c r="BA109" s="108"/>
      <c r="BB109" s="108"/>
      <c r="BC109" s="108"/>
      <c r="BD109" s="108"/>
      <c r="BE109" s="108"/>
      <c r="BF109" s="108"/>
      <c r="BG109" s="108"/>
      <c r="BH109" s="108"/>
      <c r="BI109" s="108"/>
      <c r="BJ109" s="108"/>
      <c r="BK109" s="108"/>
      <c r="BL109" s="108"/>
      <c r="BM109" s="108"/>
      <c r="BN109" s="108"/>
      <c r="BO109" s="108"/>
      <c r="BP109" s="108"/>
      <c r="BQ109" s="108"/>
      <c r="BR109" s="108"/>
      <c r="BS109" s="108"/>
      <c r="BT109" s="108"/>
      <c r="BU109" s="108"/>
      <c r="BV109" s="108"/>
      <c r="BW109" s="108"/>
      <c r="BX109" s="108"/>
      <c r="BY109" s="108"/>
      <c r="BZ109" s="108"/>
      <c r="CA109" s="108"/>
      <c r="CB109" s="108"/>
      <c r="CC109" s="108"/>
      <c r="CD109" s="108"/>
      <c r="CE109" s="108"/>
      <c r="CF109" s="108"/>
      <c r="CG109" s="108"/>
      <c r="CH109" s="108"/>
      <c r="CI109" s="108"/>
      <c r="CJ109" s="108"/>
      <c r="CK109" s="108"/>
      <c r="CL109" s="108"/>
      <c r="CM109" s="108"/>
      <c r="CN109" s="108"/>
      <c r="CO109" s="108"/>
      <c r="CP109" s="108"/>
      <c r="CQ109" s="108"/>
      <c r="CR109" s="108"/>
      <c r="CS109" s="108"/>
      <c r="CT109" s="108"/>
      <c r="CU109" s="108"/>
      <c r="CV109" s="108"/>
      <c r="CW109" s="108"/>
      <c r="CX109" s="108"/>
      <c r="CY109" s="108"/>
      <c r="CZ109" s="108"/>
      <c r="DA109" s="108"/>
      <c r="DB109" s="108"/>
      <c r="DC109" s="108"/>
      <c r="DD109" s="108"/>
      <c r="DE109" s="108"/>
      <c r="DF109" s="108"/>
      <c r="DG109" s="108"/>
      <c r="DH109" s="108"/>
      <c r="DI109" s="108"/>
      <c r="DJ109" s="108"/>
      <c r="DK109" s="108"/>
      <c r="DL109" s="108"/>
      <c r="DM109" s="108"/>
      <c r="DN109" s="108"/>
      <c r="DO109" s="108"/>
      <c r="DP109" s="108"/>
      <c r="DQ109" s="108"/>
      <c r="DR109" s="108"/>
      <c r="DS109" s="108"/>
      <c r="DT109" s="108"/>
      <c r="DU109" s="108"/>
      <c r="DV109" s="108"/>
      <c r="DW109" s="108"/>
      <c r="DX109" s="108"/>
      <c r="DY109" s="108"/>
      <c r="DZ109" s="108"/>
      <c r="EA109" s="108"/>
      <c r="EB109" s="108"/>
      <c r="EC109" s="108"/>
      <c r="ED109" s="108"/>
      <c r="EE109" s="108"/>
      <c r="EF109" s="108"/>
      <c r="EG109" s="108"/>
      <c r="EH109" s="108"/>
      <c r="EI109" s="108"/>
      <c r="EJ109" s="108"/>
      <c r="EK109" s="108"/>
      <c r="EL109" s="108"/>
      <c r="EM109" s="108"/>
      <c r="EN109" s="108"/>
      <c r="EO109" s="108"/>
      <c r="EP109" s="108"/>
      <c r="EQ109" s="108"/>
      <c r="ER109" s="108"/>
      <c r="ES109" s="108"/>
      <c r="ET109" s="108"/>
      <c r="EU109" s="108"/>
      <c r="EV109" s="108"/>
      <c r="EW109" s="108"/>
      <c r="EX109" s="108"/>
      <c r="EY109" s="108"/>
      <c r="EZ109" s="108"/>
      <c r="FA109" s="108"/>
      <c r="FB109" s="108"/>
      <c r="FC109" s="108"/>
      <c r="FD109" s="108"/>
      <c r="FE109" s="108"/>
      <c r="FF109" s="108"/>
      <c r="FG109" s="108"/>
      <c r="FH109" s="108"/>
      <c r="FI109" s="108"/>
      <c r="FJ109" s="108"/>
      <c r="FK109" s="108"/>
      <c r="FL109" s="108"/>
      <c r="FM109" s="108"/>
      <c r="FN109" s="108"/>
      <c r="FO109" s="108"/>
      <c r="FP109" s="108"/>
      <c r="FQ109" s="108"/>
      <c r="FR109" s="108"/>
      <c r="FS109" s="108"/>
      <c r="FT109" s="108"/>
      <c r="FU109" s="108"/>
      <c r="FV109" s="108"/>
      <c r="FW109" s="108"/>
      <c r="FX109" s="108"/>
      <c r="FY109" s="108"/>
      <c r="FZ109" s="108"/>
      <c r="GA109" s="108"/>
      <c r="GB109" s="108"/>
      <c r="GC109" s="108"/>
      <c r="GD109" s="108"/>
      <c r="GE109" s="108"/>
      <c r="GF109" s="108"/>
      <c r="GG109" s="108"/>
      <c r="GH109" s="108"/>
      <c r="GI109" s="108"/>
      <c r="GJ109" s="108"/>
      <c r="GK109" s="108"/>
      <c r="GL109" s="108"/>
      <c r="GM109" s="108"/>
      <c r="GN109" s="108"/>
      <c r="GO109" s="108"/>
      <c r="GP109" s="108"/>
      <c r="GQ109" s="108"/>
      <c r="GR109" s="108"/>
      <c r="GS109" s="108"/>
      <c r="GT109" s="108"/>
      <c r="GU109" s="108"/>
      <c r="GV109" s="108"/>
      <c r="GW109" s="108"/>
      <c r="GX109" s="108"/>
      <c r="GY109" s="108"/>
      <c r="GZ109" s="108"/>
      <c r="HA109" s="108"/>
      <c r="HB109" s="108"/>
      <c r="HC109" s="108"/>
      <c r="HD109" s="108"/>
      <c r="HE109" s="108"/>
      <c r="HF109" s="108"/>
      <c r="HG109" s="108"/>
      <c r="HH109" s="108"/>
      <c r="HI109" s="108"/>
      <c r="HJ109" s="108"/>
      <c r="HK109" s="108"/>
      <c r="HL109" s="108"/>
      <c r="HM109" s="108"/>
      <c r="HN109" s="108"/>
      <c r="HO109" s="108"/>
      <c r="HP109" s="108"/>
      <c r="HQ109" s="108"/>
      <c r="HR109" s="108"/>
      <c r="HS109" s="108"/>
      <c r="HT109" s="108"/>
      <c r="HU109" s="108"/>
      <c r="HV109" s="108"/>
      <c r="HW109" s="108"/>
      <c r="HX109" s="108"/>
      <c r="HY109" s="108"/>
      <c r="HZ109" s="108"/>
      <c r="IA109" s="108"/>
      <c r="IB109" s="108"/>
      <c r="IC109" s="108"/>
      <c r="ID109" s="108"/>
      <c r="IE109" s="108"/>
      <c r="IF109" s="108"/>
      <c r="IG109" s="108"/>
      <c r="IH109" s="108"/>
      <c r="II109" s="108"/>
      <c r="IJ109" s="108"/>
      <c r="IK109" s="108"/>
      <c r="IL109" s="108"/>
      <c r="IM109" s="108"/>
      <c r="IN109" s="108"/>
      <c r="IO109" s="108"/>
      <c r="IP109" s="108"/>
      <c r="IQ109" s="108"/>
      <c r="IR109" s="108"/>
      <c r="IS109" s="108"/>
      <c r="IT109" s="108"/>
      <c r="IU109" s="108"/>
      <c r="IV109" s="108"/>
      <c r="IW109" s="108"/>
    </row>
    <row r="110" spans="1:257" x14ac:dyDescent="0.3">
      <c r="A110" s="158"/>
      <c r="B110" s="158"/>
      <c r="C110" s="158"/>
      <c r="D110" s="158"/>
      <c r="E110" s="158"/>
      <c r="F110" s="158"/>
      <c r="G110" s="158"/>
      <c r="H110" s="158"/>
      <c r="I110" s="176"/>
      <c r="J110" s="158"/>
      <c r="K110" s="158"/>
      <c r="L110" s="158"/>
      <c r="M110" s="158"/>
      <c r="N110" s="158"/>
      <c r="O110" s="108"/>
      <c r="P110" s="108"/>
      <c r="Q110" s="108"/>
      <c r="R110" s="108"/>
      <c r="S110" s="108"/>
      <c r="T110" s="108"/>
      <c r="U110" s="108"/>
      <c r="V110" s="108"/>
      <c r="W110" s="108"/>
      <c r="X110" s="108"/>
      <c r="Y110" s="108"/>
      <c r="Z110" s="108"/>
      <c r="AA110" s="108"/>
      <c r="AB110" s="108"/>
      <c r="AC110" s="108"/>
      <c r="AD110" s="108"/>
      <c r="AE110" s="108"/>
      <c r="AF110" s="108"/>
      <c r="AG110" s="108"/>
      <c r="AH110" s="108"/>
      <c r="AI110" s="108"/>
      <c r="AJ110" s="108"/>
      <c r="AK110" s="108"/>
      <c r="AL110" s="108"/>
      <c r="AM110" s="108"/>
      <c r="AN110" s="108"/>
      <c r="AO110" s="108"/>
      <c r="AP110" s="108"/>
      <c r="AQ110" s="108"/>
      <c r="AR110" s="108"/>
      <c r="AS110" s="108"/>
      <c r="AT110" s="108"/>
      <c r="AU110" s="108"/>
      <c r="AV110" s="108"/>
      <c r="AW110" s="108"/>
      <c r="AX110" s="108"/>
      <c r="AY110" s="108"/>
      <c r="AZ110" s="108"/>
      <c r="BA110" s="108"/>
      <c r="BB110" s="108"/>
      <c r="BC110" s="108"/>
      <c r="BD110" s="108"/>
      <c r="BE110" s="108"/>
      <c r="BF110" s="108"/>
      <c r="BG110" s="108"/>
      <c r="BH110" s="108"/>
      <c r="BI110" s="108"/>
      <c r="BJ110" s="108"/>
      <c r="BK110" s="108"/>
      <c r="BL110" s="108"/>
      <c r="BM110" s="108"/>
      <c r="BN110" s="108"/>
      <c r="BO110" s="108"/>
      <c r="BP110" s="108"/>
      <c r="BQ110" s="108"/>
      <c r="BR110" s="108"/>
      <c r="BS110" s="108"/>
      <c r="BT110" s="108"/>
      <c r="BU110" s="108"/>
      <c r="BV110" s="108"/>
      <c r="BW110" s="108"/>
      <c r="BX110" s="108"/>
      <c r="BY110" s="108"/>
      <c r="BZ110" s="108"/>
      <c r="CA110" s="108"/>
      <c r="CB110" s="108"/>
      <c r="CC110" s="108"/>
      <c r="CD110" s="108"/>
      <c r="CE110" s="108"/>
      <c r="CF110" s="108"/>
      <c r="CG110" s="108"/>
      <c r="CH110" s="108"/>
      <c r="CI110" s="108"/>
      <c r="CJ110" s="108"/>
      <c r="CK110" s="108"/>
      <c r="CL110" s="108"/>
      <c r="CM110" s="108"/>
      <c r="CN110" s="108"/>
      <c r="CO110" s="108"/>
      <c r="CP110" s="108"/>
      <c r="CQ110" s="108"/>
      <c r="CR110" s="108"/>
      <c r="CS110" s="108"/>
      <c r="CT110" s="108"/>
      <c r="CU110" s="108"/>
      <c r="CV110" s="108"/>
      <c r="CW110" s="108"/>
      <c r="CX110" s="108"/>
      <c r="CY110" s="108"/>
      <c r="CZ110" s="108"/>
      <c r="DA110" s="108"/>
      <c r="DB110" s="108"/>
      <c r="DC110" s="108"/>
      <c r="DD110" s="108"/>
      <c r="DE110" s="108"/>
      <c r="DF110" s="108"/>
      <c r="DG110" s="108"/>
      <c r="DH110" s="108"/>
      <c r="DI110" s="108"/>
      <c r="DJ110" s="108"/>
      <c r="DK110" s="108"/>
      <c r="DL110" s="108"/>
      <c r="DM110" s="108"/>
      <c r="DN110" s="108"/>
      <c r="DO110" s="108"/>
      <c r="DP110" s="108"/>
      <c r="DQ110" s="108"/>
      <c r="DR110" s="108"/>
      <c r="DS110" s="108"/>
      <c r="DT110" s="108"/>
      <c r="DU110" s="108"/>
      <c r="DV110" s="108"/>
      <c r="DW110" s="108"/>
      <c r="DX110" s="108"/>
      <c r="DY110" s="108"/>
      <c r="DZ110" s="108"/>
      <c r="EA110" s="108"/>
      <c r="EB110" s="108"/>
      <c r="EC110" s="108"/>
      <c r="ED110" s="108"/>
      <c r="EE110" s="108"/>
      <c r="EF110" s="108"/>
      <c r="EG110" s="108"/>
      <c r="EH110" s="108"/>
      <c r="EI110" s="108"/>
      <c r="EJ110" s="108"/>
      <c r="EK110" s="108"/>
      <c r="EL110" s="108"/>
      <c r="EM110" s="108"/>
      <c r="EN110" s="108"/>
      <c r="EO110" s="108"/>
      <c r="EP110" s="108"/>
      <c r="EQ110" s="108"/>
      <c r="ER110" s="108"/>
      <c r="ES110" s="108"/>
      <c r="ET110" s="108"/>
      <c r="EU110" s="108"/>
      <c r="EV110" s="108"/>
      <c r="EW110" s="108"/>
      <c r="EX110" s="108"/>
      <c r="EY110" s="108"/>
      <c r="EZ110" s="108"/>
      <c r="FA110" s="108"/>
      <c r="FB110" s="108"/>
      <c r="FC110" s="108"/>
      <c r="FD110" s="108"/>
      <c r="FE110" s="108"/>
      <c r="FF110" s="108"/>
      <c r="FG110" s="108"/>
      <c r="FH110" s="108"/>
      <c r="FI110" s="108"/>
      <c r="FJ110" s="108"/>
      <c r="FK110" s="108"/>
      <c r="FL110" s="108"/>
      <c r="FM110" s="108"/>
      <c r="FN110" s="108"/>
      <c r="FO110" s="108"/>
      <c r="FP110" s="108"/>
      <c r="FQ110" s="108"/>
      <c r="FR110" s="108"/>
      <c r="FS110" s="108"/>
      <c r="FT110" s="108"/>
      <c r="FU110" s="108"/>
      <c r="FV110" s="108"/>
      <c r="FW110" s="108"/>
      <c r="FX110" s="108"/>
      <c r="FY110" s="108"/>
      <c r="FZ110" s="108"/>
      <c r="GA110" s="108"/>
      <c r="GB110" s="108"/>
      <c r="GC110" s="108"/>
      <c r="GD110" s="108"/>
      <c r="GE110" s="108"/>
      <c r="GF110" s="108"/>
      <c r="GG110" s="108"/>
      <c r="GH110" s="108"/>
      <c r="GI110" s="108"/>
      <c r="GJ110" s="108"/>
      <c r="GK110" s="108"/>
      <c r="GL110" s="108"/>
      <c r="GM110" s="108"/>
      <c r="GN110" s="108"/>
      <c r="GO110" s="108"/>
      <c r="GP110" s="108"/>
      <c r="GQ110" s="108"/>
      <c r="GR110" s="108"/>
      <c r="GS110" s="108"/>
      <c r="GT110" s="108"/>
      <c r="GU110" s="108"/>
      <c r="GV110" s="108"/>
      <c r="GW110" s="108"/>
      <c r="GX110" s="108"/>
      <c r="GY110" s="108"/>
      <c r="GZ110" s="108"/>
      <c r="HA110" s="108"/>
      <c r="HB110" s="108"/>
      <c r="HC110" s="108"/>
      <c r="HD110" s="108"/>
      <c r="HE110" s="108"/>
      <c r="HF110" s="108"/>
      <c r="HG110" s="108"/>
      <c r="HH110" s="108"/>
      <c r="HI110" s="108"/>
      <c r="HJ110" s="108"/>
      <c r="HK110" s="108"/>
      <c r="HL110" s="108"/>
      <c r="HM110" s="108"/>
      <c r="HN110" s="108"/>
      <c r="HO110" s="108"/>
      <c r="HP110" s="108"/>
      <c r="HQ110" s="108"/>
      <c r="HR110" s="108"/>
      <c r="HS110" s="108"/>
      <c r="HT110" s="108"/>
      <c r="HU110" s="108"/>
      <c r="HV110" s="108"/>
      <c r="HW110" s="108"/>
      <c r="HX110" s="108"/>
      <c r="HY110" s="108"/>
      <c r="HZ110" s="108"/>
      <c r="IA110" s="108"/>
      <c r="IB110" s="108"/>
      <c r="IC110" s="108"/>
      <c r="ID110" s="108"/>
      <c r="IE110" s="108"/>
      <c r="IF110" s="108"/>
      <c r="IG110" s="108"/>
      <c r="IH110" s="108"/>
      <c r="II110" s="108"/>
      <c r="IJ110" s="108"/>
      <c r="IK110" s="108"/>
      <c r="IL110" s="108"/>
      <c r="IM110" s="108"/>
      <c r="IN110" s="108"/>
      <c r="IO110" s="108"/>
      <c r="IP110" s="108"/>
      <c r="IQ110" s="108"/>
      <c r="IR110" s="108"/>
      <c r="IS110" s="108"/>
      <c r="IT110" s="108"/>
      <c r="IU110" s="108"/>
      <c r="IV110" s="108"/>
      <c r="IW110" s="108"/>
    </row>
    <row r="111" spans="1:257" x14ac:dyDescent="0.3">
      <c r="A111" s="158"/>
      <c r="B111" s="158"/>
      <c r="C111" s="158"/>
      <c r="D111" s="158"/>
      <c r="E111" s="158"/>
      <c r="F111" s="158"/>
      <c r="G111" s="158"/>
      <c r="H111" s="158"/>
      <c r="I111" s="176"/>
      <c r="J111" s="158"/>
      <c r="K111" s="158"/>
      <c r="L111" s="158"/>
      <c r="M111" s="158"/>
      <c r="N111" s="158"/>
      <c r="O111" s="108"/>
      <c r="P111" s="108"/>
      <c r="Q111" s="108"/>
      <c r="R111" s="108"/>
      <c r="S111" s="108"/>
      <c r="T111" s="108"/>
      <c r="U111" s="108"/>
      <c r="V111" s="108"/>
      <c r="W111" s="108"/>
      <c r="X111" s="108"/>
      <c r="Y111" s="108"/>
      <c r="Z111" s="108"/>
      <c r="AA111" s="108"/>
      <c r="AB111" s="108"/>
      <c r="AC111" s="108"/>
      <c r="AD111" s="108"/>
      <c r="AE111" s="108"/>
      <c r="AF111" s="108"/>
      <c r="AG111" s="108"/>
      <c r="AH111" s="108"/>
      <c r="AI111" s="108"/>
      <c r="AJ111" s="108"/>
      <c r="AK111" s="108"/>
      <c r="AL111" s="108"/>
      <c r="AM111" s="108"/>
      <c r="AN111" s="108"/>
      <c r="AO111" s="108"/>
      <c r="AP111" s="108"/>
      <c r="AQ111" s="108"/>
      <c r="AR111" s="108"/>
      <c r="AS111" s="108"/>
      <c r="AT111" s="108"/>
      <c r="AU111" s="108"/>
      <c r="AV111" s="108"/>
      <c r="AW111" s="108"/>
      <c r="AX111" s="108"/>
      <c r="AY111" s="108"/>
      <c r="AZ111" s="108"/>
      <c r="BA111" s="108"/>
      <c r="BB111" s="108"/>
      <c r="BC111" s="108"/>
      <c r="BD111" s="108"/>
      <c r="BE111" s="108"/>
      <c r="BF111" s="108"/>
      <c r="BG111" s="108"/>
      <c r="BH111" s="108"/>
      <c r="BI111" s="108"/>
      <c r="BJ111" s="108"/>
      <c r="BK111" s="108"/>
      <c r="BL111" s="108"/>
      <c r="BM111" s="108"/>
      <c r="BN111" s="108"/>
      <c r="BO111" s="108"/>
      <c r="BP111" s="108"/>
      <c r="BQ111" s="108"/>
      <c r="BR111" s="108"/>
      <c r="BS111" s="108"/>
      <c r="BT111" s="108"/>
      <c r="BU111" s="108"/>
      <c r="BV111" s="108"/>
      <c r="BW111" s="108"/>
      <c r="BX111" s="108"/>
      <c r="BY111" s="108"/>
      <c r="BZ111" s="108"/>
      <c r="CA111" s="108"/>
      <c r="CB111" s="108"/>
      <c r="CC111" s="108"/>
      <c r="CD111" s="108"/>
      <c r="CE111" s="108"/>
      <c r="CF111" s="108"/>
      <c r="CG111" s="108"/>
      <c r="CH111" s="108"/>
      <c r="CI111" s="108"/>
      <c r="CJ111" s="108"/>
      <c r="CK111" s="108"/>
      <c r="CL111" s="108"/>
      <c r="CM111" s="108"/>
      <c r="CN111" s="108"/>
      <c r="CO111" s="108"/>
      <c r="CP111" s="108"/>
      <c r="CQ111" s="108"/>
      <c r="CR111" s="108"/>
      <c r="CS111" s="108"/>
      <c r="CT111" s="108"/>
      <c r="CU111" s="108"/>
      <c r="CV111" s="108"/>
      <c r="CW111" s="108"/>
      <c r="CX111" s="108"/>
      <c r="CY111" s="108"/>
      <c r="CZ111" s="108"/>
      <c r="DA111" s="108"/>
      <c r="DB111" s="108"/>
      <c r="DC111" s="108"/>
      <c r="DD111" s="108"/>
      <c r="DE111" s="108"/>
      <c r="DF111" s="108"/>
      <c r="DG111" s="108"/>
      <c r="DH111" s="108"/>
      <c r="DI111" s="108"/>
      <c r="DJ111" s="108"/>
      <c r="DK111" s="108"/>
      <c r="DL111" s="108"/>
      <c r="DM111" s="108"/>
      <c r="DN111" s="108"/>
      <c r="DO111" s="108"/>
      <c r="DP111" s="108"/>
      <c r="DQ111" s="108"/>
      <c r="DR111" s="108"/>
      <c r="DS111" s="108"/>
      <c r="DT111" s="108"/>
      <c r="DU111" s="108"/>
      <c r="DV111" s="108"/>
      <c r="DW111" s="108"/>
      <c r="DX111" s="108"/>
      <c r="DY111" s="108"/>
      <c r="DZ111" s="108"/>
      <c r="EA111" s="108"/>
      <c r="EB111" s="108"/>
      <c r="EC111" s="108"/>
      <c r="ED111" s="108"/>
      <c r="EE111" s="108"/>
      <c r="EF111" s="108"/>
      <c r="EG111" s="108"/>
      <c r="EH111" s="108"/>
      <c r="EI111" s="108"/>
      <c r="EJ111" s="108"/>
      <c r="EK111" s="108"/>
      <c r="EL111" s="108"/>
      <c r="EM111" s="108"/>
      <c r="EN111" s="108"/>
      <c r="EO111" s="108"/>
      <c r="EP111" s="108"/>
      <c r="EQ111" s="108"/>
      <c r="ER111" s="108"/>
      <c r="ES111" s="108"/>
      <c r="ET111" s="108"/>
      <c r="EU111" s="108"/>
      <c r="EV111" s="108"/>
      <c r="EW111" s="108"/>
      <c r="EX111" s="108"/>
      <c r="EY111" s="108"/>
      <c r="EZ111" s="108"/>
      <c r="FA111" s="108"/>
      <c r="FB111" s="108"/>
      <c r="FC111" s="108"/>
      <c r="FD111" s="108"/>
      <c r="FE111" s="108"/>
      <c r="FF111" s="108"/>
      <c r="FG111" s="108"/>
      <c r="FH111" s="108"/>
      <c r="FI111" s="108"/>
      <c r="FJ111" s="108"/>
      <c r="FK111" s="108"/>
      <c r="FL111" s="108"/>
      <c r="FM111" s="108"/>
      <c r="FN111" s="108"/>
      <c r="FO111" s="108"/>
      <c r="FP111" s="108"/>
      <c r="FQ111" s="108"/>
      <c r="FR111" s="108"/>
      <c r="FS111" s="108"/>
      <c r="FT111" s="108"/>
      <c r="FU111" s="108"/>
      <c r="FV111" s="108"/>
      <c r="FW111" s="108"/>
      <c r="FX111" s="108"/>
      <c r="FY111" s="108"/>
      <c r="FZ111" s="108"/>
      <c r="GA111" s="108"/>
      <c r="GB111" s="108"/>
      <c r="GC111" s="108"/>
      <c r="GD111" s="108"/>
      <c r="GE111" s="108"/>
      <c r="GF111" s="108"/>
      <c r="GG111" s="108"/>
      <c r="GH111" s="108"/>
      <c r="GI111" s="108"/>
      <c r="GJ111" s="108"/>
      <c r="GK111" s="108"/>
      <c r="GL111" s="108"/>
      <c r="GM111" s="108"/>
      <c r="GN111" s="108"/>
      <c r="GO111" s="108"/>
      <c r="GP111" s="108"/>
      <c r="GQ111" s="108"/>
      <c r="GR111" s="108"/>
      <c r="GS111" s="108"/>
      <c r="GT111" s="108"/>
      <c r="GU111" s="108"/>
      <c r="GV111" s="108"/>
      <c r="GW111" s="108"/>
      <c r="GX111" s="108"/>
      <c r="GY111" s="108"/>
      <c r="GZ111" s="108"/>
      <c r="HA111" s="108"/>
      <c r="HB111" s="108"/>
      <c r="HC111" s="108"/>
      <c r="HD111" s="108"/>
      <c r="HE111" s="108"/>
      <c r="HF111" s="108"/>
      <c r="HG111" s="108"/>
      <c r="HH111" s="108"/>
      <c r="HI111" s="108"/>
      <c r="HJ111" s="108"/>
      <c r="HK111" s="108"/>
      <c r="HL111" s="108"/>
      <c r="HM111" s="108"/>
      <c r="HN111" s="108"/>
      <c r="HO111" s="108"/>
      <c r="HP111" s="108"/>
      <c r="HQ111" s="108"/>
      <c r="HR111" s="108"/>
      <c r="HS111" s="108"/>
      <c r="HT111" s="108"/>
      <c r="HU111" s="108"/>
      <c r="HV111" s="108"/>
      <c r="HW111" s="108"/>
      <c r="HX111" s="108"/>
      <c r="HY111" s="108"/>
      <c r="HZ111" s="108"/>
      <c r="IA111" s="108"/>
      <c r="IB111" s="108"/>
      <c r="IC111" s="108"/>
      <c r="ID111" s="108"/>
      <c r="IE111" s="108"/>
      <c r="IF111" s="108"/>
      <c r="IG111" s="108"/>
      <c r="IH111" s="108"/>
      <c r="II111" s="108"/>
      <c r="IJ111" s="108"/>
      <c r="IK111" s="108"/>
      <c r="IL111" s="108"/>
      <c r="IM111" s="108"/>
      <c r="IN111" s="108"/>
      <c r="IO111" s="108"/>
      <c r="IP111" s="108"/>
      <c r="IQ111" s="108"/>
      <c r="IR111" s="108"/>
      <c r="IS111" s="108"/>
      <c r="IT111" s="108"/>
      <c r="IU111" s="108"/>
      <c r="IV111" s="108"/>
      <c r="IW111" s="108"/>
    </row>
    <row r="112" spans="1:257" x14ac:dyDescent="0.3">
      <c r="A112" s="158"/>
      <c r="B112" s="158"/>
      <c r="C112" s="158"/>
      <c r="D112" s="158"/>
      <c r="E112" s="158"/>
      <c r="F112" s="158"/>
      <c r="G112" s="158"/>
      <c r="H112" s="158"/>
      <c r="I112" s="176"/>
      <c r="J112" s="158"/>
      <c r="K112" s="158"/>
      <c r="L112" s="158"/>
      <c r="M112" s="158"/>
      <c r="N112" s="158"/>
      <c r="O112" s="108"/>
      <c r="P112" s="108"/>
      <c r="Q112" s="108"/>
      <c r="R112" s="108"/>
      <c r="S112" s="108"/>
      <c r="T112" s="108"/>
      <c r="U112" s="108"/>
      <c r="V112" s="108"/>
      <c r="W112" s="108"/>
      <c r="X112" s="108"/>
      <c r="Y112" s="108"/>
      <c r="Z112" s="108"/>
      <c r="AA112" s="108"/>
      <c r="AB112" s="108"/>
      <c r="AC112" s="108"/>
      <c r="AD112" s="108"/>
      <c r="AE112" s="108"/>
      <c r="AF112" s="108"/>
      <c r="AG112" s="108"/>
      <c r="AH112" s="108"/>
      <c r="AI112" s="108"/>
      <c r="AJ112" s="108"/>
      <c r="AK112" s="108"/>
      <c r="AL112" s="108"/>
      <c r="AM112" s="108"/>
      <c r="AN112" s="108"/>
      <c r="AO112" s="108"/>
      <c r="AP112" s="108"/>
      <c r="AQ112" s="108"/>
      <c r="AR112" s="108"/>
      <c r="AS112" s="108"/>
      <c r="AT112" s="108"/>
      <c r="AU112" s="108"/>
      <c r="AV112" s="108"/>
      <c r="AW112" s="108"/>
      <c r="AX112" s="108"/>
      <c r="AY112" s="108"/>
      <c r="AZ112" s="108"/>
      <c r="BA112" s="108"/>
      <c r="BB112" s="108"/>
      <c r="BC112" s="108"/>
      <c r="BD112" s="108"/>
      <c r="BE112" s="108"/>
      <c r="BF112" s="108"/>
      <c r="BG112" s="108"/>
      <c r="BH112" s="108"/>
      <c r="BI112" s="108"/>
      <c r="BJ112" s="108"/>
      <c r="BK112" s="108"/>
      <c r="BL112" s="108"/>
      <c r="BM112" s="108"/>
      <c r="BN112" s="108"/>
      <c r="BO112" s="108"/>
      <c r="BP112" s="108"/>
      <c r="BQ112" s="108"/>
      <c r="BR112" s="108"/>
      <c r="BS112" s="108"/>
      <c r="BT112" s="108"/>
      <c r="BU112" s="108"/>
      <c r="BV112" s="108"/>
      <c r="BW112" s="108"/>
      <c r="BX112" s="108"/>
      <c r="BY112" s="108"/>
      <c r="BZ112" s="108"/>
      <c r="CA112" s="108"/>
      <c r="CB112" s="108"/>
      <c r="CC112" s="108"/>
      <c r="CD112" s="108"/>
      <c r="CE112" s="108"/>
      <c r="CF112" s="108"/>
      <c r="CG112" s="108"/>
      <c r="CH112" s="108"/>
      <c r="CI112" s="108"/>
      <c r="CJ112" s="108"/>
      <c r="CK112" s="108"/>
      <c r="CL112" s="108"/>
      <c r="CM112" s="108"/>
      <c r="CN112" s="108"/>
      <c r="CO112" s="108"/>
      <c r="CP112" s="108"/>
      <c r="CQ112" s="108"/>
      <c r="CR112" s="108"/>
      <c r="CS112" s="108"/>
      <c r="CT112" s="108"/>
      <c r="CU112" s="108"/>
      <c r="CV112" s="108"/>
      <c r="CW112" s="108"/>
      <c r="CX112" s="108"/>
      <c r="CY112" s="108"/>
      <c r="CZ112" s="108"/>
      <c r="DA112" s="108"/>
      <c r="DB112" s="108"/>
      <c r="DC112" s="108"/>
      <c r="DD112" s="108"/>
      <c r="DE112" s="108"/>
      <c r="DF112" s="108"/>
      <c r="DG112" s="108"/>
      <c r="DH112" s="108"/>
      <c r="DI112" s="108"/>
      <c r="DJ112" s="108"/>
      <c r="DK112" s="108"/>
      <c r="DL112" s="108"/>
      <c r="DM112" s="108"/>
      <c r="DN112" s="108"/>
      <c r="DO112" s="108"/>
      <c r="DP112" s="108"/>
      <c r="DQ112" s="108"/>
      <c r="DR112" s="108"/>
      <c r="DS112" s="108"/>
      <c r="DT112" s="108"/>
      <c r="DU112" s="108"/>
      <c r="DV112" s="108"/>
      <c r="DW112" s="108"/>
      <c r="DX112" s="108"/>
      <c r="DY112" s="108"/>
      <c r="DZ112" s="108"/>
      <c r="EA112" s="108"/>
      <c r="EB112" s="108"/>
      <c r="EC112" s="108"/>
      <c r="ED112" s="108"/>
      <c r="EE112" s="108"/>
      <c r="EF112" s="108"/>
      <c r="EG112" s="108"/>
      <c r="EH112" s="108"/>
      <c r="EI112" s="108"/>
      <c r="EJ112" s="108"/>
      <c r="EK112" s="108"/>
      <c r="EL112" s="108"/>
      <c r="EM112" s="108"/>
      <c r="EN112" s="108"/>
      <c r="EO112" s="108"/>
      <c r="EP112" s="108"/>
      <c r="EQ112" s="108"/>
      <c r="ER112" s="108"/>
      <c r="ES112" s="108"/>
      <c r="ET112" s="108"/>
      <c r="EU112" s="108"/>
      <c r="EV112" s="108"/>
      <c r="EW112" s="108"/>
      <c r="EX112" s="108"/>
      <c r="EY112" s="108"/>
      <c r="EZ112" s="108"/>
      <c r="FA112" s="108"/>
      <c r="FB112" s="108"/>
      <c r="FC112" s="108"/>
      <c r="FD112" s="108"/>
      <c r="FE112" s="108"/>
      <c r="FF112" s="108"/>
      <c r="FG112" s="108"/>
      <c r="FH112" s="108"/>
      <c r="FI112" s="108"/>
      <c r="FJ112" s="108"/>
      <c r="FK112" s="108"/>
      <c r="FL112" s="108"/>
      <c r="FM112" s="108"/>
      <c r="FN112" s="108"/>
      <c r="FO112" s="108"/>
      <c r="FP112" s="108"/>
      <c r="FQ112" s="108"/>
      <c r="FR112" s="108"/>
      <c r="FS112" s="108"/>
      <c r="FT112" s="108"/>
      <c r="FU112" s="108"/>
      <c r="FV112" s="108"/>
      <c r="FW112" s="108"/>
      <c r="FX112" s="108"/>
      <c r="FY112" s="108"/>
      <c r="FZ112" s="108"/>
      <c r="GA112" s="108"/>
      <c r="GB112" s="108"/>
      <c r="GC112" s="108"/>
      <c r="GD112" s="108"/>
      <c r="GE112" s="108"/>
      <c r="GF112" s="108"/>
      <c r="GG112" s="108"/>
      <c r="GH112" s="108"/>
      <c r="GI112" s="108"/>
      <c r="GJ112" s="108"/>
      <c r="GK112" s="108"/>
      <c r="GL112" s="108"/>
      <c r="GM112" s="108"/>
      <c r="GN112" s="108"/>
      <c r="GO112" s="108"/>
      <c r="GP112" s="108"/>
      <c r="GQ112" s="108"/>
      <c r="GR112" s="108"/>
      <c r="GS112" s="108"/>
      <c r="GT112" s="108"/>
      <c r="GU112" s="108"/>
      <c r="GV112" s="108"/>
      <c r="GW112" s="108"/>
      <c r="GX112" s="108"/>
      <c r="GY112" s="108"/>
      <c r="GZ112" s="108"/>
      <c r="HA112" s="108"/>
      <c r="HB112" s="108"/>
      <c r="HC112" s="108"/>
      <c r="HD112" s="108"/>
      <c r="HE112" s="108"/>
      <c r="HF112" s="108"/>
      <c r="HG112" s="108"/>
      <c r="HH112" s="108"/>
      <c r="HI112" s="108"/>
      <c r="HJ112" s="108"/>
      <c r="HK112" s="108"/>
      <c r="HL112" s="108"/>
      <c r="HM112" s="108"/>
      <c r="HN112" s="108"/>
      <c r="HO112" s="108"/>
      <c r="HP112" s="108"/>
      <c r="HQ112" s="108"/>
      <c r="HR112" s="108"/>
      <c r="HS112" s="108"/>
      <c r="HT112" s="108"/>
      <c r="HU112" s="108"/>
      <c r="HV112" s="108"/>
      <c r="HW112" s="108"/>
      <c r="HX112" s="108"/>
      <c r="HY112" s="108"/>
      <c r="HZ112" s="108"/>
      <c r="IA112" s="108"/>
      <c r="IB112" s="108"/>
      <c r="IC112" s="108"/>
      <c r="ID112" s="108"/>
      <c r="IE112" s="108"/>
      <c r="IF112" s="108"/>
      <c r="IG112" s="108"/>
      <c r="IH112" s="108"/>
      <c r="II112" s="108"/>
      <c r="IJ112" s="108"/>
      <c r="IK112" s="108"/>
      <c r="IL112" s="108"/>
      <c r="IM112" s="108"/>
      <c r="IN112" s="108"/>
      <c r="IO112" s="108"/>
      <c r="IP112" s="108"/>
      <c r="IQ112" s="108"/>
      <c r="IR112" s="108"/>
      <c r="IS112" s="108"/>
      <c r="IT112" s="108"/>
      <c r="IU112" s="108"/>
      <c r="IV112" s="108"/>
      <c r="IW112" s="108"/>
    </row>
    <row r="113" spans="1:257" x14ac:dyDescent="0.3">
      <c r="A113" s="158"/>
      <c r="B113" s="158"/>
      <c r="C113" s="158"/>
      <c r="D113" s="158"/>
      <c r="E113" s="158"/>
      <c r="F113" s="158"/>
      <c r="G113" s="158"/>
      <c r="H113" s="158"/>
      <c r="I113" s="176"/>
      <c r="J113" s="158"/>
      <c r="K113" s="158"/>
      <c r="L113" s="158"/>
      <c r="M113" s="158"/>
      <c r="N113" s="158"/>
      <c r="O113" s="108"/>
      <c r="P113" s="108"/>
      <c r="Q113" s="108"/>
      <c r="R113" s="108"/>
      <c r="S113" s="108"/>
      <c r="T113" s="108"/>
      <c r="U113" s="108"/>
      <c r="V113" s="108"/>
      <c r="W113" s="108"/>
      <c r="X113" s="108"/>
      <c r="Y113" s="108"/>
      <c r="Z113" s="108"/>
      <c r="AA113" s="108"/>
      <c r="AB113" s="108"/>
      <c r="AC113" s="108"/>
      <c r="AD113" s="108"/>
      <c r="AE113" s="108"/>
      <c r="AF113" s="108"/>
      <c r="AG113" s="108"/>
      <c r="AH113" s="108"/>
      <c r="AI113" s="108"/>
      <c r="AJ113" s="108"/>
      <c r="AK113" s="108"/>
      <c r="AL113" s="108"/>
      <c r="AM113" s="108"/>
      <c r="AN113" s="108"/>
      <c r="AO113" s="108"/>
      <c r="AP113" s="108"/>
      <c r="AQ113" s="108"/>
      <c r="AR113" s="108"/>
      <c r="AS113" s="108"/>
      <c r="AT113" s="108"/>
      <c r="AU113" s="108"/>
      <c r="AV113" s="108"/>
      <c r="AW113" s="108"/>
      <c r="AX113" s="108"/>
      <c r="AY113" s="108"/>
      <c r="AZ113" s="108"/>
      <c r="BA113" s="108"/>
      <c r="BB113" s="108"/>
      <c r="BC113" s="108"/>
      <c r="BD113" s="108"/>
      <c r="BE113" s="108"/>
      <c r="BF113" s="108"/>
      <c r="BG113" s="108"/>
      <c r="BH113" s="108"/>
      <c r="BI113" s="108"/>
      <c r="BJ113" s="108"/>
      <c r="BK113" s="108"/>
      <c r="BL113" s="108"/>
      <c r="BM113" s="108"/>
      <c r="BN113" s="108"/>
      <c r="BO113" s="108"/>
      <c r="BP113" s="108"/>
      <c r="BQ113" s="108"/>
      <c r="BR113" s="108"/>
      <c r="BS113" s="108"/>
      <c r="BT113" s="108"/>
      <c r="BU113" s="108"/>
      <c r="BV113" s="108"/>
      <c r="BW113" s="108"/>
      <c r="BX113" s="108"/>
      <c r="BY113" s="108"/>
      <c r="BZ113" s="108"/>
      <c r="CA113" s="108"/>
      <c r="CB113" s="108"/>
      <c r="CC113" s="108"/>
      <c r="CD113" s="108"/>
      <c r="CE113" s="108"/>
      <c r="CF113" s="108"/>
      <c r="CG113" s="108"/>
      <c r="CH113" s="108"/>
      <c r="CI113" s="108"/>
      <c r="CJ113" s="108"/>
      <c r="CK113" s="108"/>
      <c r="CL113" s="108"/>
      <c r="CM113" s="108"/>
      <c r="CN113" s="108"/>
      <c r="CO113" s="108"/>
      <c r="CP113" s="108"/>
      <c r="CQ113" s="108"/>
      <c r="CR113" s="108"/>
      <c r="CS113" s="108"/>
      <c r="CT113" s="108"/>
      <c r="CU113" s="108"/>
      <c r="CV113" s="108"/>
      <c r="CW113" s="108"/>
      <c r="CX113" s="108"/>
      <c r="CY113" s="108"/>
      <c r="CZ113" s="108"/>
      <c r="DA113" s="108"/>
      <c r="DB113" s="108"/>
      <c r="DC113" s="108"/>
      <c r="DD113" s="108"/>
      <c r="DE113" s="108"/>
      <c r="DF113" s="108"/>
      <c r="DG113" s="108"/>
      <c r="DH113" s="108"/>
      <c r="DI113" s="108"/>
      <c r="DJ113" s="108"/>
      <c r="DK113" s="108"/>
      <c r="DL113" s="108"/>
      <c r="DM113" s="108"/>
      <c r="DN113" s="108"/>
      <c r="DO113" s="108"/>
      <c r="DP113" s="108"/>
      <c r="DQ113" s="108"/>
      <c r="DR113" s="108"/>
      <c r="DS113" s="108"/>
      <c r="DT113" s="108"/>
      <c r="DU113" s="108"/>
      <c r="DV113" s="108"/>
      <c r="DW113" s="108"/>
      <c r="DX113" s="108"/>
      <c r="DY113" s="108"/>
      <c r="DZ113" s="108"/>
      <c r="EA113" s="108"/>
      <c r="EB113" s="108"/>
      <c r="EC113" s="108"/>
      <c r="ED113" s="108"/>
      <c r="EE113" s="108"/>
      <c r="EF113" s="108"/>
      <c r="EG113" s="108"/>
      <c r="EH113" s="108"/>
      <c r="EI113" s="108"/>
      <c r="EJ113" s="108"/>
      <c r="EK113" s="108"/>
      <c r="EL113" s="108"/>
      <c r="EM113" s="108"/>
      <c r="EN113" s="108"/>
      <c r="EO113" s="108"/>
      <c r="EP113" s="108"/>
      <c r="EQ113" s="108"/>
      <c r="ER113" s="108"/>
      <c r="ES113" s="108"/>
      <c r="ET113" s="108"/>
      <c r="EU113" s="108"/>
      <c r="EV113" s="108"/>
      <c r="EW113" s="108"/>
      <c r="EX113" s="108"/>
      <c r="EY113" s="108"/>
      <c r="EZ113" s="108"/>
      <c r="FA113" s="108"/>
      <c r="FB113" s="108"/>
      <c r="FC113" s="108"/>
      <c r="FD113" s="108"/>
      <c r="FE113" s="108"/>
      <c r="FF113" s="108"/>
      <c r="FG113" s="108"/>
      <c r="FH113" s="108"/>
      <c r="FI113" s="108"/>
      <c r="FJ113" s="108"/>
      <c r="FK113" s="108"/>
      <c r="FL113" s="108"/>
      <c r="FM113" s="108"/>
      <c r="FN113" s="108"/>
      <c r="FO113" s="108"/>
      <c r="FP113" s="108"/>
      <c r="FQ113" s="108"/>
      <c r="FR113" s="108"/>
      <c r="FS113" s="108"/>
      <c r="FT113" s="108"/>
      <c r="FU113" s="108"/>
      <c r="FV113" s="108"/>
      <c r="FW113" s="108"/>
      <c r="FX113" s="108"/>
      <c r="FY113" s="108"/>
      <c r="FZ113" s="108"/>
      <c r="GA113" s="108"/>
      <c r="GB113" s="108"/>
      <c r="GC113" s="108"/>
      <c r="GD113" s="108"/>
      <c r="GE113" s="108"/>
      <c r="GF113" s="108"/>
      <c r="GG113" s="108"/>
      <c r="GH113" s="108"/>
      <c r="GI113" s="108"/>
      <c r="GJ113" s="108"/>
      <c r="GK113" s="108"/>
      <c r="GL113" s="108"/>
      <c r="GM113" s="108"/>
      <c r="GN113" s="108"/>
      <c r="GO113" s="108"/>
      <c r="GP113" s="108"/>
      <c r="GQ113" s="108"/>
      <c r="GR113" s="108"/>
      <c r="GS113" s="108"/>
      <c r="GT113" s="108"/>
      <c r="GU113" s="108"/>
      <c r="GV113" s="108"/>
      <c r="GW113" s="108"/>
      <c r="GX113" s="108"/>
      <c r="GY113" s="108"/>
      <c r="GZ113" s="108"/>
      <c r="HA113" s="108"/>
      <c r="HB113" s="108"/>
      <c r="HC113" s="108"/>
      <c r="HD113" s="108"/>
      <c r="HE113" s="108"/>
      <c r="HF113" s="108"/>
      <c r="HG113" s="108"/>
      <c r="HH113" s="108"/>
      <c r="HI113" s="108"/>
      <c r="HJ113" s="108"/>
      <c r="HK113" s="108"/>
      <c r="HL113" s="108"/>
      <c r="HM113" s="108"/>
      <c r="HN113" s="108"/>
      <c r="HO113" s="108"/>
      <c r="HP113" s="108"/>
      <c r="HQ113" s="108"/>
      <c r="HR113" s="108"/>
      <c r="HS113" s="108"/>
      <c r="HT113" s="108"/>
      <c r="HU113" s="108"/>
      <c r="HV113" s="108"/>
      <c r="HW113" s="108"/>
      <c r="HX113" s="108"/>
      <c r="HY113" s="108"/>
      <c r="HZ113" s="108"/>
      <c r="IA113" s="108"/>
      <c r="IB113" s="108"/>
      <c r="IC113" s="108"/>
      <c r="ID113" s="108"/>
      <c r="IE113" s="108"/>
      <c r="IF113" s="108"/>
      <c r="IG113" s="108"/>
      <c r="IH113" s="108"/>
      <c r="II113" s="108"/>
      <c r="IJ113" s="108"/>
      <c r="IK113" s="108"/>
      <c r="IL113" s="108"/>
      <c r="IM113" s="108"/>
      <c r="IN113" s="108"/>
      <c r="IO113" s="108"/>
      <c r="IP113" s="108"/>
      <c r="IQ113" s="108"/>
      <c r="IR113" s="108"/>
      <c r="IS113" s="108"/>
      <c r="IT113" s="108"/>
      <c r="IU113" s="108"/>
      <c r="IV113" s="108"/>
      <c r="IW113" s="108"/>
    </row>
    <row r="114" spans="1:257" x14ac:dyDescent="0.3">
      <c r="A114" s="158"/>
      <c r="B114" s="158"/>
      <c r="C114" s="158"/>
      <c r="D114" s="158"/>
      <c r="E114" s="158"/>
      <c r="F114" s="158"/>
      <c r="G114" s="158"/>
      <c r="H114" s="158"/>
      <c r="I114" s="176"/>
      <c r="J114" s="158"/>
      <c r="K114" s="158"/>
      <c r="L114" s="158"/>
      <c r="M114" s="158"/>
      <c r="N114" s="158"/>
      <c r="O114" s="108"/>
      <c r="P114" s="108"/>
      <c r="Q114" s="108"/>
      <c r="R114" s="108"/>
      <c r="S114" s="108"/>
      <c r="T114" s="108"/>
      <c r="U114" s="108"/>
      <c r="V114" s="108"/>
      <c r="W114" s="108"/>
      <c r="X114" s="108"/>
      <c r="Y114" s="108"/>
      <c r="Z114" s="108"/>
      <c r="AA114" s="108"/>
      <c r="AB114" s="108"/>
      <c r="AC114" s="108"/>
      <c r="AD114" s="108"/>
      <c r="AE114" s="108"/>
      <c r="AF114" s="108"/>
      <c r="AG114" s="108"/>
      <c r="AH114" s="108"/>
      <c r="AI114" s="108"/>
      <c r="AJ114" s="108"/>
      <c r="AK114" s="108"/>
      <c r="AL114" s="108"/>
      <c r="AM114" s="108"/>
      <c r="AN114" s="108"/>
      <c r="AO114" s="108"/>
      <c r="AP114" s="108"/>
      <c r="AQ114" s="108"/>
      <c r="AR114" s="108"/>
      <c r="AS114" s="108"/>
      <c r="AT114" s="108"/>
      <c r="AU114" s="108"/>
      <c r="AV114" s="108"/>
      <c r="AW114" s="108"/>
      <c r="AX114" s="108"/>
      <c r="AY114" s="108"/>
      <c r="AZ114" s="108"/>
      <c r="BA114" s="108"/>
      <c r="BB114" s="108"/>
      <c r="BC114" s="108"/>
      <c r="BD114" s="108"/>
      <c r="BE114" s="108"/>
      <c r="BF114" s="108"/>
      <c r="BG114" s="108"/>
      <c r="BH114" s="108"/>
      <c r="BI114" s="108"/>
      <c r="BJ114" s="108"/>
      <c r="BK114" s="108"/>
      <c r="BL114" s="108"/>
      <c r="BM114" s="108"/>
      <c r="BN114" s="108"/>
      <c r="BO114" s="108"/>
      <c r="BP114" s="108"/>
      <c r="BQ114" s="108"/>
      <c r="BR114" s="108"/>
      <c r="BS114" s="108"/>
      <c r="BT114" s="108"/>
      <c r="BU114" s="108"/>
      <c r="BV114" s="108"/>
      <c r="BW114" s="108"/>
      <c r="BX114" s="108"/>
      <c r="BY114" s="108"/>
      <c r="BZ114" s="108"/>
      <c r="CA114" s="108"/>
      <c r="CB114" s="108"/>
      <c r="CC114" s="108"/>
      <c r="CD114" s="108"/>
      <c r="CE114" s="108"/>
      <c r="CF114" s="108"/>
      <c r="CG114" s="108"/>
      <c r="CH114" s="108"/>
      <c r="CI114" s="108"/>
      <c r="CJ114" s="108"/>
      <c r="CK114" s="108"/>
      <c r="CL114" s="108"/>
      <c r="CM114" s="108"/>
      <c r="CN114" s="108"/>
      <c r="CO114" s="108"/>
      <c r="CP114" s="108"/>
      <c r="CQ114" s="108"/>
      <c r="CR114" s="108"/>
      <c r="CS114" s="108"/>
      <c r="CT114" s="108"/>
      <c r="CU114" s="108"/>
      <c r="CV114" s="108"/>
      <c r="CW114" s="108"/>
      <c r="CX114" s="108"/>
      <c r="CY114" s="108"/>
      <c r="CZ114" s="108"/>
      <c r="DA114" s="108"/>
      <c r="DB114" s="108"/>
      <c r="DC114" s="108"/>
      <c r="DD114" s="108"/>
      <c r="DE114" s="108"/>
      <c r="DF114" s="108"/>
      <c r="DG114" s="108"/>
      <c r="DH114" s="108"/>
      <c r="DI114" s="108"/>
      <c r="DJ114" s="108"/>
      <c r="DK114" s="108"/>
      <c r="DL114" s="108"/>
      <c r="DM114" s="108"/>
      <c r="DN114" s="108"/>
      <c r="DO114" s="108"/>
      <c r="DP114" s="108"/>
      <c r="DQ114" s="108"/>
      <c r="DR114" s="108"/>
      <c r="DS114" s="108"/>
      <c r="DT114" s="108"/>
      <c r="DU114" s="108"/>
      <c r="DV114" s="108"/>
      <c r="DW114" s="108"/>
      <c r="DX114" s="108"/>
      <c r="DY114" s="108"/>
      <c r="DZ114" s="108"/>
      <c r="EA114" s="108"/>
      <c r="EB114" s="108"/>
      <c r="EC114" s="108"/>
      <c r="ED114" s="108"/>
      <c r="EE114" s="108"/>
      <c r="EF114" s="108"/>
      <c r="EG114" s="108"/>
      <c r="EH114" s="108"/>
      <c r="EI114" s="108"/>
      <c r="EJ114" s="108"/>
      <c r="EK114" s="108"/>
      <c r="EL114" s="108"/>
      <c r="EM114" s="108"/>
      <c r="EN114" s="108"/>
      <c r="EO114" s="108"/>
      <c r="EP114" s="108"/>
      <c r="EQ114" s="108"/>
      <c r="ER114" s="108"/>
      <c r="ES114" s="108"/>
      <c r="ET114" s="108"/>
      <c r="EU114" s="108"/>
      <c r="EV114" s="108"/>
      <c r="EW114" s="108"/>
      <c r="EX114" s="108"/>
      <c r="EY114" s="108"/>
      <c r="EZ114" s="108"/>
      <c r="FA114" s="108"/>
      <c r="FB114" s="108"/>
      <c r="FC114" s="108"/>
      <c r="FD114" s="108"/>
      <c r="FE114" s="108"/>
      <c r="FF114" s="108"/>
      <c r="FG114" s="108"/>
      <c r="FH114" s="108"/>
      <c r="FI114" s="108"/>
      <c r="FJ114" s="108"/>
      <c r="FK114" s="108"/>
      <c r="FL114" s="108"/>
      <c r="FM114" s="108"/>
      <c r="FN114" s="108"/>
      <c r="FO114" s="108"/>
      <c r="FP114" s="108"/>
      <c r="FQ114" s="108"/>
      <c r="FR114" s="108"/>
      <c r="FS114" s="108"/>
      <c r="FT114" s="108"/>
      <c r="FU114" s="108"/>
      <c r="FV114" s="108"/>
      <c r="FW114" s="108"/>
      <c r="FX114" s="108"/>
      <c r="FY114" s="108"/>
      <c r="FZ114" s="108"/>
      <c r="GA114" s="108"/>
      <c r="GB114" s="108"/>
      <c r="GC114" s="108"/>
      <c r="GD114" s="108"/>
      <c r="GE114" s="108"/>
      <c r="GF114" s="108"/>
      <c r="GG114" s="108"/>
      <c r="GH114" s="108"/>
      <c r="GI114" s="108"/>
      <c r="GJ114" s="108"/>
      <c r="GK114" s="108"/>
      <c r="GL114" s="108"/>
      <c r="GM114" s="108"/>
      <c r="GN114" s="108"/>
      <c r="GO114" s="108"/>
      <c r="GP114" s="108"/>
      <c r="GQ114" s="108"/>
      <c r="GR114" s="108"/>
      <c r="GS114" s="108"/>
      <c r="GT114" s="108"/>
      <c r="GU114" s="108"/>
      <c r="GV114" s="108"/>
      <c r="GW114" s="108"/>
      <c r="GX114" s="108"/>
      <c r="GY114" s="108"/>
      <c r="GZ114" s="108"/>
      <c r="HA114" s="108"/>
      <c r="HB114" s="108"/>
      <c r="HC114" s="108"/>
      <c r="HD114" s="108"/>
      <c r="HE114" s="108"/>
      <c r="HF114" s="108"/>
      <c r="HG114" s="108"/>
      <c r="HH114" s="108"/>
      <c r="HI114" s="108"/>
      <c r="HJ114" s="108"/>
      <c r="HK114" s="108"/>
      <c r="HL114" s="108"/>
      <c r="HM114" s="108"/>
      <c r="HN114" s="108"/>
      <c r="HO114" s="108"/>
      <c r="HP114" s="108"/>
      <c r="HQ114" s="108"/>
      <c r="HR114" s="108"/>
      <c r="HS114" s="108"/>
      <c r="HT114" s="108"/>
      <c r="HU114" s="108"/>
      <c r="HV114" s="108"/>
      <c r="HW114" s="108"/>
      <c r="HX114" s="108"/>
      <c r="HY114" s="108"/>
      <c r="HZ114" s="108"/>
      <c r="IA114" s="108"/>
      <c r="IB114" s="108"/>
      <c r="IC114" s="108"/>
      <c r="ID114" s="108"/>
      <c r="IE114" s="108"/>
      <c r="IF114" s="108"/>
      <c r="IG114" s="108"/>
      <c r="IH114" s="108"/>
      <c r="II114" s="108"/>
      <c r="IJ114" s="108"/>
      <c r="IK114" s="108"/>
      <c r="IL114" s="108"/>
      <c r="IM114" s="108"/>
      <c r="IN114" s="108"/>
      <c r="IO114" s="108"/>
      <c r="IP114" s="108"/>
      <c r="IQ114" s="108"/>
      <c r="IR114" s="108"/>
      <c r="IS114" s="108"/>
      <c r="IT114" s="108"/>
      <c r="IU114" s="108"/>
      <c r="IV114" s="108"/>
      <c r="IW114" s="108"/>
    </row>
    <row r="115" spans="1:257" x14ac:dyDescent="0.3">
      <c r="A115" s="158"/>
      <c r="B115" s="158"/>
      <c r="C115" s="158"/>
      <c r="D115" s="158"/>
      <c r="E115" s="158"/>
      <c r="F115" s="158"/>
      <c r="G115" s="158"/>
      <c r="H115" s="158"/>
      <c r="I115" s="176"/>
      <c r="J115" s="158"/>
      <c r="K115" s="158"/>
      <c r="L115" s="158"/>
      <c r="M115" s="158"/>
      <c r="N115" s="158"/>
      <c r="O115" s="108"/>
      <c r="P115" s="108"/>
      <c r="Q115" s="108"/>
      <c r="R115" s="108"/>
      <c r="S115" s="108"/>
      <c r="T115" s="108"/>
      <c r="U115" s="108"/>
      <c r="V115" s="108"/>
      <c r="W115" s="108"/>
      <c r="X115" s="108"/>
      <c r="Y115" s="108"/>
      <c r="Z115" s="108"/>
      <c r="AA115" s="108"/>
      <c r="AB115" s="108"/>
      <c r="AC115" s="108"/>
      <c r="AD115" s="108"/>
      <c r="AE115" s="108"/>
      <c r="AF115" s="108"/>
      <c r="AG115" s="108"/>
      <c r="AH115" s="108"/>
      <c r="AI115" s="108"/>
      <c r="AJ115" s="108"/>
      <c r="AK115" s="108"/>
      <c r="AL115" s="108"/>
      <c r="AM115" s="108"/>
      <c r="AN115" s="108"/>
      <c r="AO115" s="108"/>
      <c r="AP115" s="108"/>
      <c r="AQ115" s="108"/>
      <c r="AR115" s="108"/>
      <c r="AS115" s="108"/>
      <c r="AT115" s="108"/>
      <c r="AU115" s="108"/>
      <c r="AV115" s="108"/>
      <c r="AW115" s="108"/>
      <c r="AX115" s="108"/>
      <c r="AY115" s="108"/>
      <c r="AZ115" s="108"/>
      <c r="BA115" s="108"/>
      <c r="BB115" s="108"/>
      <c r="BC115" s="108"/>
      <c r="BD115" s="108"/>
      <c r="BE115" s="108"/>
      <c r="BF115" s="108"/>
      <c r="BG115" s="108"/>
      <c r="BH115" s="108"/>
      <c r="BI115" s="108"/>
      <c r="BJ115" s="108"/>
      <c r="BK115" s="108"/>
      <c r="BL115" s="108"/>
      <c r="BM115" s="108"/>
      <c r="BN115" s="108"/>
      <c r="BO115" s="108"/>
      <c r="BP115" s="108"/>
      <c r="BQ115" s="108"/>
      <c r="BR115" s="108"/>
      <c r="BS115" s="108"/>
      <c r="BT115" s="108"/>
      <c r="BU115" s="108"/>
      <c r="BV115" s="108"/>
      <c r="BW115" s="108"/>
      <c r="BX115" s="108"/>
      <c r="BY115" s="108"/>
      <c r="BZ115" s="108"/>
      <c r="CA115" s="108"/>
      <c r="CB115" s="108"/>
      <c r="CC115" s="108"/>
      <c r="CD115" s="108"/>
      <c r="CE115" s="108"/>
      <c r="CF115" s="108"/>
      <c r="CG115" s="108"/>
      <c r="CH115" s="108"/>
      <c r="CI115" s="108"/>
      <c r="CJ115" s="108"/>
      <c r="CK115" s="108"/>
      <c r="CL115" s="108"/>
      <c r="CM115" s="108"/>
      <c r="CN115" s="108"/>
      <c r="CO115" s="108"/>
      <c r="CP115" s="108"/>
      <c r="CQ115" s="108"/>
      <c r="CR115" s="108"/>
      <c r="CS115" s="108"/>
      <c r="CT115" s="108"/>
      <c r="CU115" s="108"/>
      <c r="CV115" s="108"/>
      <c r="CW115" s="108"/>
      <c r="CX115" s="108"/>
      <c r="CY115" s="108"/>
      <c r="CZ115" s="108"/>
      <c r="DA115" s="108"/>
      <c r="DB115" s="108"/>
      <c r="DC115" s="108"/>
      <c r="DD115" s="108"/>
      <c r="DE115" s="108"/>
      <c r="DF115" s="108"/>
      <c r="DG115" s="108"/>
      <c r="DH115" s="108"/>
      <c r="DI115" s="108"/>
      <c r="DJ115" s="108"/>
      <c r="DK115" s="108"/>
      <c r="DL115" s="108"/>
      <c r="DM115" s="108"/>
      <c r="DN115" s="108"/>
      <c r="DO115" s="108"/>
      <c r="DP115" s="108"/>
      <c r="DQ115" s="108"/>
      <c r="DR115" s="108"/>
      <c r="DS115" s="108"/>
      <c r="DT115" s="108"/>
      <c r="DU115" s="108"/>
      <c r="DV115" s="108"/>
      <c r="DW115" s="108"/>
      <c r="DX115" s="108"/>
      <c r="DY115" s="108"/>
      <c r="DZ115" s="108"/>
      <c r="EA115" s="108"/>
      <c r="EB115" s="108"/>
      <c r="EC115" s="108"/>
      <c r="ED115" s="108"/>
      <c r="EE115" s="108"/>
      <c r="EF115" s="108"/>
      <c r="EG115" s="108"/>
      <c r="EH115" s="108"/>
      <c r="EI115" s="108"/>
      <c r="EJ115" s="108"/>
      <c r="EK115" s="108"/>
      <c r="EL115" s="108"/>
      <c r="EM115" s="108"/>
      <c r="EN115" s="108"/>
      <c r="EO115" s="108"/>
      <c r="EP115" s="108"/>
      <c r="EQ115" s="108"/>
      <c r="ER115" s="108"/>
      <c r="ES115" s="108"/>
      <c r="ET115" s="108"/>
      <c r="EU115" s="108"/>
      <c r="EV115" s="108"/>
      <c r="EW115" s="108"/>
      <c r="EX115" s="108"/>
      <c r="EY115" s="108"/>
      <c r="EZ115" s="108"/>
      <c r="FA115" s="108"/>
      <c r="FB115" s="108"/>
      <c r="FC115" s="108"/>
      <c r="FD115" s="108"/>
      <c r="FE115" s="108"/>
      <c r="FF115" s="108"/>
      <c r="FG115" s="108"/>
      <c r="FH115" s="108"/>
      <c r="FI115" s="108"/>
      <c r="FJ115" s="108"/>
      <c r="FK115" s="108"/>
      <c r="FL115" s="108"/>
      <c r="FM115" s="108"/>
      <c r="FN115" s="108"/>
      <c r="FO115" s="108"/>
      <c r="FP115" s="108"/>
      <c r="FQ115" s="108"/>
      <c r="FR115" s="108"/>
      <c r="FS115" s="108"/>
      <c r="FT115" s="108"/>
      <c r="FU115" s="108"/>
      <c r="FV115" s="108"/>
      <c r="FW115" s="108"/>
      <c r="FX115" s="108"/>
      <c r="FY115" s="108"/>
      <c r="FZ115" s="108"/>
      <c r="GA115" s="108"/>
      <c r="GB115" s="108"/>
      <c r="GC115" s="108"/>
      <c r="GD115" s="108"/>
      <c r="GE115" s="108"/>
      <c r="GF115" s="108"/>
      <c r="GG115" s="108"/>
      <c r="GH115" s="108"/>
      <c r="GI115" s="108"/>
      <c r="GJ115" s="108"/>
      <c r="GK115" s="108"/>
      <c r="GL115" s="108"/>
      <c r="GM115" s="108"/>
      <c r="GN115" s="108"/>
      <c r="GO115" s="108"/>
      <c r="GP115" s="108"/>
      <c r="GQ115" s="108"/>
      <c r="GR115" s="108"/>
      <c r="GS115" s="108"/>
      <c r="GT115" s="108"/>
      <c r="GU115" s="108"/>
      <c r="GV115" s="108"/>
      <c r="GW115" s="108"/>
      <c r="GX115" s="108"/>
      <c r="GY115" s="108"/>
      <c r="GZ115" s="108"/>
      <c r="HA115" s="108"/>
      <c r="HB115" s="108"/>
      <c r="HC115" s="108"/>
      <c r="HD115" s="108"/>
      <c r="HE115" s="108"/>
      <c r="HF115" s="108"/>
      <c r="HG115" s="108"/>
      <c r="HH115" s="108"/>
      <c r="HI115" s="108"/>
      <c r="HJ115" s="108"/>
      <c r="HK115" s="108"/>
      <c r="HL115" s="108"/>
      <c r="HM115" s="108"/>
      <c r="HN115" s="108"/>
      <c r="HO115" s="108"/>
      <c r="HP115" s="108"/>
      <c r="HQ115" s="108"/>
      <c r="HR115" s="108"/>
      <c r="HS115" s="108"/>
      <c r="HT115" s="108"/>
      <c r="HU115" s="108"/>
      <c r="HV115" s="108"/>
      <c r="HW115" s="108"/>
      <c r="HX115" s="108"/>
      <c r="HY115" s="108"/>
      <c r="HZ115" s="108"/>
      <c r="IA115" s="108"/>
      <c r="IB115" s="108"/>
      <c r="IC115" s="108"/>
      <c r="ID115" s="108"/>
      <c r="IE115" s="108"/>
      <c r="IF115" s="108"/>
      <c r="IG115" s="108"/>
      <c r="IH115" s="108"/>
      <c r="II115" s="108"/>
      <c r="IJ115" s="108"/>
      <c r="IK115" s="108"/>
      <c r="IL115" s="108"/>
      <c r="IM115" s="108"/>
      <c r="IN115" s="108"/>
      <c r="IO115" s="108"/>
      <c r="IP115" s="108"/>
      <c r="IQ115" s="108"/>
      <c r="IR115" s="108"/>
      <c r="IS115" s="108"/>
      <c r="IT115" s="108"/>
      <c r="IU115" s="108"/>
      <c r="IV115" s="108"/>
      <c r="IW115" s="108"/>
    </row>
    <row r="116" spans="1:257" x14ac:dyDescent="0.3">
      <c r="A116" s="158"/>
      <c r="B116" s="158"/>
      <c r="C116" s="158"/>
      <c r="D116" s="158"/>
      <c r="E116" s="158"/>
      <c r="F116" s="158"/>
      <c r="G116" s="158"/>
      <c r="H116" s="158"/>
      <c r="I116" s="176"/>
      <c r="J116" s="158"/>
      <c r="K116" s="158"/>
      <c r="L116" s="158"/>
      <c r="M116" s="158"/>
      <c r="N116" s="158"/>
      <c r="O116" s="108"/>
      <c r="P116" s="108"/>
      <c r="Q116" s="108"/>
      <c r="R116" s="108"/>
      <c r="S116" s="108"/>
      <c r="T116" s="108"/>
      <c r="U116" s="108"/>
      <c r="V116" s="108"/>
      <c r="W116" s="108"/>
      <c r="X116" s="108"/>
      <c r="Y116" s="108"/>
      <c r="Z116" s="108"/>
      <c r="AA116" s="108"/>
      <c r="AB116" s="108"/>
      <c r="AC116" s="108"/>
      <c r="AD116" s="108"/>
      <c r="AE116" s="108"/>
      <c r="AF116" s="108"/>
      <c r="AG116" s="108"/>
      <c r="AH116" s="108"/>
      <c r="AI116" s="108"/>
      <c r="AJ116" s="108"/>
      <c r="AK116" s="108"/>
      <c r="AL116" s="108"/>
      <c r="AM116" s="108"/>
      <c r="AN116" s="108"/>
      <c r="AO116" s="108"/>
      <c r="AP116" s="108"/>
      <c r="AQ116" s="108"/>
      <c r="AR116" s="108"/>
      <c r="AS116" s="108"/>
      <c r="AT116" s="108"/>
      <c r="AU116" s="108"/>
      <c r="AV116" s="108"/>
      <c r="AW116" s="108"/>
      <c r="AX116" s="108"/>
      <c r="AY116" s="108"/>
      <c r="AZ116" s="108"/>
      <c r="BA116" s="108"/>
      <c r="BB116" s="108"/>
      <c r="BC116" s="108"/>
      <c r="BD116" s="108"/>
      <c r="BE116" s="108"/>
      <c r="BF116" s="108"/>
      <c r="BG116" s="108"/>
      <c r="BH116" s="108"/>
      <c r="BI116" s="108"/>
      <c r="BJ116" s="108"/>
      <c r="BK116" s="108"/>
      <c r="BL116" s="108"/>
      <c r="BM116" s="108"/>
      <c r="BN116" s="108"/>
      <c r="BO116" s="108"/>
      <c r="BP116" s="108"/>
      <c r="BQ116" s="108"/>
      <c r="BR116" s="108"/>
      <c r="BS116" s="108"/>
      <c r="BT116" s="108"/>
      <c r="BU116" s="108"/>
      <c r="BV116" s="108"/>
      <c r="BW116" s="108"/>
      <c r="BX116" s="108"/>
      <c r="BY116" s="108"/>
      <c r="BZ116" s="108"/>
      <c r="CA116" s="108"/>
      <c r="CB116" s="108"/>
      <c r="CC116" s="108"/>
      <c r="CD116" s="108"/>
      <c r="CE116" s="108"/>
      <c r="CF116" s="108"/>
      <c r="CG116" s="108"/>
      <c r="CH116" s="108"/>
      <c r="CI116" s="108"/>
      <c r="CJ116" s="108"/>
      <c r="CK116" s="108"/>
      <c r="CL116" s="108"/>
      <c r="CM116" s="108"/>
      <c r="CN116" s="108"/>
      <c r="CO116" s="108"/>
      <c r="CP116" s="108"/>
      <c r="CQ116" s="108"/>
      <c r="CR116" s="108"/>
      <c r="CS116" s="108"/>
      <c r="CT116" s="108"/>
      <c r="CU116" s="108"/>
      <c r="CV116" s="108"/>
      <c r="CW116" s="108"/>
      <c r="CX116" s="108"/>
      <c r="CY116" s="108"/>
      <c r="CZ116" s="108"/>
      <c r="DA116" s="108"/>
      <c r="DB116" s="108"/>
      <c r="DC116" s="108"/>
      <c r="DD116" s="108"/>
      <c r="DE116" s="108"/>
      <c r="DF116" s="108"/>
      <c r="DG116" s="108"/>
      <c r="DH116" s="108"/>
      <c r="DI116" s="108"/>
      <c r="DJ116" s="108"/>
      <c r="DK116" s="108"/>
      <c r="DL116" s="108"/>
      <c r="DM116" s="108"/>
      <c r="DN116" s="108"/>
      <c r="DO116" s="108"/>
      <c r="DP116" s="108"/>
      <c r="DQ116" s="108"/>
      <c r="DR116" s="108"/>
      <c r="DS116" s="108"/>
      <c r="DT116" s="108"/>
      <c r="DU116" s="108"/>
      <c r="DV116" s="108"/>
      <c r="DW116" s="108"/>
      <c r="DX116" s="108"/>
      <c r="DY116" s="108"/>
      <c r="DZ116" s="108"/>
      <c r="EA116" s="108"/>
      <c r="EB116" s="108"/>
      <c r="EC116" s="108"/>
      <c r="ED116" s="108"/>
      <c r="EE116" s="108"/>
      <c r="EF116" s="108"/>
      <c r="EG116" s="108"/>
      <c r="EH116" s="108"/>
      <c r="EI116" s="108"/>
      <c r="EJ116" s="108"/>
      <c r="EK116" s="108"/>
      <c r="EL116" s="108"/>
      <c r="EM116" s="108"/>
      <c r="EN116" s="108"/>
      <c r="EO116" s="108"/>
      <c r="EP116" s="108"/>
      <c r="EQ116" s="108"/>
      <c r="ER116" s="108"/>
      <c r="ES116" s="108"/>
      <c r="ET116" s="108"/>
      <c r="EU116" s="108"/>
      <c r="EV116" s="108"/>
      <c r="EW116" s="108"/>
      <c r="EX116" s="108"/>
      <c r="EY116" s="108"/>
      <c r="EZ116" s="108"/>
      <c r="FA116" s="108"/>
      <c r="FB116" s="108"/>
      <c r="FC116" s="108"/>
      <c r="FD116" s="108"/>
      <c r="FE116" s="108"/>
      <c r="FF116" s="108"/>
      <c r="FG116" s="108"/>
      <c r="FH116" s="108"/>
      <c r="FI116" s="108"/>
      <c r="FJ116" s="108"/>
      <c r="FK116" s="108"/>
      <c r="FL116" s="108"/>
      <c r="FM116" s="108"/>
      <c r="FN116" s="108"/>
      <c r="FO116" s="108"/>
      <c r="FP116" s="108"/>
      <c r="FQ116" s="108"/>
      <c r="FR116" s="108"/>
      <c r="FS116" s="108"/>
      <c r="FT116" s="108"/>
      <c r="FU116" s="108"/>
      <c r="FV116" s="108"/>
      <c r="FW116" s="108"/>
      <c r="FX116" s="108"/>
      <c r="FY116" s="108"/>
      <c r="FZ116" s="108"/>
      <c r="GA116" s="108"/>
      <c r="GB116" s="108"/>
      <c r="GC116" s="108"/>
      <c r="GD116" s="108"/>
      <c r="GE116" s="108"/>
      <c r="GF116" s="108"/>
      <c r="GG116" s="108"/>
      <c r="GH116" s="108"/>
      <c r="GI116" s="108"/>
      <c r="GJ116" s="108"/>
      <c r="GK116" s="108"/>
      <c r="GL116" s="108"/>
      <c r="GM116" s="108"/>
      <c r="GN116" s="108"/>
      <c r="GO116" s="108"/>
      <c r="GP116" s="108"/>
      <c r="GQ116" s="108"/>
      <c r="GR116" s="108"/>
      <c r="GS116" s="108"/>
      <c r="GT116" s="108"/>
      <c r="GU116" s="108"/>
      <c r="GV116" s="108"/>
      <c r="GW116" s="108"/>
      <c r="GX116" s="108"/>
      <c r="GY116" s="108"/>
      <c r="GZ116" s="108"/>
      <c r="HA116" s="108"/>
      <c r="HB116" s="108"/>
      <c r="HC116" s="108"/>
      <c r="HD116" s="108"/>
      <c r="HE116" s="108"/>
      <c r="HF116" s="108"/>
      <c r="HG116" s="108"/>
      <c r="HH116" s="108"/>
      <c r="HI116" s="108"/>
      <c r="HJ116" s="108"/>
      <c r="HK116" s="108"/>
      <c r="HL116" s="108"/>
      <c r="HM116" s="108"/>
      <c r="HN116" s="108"/>
      <c r="HO116" s="108"/>
      <c r="HP116" s="108"/>
      <c r="HQ116" s="108"/>
      <c r="HR116" s="108"/>
      <c r="HS116" s="108"/>
      <c r="HT116" s="108"/>
      <c r="HU116" s="108"/>
      <c r="HV116" s="108"/>
      <c r="HW116" s="108"/>
      <c r="HX116" s="108"/>
      <c r="HY116" s="108"/>
      <c r="HZ116" s="108"/>
      <c r="IA116" s="108"/>
      <c r="IB116" s="108"/>
      <c r="IC116" s="108"/>
      <c r="ID116" s="108"/>
      <c r="IE116" s="108"/>
      <c r="IF116" s="108"/>
      <c r="IG116" s="108"/>
      <c r="IH116" s="108"/>
      <c r="II116" s="108"/>
      <c r="IJ116" s="108"/>
      <c r="IK116" s="108"/>
      <c r="IL116" s="108"/>
      <c r="IM116" s="108"/>
      <c r="IN116" s="108"/>
      <c r="IO116" s="108"/>
      <c r="IP116" s="108"/>
      <c r="IQ116" s="108"/>
      <c r="IR116" s="108"/>
      <c r="IS116" s="108"/>
      <c r="IT116" s="108"/>
      <c r="IU116" s="108"/>
      <c r="IV116" s="108"/>
      <c r="IW116" s="108"/>
    </row>
    <row r="117" spans="1:257" x14ac:dyDescent="0.3">
      <c r="A117" s="158"/>
      <c r="B117" s="158"/>
      <c r="C117" s="158"/>
      <c r="D117" s="158"/>
      <c r="E117" s="158"/>
      <c r="F117" s="158"/>
      <c r="G117" s="158"/>
      <c r="H117" s="158"/>
      <c r="I117" s="176"/>
      <c r="J117" s="158"/>
      <c r="K117" s="158"/>
      <c r="L117" s="158"/>
      <c r="M117" s="158"/>
      <c r="N117" s="158"/>
      <c r="O117" s="108"/>
      <c r="P117" s="108"/>
      <c r="Q117" s="108"/>
      <c r="R117" s="108"/>
      <c r="S117" s="108"/>
      <c r="T117" s="108"/>
      <c r="U117" s="108"/>
      <c r="V117" s="108"/>
      <c r="W117" s="108"/>
      <c r="X117" s="108"/>
      <c r="Y117" s="108"/>
      <c r="Z117" s="108"/>
      <c r="AA117" s="108"/>
      <c r="AB117" s="108"/>
      <c r="AC117" s="108"/>
      <c r="AD117" s="108"/>
      <c r="AE117" s="108"/>
      <c r="AF117" s="108"/>
      <c r="AG117" s="108"/>
      <c r="AH117" s="108"/>
      <c r="AI117" s="108"/>
      <c r="AJ117" s="108"/>
      <c r="AK117" s="108"/>
      <c r="AL117" s="108"/>
      <c r="AM117" s="108"/>
      <c r="AN117" s="108"/>
      <c r="AO117" s="108"/>
      <c r="AP117" s="108"/>
      <c r="AQ117" s="108"/>
      <c r="AR117" s="108"/>
      <c r="AS117" s="108"/>
      <c r="AT117" s="108"/>
      <c r="AU117" s="108"/>
      <c r="AV117" s="108"/>
      <c r="AW117" s="108"/>
      <c r="AX117" s="108"/>
      <c r="AY117" s="108"/>
      <c r="AZ117" s="108"/>
      <c r="BA117" s="108"/>
      <c r="BB117" s="108"/>
      <c r="BC117" s="108"/>
      <c r="BD117" s="108"/>
      <c r="BE117" s="108"/>
      <c r="BF117" s="108"/>
      <c r="BG117" s="108"/>
      <c r="BH117" s="108"/>
      <c r="BI117" s="108"/>
      <c r="BJ117" s="108"/>
      <c r="BK117" s="108"/>
      <c r="BL117" s="108"/>
      <c r="BM117" s="108"/>
      <c r="BN117" s="108"/>
      <c r="BO117" s="108"/>
      <c r="BP117" s="108"/>
      <c r="BQ117" s="108"/>
      <c r="BR117" s="108"/>
      <c r="BS117" s="108"/>
      <c r="BT117" s="108"/>
      <c r="BU117" s="108"/>
      <c r="BV117" s="108"/>
      <c r="BW117" s="108"/>
      <c r="BX117" s="108"/>
      <c r="BY117" s="108"/>
      <c r="BZ117" s="108"/>
      <c r="CA117" s="108"/>
      <c r="CB117" s="108"/>
      <c r="CC117" s="108"/>
      <c r="CD117" s="108"/>
      <c r="CE117" s="108"/>
      <c r="CF117" s="108"/>
      <c r="CG117" s="108"/>
      <c r="CH117" s="108"/>
      <c r="CI117" s="108"/>
      <c r="CJ117" s="108"/>
      <c r="CK117" s="108"/>
      <c r="CL117" s="108"/>
      <c r="CM117" s="108"/>
      <c r="CN117" s="108"/>
      <c r="CO117" s="108"/>
      <c r="CP117" s="108"/>
      <c r="CQ117" s="108"/>
      <c r="CR117" s="108"/>
      <c r="CS117" s="108"/>
      <c r="CT117" s="108"/>
      <c r="CU117" s="108"/>
      <c r="CV117" s="108"/>
      <c r="CW117" s="108"/>
      <c r="CX117" s="108"/>
      <c r="CY117" s="108"/>
      <c r="CZ117" s="108"/>
      <c r="DA117" s="108"/>
      <c r="DB117" s="108"/>
      <c r="DC117" s="108"/>
      <c r="DD117" s="108"/>
      <c r="DE117" s="108"/>
      <c r="DF117" s="108"/>
      <c r="DG117" s="108"/>
      <c r="DH117" s="108"/>
      <c r="DI117" s="108"/>
      <c r="DJ117" s="108"/>
      <c r="DK117" s="108"/>
      <c r="DL117" s="108"/>
      <c r="DM117" s="108"/>
      <c r="DN117" s="108"/>
      <c r="DO117" s="108"/>
      <c r="DP117" s="108"/>
      <c r="DQ117" s="108"/>
      <c r="DR117" s="108"/>
      <c r="DS117" s="108"/>
      <c r="DT117" s="108"/>
      <c r="DU117" s="108"/>
      <c r="DV117" s="108"/>
      <c r="DW117" s="108"/>
      <c r="DX117" s="108"/>
      <c r="DY117" s="108"/>
      <c r="DZ117" s="108"/>
      <c r="EA117" s="108"/>
      <c r="EB117" s="108"/>
      <c r="EC117" s="108"/>
      <c r="ED117" s="108"/>
      <c r="EE117" s="108"/>
      <c r="EF117" s="108"/>
      <c r="EG117" s="108"/>
      <c r="EH117" s="108"/>
      <c r="EI117" s="108"/>
      <c r="EJ117" s="108"/>
      <c r="EK117" s="108"/>
      <c r="EL117" s="108"/>
      <c r="EM117" s="108"/>
      <c r="EN117" s="108"/>
      <c r="EO117" s="108"/>
      <c r="EP117" s="108"/>
      <c r="EQ117" s="108"/>
      <c r="ER117" s="108"/>
      <c r="ES117" s="108"/>
      <c r="ET117" s="108"/>
      <c r="EU117" s="108"/>
      <c r="EV117" s="108"/>
      <c r="EW117" s="108"/>
      <c r="EX117" s="108"/>
      <c r="EY117" s="108"/>
      <c r="EZ117" s="108"/>
      <c r="FA117" s="108"/>
      <c r="FB117" s="108"/>
      <c r="FC117" s="108"/>
      <c r="FD117" s="108"/>
      <c r="FE117" s="108"/>
      <c r="FF117" s="108"/>
      <c r="FG117" s="108"/>
      <c r="FH117" s="108"/>
      <c r="FI117" s="108"/>
      <c r="FJ117" s="108"/>
      <c r="FK117" s="108"/>
      <c r="FL117" s="108"/>
      <c r="FM117" s="108"/>
      <c r="FN117" s="108"/>
      <c r="FO117" s="108"/>
      <c r="FP117" s="108"/>
      <c r="FQ117" s="108"/>
      <c r="FR117" s="108"/>
      <c r="FS117" s="108"/>
      <c r="FT117" s="108"/>
      <c r="FU117" s="108"/>
      <c r="FV117" s="108"/>
      <c r="FW117" s="108"/>
      <c r="FX117" s="108"/>
      <c r="FY117" s="108"/>
      <c r="FZ117" s="108"/>
      <c r="GA117" s="108"/>
      <c r="GB117" s="108"/>
      <c r="GC117" s="108"/>
      <c r="GD117" s="108"/>
      <c r="GE117" s="108"/>
      <c r="GF117" s="108"/>
      <c r="GG117" s="108"/>
      <c r="GH117" s="108"/>
      <c r="GI117" s="108"/>
      <c r="GJ117" s="108"/>
      <c r="GK117" s="108"/>
      <c r="GL117" s="108"/>
      <c r="GM117" s="108"/>
      <c r="GN117" s="108"/>
      <c r="GO117" s="108"/>
      <c r="GP117" s="108"/>
      <c r="GQ117" s="108"/>
      <c r="GR117" s="108"/>
      <c r="GS117" s="108"/>
      <c r="GT117" s="108"/>
      <c r="GU117" s="108"/>
      <c r="GV117" s="108"/>
      <c r="GW117" s="108"/>
      <c r="GX117" s="108"/>
      <c r="GY117" s="108"/>
      <c r="GZ117" s="108"/>
      <c r="HA117" s="108"/>
      <c r="HB117" s="108"/>
      <c r="HC117" s="108"/>
      <c r="HD117" s="108"/>
      <c r="HE117" s="108"/>
      <c r="HF117" s="108"/>
      <c r="HG117" s="108"/>
      <c r="HH117" s="108"/>
      <c r="HI117" s="108"/>
      <c r="HJ117" s="108"/>
      <c r="HK117" s="108"/>
      <c r="HL117" s="108"/>
      <c r="HM117" s="108"/>
      <c r="HN117" s="108"/>
      <c r="HO117" s="108"/>
      <c r="HP117" s="108"/>
      <c r="HQ117" s="108"/>
      <c r="HR117" s="108"/>
      <c r="HS117" s="108"/>
      <c r="HT117" s="108"/>
      <c r="HU117" s="108"/>
      <c r="HV117" s="108"/>
      <c r="HW117" s="108"/>
      <c r="HX117" s="108"/>
      <c r="HY117" s="108"/>
      <c r="HZ117" s="108"/>
      <c r="IA117" s="108"/>
      <c r="IB117" s="108"/>
      <c r="IC117" s="108"/>
      <c r="ID117" s="108"/>
      <c r="IE117" s="108"/>
      <c r="IF117" s="108"/>
      <c r="IG117" s="108"/>
      <c r="IH117" s="108"/>
      <c r="II117" s="108"/>
      <c r="IJ117" s="108"/>
      <c r="IK117" s="108"/>
      <c r="IL117" s="108"/>
      <c r="IM117" s="108"/>
      <c r="IN117" s="108"/>
      <c r="IO117" s="108"/>
      <c r="IP117" s="108"/>
      <c r="IQ117" s="108"/>
      <c r="IR117" s="108"/>
      <c r="IS117" s="108"/>
      <c r="IT117" s="108"/>
      <c r="IU117" s="108"/>
      <c r="IV117" s="108"/>
      <c r="IW117" s="108"/>
    </row>
    <row r="118" spans="1:257" x14ac:dyDescent="0.3">
      <c r="A118" s="158"/>
      <c r="B118" s="158"/>
      <c r="C118" s="158"/>
      <c r="D118" s="158"/>
      <c r="E118" s="158"/>
      <c r="F118" s="158"/>
      <c r="G118" s="158"/>
      <c r="H118" s="158"/>
      <c r="I118" s="176"/>
      <c r="J118" s="158"/>
      <c r="K118" s="158"/>
      <c r="L118" s="158"/>
      <c r="M118" s="158"/>
      <c r="N118" s="158"/>
      <c r="O118" s="108"/>
      <c r="P118" s="108"/>
      <c r="Q118" s="108"/>
      <c r="R118" s="108"/>
      <c r="S118" s="108"/>
      <c r="T118" s="108"/>
      <c r="U118" s="108"/>
      <c r="V118" s="108"/>
      <c r="W118" s="108"/>
      <c r="X118" s="108"/>
      <c r="Y118" s="108"/>
      <c r="Z118" s="108"/>
      <c r="AA118" s="108"/>
      <c r="AB118" s="108"/>
      <c r="AC118" s="108"/>
      <c r="AD118" s="108"/>
      <c r="AE118" s="108"/>
      <c r="AF118" s="108"/>
      <c r="AG118" s="108"/>
      <c r="AH118" s="108"/>
      <c r="AI118" s="108"/>
      <c r="AJ118" s="108"/>
      <c r="AK118" s="108"/>
      <c r="AL118" s="108"/>
      <c r="AM118" s="108"/>
      <c r="AN118" s="108"/>
      <c r="AO118" s="108"/>
      <c r="AP118" s="108"/>
      <c r="AQ118" s="108"/>
      <c r="AR118" s="108"/>
      <c r="AS118" s="108"/>
      <c r="AT118" s="108"/>
      <c r="AU118" s="108"/>
      <c r="AV118" s="108"/>
      <c r="AW118" s="108"/>
      <c r="AX118" s="108"/>
      <c r="AY118" s="108"/>
      <c r="AZ118" s="108"/>
      <c r="BA118" s="108"/>
      <c r="BB118" s="108"/>
      <c r="BC118" s="108"/>
      <c r="BD118" s="108"/>
      <c r="BE118" s="108"/>
      <c r="BF118" s="108"/>
      <c r="BG118" s="108"/>
      <c r="BH118" s="108"/>
      <c r="BI118" s="108"/>
      <c r="BJ118" s="108"/>
      <c r="BK118" s="108"/>
      <c r="BL118" s="108"/>
      <c r="BM118" s="108"/>
      <c r="BN118" s="108"/>
      <c r="BO118" s="108"/>
      <c r="BP118" s="108"/>
      <c r="BQ118" s="108"/>
      <c r="BR118" s="108"/>
      <c r="BS118" s="108"/>
      <c r="BT118" s="108"/>
      <c r="BU118" s="108"/>
      <c r="BV118" s="108"/>
      <c r="BW118" s="108"/>
      <c r="BX118" s="108"/>
      <c r="BY118" s="108"/>
      <c r="BZ118" s="108"/>
      <c r="CA118" s="108"/>
      <c r="CB118" s="108"/>
      <c r="CC118" s="108"/>
      <c r="CD118" s="108"/>
      <c r="CE118" s="108"/>
      <c r="CF118" s="108"/>
      <c r="CG118" s="108"/>
      <c r="CH118" s="108"/>
      <c r="CI118" s="108"/>
      <c r="CJ118" s="108"/>
      <c r="CK118" s="108"/>
      <c r="CL118" s="108"/>
      <c r="CM118" s="108"/>
      <c r="CN118" s="108"/>
      <c r="CO118" s="108"/>
      <c r="CP118" s="108"/>
      <c r="CQ118" s="108"/>
      <c r="CR118" s="108"/>
      <c r="CS118" s="108"/>
      <c r="CT118" s="108"/>
      <c r="CU118" s="108"/>
      <c r="CV118" s="108"/>
      <c r="CW118" s="108"/>
      <c r="CX118" s="108"/>
      <c r="CY118" s="108"/>
      <c r="CZ118" s="108"/>
      <c r="DA118" s="108"/>
      <c r="DB118" s="108"/>
      <c r="DC118" s="108"/>
      <c r="DD118" s="108"/>
      <c r="DE118" s="108"/>
      <c r="DF118" s="108"/>
      <c r="DG118" s="108"/>
      <c r="DH118" s="108"/>
      <c r="DI118" s="108"/>
      <c r="DJ118" s="108"/>
      <c r="DK118" s="108"/>
      <c r="DL118" s="108"/>
      <c r="DM118" s="108"/>
      <c r="DN118" s="108"/>
      <c r="DO118" s="108"/>
      <c r="DP118" s="108"/>
      <c r="DQ118" s="108"/>
      <c r="DR118" s="108"/>
      <c r="DS118" s="108"/>
      <c r="DT118" s="108"/>
      <c r="DU118" s="108"/>
      <c r="DV118" s="108"/>
      <c r="DW118" s="108"/>
      <c r="DX118" s="108"/>
      <c r="DY118" s="108"/>
      <c r="DZ118" s="108"/>
      <c r="EA118" s="108"/>
      <c r="EB118" s="108"/>
      <c r="EC118" s="108"/>
      <c r="ED118" s="108"/>
      <c r="EE118" s="108"/>
      <c r="EF118" s="108"/>
      <c r="EG118" s="108"/>
      <c r="EH118" s="108"/>
      <c r="EI118" s="108"/>
      <c r="EJ118" s="108"/>
      <c r="EK118" s="108"/>
      <c r="EL118" s="108"/>
      <c r="EM118" s="108"/>
      <c r="EN118" s="108"/>
      <c r="EO118" s="108"/>
      <c r="EP118" s="108"/>
      <c r="EQ118" s="108"/>
      <c r="ER118" s="108"/>
      <c r="ES118" s="108"/>
      <c r="ET118" s="108"/>
      <c r="EU118" s="108"/>
      <c r="EV118" s="108"/>
      <c r="EW118" s="108"/>
      <c r="EX118" s="108"/>
      <c r="EY118" s="108"/>
      <c r="EZ118" s="108"/>
      <c r="FA118" s="108"/>
      <c r="FB118" s="108"/>
      <c r="FC118" s="108"/>
      <c r="FD118" s="108"/>
      <c r="FE118" s="108"/>
      <c r="FF118" s="108"/>
      <c r="FG118" s="108"/>
      <c r="FH118" s="108"/>
      <c r="FI118" s="108"/>
      <c r="FJ118" s="108"/>
      <c r="FK118" s="108"/>
      <c r="FL118" s="108"/>
      <c r="FM118" s="108"/>
      <c r="FN118" s="108"/>
      <c r="FO118" s="108"/>
      <c r="FP118" s="108"/>
      <c r="FQ118" s="108"/>
      <c r="FR118" s="108"/>
      <c r="FS118" s="108"/>
      <c r="FT118" s="108"/>
      <c r="FU118" s="108"/>
      <c r="FV118" s="108"/>
      <c r="FW118" s="108"/>
      <c r="FX118" s="108"/>
      <c r="FY118" s="108"/>
      <c r="FZ118" s="108"/>
      <c r="GA118" s="108"/>
      <c r="GB118" s="108"/>
      <c r="GC118" s="108"/>
      <c r="GD118" s="108"/>
      <c r="GE118" s="108"/>
      <c r="GF118" s="108"/>
      <c r="GG118" s="108"/>
      <c r="GH118" s="108"/>
      <c r="GI118" s="108"/>
      <c r="GJ118" s="108"/>
      <c r="GK118" s="108"/>
      <c r="GL118" s="108"/>
      <c r="GM118" s="108"/>
      <c r="GN118" s="108"/>
      <c r="GO118" s="108"/>
      <c r="GP118" s="108"/>
      <c r="GQ118" s="108"/>
      <c r="GR118" s="108"/>
      <c r="GS118" s="108"/>
      <c r="GT118" s="108"/>
      <c r="GU118" s="108"/>
      <c r="GV118" s="108"/>
      <c r="GW118" s="108"/>
      <c r="GX118" s="108"/>
      <c r="GY118" s="108"/>
      <c r="GZ118" s="108"/>
      <c r="HA118" s="108"/>
      <c r="HB118" s="108"/>
      <c r="HC118" s="108"/>
      <c r="HD118" s="108"/>
      <c r="HE118" s="108"/>
      <c r="HF118" s="108"/>
      <c r="HG118" s="108"/>
      <c r="HH118" s="108"/>
      <c r="HI118" s="108"/>
      <c r="HJ118" s="108"/>
      <c r="HK118" s="108"/>
      <c r="HL118" s="108"/>
      <c r="HM118" s="108"/>
      <c r="HN118" s="108"/>
      <c r="HO118" s="108"/>
      <c r="HP118" s="108"/>
      <c r="HQ118" s="108"/>
      <c r="HR118" s="108"/>
      <c r="HS118" s="108"/>
      <c r="HT118" s="108"/>
      <c r="HU118" s="108"/>
      <c r="HV118" s="108"/>
      <c r="HW118" s="108"/>
      <c r="HX118" s="108"/>
      <c r="HY118" s="108"/>
      <c r="HZ118" s="108"/>
      <c r="IA118" s="108"/>
      <c r="IB118" s="108"/>
      <c r="IC118" s="108"/>
      <c r="ID118" s="108"/>
      <c r="IE118" s="108"/>
      <c r="IF118" s="108"/>
      <c r="IG118" s="108"/>
      <c r="IH118" s="108"/>
      <c r="II118" s="108"/>
      <c r="IJ118" s="108"/>
      <c r="IK118" s="108"/>
      <c r="IL118" s="108"/>
      <c r="IM118" s="108"/>
      <c r="IN118" s="108"/>
      <c r="IO118" s="108"/>
      <c r="IP118" s="108"/>
      <c r="IQ118" s="108"/>
      <c r="IR118" s="108"/>
      <c r="IS118" s="108"/>
      <c r="IT118" s="108"/>
      <c r="IU118" s="108"/>
      <c r="IV118" s="108"/>
      <c r="IW118" s="108"/>
    </row>
    <row r="119" spans="1:257" x14ac:dyDescent="0.3">
      <c r="A119" s="158"/>
      <c r="B119" s="158"/>
      <c r="C119" s="158"/>
      <c r="D119" s="158"/>
      <c r="E119" s="158"/>
      <c r="F119" s="158"/>
      <c r="G119" s="158"/>
      <c r="H119" s="158"/>
      <c r="I119" s="176"/>
      <c r="J119" s="158"/>
      <c r="K119" s="158"/>
      <c r="L119" s="158"/>
      <c r="M119" s="158"/>
      <c r="N119" s="158"/>
      <c r="O119" s="108"/>
      <c r="P119" s="108"/>
      <c r="Q119" s="108"/>
      <c r="R119" s="108"/>
      <c r="S119" s="108"/>
      <c r="T119" s="108"/>
      <c r="U119" s="108"/>
      <c r="V119" s="108"/>
      <c r="W119" s="108"/>
      <c r="X119" s="108"/>
      <c r="Y119" s="108"/>
      <c r="Z119" s="108"/>
      <c r="AA119" s="108"/>
      <c r="AB119" s="108"/>
      <c r="AC119" s="108"/>
      <c r="AD119" s="108"/>
      <c r="AE119" s="108"/>
      <c r="AF119" s="108"/>
      <c r="AG119" s="108"/>
      <c r="AH119" s="108"/>
      <c r="AI119" s="108"/>
      <c r="AJ119" s="108"/>
      <c r="AK119" s="108"/>
      <c r="AL119" s="108"/>
      <c r="AM119" s="108"/>
      <c r="AN119" s="108"/>
      <c r="AO119" s="108"/>
      <c r="AP119" s="108"/>
      <c r="AQ119" s="108"/>
      <c r="AR119" s="108"/>
      <c r="AS119" s="108"/>
      <c r="AT119" s="108"/>
      <c r="AU119" s="108"/>
      <c r="AV119" s="108"/>
      <c r="AW119" s="108"/>
      <c r="AX119" s="108"/>
      <c r="AY119" s="108"/>
      <c r="AZ119" s="108"/>
      <c r="BA119" s="108"/>
      <c r="BB119" s="108"/>
      <c r="BC119" s="108"/>
      <c r="BD119" s="108"/>
      <c r="BE119" s="108"/>
      <c r="BF119" s="108"/>
      <c r="BG119" s="108"/>
      <c r="BH119" s="108"/>
      <c r="BI119" s="108"/>
      <c r="BJ119" s="108"/>
      <c r="BK119" s="108"/>
      <c r="BL119" s="108"/>
      <c r="BM119" s="108"/>
      <c r="BN119" s="108"/>
      <c r="BO119" s="108"/>
      <c r="BP119" s="108"/>
      <c r="BQ119" s="108"/>
      <c r="BR119" s="108"/>
      <c r="BS119" s="108"/>
      <c r="BT119" s="108"/>
      <c r="BU119" s="108"/>
      <c r="BV119" s="108"/>
      <c r="BW119" s="108"/>
      <c r="BX119" s="108"/>
      <c r="BY119" s="108"/>
      <c r="BZ119" s="108"/>
      <c r="CA119" s="108"/>
      <c r="CB119" s="108"/>
      <c r="CC119" s="108"/>
      <c r="CD119" s="108"/>
      <c r="CE119" s="108"/>
      <c r="CF119" s="108"/>
      <c r="CG119" s="108"/>
      <c r="CH119" s="108"/>
      <c r="CI119" s="108"/>
      <c r="CJ119" s="108"/>
      <c r="CK119" s="108"/>
      <c r="CL119" s="108"/>
      <c r="CM119" s="108"/>
      <c r="CN119" s="108"/>
      <c r="CO119" s="108"/>
      <c r="CP119" s="108"/>
      <c r="CQ119" s="108"/>
      <c r="CR119" s="108"/>
      <c r="CS119" s="108"/>
      <c r="CT119" s="108"/>
      <c r="CU119" s="108"/>
      <c r="CV119" s="108"/>
      <c r="CW119" s="108"/>
      <c r="CX119" s="108"/>
      <c r="CY119" s="108"/>
      <c r="CZ119" s="108"/>
      <c r="DA119" s="108"/>
      <c r="DB119" s="108"/>
      <c r="DC119" s="108"/>
      <c r="DD119" s="108"/>
      <c r="DE119" s="108"/>
      <c r="DF119" s="108"/>
      <c r="DG119" s="108"/>
      <c r="DH119" s="108"/>
      <c r="DI119" s="108"/>
      <c r="DJ119" s="108"/>
      <c r="DK119" s="108"/>
      <c r="DL119" s="108"/>
      <c r="DM119" s="108"/>
      <c r="DN119" s="108"/>
      <c r="DO119" s="108"/>
      <c r="DP119" s="108"/>
      <c r="DQ119" s="108"/>
      <c r="DR119" s="108"/>
      <c r="DS119" s="108"/>
      <c r="DT119" s="108"/>
      <c r="DU119" s="108"/>
      <c r="DV119" s="108"/>
      <c r="DW119" s="108"/>
      <c r="DX119" s="108"/>
      <c r="DY119" s="108"/>
      <c r="DZ119" s="108"/>
      <c r="EA119" s="108"/>
      <c r="EB119" s="108"/>
      <c r="EC119" s="108"/>
      <c r="ED119" s="108"/>
      <c r="EE119" s="108"/>
      <c r="EF119" s="108"/>
      <c r="EG119" s="108"/>
      <c r="EH119" s="108"/>
      <c r="EI119" s="108"/>
      <c r="EJ119" s="108"/>
      <c r="EK119" s="108"/>
      <c r="EL119" s="108"/>
      <c r="EM119" s="108"/>
      <c r="EN119" s="108"/>
      <c r="EO119" s="108"/>
      <c r="EP119" s="108"/>
      <c r="EQ119" s="108"/>
      <c r="ER119" s="108"/>
      <c r="ES119" s="108"/>
      <c r="ET119" s="108"/>
      <c r="EU119" s="108"/>
      <c r="EV119" s="108"/>
      <c r="EW119" s="108"/>
      <c r="EX119" s="108"/>
      <c r="EY119" s="108"/>
      <c r="EZ119" s="108"/>
      <c r="FA119" s="108"/>
      <c r="FB119" s="108"/>
      <c r="FC119" s="108"/>
      <c r="FD119" s="108"/>
      <c r="FE119" s="108"/>
      <c r="FF119" s="108"/>
      <c r="FG119" s="108"/>
      <c r="FH119" s="108"/>
      <c r="FI119" s="108"/>
      <c r="FJ119" s="108"/>
      <c r="FK119" s="108"/>
      <c r="FL119" s="108"/>
      <c r="FM119" s="108"/>
      <c r="FN119" s="108"/>
      <c r="FO119" s="108"/>
      <c r="FP119" s="108"/>
      <c r="FQ119" s="108"/>
      <c r="FR119" s="108"/>
      <c r="FS119" s="108"/>
      <c r="FT119" s="108"/>
      <c r="FU119" s="108"/>
      <c r="FV119" s="108"/>
      <c r="FW119" s="108"/>
      <c r="FX119" s="108"/>
      <c r="FY119" s="108"/>
      <c r="FZ119" s="108"/>
      <c r="GA119" s="108"/>
      <c r="GB119" s="108"/>
      <c r="GC119" s="108"/>
      <c r="GD119" s="108"/>
      <c r="GE119" s="108"/>
      <c r="GF119" s="108"/>
      <c r="GG119" s="108"/>
      <c r="GH119" s="108"/>
      <c r="GI119" s="108"/>
      <c r="GJ119" s="108"/>
      <c r="GK119" s="108"/>
      <c r="GL119" s="108"/>
      <c r="GM119" s="108"/>
      <c r="GN119" s="108"/>
      <c r="GO119" s="108"/>
      <c r="GP119" s="108"/>
      <c r="GQ119" s="108"/>
      <c r="GR119" s="108"/>
      <c r="GS119" s="108"/>
      <c r="GT119" s="108"/>
      <c r="GU119" s="108"/>
      <c r="GV119" s="108"/>
      <c r="GW119" s="108"/>
      <c r="GX119" s="108"/>
      <c r="GY119" s="108"/>
      <c r="GZ119" s="108"/>
      <c r="HA119" s="108"/>
      <c r="HB119" s="108"/>
      <c r="HC119" s="108"/>
      <c r="HD119" s="108"/>
      <c r="HE119" s="108"/>
      <c r="HF119" s="108"/>
      <c r="HG119" s="108"/>
      <c r="HH119" s="108"/>
      <c r="HI119" s="108"/>
      <c r="HJ119" s="108"/>
      <c r="HK119" s="108"/>
      <c r="HL119" s="108"/>
      <c r="HM119" s="108"/>
      <c r="HN119" s="108"/>
      <c r="HO119" s="108"/>
      <c r="HP119" s="108"/>
      <c r="HQ119" s="108"/>
      <c r="HR119" s="108"/>
      <c r="HS119" s="108"/>
      <c r="HT119" s="108"/>
      <c r="HU119" s="108"/>
      <c r="HV119" s="108"/>
      <c r="HW119" s="108"/>
      <c r="HX119" s="108"/>
      <c r="HY119" s="108"/>
      <c r="HZ119" s="108"/>
      <c r="IA119" s="108"/>
      <c r="IB119" s="108"/>
      <c r="IC119" s="108"/>
      <c r="ID119" s="108"/>
      <c r="IE119" s="108"/>
      <c r="IF119" s="108"/>
      <c r="IG119" s="108"/>
      <c r="IH119" s="108"/>
      <c r="II119" s="108"/>
      <c r="IJ119" s="108"/>
      <c r="IK119" s="108"/>
      <c r="IL119" s="108"/>
      <c r="IM119" s="108"/>
      <c r="IN119" s="108"/>
      <c r="IO119" s="108"/>
      <c r="IP119" s="108"/>
      <c r="IQ119" s="108"/>
      <c r="IR119" s="108"/>
      <c r="IS119" s="108"/>
      <c r="IT119" s="108"/>
      <c r="IU119" s="108"/>
      <c r="IV119" s="108"/>
      <c r="IW119" s="108"/>
    </row>
    <row r="120" spans="1:257" x14ac:dyDescent="0.3">
      <c r="A120" s="158"/>
      <c r="B120" s="158"/>
      <c r="C120" s="158"/>
      <c r="D120" s="158"/>
      <c r="E120" s="158"/>
      <c r="F120" s="158"/>
      <c r="G120" s="158"/>
      <c r="H120" s="158"/>
      <c r="I120" s="176"/>
      <c r="J120" s="158"/>
      <c r="K120" s="158"/>
      <c r="L120" s="158"/>
      <c r="M120" s="158"/>
      <c r="N120" s="158"/>
      <c r="O120" s="108"/>
      <c r="P120" s="108"/>
      <c r="Q120" s="108"/>
      <c r="R120" s="108"/>
      <c r="S120" s="108"/>
      <c r="T120" s="108"/>
      <c r="U120" s="108"/>
      <c r="V120" s="108"/>
      <c r="W120" s="108"/>
      <c r="X120" s="108"/>
      <c r="Y120" s="108"/>
      <c r="Z120" s="108"/>
      <c r="AA120" s="108"/>
      <c r="AB120" s="108"/>
      <c r="AC120" s="108"/>
      <c r="AD120" s="108"/>
      <c r="AE120" s="108"/>
      <c r="AF120" s="108"/>
      <c r="AG120" s="108"/>
      <c r="AH120" s="108"/>
      <c r="AI120" s="108"/>
      <c r="AJ120" s="108"/>
      <c r="AK120" s="108"/>
      <c r="AL120" s="108"/>
      <c r="AM120" s="108"/>
      <c r="AN120" s="108"/>
      <c r="AO120" s="108"/>
      <c r="AP120" s="108"/>
      <c r="AQ120" s="108"/>
      <c r="AR120" s="108"/>
      <c r="AS120" s="108"/>
      <c r="AT120" s="108"/>
      <c r="AU120" s="108"/>
      <c r="AV120" s="108"/>
      <c r="AW120" s="108"/>
      <c r="AX120" s="108"/>
      <c r="AY120" s="108"/>
      <c r="AZ120" s="108"/>
      <c r="BA120" s="108"/>
      <c r="BB120" s="108"/>
      <c r="BC120" s="108"/>
      <c r="BD120" s="108"/>
      <c r="BE120" s="108"/>
      <c r="BF120" s="108"/>
      <c r="BG120" s="108"/>
      <c r="BH120" s="108"/>
      <c r="BI120" s="108"/>
      <c r="BJ120" s="108"/>
      <c r="BK120" s="108"/>
      <c r="BL120" s="108"/>
      <c r="BM120" s="108"/>
      <c r="BN120" s="108"/>
      <c r="BO120" s="108"/>
      <c r="BP120" s="108"/>
      <c r="BQ120" s="108"/>
      <c r="BR120" s="108"/>
      <c r="BS120" s="108"/>
      <c r="BT120" s="108"/>
      <c r="BU120" s="108"/>
      <c r="BV120" s="108"/>
      <c r="BW120" s="108"/>
      <c r="BX120" s="108"/>
      <c r="BY120" s="108"/>
      <c r="BZ120" s="108"/>
      <c r="CA120" s="108"/>
      <c r="CB120" s="108"/>
      <c r="CC120" s="108"/>
      <c r="CD120" s="108"/>
      <c r="CE120" s="108"/>
      <c r="CF120" s="108"/>
      <c r="CG120" s="108"/>
      <c r="CH120" s="108"/>
      <c r="CI120" s="108"/>
      <c r="CJ120" s="108"/>
      <c r="CK120" s="108"/>
      <c r="CL120" s="108"/>
      <c r="CM120" s="108"/>
      <c r="CN120" s="108"/>
      <c r="CO120" s="108"/>
      <c r="CP120" s="108"/>
      <c r="CQ120" s="108"/>
      <c r="CR120" s="108"/>
      <c r="CS120" s="108"/>
      <c r="CT120" s="108"/>
      <c r="CU120" s="108"/>
      <c r="CV120" s="108"/>
      <c r="CW120" s="108"/>
      <c r="CX120" s="108"/>
      <c r="CY120" s="108"/>
      <c r="CZ120" s="108"/>
      <c r="DA120" s="108"/>
      <c r="DB120" s="108"/>
      <c r="DC120" s="108"/>
      <c r="DD120" s="108"/>
      <c r="DE120" s="108"/>
      <c r="DF120" s="108"/>
      <c r="DG120" s="108"/>
      <c r="DH120" s="108"/>
      <c r="DI120" s="108"/>
      <c r="DJ120" s="108"/>
      <c r="DK120" s="108"/>
      <c r="DL120" s="108"/>
      <c r="DM120" s="108"/>
      <c r="DN120" s="108"/>
      <c r="DO120" s="108"/>
      <c r="DP120" s="108"/>
      <c r="DQ120" s="108"/>
      <c r="DR120" s="108"/>
      <c r="DS120" s="108"/>
      <c r="DT120" s="108"/>
      <c r="DU120" s="108"/>
      <c r="DV120" s="108"/>
      <c r="DW120" s="108"/>
      <c r="DX120" s="108"/>
      <c r="DY120" s="108"/>
      <c r="DZ120" s="108"/>
      <c r="EA120" s="108"/>
      <c r="EB120" s="108"/>
      <c r="EC120" s="108"/>
      <c r="ED120" s="108"/>
      <c r="EE120" s="108"/>
      <c r="EF120" s="108"/>
      <c r="EG120" s="108"/>
      <c r="EH120" s="108"/>
      <c r="EI120" s="108"/>
      <c r="EJ120" s="108"/>
      <c r="EK120" s="108"/>
      <c r="EL120" s="108"/>
      <c r="EM120" s="108"/>
      <c r="EN120" s="108"/>
      <c r="EO120" s="108"/>
      <c r="EP120" s="108"/>
      <c r="EQ120" s="108"/>
      <c r="ER120" s="108"/>
      <c r="ES120" s="108"/>
      <c r="ET120" s="108"/>
      <c r="EU120" s="108"/>
      <c r="EV120" s="108"/>
      <c r="EW120" s="108"/>
      <c r="EX120" s="108"/>
      <c r="EY120" s="108"/>
      <c r="EZ120" s="108"/>
      <c r="FA120" s="108"/>
      <c r="FB120" s="108"/>
      <c r="FC120" s="108"/>
      <c r="FD120" s="108"/>
      <c r="FE120" s="108"/>
      <c r="FF120" s="108"/>
      <c r="FG120" s="108"/>
      <c r="FH120" s="108"/>
      <c r="FI120" s="108"/>
      <c r="FJ120" s="108"/>
      <c r="FK120" s="108"/>
      <c r="FL120" s="108"/>
      <c r="FM120" s="108"/>
      <c r="FN120" s="108"/>
      <c r="FO120" s="108"/>
      <c r="FP120" s="108"/>
      <c r="FQ120" s="108"/>
      <c r="FR120" s="108"/>
      <c r="FS120" s="108"/>
      <c r="FT120" s="108"/>
      <c r="FU120" s="108"/>
      <c r="FV120" s="108"/>
      <c r="FW120" s="108"/>
      <c r="FX120" s="108"/>
      <c r="FY120" s="108"/>
      <c r="FZ120" s="108"/>
      <c r="GA120" s="108"/>
      <c r="GB120" s="108"/>
      <c r="GC120" s="108"/>
      <c r="GD120" s="108"/>
      <c r="GE120" s="108"/>
      <c r="GF120" s="108"/>
      <c r="GG120" s="108"/>
      <c r="GH120" s="108"/>
      <c r="GI120" s="108"/>
      <c r="GJ120" s="108"/>
      <c r="GK120" s="108"/>
      <c r="GL120" s="108"/>
      <c r="GM120" s="108"/>
      <c r="GN120" s="108"/>
      <c r="GO120" s="108"/>
      <c r="GP120" s="108"/>
      <c r="GQ120" s="108"/>
      <c r="GR120" s="108"/>
      <c r="GS120" s="108"/>
      <c r="GT120" s="108"/>
      <c r="GU120" s="108"/>
      <c r="GV120" s="108"/>
      <c r="GW120" s="108"/>
      <c r="GX120" s="108"/>
      <c r="GY120" s="108"/>
      <c r="GZ120" s="108"/>
      <c r="HA120" s="108"/>
      <c r="HB120" s="108"/>
      <c r="HC120" s="108"/>
      <c r="HD120" s="108"/>
      <c r="HE120" s="108"/>
      <c r="HF120" s="108"/>
      <c r="HG120" s="108"/>
      <c r="HH120" s="108"/>
      <c r="HI120" s="108"/>
      <c r="HJ120" s="108"/>
      <c r="HK120" s="108"/>
      <c r="HL120" s="108"/>
      <c r="HM120" s="108"/>
      <c r="HN120" s="108"/>
      <c r="HO120" s="108"/>
      <c r="HP120" s="108"/>
      <c r="HQ120" s="108"/>
      <c r="HR120" s="108"/>
      <c r="HS120" s="108"/>
      <c r="HT120" s="108"/>
      <c r="HU120" s="108"/>
      <c r="HV120" s="108"/>
      <c r="HW120" s="108"/>
      <c r="HX120" s="108"/>
      <c r="HY120" s="108"/>
      <c r="HZ120" s="108"/>
      <c r="IA120" s="108"/>
      <c r="IB120" s="108"/>
      <c r="IC120" s="108"/>
      <c r="ID120" s="108"/>
      <c r="IE120" s="108"/>
      <c r="IF120" s="108"/>
      <c r="IG120" s="108"/>
      <c r="IH120" s="108"/>
      <c r="II120" s="108"/>
      <c r="IJ120" s="108"/>
      <c r="IK120" s="108"/>
      <c r="IL120" s="108"/>
      <c r="IM120" s="108"/>
      <c r="IN120" s="108"/>
      <c r="IO120" s="108"/>
      <c r="IP120" s="108"/>
      <c r="IQ120" s="108"/>
      <c r="IR120" s="108"/>
      <c r="IS120" s="108"/>
      <c r="IT120" s="108"/>
      <c r="IU120" s="108"/>
      <c r="IV120" s="108"/>
      <c r="IW120" s="108"/>
    </row>
    <row r="121" spans="1:257" x14ac:dyDescent="0.3">
      <c r="A121" s="158"/>
      <c r="B121" s="158"/>
      <c r="C121" s="158"/>
      <c r="D121" s="158"/>
      <c r="E121" s="158"/>
      <c r="F121" s="158"/>
      <c r="G121" s="158"/>
      <c r="H121" s="158"/>
      <c r="I121" s="176"/>
      <c r="J121" s="158"/>
      <c r="K121" s="158"/>
      <c r="L121" s="158"/>
      <c r="M121" s="158"/>
      <c r="N121" s="158"/>
      <c r="O121" s="108"/>
      <c r="P121" s="108"/>
      <c r="Q121" s="108"/>
      <c r="R121" s="108"/>
      <c r="S121" s="108"/>
      <c r="T121" s="108"/>
      <c r="U121" s="108"/>
      <c r="V121" s="108"/>
      <c r="W121" s="108"/>
      <c r="X121" s="108"/>
      <c r="Y121" s="108"/>
      <c r="Z121" s="108"/>
      <c r="AA121" s="108"/>
      <c r="AB121" s="108"/>
      <c r="AC121" s="108"/>
      <c r="AD121" s="108"/>
      <c r="AE121" s="108"/>
      <c r="AF121" s="108"/>
      <c r="AG121" s="108"/>
      <c r="AH121" s="108"/>
      <c r="AI121" s="108"/>
      <c r="AJ121" s="108"/>
      <c r="AK121" s="108"/>
      <c r="AL121" s="108"/>
      <c r="AM121" s="108"/>
      <c r="AN121" s="108"/>
      <c r="AO121" s="108"/>
      <c r="AP121" s="108"/>
      <c r="AQ121" s="108"/>
      <c r="AR121" s="108"/>
      <c r="AS121" s="108"/>
      <c r="AT121" s="108"/>
      <c r="AU121" s="108"/>
      <c r="AV121" s="108"/>
      <c r="AW121" s="108"/>
      <c r="AX121" s="108"/>
      <c r="AY121" s="108"/>
      <c r="AZ121" s="108"/>
      <c r="BA121" s="108"/>
      <c r="BB121" s="108"/>
      <c r="BC121" s="108"/>
      <c r="BD121" s="108"/>
      <c r="BE121" s="108"/>
      <c r="BF121" s="108"/>
      <c r="BG121" s="108"/>
      <c r="BH121" s="108"/>
      <c r="BI121" s="108"/>
      <c r="BJ121" s="108"/>
      <c r="BK121" s="108"/>
      <c r="BL121" s="108"/>
      <c r="BM121" s="108"/>
      <c r="BN121" s="108"/>
      <c r="BO121" s="108"/>
      <c r="BP121" s="108"/>
      <c r="BQ121" s="108"/>
      <c r="BR121" s="108"/>
      <c r="BS121" s="108"/>
      <c r="BT121" s="108"/>
      <c r="BU121" s="108"/>
      <c r="BV121" s="108"/>
      <c r="BW121" s="108"/>
      <c r="BX121" s="108"/>
      <c r="BY121" s="108"/>
      <c r="BZ121" s="108"/>
      <c r="CA121" s="108"/>
      <c r="CB121" s="108"/>
      <c r="CC121" s="108"/>
      <c r="CD121" s="108"/>
      <c r="CE121" s="108"/>
      <c r="CF121" s="108"/>
      <c r="CG121" s="108"/>
      <c r="CH121" s="108"/>
      <c r="CI121" s="108"/>
      <c r="CJ121" s="108"/>
      <c r="CK121" s="108"/>
      <c r="CL121" s="108"/>
      <c r="CM121" s="108"/>
      <c r="CN121" s="108"/>
      <c r="CO121" s="108"/>
      <c r="CP121" s="108"/>
      <c r="CQ121" s="108"/>
      <c r="CR121" s="108"/>
      <c r="CS121" s="108"/>
      <c r="CT121" s="108"/>
      <c r="CU121" s="108"/>
      <c r="CV121" s="108"/>
      <c r="CW121" s="108"/>
      <c r="CX121" s="108"/>
      <c r="CY121" s="108"/>
      <c r="CZ121" s="108"/>
      <c r="DA121" s="108"/>
      <c r="DB121" s="108"/>
      <c r="DC121" s="108"/>
      <c r="DD121" s="108"/>
      <c r="DE121" s="108"/>
      <c r="DF121" s="108"/>
      <c r="DG121" s="108"/>
      <c r="DH121" s="108"/>
      <c r="DI121" s="108"/>
      <c r="DJ121" s="108"/>
      <c r="DK121" s="108"/>
      <c r="DL121" s="108"/>
      <c r="DM121" s="108"/>
      <c r="DN121" s="108"/>
      <c r="DO121" s="108"/>
      <c r="DP121" s="108"/>
      <c r="DQ121" s="108"/>
      <c r="DR121" s="108"/>
      <c r="DS121" s="108"/>
      <c r="DT121" s="108"/>
      <c r="DU121" s="108"/>
      <c r="DV121" s="108"/>
      <c r="DW121" s="108"/>
      <c r="DX121" s="108"/>
      <c r="DY121" s="108"/>
      <c r="DZ121" s="108"/>
      <c r="EA121" s="108"/>
      <c r="EB121" s="108"/>
      <c r="EC121" s="108"/>
      <c r="ED121" s="108"/>
      <c r="EE121" s="108"/>
      <c r="EF121" s="108"/>
      <c r="EG121" s="108"/>
      <c r="EH121" s="108"/>
      <c r="EI121" s="108"/>
      <c r="EJ121" s="108"/>
      <c r="EK121" s="108"/>
      <c r="EL121" s="108"/>
      <c r="EM121" s="108"/>
      <c r="EN121" s="108"/>
      <c r="EO121" s="108"/>
      <c r="EP121" s="108"/>
      <c r="EQ121" s="108"/>
      <c r="ER121" s="108"/>
      <c r="ES121" s="108"/>
      <c r="ET121" s="108"/>
      <c r="EU121" s="108"/>
      <c r="EV121" s="108"/>
      <c r="EW121" s="108"/>
      <c r="EX121" s="108"/>
      <c r="EY121" s="108"/>
      <c r="EZ121" s="108"/>
      <c r="FA121" s="108"/>
      <c r="FB121" s="108"/>
      <c r="FC121" s="108"/>
      <c r="FD121" s="108"/>
      <c r="FE121" s="108"/>
      <c r="FF121" s="108"/>
      <c r="FG121" s="108"/>
      <c r="FH121" s="108"/>
      <c r="FI121" s="108"/>
      <c r="FJ121" s="108"/>
      <c r="FK121" s="108"/>
      <c r="FL121" s="108"/>
      <c r="FM121" s="108"/>
      <c r="FN121" s="108"/>
      <c r="FO121" s="108"/>
      <c r="FP121" s="108"/>
      <c r="FQ121" s="108"/>
      <c r="FR121" s="108"/>
      <c r="FS121" s="108"/>
      <c r="FT121" s="108"/>
      <c r="FU121" s="108"/>
      <c r="FV121" s="108"/>
      <c r="FW121" s="108"/>
      <c r="FX121" s="108"/>
      <c r="FY121" s="108"/>
      <c r="FZ121" s="108"/>
      <c r="GA121" s="108"/>
      <c r="GB121" s="108"/>
      <c r="GC121" s="108"/>
      <c r="GD121" s="108"/>
      <c r="GE121" s="108"/>
      <c r="GF121" s="108"/>
      <c r="GG121" s="108"/>
      <c r="GH121" s="108"/>
      <c r="GI121" s="108"/>
      <c r="GJ121" s="108"/>
      <c r="GK121" s="108"/>
      <c r="GL121" s="108"/>
      <c r="GM121" s="108"/>
      <c r="GN121" s="108"/>
      <c r="GO121" s="108"/>
      <c r="GP121" s="108"/>
      <c r="GQ121" s="108"/>
      <c r="GR121" s="108"/>
      <c r="GS121" s="108"/>
      <c r="GT121" s="108"/>
      <c r="GU121" s="108"/>
      <c r="GV121" s="108"/>
      <c r="GW121" s="108"/>
      <c r="GX121" s="108"/>
      <c r="GY121" s="108"/>
      <c r="GZ121" s="108"/>
      <c r="HA121" s="108"/>
      <c r="HB121" s="108"/>
      <c r="HC121" s="108"/>
      <c r="HD121" s="108"/>
      <c r="HE121" s="108"/>
      <c r="HF121" s="108"/>
      <c r="HG121" s="108"/>
      <c r="HH121" s="108"/>
      <c r="HI121" s="108"/>
      <c r="HJ121" s="108"/>
      <c r="HK121" s="108"/>
      <c r="HL121" s="108"/>
      <c r="HM121" s="108"/>
      <c r="HN121" s="108"/>
      <c r="HO121" s="108"/>
      <c r="HP121" s="108"/>
      <c r="HQ121" s="108"/>
      <c r="HR121" s="108"/>
      <c r="HS121" s="108"/>
      <c r="HT121" s="108"/>
      <c r="HU121" s="108"/>
      <c r="HV121" s="108"/>
      <c r="HW121" s="108"/>
      <c r="HX121" s="108"/>
      <c r="HY121" s="108"/>
      <c r="HZ121" s="108"/>
      <c r="IA121" s="108"/>
      <c r="IB121" s="108"/>
      <c r="IC121" s="108"/>
      <c r="ID121" s="108"/>
      <c r="IE121" s="108"/>
      <c r="IF121" s="108"/>
      <c r="IG121" s="108"/>
      <c r="IH121" s="108"/>
      <c r="II121" s="108"/>
      <c r="IJ121" s="108"/>
      <c r="IK121" s="108"/>
      <c r="IL121" s="108"/>
      <c r="IM121" s="108"/>
      <c r="IN121" s="108"/>
      <c r="IO121" s="108"/>
      <c r="IP121" s="108"/>
      <c r="IQ121" s="108"/>
      <c r="IR121" s="108"/>
      <c r="IS121" s="108"/>
      <c r="IT121" s="108"/>
      <c r="IU121" s="108"/>
      <c r="IV121" s="108"/>
      <c r="IW121" s="108"/>
    </row>
    <row r="122" spans="1:257" x14ac:dyDescent="0.3">
      <c r="A122" s="158"/>
      <c r="B122" s="158"/>
      <c r="C122" s="158"/>
      <c r="D122" s="158"/>
      <c r="E122" s="158"/>
      <c r="F122" s="158"/>
      <c r="G122" s="158"/>
      <c r="H122" s="158"/>
      <c r="I122" s="176"/>
      <c r="J122" s="158"/>
      <c r="K122" s="158"/>
      <c r="L122" s="158"/>
      <c r="M122" s="158"/>
      <c r="N122" s="158"/>
      <c r="O122" s="108"/>
      <c r="P122" s="108"/>
      <c r="Q122" s="108"/>
      <c r="R122" s="108"/>
      <c r="S122" s="108"/>
      <c r="T122" s="108"/>
      <c r="U122" s="108"/>
      <c r="V122" s="108"/>
      <c r="W122" s="108"/>
      <c r="X122" s="108"/>
      <c r="Y122" s="108"/>
      <c r="Z122" s="108"/>
      <c r="AA122" s="108"/>
      <c r="AB122" s="108"/>
      <c r="AC122" s="108"/>
      <c r="AD122" s="108"/>
      <c r="AE122" s="108"/>
      <c r="AF122" s="108"/>
      <c r="AG122" s="108"/>
      <c r="AH122" s="108"/>
      <c r="AI122" s="108"/>
      <c r="AJ122" s="108"/>
      <c r="AK122" s="108"/>
      <c r="AL122" s="108"/>
      <c r="AM122" s="108"/>
      <c r="AN122" s="108"/>
      <c r="AO122" s="108"/>
      <c r="AP122" s="108"/>
      <c r="AQ122" s="108"/>
      <c r="AR122" s="108"/>
      <c r="AS122" s="108"/>
      <c r="AT122" s="108"/>
      <c r="AU122" s="108"/>
      <c r="AV122" s="108"/>
      <c r="AW122" s="108"/>
      <c r="AX122" s="108"/>
      <c r="AY122" s="108"/>
      <c r="AZ122" s="108"/>
      <c r="BA122" s="108"/>
      <c r="BB122" s="108"/>
      <c r="BC122" s="108"/>
      <c r="BD122" s="108"/>
      <c r="BE122" s="108"/>
      <c r="BF122" s="108"/>
      <c r="BG122" s="108"/>
      <c r="BH122" s="108"/>
      <c r="BI122" s="108"/>
      <c r="BJ122" s="108"/>
      <c r="BK122" s="108"/>
      <c r="BL122" s="108"/>
      <c r="BM122" s="108"/>
      <c r="BN122" s="108"/>
      <c r="BO122" s="108"/>
      <c r="BP122" s="108"/>
      <c r="BQ122" s="108"/>
      <c r="BR122" s="108"/>
      <c r="BS122" s="108"/>
      <c r="BT122" s="108"/>
      <c r="BU122" s="108"/>
      <c r="BV122" s="108"/>
      <c r="BW122" s="108"/>
      <c r="BX122" s="108"/>
      <c r="BY122" s="108"/>
      <c r="BZ122" s="108"/>
      <c r="CA122" s="108"/>
      <c r="CB122" s="108"/>
      <c r="CC122" s="108"/>
      <c r="CD122" s="108"/>
      <c r="CE122" s="108"/>
      <c r="CF122" s="108"/>
      <c r="CG122" s="108"/>
      <c r="CH122" s="108"/>
      <c r="CI122" s="108"/>
      <c r="CJ122" s="108"/>
      <c r="CK122" s="108"/>
      <c r="CL122" s="108"/>
      <c r="CM122" s="108"/>
      <c r="CN122" s="108"/>
      <c r="CO122" s="108"/>
      <c r="CP122" s="108"/>
      <c r="CQ122" s="108"/>
      <c r="CR122" s="108"/>
      <c r="CS122" s="108"/>
      <c r="CT122" s="108"/>
      <c r="CU122" s="108"/>
      <c r="CV122" s="108"/>
      <c r="CW122" s="108"/>
      <c r="CX122" s="108"/>
      <c r="CY122" s="108"/>
      <c r="CZ122" s="108"/>
      <c r="DA122" s="108"/>
      <c r="DB122" s="108"/>
      <c r="DC122" s="108"/>
      <c r="DD122" s="108"/>
      <c r="DE122" s="108"/>
      <c r="DF122" s="108"/>
      <c r="DG122" s="108"/>
      <c r="DH122" s="108"/>
      <c r="DI122" s="108"/>
      <c r="DJ122" s="108"/>
      <c r="DK122" s="108"/>
      <c r="DL122" s="108"/>
      <c r="DM122" s="108"/>
      <c r="DN122" s="108"/>
      <c r="DO122" s="108"/>
      <c r="DP122" s="108"/>
      <c r="DQ122" s="108"/>
      <c r="DR122" s="108"/>
      <c r="DS122" s="108"/>
      <c r="DT122" s="108"/>
      <c r="DU122" s="108"/>
      <c r="DV122" s="108"/>
      <c r="DW122" s="108"/>
      <c r="DX122" s="108"/>
      <c r="DY122" s="108"/>
      <c r="DZ122" s="108"/>
      <c r="EA122" s="108"/>
      <c r="EB122" s="108"/>
      <c r="EC122" s="108"/>
      <c r="ED122" s="108"/>
      <c r="EE122" s="108"/>
      <c r="EF122" s="108"/>
      <c r="EG122" s="108"/>
      <c r="EH122" s="108"/>
      <c r="EI122" s="108"/>
      <c r="EJ122" s="108"/>
      <c r="EK122" s="108"/>
      <c r="EL122" s="108"/>
      <c r="EM122" s="108"/>
      <c r="EN122" s="108"/>
      <c r="EO122" s="108"/>
      <c r="EP122" s="108"/>
      <c r="EQ122" s="108"/>
      <c r="ER122" s="108"/>
      <c r="ES122" s="108"/>
      <c r="ET122" s="108"/>
      <c r="EU122" s="108"/>
      <c r="EV122" s="108"/>
      <c r="EW122" s="108"/>
      <c r="EX122" s="108"/>
      <c r="EY122" s="108"/>
      <c r="EZ122" s="108"/>
      <c r="FA122" s="108"/>
      <c r="FB122" s="108"/>
      <c r="FC122" s="108"/>
      <c r="FD122" s="108"/>
      <c r="FE122" s="108"/>
      <c r="FF122" s="108"/>
      <c r="FG122" s="108"/>
      <c r="FH122" s="108"/>
      <c r="FI122" s="108"/>
      <c r="FJ122" s="108"/>
      <c r="FK122" s="108"/>
      <c r="FL122" s="108"/>
      <c r="FM122" s="108"/>
      <c r="FN122" s="108"/>
      <c r="FO122" s="108"/>
      <c r="FP122" s="108"/>
      <c r="FQ122" s="108"/>
      <c r="FR122" s="108"/>
      <c r="FS122" s="108"/>
      <c r="FT122" s="108"/>
      <c r="FU122" s="108"/>
      <c r="FV122" s="108"/>
      <c r="FW122" s="108"/>
      <c r="FX122" s="108"/>
      <c r="FY122" s="108"/>
      <c r="FZ122" s="108"/>
      <c r="GA122" s="108"/>
      <c r="GB122" s="108"/>
      <c r="GC122" s="108"/>
      <c r="GD122" s="108"/>
      <c r="GE122" s="108"/>
      <c r="GF122" s="108"/>
      <c r="GG122" s="108"/>
      <c r="GH122" s="108"/>
      <c r="GI122" s="108"/>
      <c r="GJ122" s="108"/>
      <c r="GK122" s="108"/>
      <c r="GL122" s="108"/>
      <c r="GM122" s="108"/>
      <c r="GN122" s="108"/>
      <c r="GO122" s="108"/>
      <c r="GP122" s="108"/>
      <c r="GQ122" s="108"/>
      <c r="GR122" s="108"/>
      <c r="GS122" s="108"/>
      <c r="GT122" s="108"/>
      <c r="GU122" s="108"/>
      <c r="GV122" s="108"/>
      <c r="GW122" s="108"/>
      <c r="GX122" s="108"/>
      <c r="GY122" s="108"/>
      <c r="GZ122" s="108"/>
      <c r="HA122" s="108"/>
      <c r="HB122" s="108"/>
      <c r="HC122" s="108"/>
      <c r="HD122" s="108"/>
      <c r="HE122" s="108"/>
      <c r="HF122" s="108"/>
      <c r="HG122" s="108"/>
      <c r="HH122" s="108"/>
      <c r="HI122" s="108"/>
      <c r="HJ122" s="108"/>
      <c r="HK122" s="108"/>
      <c r="HL122" s="108"/>
      <c r="HM122" s="108"/>
      <c r="HN122" s="108"/>
      <c r="HO122" s="108"/>
      <c r="HP122" s="108"/>
      <c r="HQ122" s="108"/>
      <c r="HR122" s="108"/>
      <c r="HS122" s="108"/>
      <c r="HT122" s="108"/>
      <c r="HU122" s="108"/>
      <c r="HV122" s="108"/>
      <c r="HW122" s="108"/>
      <c r="HX122" s="108"/>
      <c r="HY122" s="108"/>
      <c r="HZ122" s="108"/>
      <c r="IA122" s="108"/>
      <c r="IB122" s="108"/>
      <c r="IC122" s="108"/>
      <c r="ID122" s="108"/>
      <c r="IE122" s="108"/>
      <c r="IF122" s="108"/>
      <c r="IG122" s="108"/>
      <c r="IH122" s="108"/>
      <c r="II122" s="108"/>
      <c r="IJ122" s="108"/>
      <c r="IK122" s="108"/>
      <c r="IL122" s="108"/>
      <c r="IM122" s="108"/>
      <c r="IN122" s="108"/>
      <c r="IO122" s="108"/>
      <c r="IP122" s="108"/>
      <c r="IQ122" s="108"/>
      <c r="IR122" s="108"/>
      <c r="IS122" s="108"/>
      <c r="IT122" s="108"/>
      <c r="IU122" s="108"/>
      <c r="IV122" s="108"/>
      <c r="IW122" s="108"/>
    </row>
    <row r="123" spans="1:257" x14ac:dyDescent="0.3">
      <c r="A123" s="158"/>
      <c r="B123" s="158"/>
      <c r="C123" s="158"/>
      <c r="D123" s="158"/>
      <c r="E123" s="158"/>
      <c r="F123" s="158"/>
      <c r="G123" s="158"/>
      <c r="H123" s="158"/>
      <c r="I123" s="176"/>
      <c r="J123" s="158"/>
      <c r="K123" s="158"/>
      <c r="L123" s="158"/>
      <c r="M123" s="158"/>
      <c r="N123" s="158"/>
      <c r="O123" s="108"/>
      <c r="P123" s="108"/>
      <c r="Q123" s="108"/>
      <c r="R123" s="108"/>
      <c r="S123" s="108"/>
      <c r="T123" s="108"/>
      <c r="U123" s="108"/>
      <c r="V123" s="108"/>
      <c r="W123" s="108"/>
      <c r="X123" s="108"/>
      <c r="Y123" s="108"/>
      <c r="Z123" s="108"/>
      <c r="AA123" s="108"/>
      <c r="AB123" s="108"/>
      <c r="AC123" s="108"/>
      <c r="AD123" s="108"/>
      <c r="AE123" s="108"/>
      <c r="AF123" s="108"/>
      <c r="AG123" s="108"/>
      <c r="AH123" s="108"/>
      <c r="AI123" s="108"/>
      <c r="AJ123" s="108"/>
      <c r="AK123" s="108"/>
      <c r="AL123" s="108"/>
      <c r="AM123" s="108"/>
      <c r="AN123" s="108"/>
      <c r="AO123" s="108"/>
      <c r="AP123" s="108"/>
      <c r="AQ123" s="108"/>
      <c r="AR123" s="108"/>
      <c r="AS123" s="108"/>
      <c r="AT123" s="108"/>
      <c r="AU123" s="108"/>
      <c r="AV123" s="108"/>
      <c r="AW123" s="108"/>
      <c r="AX123" s="108"/>
      <c r="AY123" s="108"/>
      <c r="AZ123" s="108"/>
      <c r="BA123" s="108"/>
      <c r="BB123" s="108"/>
      <c r="BC123" s="108"/>
      <c r="BD123" s="108"/>
      <c r="BE123" s="108"/>
      <c r="BF123" s="108"/>
      <c r="BG123" s="108"/>
      <c r="BH123" s="108"/>
      <c r="BI123" s="108"/>
      <c r="BJ123" s="108"/>
      <c r="BK123" s="108"/>
      <c r="BL123" s="108"/>
      <c r="BM123" s="108"/>
      <c r="BN123" s="108"/>
      <c r="BO123" s="108"/>
      <c r="BP123" s="108"/>
      <c r="BQ123" s="108"/>
      <c r="BR123" s="108"/>
      <c r="BS123" s="108"/>
      <c r="BT123" s="108"/>
      <c r="BU123" s="108"/>
      <c r="BV123" s="108"/>
      <c r="BW123" s="108"/>
      <c r="BX123" s="108"/>
      <c r="BY123" s="108"/>
      <c r="BZ123" s="108"/>
      <c r="CA123" s="108"/>
      <c r="CB123" s="108"/>
      <c r="CC123" s="108"/>
      <c r="CD123" s="108"/>
      <c r="CE123" s="108"/>
      <c r="CF123" s="108"/>
      <c r="CG123" s="108"/>
      <c r="CH123" s="108"/>
      <c r="CI123" s="108"/>
      <c r="CJ123" s="108"/>
      <c r="CK123" s="108"/>
      <c r="CL123" s="108"/>
      <c r="CM123" s="108"/>
      <c r="CN123" s="108"/>
      <c r="CO123" s="108"/>
      <c r="CP123" s="108"/>
      <c r="CQ123" s="108"/>
      <c r="CR123" s="108"/>
      <c r="CS123" s="108"/>
      <c r="CT123" s="108"/>
      <c r="CU123" s="108"/>
      <c r="CV123" s="108"/>
      <c r="CW123" s="108"/>
      <c r="CX123" s="108"/>
      <c r="CY123" s="108"/>
      <c r="CZ123" s="108"/>
      <c r="DA123" s="108"/>
      <c r="DB123" s="108"/>
      <c r="DC123" s="108"/>
      <c r="DD123" s="108"/>
      <c r="DE123" s="108"/>
      <c r="DF123" s="108"/>
      <c r="DG123" s="108"/>
      <c r="DH123" s="108"/>
      <c r="DI123" s="108"/>
      <c r="DJ123" s="108"/>
      <c r="DK123" s="108"/>
      <c r="DL123" s="108"/>
      <c r="DM123" s="108"/>
      <c r="DN123" s="108"/>
      <c r="DO123" s="108"/>
      <c r="DP123" s="108"/>
      <c r="DQ123" s="108"/>
      <c r="DR123" s="108"/>
      <c r="DS123" s="108"/>
      <c r="DT123" s="108"/>
      <c r="DU123" s="108"/>
      <c r="DV123" s="108"/>
      <c r="DW123" s="108"/>
      <c r="DX123" s="108"/>
      <c r="DY123" s="108"/>
      <c r="DZ123" s="108"/>
      <c r="EA123" s="108"/>
      <c r="EB123" s="108"/>
      <c r="EC123" s="108"/>
      <c r="ED123" s="108"/>
      <c r="EE123" s="108"/>
      <c r="EF123" s="108"/>
      <c r="EG123" s="108"/>
      <c r="EH123" s="108"/>
      <c r="EI123" s="108"/>
      <c r="EJ123" s="108"/>
      <c r="EK123" s="108"/>
      <c r="EL123" s="108"/>
      <c r="EM123" s="108"/>
      <c r="EN123" s="108"/>
      <c r="EO123" s="108"/>
      <c r="EP123" s="108"/>
      <c r="EQ123" s="108"/>
      <c r="ER123" s="108"/>
      <c r="ES123" s="108"/>
      <c r="ET123" s="108"/>
      <c r="EU123" s="108"/>
      <c r="EV123" s="108"/>
      <c r="EW123" s="108"/>
      <c r="EX123" s="108"/>
      <c r="EY123" s="108"/>
      <c r="EZ123" s="108"/>
      <c r="FA123" s="108"/>
      <c r="FB123" s="108"/>
      <c r="FC123" s="108"/>
      <c r="FD123" s="108"/>
      <c r="FE123" s="108"/>
      <c r="FF123" s="108"/>
      <c r="FG123" s="108"/>
      <c r="FH123" s="108"/>
      <c r="FI123" s="108"/>
      <c r="FJ123" s="108"/>
      <c r="FK123" s="108"/>
      <c r="FL123" s="108"/>
      <c r="FM123" s="108"/>
      <c r="FN123" s="108"/>
      <c r="FO123" s="108"/>
      <c r="FP123" s="108"/>
      <c r="FQ123" s="108"/>
      <c r="FR123" s="108"/>
      <c r="FS123" s="108"/>
      <c r="FT123" s="108"/>
      <c r="FU123" s="108"/>
      <c r="FV123" s="108"/>
      <c r="FW123" s="108"/>
      <c r="FX123" s="108"/>
      <c r="FY123" s="108"/>
      <c r="FZ123" s="108"/>
      <c r="GA123" s="108"/>
      <c r="GB123" s="108"/>
      <c r="GC123" s="108"/>
      <c r="GD123" s="108"/>
      <c r="GE123" s="108"/>
      <c r="GF123" s="108"/>
      <c r="GG123" s="108"/>
      <c r="GH123" s="108"/>
      <c r="GI123" s="108"/>
      <c r="GJ123" s="108"/>
      <c r="GK123" s="108"/>
      <c r="GL123" s="108"/>
      <c r="GM123" s="108"/>
      <c r="GN123" s="108"/>
      <c r="GO123" s="108"/>
      <c r="GP123" s="108"/>
      <c r="GQ123" s="108"/>
      <c r="GR123" s="108"/>
      <c r="GS123" s="108"/>
      <c r="GT123" s="108"/>
      <c r="GU123" s="108"/>
      <c r="GV123" s="108"/>
      <c r="GW123" s="108"/>
      <c r="GX123" s="108"/>
      <c r="GY123" s="108"/>
      <c r="GZ123" s="108"/>
      <c r="HA123" s="108"/>
      <c r="HB123" s="108"/>
      <c r="HC123" s="108"/>
      <c r="HD123" s="108"/>
      <c r="HE123" s="108"/>
      <c r="HF123" s="108"/>
      <c r="HG123" s="108"/>
      <c r="HH123" s="108"/>
      <c r="HI123" s="108"/>
      <c r="HJ123" s="108"/>
      <c r="HK123" s="108"/>
      <c r="HL123" s="108"/>
      <c r="HM123" s="108"/>
      <c r="HN123" s="108"/>
      <c r="HO123" s="108"/>
      <c r="HP123" s="108"/>
      <c r="HQ123" s="108"/>
      <c r="HR123" s="108"/>
      <c r="HS123" s="108"/>
      <c r="HT123" s="108"/>
      <c r="HU123" s="108"/>
      <c r="HV123" s="108"/>
      <c r="HW123" s="108"/>
      <c r="HX123" s="108"/>
      <c r="HY123" s="108"/>
      <c r="HZ123" s="108"/>
      <c r="IA123" s="108"/>
      <c r="IB123" s="108"/>
      <c r="IC123" s="108"/>
      <c r="ID123" s="108"/>
      <c r="IE123" s="108"/>
      <c r="IF123" s="108"/>
      <c r="IG123" s="108"/>
      <c r="IH123" s="108"/>
      <c r="II123" s="108"/>
      <c r="IJ123" s="108"/>
      <c r="IK123" s="108"/>
      <c r="IL123" s="108"/>
      <c r="IM123" s="108"/>
      <c r="IN123" s="108"/>
      <c r="IO123" s="108"/>
      <c r="IP123" s="108"/>
      <c r="IQ123" s="108"/>
      <c r="IR123" s="108"/>
      <c r="IS123" s="108"/>
      <c r="IT123" s="108"/>
      <c r="IU123" s="108"/>
      <c r="IV123" s="108"/>
      <c r="IW123" s="108"/>
    </row>
    <row r="124" spans="1:257" x14ac:dyDescent="0.3">
      <c r="A124" s="158"/>
      <c r="B124" s="158"/>
      <c r="C124" s="158"/>
      <c r="D124" s="158"/>
      <c r="E124" s="158"/>
      <c r="F124" s="158"/>
      <c r="G124" s="158"/>
      <c r="H124" s="158"/>
      <c r="I124" s="176"/>
      <c r="J124" s="158"/>
      <c r="K124" s="158"/>
      <c r="L124" s="158"/>
      <c r="M124" s="158"/>
      <c r="N124" s="158"/>
      <c r="O124" s="108"/>
      <c r="P124" s="108"/>
      <c r="Q124" s="108"/>
      <c r="R124" s="108"/>
      <c r="S124" s="108"/>
      <c r="T124" s="108"/>
      <c r="U124" s="108"/>
      <c r="V124" s="108"/>
      <c r="W124" s="108"/>
      <c r="X124" s="108"/>
      <c r="Y124" s="108"/>
      <c r="Z124" s="108"/>
      <c r="AA124" s="108"/>
      <c r="AB124" s="108"/>
      <c r="AC124" s="108"/>
      <c r="AD124" s="108"/>
      <c r="AE124" s="108"/>
      <c r="AF124" s="108"/>
      <c r="AG124" s="108"/>
      <c r="AH124" s="108"/>
      <c r="AI124" s="108"/>
      <c r="AJ124" s="108"/>
      <c r="AK124" s="108"/>
      <c r="AL124" s="108"/>
      <c r="AM124" s="108"/>
      <c r="AN124" s="108"/>
      <c r="AO124" s="108"/>
      <c r="AP124" s="108"/>
      <c r="AQ124" s="108"/>
      <c r="AR124" s="108"/>
      <c r="AS124" s="108"/>
      <c r="AT124" s="108"/>
      <c r="AU124" s="108"/>
      <c r="AV124" s="108"/>
      <c r="AW124" s="108"/>
      <c r="AX124" s="108"/>
      <c r="AY124" s="108"/>
      <c r="AZ124" s="108"/>
      <c r="BA124" s="108"/>
      <c r="BB124" s="108"/>
      <c r="BC124" s="108"/>
      <c r="BD124" s="108"/>
      <c r="BE124" s="108"/>
      <c r="BF124" s="108"/>
      <c r="BG124" s="108"/>
      <c r="BH124" s="108"/>
      <c r="BI124" s="108"/>
      <c r="BJ124" s="108"/>
      <c r="BK124" s="108"/>
      <c r="BL124" s="108"/>
      <c r="BM124" s="108"/>
      <c r="BN124" s="108"/>
      <c r="BO124" s="108"/>
      <c r="BP124" s="108"/>
      <c r="BQ124" s="108"/>
      <c r="BR124" s="108"/>
      <c r="BS124" s="108"/>
      <c r="BT124" s="108"/>
      <c r="BU124" s="108"/>
      <c r="BV124" s="108"/>
      <c r="BW124" s="108"/>
      <c r="BX124" s="108"/>
      <c r="BY124" s="108"/>
      <c r="BZ124" s="108"/>
      <c r="CA124" s="108"/>
      <c r="CB124" s="108"/>
      <c r="CC124" s="108"/>
      <c r="CD124" s="108"/>
      <c r="CE124" s="108"/>
      <c r="CF124" s="108"/>
      <c r="CG124" s="108"/>
      <c r="CH124" s="108"/>
      <c r="CI124" s="108"/>
      <c r="CJ124" s="108"/>
      <c r="CK124" s="108"/>
      <c r="CL124" s="108"/>
      <c r="CM124" s="108"/>
      <c r="CN124" s="108"/>
      <c r="CO124" s="108"/>
      <c r="CP124" s="108"/>
      <c r="CQ124" s="108"/>
      <c r="CR124" s="108"/>
      <c r="CS124" s="108"/>
      <c r="CT124" s="108"/>
      <c r="CU124" s="108"/>
      <c r="CV124" s="108"/>
      <c r="CW124" s="108"/>
      <c r="CX124" s="108"/>
      <c r="CY124" s="108"/>
      <c r="CZ124" s="108"/>
      <c r="DA124" s="108"/>
      <c r="DB124" s="108"/>
      <c r="DC124" s="108"/>
      <c r="DD124" s="108"/>
      <c r="DE124" s="108"/>
      <c r="DF124" s="108"/>
      <c r="DG124" s="108"/>
      <c r="DH124" s="108"/>
      <c r="DI124" s="108"/>
      <c r="DJ124" s="108"/>
      <c r="DK124" s="108"/>
      <c r="DL124" s="108"/>
      <c r="DM124" s="108"/>
      <c r="DN124" s="108"/>
      <c r="DO124" s="108"/>
      <c r="DP124" s="108"/>
      <c r="DQ124" s="108"/>
      <c r="DR124" s="108"/>
      <c r="DS124" s="108"/>
      <c r="DT124" s="108"/>
      <c r="DU124" s="108"/>
      <c r="DV124" s="108"/>
      <c r="DW124" s="108"/>
      <c r="DX124" s="108"/>
      <c r="DY124" s="108"/>
      <c r="DZ124" s="108"/>
      <c r="EA124" s="108"/>
      <c r="EB124" s="108"/>
      <c r="EC124" s="108"/>
      <c r="ED124" s="108"/>
      <c r="EE124" s="108"/>
      <c r="EF124" s="108"/>
      <c r="EG124" s="108"/>
      <c r="EH124" s="108"/>
      <c r="EI124" s="108"/>
      <c r="EJ124" s="108"/>
      <c r="EK124" s="108"/>
      <c r="EL124" s="108"/>
      <c r="EM124" s="108"/>
      <c r="EN124" s="108"/>
      <c r="EO124" s="108"/>
      <c r="EP124" s="108"/>
      <c r="EQ124" s="108"/>
      <c r="ER124" s="108"/>
      <c r="ES124" s="108"/>
      <c r="ET124" s="108"/>
      <c r="EU124" s="108"/>
      <c r="EV124" s="108"/>
      <c r="EW124" s="108"/>
      <c r="EX124" s="108"/>
      <c r="EY124" s="108"/>
      <c r="EZ124" s="108"/>
      <c r="FA124" s="108"/>
      <c r="FB124" s="108"/>
      <c r="FC124" s="108"/>
      <c r="FD124" s="108"/>
      <c r="FE124" s="108"/>
      <c r="FF124" s="108"/>
      <c r="FG124" s="108"/>
      <c r="FH124" s="108"/>
      <c r="FI124" s="108"/>
      <c r="FJ124" s="108"/>
      <c r="FK124" s="108"/>
      <c r="FL124" s="108"/>
      <c r="FM124" s="108"/>
      <c r="FN124" s="108"/>
      <c r="FO124" s="108"/>
      <c r="FP124" s="108"/>
      <c r="FQ124" s="108"/>
      <c r="FR124" s="108"/>
      <c r="FS124" s="108"/>
      <c r="FT124" s="108"/>
      <c r="FU124" s="108"/>
      <c r="FV124" s="108"/>
      <c r="FW124" s="108"/>
      <c r="FX124" s="108"/>
      <c r="FY124" s="108"/>
      <c r="FZ124" s="108"/>
      <c r="GA124" s="108"/>
      <c r="GB124" s="108"/>
      <c r="GC124" s="108"/>
      <c r="GD124" s="108"/>
      <c r="GE124" s="108"/>
      <c r="GF124" s="108"/>
      <c r="GG124" s="108"/>
      <c r="GH124" s="108"/>
      <c r="GI124" s="108"/>
      <c r="GJ124" s="108"/>
      <c r="GK124" s="108"/>
      <c r="GL124" s="108"/>
      <c r="GM124" s="108"/>
      <c r="GN124" s="108"/>
      <c r="GO124" s="108"/>
      <c r="GP124" s="108"/>
      <c r="GQ124" s="108"/>
      <c r="GR124" s="108"/>
      <c r="GS124" s="108"/>
      <c r="GT124" s="108"/>
      <c r="GU124" s="108"/>
      <c r="GV124" s="108"/>
      <c r="GW124" s="108"/>
      <c r="GX124" s="108"/>
      <c r="GY124" s="108"/>
      <c r="GZ124" s="108"/>
      <c r="HA124" s="108"/>
      <c r="HB124" s="108"/>
      <c r="HC124" s="108"/>
      <c r="HD124" s="108"/>
      <c r="HE124" s="108"/>
      <c r="HF124" s="108"/>
      <c r="HG124" s="108"/>
      <c r="HH124" s="108"/>
      <c r="HI124" s="108"/>
      <c r="HJ124" s="108"/>
      <c r="HK124" s="108"/>
      <c r="HL124" s="108"/>
      <c r="HM124" s="108"/>
      <c r="HN124" s="108"/>
      <c r="HO124" s="108"/>
      <c r="HP124" s="108"/>
      <c r="HQ124" s="108"/>
      <c r="HR124" s="108"/>
      <c r="HS124" s="108"/>
      <c r="HT124" s="108"/>
      <c r="HU124" s="108"/>
      <c r="HV124" s="108"/>
      <c r="HW124" s="108"/>
      <c r="HX124" s="108"/>
      <c r="HY124" s="108"/>
      <c r="HZ124" s="108"/>
      <c r="IA124" s="108"/>
      <c r="IB124" s="108"/>
      <c r="IC124" s="108"/>
      <c r="ID124" s="108"/>
      <c r="IE124" s="108"/>
      <c r="IF124" s="108"/>
      <c r="IG124" s="108"/>
      <c r="IH124" s="108"/>
      <c r="II124" s="108"/>
      <c r="IJ124" s="108"/>
      <c r="IK124" s="108"/>
      <c r="IL124" s="108"/>
      <c r="IM124" s="108"/>
      <c r="IN124" s="108"/>
      <c r="IO124" s="108"/>
      <c r="IP124" s="108"/>
      <c r="IQ124" s="108"/>
      <c r="IR124" s="108"/>
      <c r="IS124" s="108"/>
      <c r="IT124" s="108"/>
      <c r="IU124" s="108"/>
      <c r="IV124" s="108"/>
      <c r="IW124" s="108"/>
    </row>
    <row r="125" spans="1:257" x14ac:dyDescent="0.3">
      <c r="A125" s="158"/>
      <c r="B125" s="158"/>
      <c r="C125" s="158"/>
      <c r="D125" s="158"/>
      <c r="E125" s="158"/>
      <c r="F125" s="158"/>
      <c r="G125" s="158"/>
      <c r="H125" s="158"/>
      <c r="I125" s="176"/>
      <c r="J125" s="158"/>
      <c r="K125" s="158"/>
      <c r="L125" s="158"/>
      <c r="M125" s="158"/>
      <c r="N125" s="158"/>
      <c r="O125" s="108"/>
      <c r="P125" s="108"/>
      <c r="Q125" s="108"/>
      <c r="R125" s="108"/>
      <c r="S125" s="108"/>
      <c r="T125" s="108"/>
      <c r="U125" s="108"/>
      <c r="V125" s="108"/>
      <c r="W125" s="108"/>
      <c r="X125" s="108"/>
      <c r="Y125" s="108"/>
      <c r="Z125" s="108"/>
      <c r="AA125" s="108"/>
      <c r="AB125" s="108"/>
      <c r="AC125" s="108"/>
      <c r="AD125" s="108"/>
      <c r="AE125" s="108"/>
      <c r="AF125" s="108"/>
      <c r="AG125" s="108"/>
      <c r="AH125" s="108"/>
      <c r="AI125" s="108"/>
      <c r="AJ125" s="108"/>
      <c r="AK125" s="108"/>
      <c r="AL125" s="108"/>
      <c r="AM125" s="108"/>
      <c r="AN125" s="108"/>
      <c r="AO125" s="108"/>
      <c r="AP125" s="108"/>
      <c r="AQ125" s="108"/>
      <c r="AR125" s="108"/>
      <c r="AS125" s="108"/>
      <c r="AT125" s="108"/>
      <c r="AU125" s="108"/>
      <c r="AV125" s="108"/>
      <c r="AW125" s="108"/>
      <c r="AX125" s="108"/>
      <c r="AY125" s="108"/>
      <c r="AZ125" s="108"/>
      <c r="BA125" s="108"/>
      <c r="BB125" s="108"/>
      <c r="BC125" s="108"/>
      <c r="BD125" s="108"/>
      <c r="BE125" s="108"/>
      <c r="BF125" s="108"/>
      <c r="BG125" s="108"/>
      <c r="BH125" s="108"/>
      <c r="BI125" s="108"/>
      <c r="BJ125" s="108"/>
      <c r="BK125" s="108"/>
      <c r="BL125" s="108"/>
      <c r="BM125" s="108"/>
      <c r="BN125" s="108"/>
      <c r="BO125" s="108"/>
      <c r="BP125" s="108"/>
      <c r="BQ125" s="108"/>
      <c r="BR125" s="108"/>
      <c r="BS125" s="108"/>
      <c r="BT125" s="108"/>
      <c r="BU125" s="108"/>
      <c r="BV125" s="108"/>
      <c r="BW125" s="108"/>
      <c r="BX125" s="108"/>
      <c r="BY125" s="108"/>
      <c r="BZ125" s="108"/>
      <c r="CA125" s="108"/>
      <c r="CB125" s="108"/>
      <c r="CC125" s="108"/>
      <c r="CD125" s="108"/>
      <c r="CE125" s="108"/>
      <c r="CF125" s="108"/>
      <c r="CG125" s="108"/>
      <c r="CH125" s="108"/>
      <c r="CI125" s="108"/>
      <c r="CJ125" s="108"/>
      <c r="CK125" s="108"/>
      <c r="CL125" s="108"/>
      <c r="CM125" s="108"/>
      <c r="CN125" s="108"/>
      <c r="CO125" s="108"/>
      <c r="CP125" s="108"/>
      <c r="CQ125" s="108"/>
      <c r="CR125" s="108"/>
      <c r="CS125" s="108"/>
      <c r="CT125" s="108"/>
      <c r="CU125" s="108"/>
      <c r="CV125" s="108"/>
      <c r="CW125" s="108"/>
      <c r="CX125" s="108"/>
      <c r="CY125" s="108"/>
      <c r="CZ125" s="108"/>
      <c r="DA125" s="108"/>
      <c r="DB125" s="108"/>
      <c r="DC125" s="108"/>
      <c r="DD125" s="108"/>
      <c r="DE125" s="108"/>
      <c r="DF125" s="108"/>
      <c r="DG125" s="108"/>
      <c r="DH125" s="108"/>
      <c r="DI125" s="108"/>
      <c r="DJ125" s="108"/>
      <c r="DK125" s="108"/>
      <c r="DL125" s="108"/>
      <c r="DM125" s="108"/>
      <c r="DN125" s="108"/>
      <c r="DO125" s="108"/>
      <c r="DP125" s="108"/>
      <c r="DQ125" s="108"/>
      <c r="DR125" s="108"/>
      <c r="DS125" s="108"/>
      <c r="DT125" s="108"/>
      <c r="DU125" s="108"/>
      <c r="DV125" s="108"/>
      <c r="DW125" s="108"/>
      <c r="DX125" s="108"/>
      <c r="DY125" s="108"/>
      <c r="DZ125" s="108"/>
      <c r="EA125" s="108"/>
      <c r="EB125" s="108"/>
      <c r="EC125" s="108"/>
      <c r="ED125" s="108"/>
      <c r="EE125" s="108"/>
      <c r="EF125" s="108"/>
      <c r="EG125" s="108"/>
      <c r="EH125" s="108"/>
      <c r="EI125" s="108"/>
      <c r="EJ125" s="108"/>
      <c r="EK125" s="108"/>
      <c r="EL125" s="108"/>
      <c r="EM125" s="108"/>
      <c r="EN125" s="108"/>
      <c r="EO125" s="108"/>
      <c r="EP125" s="108"/>
      <c r="EQ125" s="108"/>
      <c r="ER125" s="108"/>
      <c r="ES125" s="108"/>
      <c r="ET125" s="108"/>
      <c r="EU125" s="108"/>
      <c r="EV125" s="108"/>
      <c r="EW125" s="108"/>
      <c r="EX125" s="108"/>
      <c r="EY125" s="108"/>
      <c r="EZ125" s="108"/>
      <c r="FA125" s="108"/>
      <c r="FB125" s="108"/>
      <c r="FC125" s="108"/>
      <c r="FD125" s="108"/>
      <c r="FE125" s="108"/>
      <c r="FF125" s="108"/>
      <c r="FG125" s="108"/>
      <c r="FH125" s="108"/>
      <c r="FI125" s="108"/>
      <c r="FJ125" s="108"/>
      <c r="FK125" s="108"/>
      <c r="FL125" s="108"/>
      <c r="FM125" s="108"/>
      <c r="FN125" s="108"/>
      <c r="FO125" s="108"/>
      <c r="FP125" s="108"/>
      <c r="FQ125" s="108"/>
      <c r="FR125" s="108"/>
      <c r="FS125" s="108"/>
      <c r="FT125" s="108"/>
      <c r="FU125" s="108"/>
      <c r="FV125" s="108"/>
      <c r="FW125" s="108"/>
      <c r="FX125" s="108"/>
      <c r="FY125" s="108"/>
      <c r="FZ125" s="108"/>
      <c r="GA125" s="108"/>
      <c r="GB125" s="108"/>
      <c r="GC125" s="108"/>
      <c r="GD125" s="108"/>
      <c r="GE125" s="108"/>
      <c r="GF125" s="108"/>
      <c r="GG125" s="108"/>
      <c r="GH125" s="108"/>
      <c r="GI125" s="108"/>
      <c r="GJ125" s="108"/>
      <c r="GK125" s="108"/>
      <c r="GL125" s="108"/>
      <c r="GM125" s="108"/>
      <c r="GN125" s="108"/>
      <c r="GO125" s="108"/>
      <c r="GP125" s="108"/>
      <c r="GQ125" s="108"/>
      <c r="GR125" s="108"/>
      <c r="GS125" s="108"/>
      <c r="GT125" s="108"/>
      <c r="GU125" s="108"/>
      <c r="GV125" s="108"/>
      <c r="GW125" s="108"/>
      <c r="GX125" s="108"/>
      <c r="GY125" s="108"/>
      <c r="GZ125" s="108"/>
      <c r="HA125" s="108"/>
      <c r="HB125" s="108"/>
      <c r="HC125" s="108"/>
      <c r="HD125" s="108"/>
      <c r="HE125" s="108"/>
      <c r="HF125" s="108"/>
      <c r="HG125" s="108"/>
      <c r="HH125" s="108"/>
      <c r="HI125" s="108"/>
      <c r="HJ125" s="108"/>
      <c r="HK125" s="108"/>
      <c r="HL125" s="108"/>
      <c r="HM125" s="108"/>
      <c r="HN125" s="108"/>
      <c r="HO125" s="108"/>
      <c r="HP125" s="108"/>
      <c r="HQ125" s="108"/>
      <c r="HR125" s="108"/>
      <c r="HS125" s="108"/>
      <c r="HT125" s="108"/>
      <c r="HU125" s="108"/>
      <c r="HV125" s="108"/>
      <c r="HW125" s="108"/>
      <c r="HX125" s="108"/>
      <c r="HY125" s="108"/>
      <c r="HZ125" s="108"/>
      <c r="IA125" s="108"/>
      <c r="IB125" s="108"/>
      <c r="IC125" s="108"/>
      <c r="ID125" s="108"/>
      <c r="IE125" s="108"/>
      <c r="IF125" s="108"/>
      <c r="IG125" s="108"/>
      <c r="IH125" s="108"/>
      <c r="II125" s="108"/>
      <c r="IJ125" s="108"/>
      <c r="IK125" s="108"/>
      <c r="IL125" s="108"/>
      <c r="IM125" s="108"/>
      <c r="IN125" s="108"/>
      <c r="IO125" s="108"/>
      <c r="IP125" s="108"/>
      <c r="IQ125" s="108"/>
      <c r="IR125" s="108"/>
      <c r="IS125" s="108"/>
      <c r="IT125" s="108"/>
      <c r="IU125" s="108"/>
      <c r="IV125" s="108"/>
      <c r="IW125" s="108"/>
    </row>
    <row r="126" spans="1:257" x14ac:dyDescent="0.3">
      <c r="A126" s="158"/>
      <c r="B126" s="158"/>
      <c r="C126" s="158"/>
      <c r="D126" s="158"/>
      <c r="E126" s="158"/>
      <c r="F126" s="158"/>
      <c r="G126" s="158"/>
      <c r="H126" s="158"/>
      <c r="I126" s="176"/>
      <c r="J126" s="158"/>
      <c r="K126" s="158"/>
      <c r="L126" s="158"/>
      <c r="M126" s="158"/>
      <c r="N126" s="158"/>
      <c r="O126" s="108"/>
      <c r="P126" s="108"/>
      <c r="Q126" s="108"/>
      <c r="R126" s="108"/>
      <c r="S126" s="108"/>
      <c r="T126" s="108"/>
      <c r="U126" s="108"/>
      <c r="V126" s="108"/>
      <c r="W126" s="108"/>
      <c r="X126" s="108"/>
      <c r="Y126" s="108"/>
      <c r="Z126" s="108"/>
      <c r="AA126" s="108"/>
      <c r="AB126" s="108"/>
      <c r="AC126" s="108"/>
      <c r="AD126" s="108"/>
      <c r="AE126" s="108"/>
      <c r="AF126" s="108"/>
      <c r="AG126" s="108"/>
      <c r="AH126" s="108"/>
      <c r="AI126" s="108"/>
      <c r="AJ126" s="108"/>
      <c r="AK126" s="108"/>
      <c r="AL126" s="108"/>
      <c r="AM126" s="108"/>
      <c r="AN126" s="108"/>
      <c r="AO126" s="108"/>
      <c r="AP126" s="108"/>
      <c r="AQ126" s="108"/>
      <c r="AR126" s="108"/>
      <c r="AS126" s="108"/>
      <c r="AT126" s="108"/>
      <c r="AU126" s="108"/>
      <c r="AV126" s="108"/>
      <c r="AW126" s="108"/>
      <c r="AX126" s="108"/>
      <c r="AY126" s="108"/>
      <c r="AZ126" s="108"/>
      <c r="BA126" s="108"/>
      <c r="BB126" s="108"/>
      <c r="BC126" s="108"/>
      <c r="BD126" s="108"/>
      <c r="BE126" s="108"/>
      <c r="BF126" s="108"/>
      <c r="BG126" s="108"/>
      <c r="BH126" s="108"/>
      <c r="BI126" s="108"/>
      <c r="BJ126" s="108"/>
      <c r="BK126" s="108"/>
      <c r="BL126" s="108"/>
      <c r="BM126" s="108"/>
      <c r="BN126" s="108"/>
      <c r="BO126" s="108"/>
      <c r="BP126" s="108"/>
      <c r="BQ126" s="108"/>
      <c r="BR126" s="108"/>
      <c r="BS126" s="108"/>
      <c r="BT126" s="108"/>
      <c r="BU126" s="108"/>
      <c r="BV126" s="108"/>
      <c r="BW126" s="108"/>
      <c r="BX126" s="108"/>
      <c r="BY126" s="108"/>
      <c r="BZ126" s="108"/>
      <c r="CA126" s="108"/>
      <c r="CB126" s="108"/>
      <c r="CC126" s="108"/>
      <c r="CD126" s="108"/>
      <c r="CE126" s="108"/>
      <c r="CF126" s="108"/>
      <c r="CG126" s="108"/>
      <c r="CH126" s="108"/>
      <c r="CI126" s="108"/>
      <c r="CJ126" s="108"/>
      <c r="CK126" s="108"/>
      <c r="CL126" s="108"/>
      <c r="CM126" s="108"/>
      <c r="CN126" s="108"/>
      <c r="CO126" s="108"/>
      <c r="CP126" s="108"/>
      <c r="CQ126" s="108"/>
      <c r="CR126" s="108"/>
      <c r="CS126" s="108"/>
      <c r="CT126" s="108"/>
      <c r="CU126" s="108"/>
      <c r="CV126" s="108"/>
      <c r="CW126" s="108"/>
      <c r="CX126" s="108"/>
      <c r="CY126" s="108"/>
      <c r="CZ126" s="108"/>
      <c r="DA126" s="108"/>
      <c r="DB126" s="108"/>
      <c r="DC126" s="108"/>
      <c r="DD126" s="108"/>
      <c r="DE126" s="108"/>
      <c r="DF126" s="108"/>
      <c r="DG126" s="108"/>
      <c r="DH126" s="108"/>
      <c r="DI126" s="108"/>
      <c r="DJ126" s="108"/>
      <c r="DK126" s="108"/>
      <c r="DL126" s="108"/>
      <c r="DM126" s="108"/>
      <c r="DN126" s="108"/>
      <c r="DO126" s="108"/>
      <c r="DP126" s="108"/>
      <c r="DQ126" s="108"/>
      <c r="DR126" s="108"/>
      <c r="DS126" s="108"/>
      <c r="DT126" s="108"/>
      <c r="DU126" s="108"/>
      <c r="DV126" s="108"/>
      <c r="DW126" s="108"/>
      <c r="DX126" s="108"/>
      <c r="DY126" s="108"/>
      <c r="DZ126" s="108"/>
      <c r="EA126" s="108"/>
      <c r="EB126" s="108"/>
      <c r="EC126" s="108"/>
      <c r="ED126" s="108"/>
      <c r="EE126" s="108"/>
      <c r="EF126" s="108"/>
      <c r="EG126" s="108"/>
      <c r="EH126" s="108"/>
      <c r="EI126" s="108"/>
      <c r="EJ126" s="108"/>
      <c r="EK126" s="108"/>
      <c r="EL126" s="108"/>
      <c r="EM126" s="108"/>
      <c r="EN126" s="108"/>
      <c r="EO126" s="108"/>
      <c r="EP126" s="108"/>
      <c r="EQ126" s="108"/>
      <c r="ER126" s="108"/>
      <c r="ES126" s="108"/>
      <c r="ET126" s="108"/>
      <c r="EU126" s="108"/>
      <c r="EV126" s="108"/>
      <c r="EW126" s="108"/>
      <c r="EX126" s="108"/>
      <c r="EY126" s="108"/>
      <c r="EZ126" s="108"/>
      <c r="FA126" s="108"/>
      <c r="FB126" s="108"/>
      <c r="FC126" s="108"/>
      <c r="FD126" s="108"/>
      <c r="FE126" s="108"/>
      <c r="FF126" s="108"/>
      <c r="FG126" s="108"/>
      <c r="FH126" s="108"/>
      <c r="FI126" s="108"/>
      <c r="FJ126" s="108"/>
      <c r="FK126" s="108"/>
      <c r="FL126" s="108"/>
      <c r="FM126" s="108"/>
      <c r="FN126" s="108"/>
      <c r="FO126" s="108"/>
      <c r="FP126" s="108"/>
      <c r="FQ126" s="108"/>
      <c r="FR126" s="108"/>
      <c r="FS126" s="108"/>
      <c r="FT126" s="108"/>
      <c r="FU126" s="108"/>
      <c r="FV126" s="108"/>
      <c r="FW126" s="108"/>
      <c r="FX126" s="108"/>
      <c r="FY126" s="108"/>
      <c r="FZ126" s="108"/>
      <c r="GA126" s="108"/>
      <c r="GB126" s="108"/>
      <c r="GC126" s="108"/>
      <c r="GD126" s="108"/>
      <c r="GE126" s="108"/>
      <c r="GF126" s="108"/>
      <c r="GG126" s="108"/>
      <c r="GH126" s="108"/>
      <c r="GI126" s="108"/>
      <c r="GJ126" s="108"/>
      <c r="GK126" s="108"/>
      <c r="GL126" s="108"/>
      <c r="GM126" s="108"/>
      <c r="GN126" s="108"/>
      <c r="GO126" s="108"/>
      <c r="GP126" s="108"/>
      <c r="GQ126" s="108"/>
      <c r="GR126" s="108"/>
      <c r="GS126" s="108"/>
      <c r="GT126" s="108"/>
      <c r="GU126" s="108"/>
      <c r="GV126" s="108"/>
      <c r="GW126" s="108"/>
      <c r="GX126" s="108"/>
      <c r="GY126" s="108"/>
      <c r="GZ126" s="108"/>
      <c r="HA126" s="108"/>
      <c r="HB126" s="108"/>
      <c r="HC126" s="108"/>
      <c r="HD126" s="108"/>
      <c r="HE126" s="108"/>
      <c r="HF126" s="108"/>
      <c r="HG126" s="108"/>
      <c r="HH126" s="108"/>
      <c r="HI126" s="108"/>
      <c r="HJ126" s="108"/>
      <c r="HK126" s="108"/>
      <c r="HL126" s="108"/>
      <c r="HM126" s="108"/>
      <c r="HN126" s="108"/>
      <c r="HO126" s="108"/>
      <c r="HP126" s="108"/>
      <c r="HQ126" s="108"/>
      <c r="HR126" s="108"/>
      <c r="HS126" s="108"/>
      <c r="HT126" s="108"/>
      <c r="HU126" s="108"/>
      <c r="HV126" s="108"/>
      <c r="HW126" s="108"/>
      <c r="HX126" s="108"/>
      <c r="HY126" s="108"/>
      <c r="HZ126" s="108"/>
      <c r="IA126" s="108"/>
      <c r="IB126" s="108"/>
      <c r="IC126" s="108"/>
      <c r="ID126" s="108"/>
      <c r="IE126" s="108"/>
      <c r="IF126" s="108"/>
      <c r="IG126" s="108"/>
      <c r="IH126" s="108"/>
      <c r="II126" s="108"/>
      <c r="IJ126" s="108"/>
      <c r="IK126" s="108"/>
      <c r="IL126" s="108"/>
      <c r="IM126" s="108"/>
      <c r="IN126" s="108"/>
      <c r="IO126" s="108"/>
      <c r="IP126" s="108"/>
      <c r="IQ126" s="108"/>
      <c r="IR126" s="108"/>
      <c r="IS126" s="108"/>
      <c r="IT126" s="108"/>
      <c r="IU126" s="108"/>
      <c r="IV126" s="108"/>
      <c r="IW126" s="108"/>
    </row>
    <row r="127" spans="1:257" x14ac:dyDescent="0.3">
      <c r="A127" s="158"/>
      <c r="B127" s="158"/>
      <c r="C127" s="158"/>
      <c r="D127" s="158"/>
      <c r="E127" s="158"/>
      <c r="F127" s="158"/>
      <c r="G127" s="158"/>
      <c r="H127" s="158"/>
      <c r="I127" s="176"/>
      <c r="J127" s="158"/>
      <c r="K127" s="158"/>
      <c r="L127" s="158"/>
      <c r="M127" s="158"/>
      <c r="N127" s="158"/>
      <c r="O127" s="108"/>
      <c r="P127" s="108"/>
      <c r="Q127" s="108"/>
      <c r="R127" s="108"/>
      <c r="S127" s="108"/>
      <c r="T127" s="108"/>
      <c r="U127" s="108"/>
      <c r="V127" s="108"/>
      <c r="W127" s="108"/>
      <c r="X127" s="108"/>
      <c r="Y127" s="108"/>
      <c r="Z127" s="108"/>
      <c r="AA127" s="108"/>
      <c r="AB127" s="108"/>
      <c r="AC127" s="108"/>
      <c r="AD127" s="108"/>
      <c r="AE127" s="108"/>
      <c r="AF127" s="108"/>
      <c r="AG127" s="108"/>
      <c r="AH127" s="108"/>
      <c r="AI127" s="108"/>
      <c r="AJ127" s="108"/>
      <c r="AK127" s="108"/>
      <c r="AL127" s="108"/>
      <c r="AM127" s="108"/>
      <c r="AN127" s="108"/>
      <c r="AO127" s="108"/>
      <c r="AP127" s="108"/>
      <c r="AQ127" s="108"/>
      <c r="AR127" s="108"/>
      <c r="AS127" s="108"/>
      <c r="AT127" s="108"/>
      <c r="AU127" s="108"/>
      <c r="AV127" s="108"/>
      <c r="AW127" s="108"/>
      <c r="AX127" s="108"/>
      <c r="AY127" s="108"/>
      <c r="AZ127" s="108"/>
      <c r="BA127" s="108"/>
      <c r="BB127" s="108"/>
      <c r="BC127" s="108"/>
      <c r="BD127" s="108"/>
      <c r="BE127" s="108"/>
      <c r="BF127" s="108"/>
      <c r="BG127" s="108"/>
      <c r="BH127" s="108"/>
      <c r="BI127" s="108"/>
      <c r="BJ127" s="108"/>
      <c r="BK127" s="108"/>
      <c r="BL127" s="108"/>
      <c r="BM127" s="108"/>
      <c r="BN127" s="108"/>
      <c r="BO127" s="108"/>
      <c r="BP127" s="108"/>
      <c r="BQ127" s="108"/>
      <c r="BR127" s="108"/>
      <c r="BS127" s="108"/>
      <c r="BT127" s="108"/>
      <c r="BU127" s="108"/>
      <c r="BV127" s="108"/>
      <c r="BW127" s="108"/>
      <c r="BX127" s="108"/>
      <c r="BY127" s="108"/>
      <c r="BZ127" s="108"/>
      <c r="CA127" s="108"/>
      <c r="CB127" s="108"/>
      <c r="CC127" s="108"/>
      <c r="CD127" s="108"/>
      <c r="CE127" s="108"/>
      <c r="CF127" s="108"/>
      <c r="CG127" s="108"/>
      <c r="CH127" s="108"/>
      <c r="CI127" s="108"/>
      <c r="CJ127" s="108"/>
      <c r="CK127" s="108"/>
      <c r="CL127" s="108"/>
      <c r="CM127" s="108"/>
      <c r="CN127" s="108"/>
      <c r="CO127" s="108"/>
      <c r="CP127" s="108"/>
      <c r="CQ127" s="108"/>
      <c r="CR127" s="108"/>
      <c r="CS127" s="108"/>
      <c r="CT127" s="108"/>
      <c r="CU127" s="108"/>
      <c r="CV127" s="108"/>
      <c r="CW127" s="108"/>
      <c r="CX127" s="108"/>
      <c r="CY127" s="108"/>
      <c r="CZ127" s="108"/>
      <c r="DA127" s="108"/>
      <c r="DB127" s="108"/>
      <c r="DC127" s="108"/>
      <c r="DD127" s="108"/>
      <c r="DE127" s="108"/>
      <c r="DF127" s="108"/>
      <c r="DG127" s="108"/>
      <c r="DH127" s="108"/>
      <c r="DI127" s="108"/>
      <c r="DJ127" s="108"/>
      <c r="DK127" s="108"/>
      <c r="DL127" s="108"/>
      <c r="DM127" s="108"/>
      <c r="DN127" s="108"/>
      <c r="DO127" s="108"/>
      <c r="DP127" s="108"/>
      <c r="DQ127" s="108"/>
      <c r="DR127" s="108"/>
      <c r="DS127" s="108"/>
      <c r="DT127" s="108"/>
      <c r="DU127" s="108"/>
      <c r="DV127" s="108"/>
      <c r="DW127" s="108"/>
      <c r="DX127" s="108"/>
      <c r="DY127" s="108"/>
      <c r="DZ127" s="108"/>
      <c r="EA127" s="108"/>
      <c r="EB127" s="108"/>
      <c r="EC127" s="108"/>
      <c r="ED127" s="108"/>
      <c r="EE127" s="108"/>
      <c r="EF127" s="108"/>
      <c r="EG127" s="108"/>
      <c r="EH127" s="108"/>
      <c r="EI127" s="108"/>
      <c r="EJ127" s="108"/>
      <c r="EK127" s="108"/>
      <c r="EL127" s="108"/>
      <c r="EM127" s="108"/>
      <c r="EN127" s="108"/>
      <c r="EO127" s="108"/>
      <c r="EP127" s="108"/>
      <c r="EQ127" s="108"/>
      <c r="ER127" s="108"/>
      <c r="ES127" s="108"/>
      <c r="ET127" s="108"/>
      <c r="EU127" s="108"/>
      <c r="EV127" s="108"/>
      <c r="EW127" s="108"/>
      <c r="EX127" s="108"/>
      <c r="EY127" s="108"/>
      <c r="EZ127" s="108"/>
      <c r="FA127" s="108"/>
      <c r="FB127" s="108"/>
      <c r="FC127" s="108"/>
      <c r="FD127" s="108"/>
      <c r="FE127" s="108"/>
      <c r="FF127" s="108"/>
      <c r="FG127" s="108"/>
      <c r="FH127" s="108"/>
      <c r="FI127" s="108"/>
      <c r="FJ127" s="108"/>
      <c r="FK127" s="108"/>
      <c r="FL127" s="108"/>
      <c r="FM127" s="108"/>
      <c r="FN127" s="108"/>
      <c r="FO127" s="108"/>
      <c r="FP127" s="108"/>
      <c r="FQ127" s="108"/>
      <c r="FR127" s="108"/>
      <c r="FS127" s="108"/>
      <c r="FT127" s="108"/>
      <c r="FU127" s="108"/>
      <c r="FV127" s="108"/>
      <c r="FW127" s="108"/>
      <c r="FX127" s="108"/>
      <c r="FY127" s="108"/>
      <c r="FZ127" s="108"/>
      <c r="GA127" s="108"/>
      <c r="GB127" s="108"/>
      <c r="GC127" s="108"/>
      <c r="GD127" s="108"/>
      <c r="GE127" s="108"/>
      <c r="GF127" s="108"/>
      <c r="GG127" s="108"/>
      <c r="GH127" s="108"/>
      <c r="GI127" s="108"/>
      <c r="GJ127" s="108"/>
      <c r="GK127" s="108"/>
      <c r="GL127" s="108"/>
      <c r="GM127" s="108"/>
      <c r="GN127" s="108"/>
      <c r="GO127" s="108"/>
      <c r="GP127" s="108"/>
      <c r="GQ127" s="108"/>
      <c r="GR127" s="108"/>
      <c r="GS127" s="108"/>
      <c r="GT127" s="108"/>
      <c r="GU127" s="108"/>
      <c r="GV127" s="108"/>
      <c r="GW127" s="108"/>
      <c r="GX127" s="108"/>
      <c r="GY127" s="108"/>
      <c r="GZ127" s="108"/>
      <c r="HA127" s="108"/>
      <c r="HB127" s="108"/>
      <c r="HC127" s="108"/>
      <c r="HD127" s="108"/>
      <c r="HE127" s="108"/>
      <c r="HF127" s="108"/>
      <c r="HG127" s="108"/>
      <c r="HH127" s="108"/>
      <c r="HI127" s="108"/>
      <c r="HJ127" s="108"/>
      <c r="HK127" s="108"/>
      <c r="HL127" s="108"/>
      <c r="HM127" s="108"/>
      <c r="HN127" s="108"/>
      <c r="HO127" s="108"/>
      <c r="HP127" s="108"/>
      <c r="HQ127" s="108"/>
      <c r="HR127" s="108"/>
      <c r="HS127" s="108"/>
      <c r="HT127" s="108"/>
      <c r="HU127" s="108"/>
      <c r="HV127" s="108"/>
      <c r="HW127" s="108"/>
      <c r="HX127" s="108"/>
      <c r="HY127" s="108"/>
      <c r="HZ127" s="108"/>
      <c r="IA127" s="108"/>
      <c r="IB127" s="108"/>
      <c r="IC127" s="108"/>
      <c r="ID127" s="108"/>
      <c r="IE127" s="108"/>
      <c r="IF127" s="108"/>
      <c r="IG127" s="108"/>
      <c r="IH127" s="108"/>
      <c r="II127" s="108"/>
      <c r="IJ127" s="108"/>
      <c r="IK127" s="108"/>
      <c r="IL127" s="108"/>
      <c r="IM127" s="108"/>
      <c r="IN127" s="108"/>
      <c r="IO127" s="108"/>
      <c r="IP127" s="108"/>
      <c r="IQ127" s="108"/>
      <c r="IR127" s="108"/>
      <c r="IS127" s="108"/>
      <c r="IT127" s="108"/>
      <c r="IU127" s="108"/>
      <c r="IV127" s="108"/>
      <c r="IW127" s="108"/>
    </row>
    <row r="128" spans="1:257" x14ac:dyDescent="0.3">
      <c r="A128" s="158"/>
      <c r="B128" s="158"/>
      <c r="C128" s="158"/>
      <c r="D128" s="158"/>
      <c r="E128" s="158"/>
      <c r="F128" s="158"/>
      <c r="G128" s="158"/>
      <c r="H128" s="158"/>
      <c r="I128" s="176"/>
      <c r="J128" s="158"/>
      <c r="K128" s="158"/>
      <c r="L128" s="158"/>
      <c r="M128" s="158"/>
      <c r="N128" s="158"/>
      <c r="O128" s="108"/>
      <c r="P128" s="108"/>
      <c r="Q128" s="108"/>
      <c r="R128" s="108"/>
      <c r="S128" s="108"/>
      <c r="T128" s="108"/>
      <c r="U128" s="108"/>
      <c r="V128" s="108"/>
      <c r="W128" s="108"/>
      <c r="X128" s="108"/>
      <c r="Y128" s="108"/>
      <c r="Z128" s="108"/>
      <c r="AA128" s="108"/>
      <c r="AB128" s="108"/>
      <c r="AC128" s="108"/>
      <c r="AD128" s="108"/>
      <c r="AE128" s="108"/>
      <c r="AF128" s="108"/>
      <c r="AG128" s="108"/>
      <c r="AH128" s="108"/>
      <c r="AI128" s="108"/>
      <c r="AJ128" s="108"/>
      <c r="AK128" s="108"/>
      <c r="AL128" s="108"/>
      <c r="AM128" s="108"/>
      <c r="AN128" s="108"/>
      <c r="AO128" s="108"/>
      <c r="AP128" s="108"/>
      <c r="AQ128" s="108"/>
      <c r="AR128" s="108"/>
      <c r="AS128" s="108"/>
      <c r="AT128" s="108"/>
      <c r="AU128" s="108"/>
      <c r="AV128" s="108"/>
      <c r="AW128" s="108"/>
      <c r="AX128" s="108"/>
      <c r="AY128" s="108"/>
      <c r="AZ128" s="108"/>
      <c r="BA128" s="108"/>
      <c r="BB128" s="108"/>
      <c r="BC128" s="108"/>
      <c r="BD128" s="108"/>
      <c r="BE128" s="108"/>
      <c r="BF128" s="108"/>
      <c r="BG128" s="108"/>
      <c r="BH128" s="108"/>
      <c r="BI128" s="108"/>
      <c r="BJ128" s="108"/>
      <c r="BK128" s="108"/>
      <c r="BL128" s="108"/>
      <c r="BM128" s="108"/>
      <c r="BN128" s="108"/>
      <c r="BO128" s="108"/>
      <c r="BP128" s="108"/>
      <c r="BQ128" s="108"/>
      <c r="BR128" s="108"/>
      <c r="BS128" s="108"/>
      <c r="BT128" s="108"/>
      <c r="BU128" s="108"/>
      <c r="BV128" s="108"/>
      <c r="BW128" s="108"/>
      <c r="BX128" s="108"/>
      <c r="BY128" s="108"/>
      <c r="BZ128" s="108"/>
      <c r="CA128" s="108"/>
      <c r="CB128" s="108"/>
      <c r="CC128" s="108"/>
      <c r="CD128" s="108"/>
      <c r="CE128" s="108"/>
      <c r="CF128" s="108"/>
      <c r="CG128" s="108"/>
      <c r="CH128" s="108"/>
      <c r="CI128" s="108"/>
      <c r="CJ128" s="108"/>
      <c r="CK128" s="108"/>
      <c r="CL128" s="108"/>
      <c r="CM128" s="108"/>
      <c r="CN128" s="108"/>
      <c r="CO128" s="108"/>
      <c r="CP128" s="108"/>
      <c r="CQ128" s="108"/>
      <c r="CR128" s="108"/>
      <c r="CS128" s="108"/>
      <c r="CT128" s="108"/>
      <c r="CU128" s="108"/>
      <c r="CV128" s="108"/>
      <c r="CW128" s="108"/>
      <c r="CX128" s="108"/>
      <c r="CY128" s="108"/>
      <c r="CZ128" s="108"/>
      <c r="DA128" s="108"/>
      <c r="DB128" s="108"/>
      <c r="DC128" s="108"/>
      <c r="DD128" s="108"/>
      <c r="DE128" s="108"/>
      <c r="DF128" s="108"/>
      <c r="DG128" s="108"/>
      <c r="DH128" s="108"/>
      <c r="DI128" s="108"/>
      <c r="DJ128" s="108"/>
      <c r="DK128" s="108"/>
      <c r="DL128" s="108"/>
      <c r="DM128" s="108"/>
      <c r="DN128" s="108"/>
      <c r="DO128" s="108"/>
      <c r="DP128" s="108"/>
      <c r="DQ128" s="108"/>
      <c r="DR128" s="108"/>
      <c r="DS128" s="108"/>
      <c r="DT128" s="108"/>
      <c r="DU128" s="108"/>
      <c r="DV128" s="108"/>
      <c r="DW128" s="108"/>
      <c r="DX128" s="108"/>
      <c r="DY128" s="108"/>
      <c r="DZ128" s="108"/>
      <c r="EA128" s="108"/>
      <c r="EB128" s="108"/>
      <c r="EC128" s="108"/>
      <c r="ED128" s="108"/>
      <c r="EE128" s="108"/>
      <c r="EF128" s="108"/>
      <c r="EG128" s="108"/>
      <c r="EH128" s="108"/>
      <c r="EI128" s="108"/>
      <c r="EJ128" s="108"/>
      <c r="EK128" s="108"/>
      <c r="EL128" s="108"/>
      <c r="EM128" s="108"/>
      <c r="EN128" s="108"/>
      <c r="EO128" s="108"/>
      <c r="EP128" s="108"/>
      <c r="EQ128" s="108"/>
      <c r="ER128" s="108"/>
      <c r="ES128" s="108"/>
      <c r="ET128" s="108"/>
      <c r="EU128" s="108"/>
      <c r="EV128" s="108"/>
      <c r="EW128" s="108"/>
      <c r="EX128" s="108"/>
      <c r="EY128" s="108"/>
      <c r="EZ128" s="108"/>
      <c r="FA128" s="108"/>
      <c r="FB128" s="108"/>
      <c r="FC128" s="108"/>
      <c r="FD128" s="108"/>
      <c r="FE128" s="108"/>
      <c r="FF128" s="108"/>
      <c r="FG128" s="108"/>
      <c r="FH128" s="108"/>
      <c r="FI128" s="108"/>
      <c r="FJ128" s="108"/>
      <c r="FK128" s="108"/>
      <c r="FL128" s="108"/>
      <c r="FM128" s="108"/>
      <c r="FN128" s="108"/>
      <c r="FO128" s="108"/>
      <c r="FP128" s="108"/>
      <c r="FQ128" s="108"/>
      <c r="FR128" s="108"/>
      <c r="FS128" s="108"/>
      <c r="FT128" s="108"/>
      <c r="FU128" s="108"/>
      <c r="FV128" s="108"/>
      <c r="FW128" s="108"/>
      <c r="FX128" s="108"/>
      <c r="FY128" s="108"/>
      <c r="FZ128" s="108"/>
      <c r="GA128" s="108"/>
      <c r="GB128" s="108"/>
      <c r="GC128" s="108"/>
      <c r="GD128" s="108"/>
      <c r="GE128" s="108"/>
      <c r="GF128" s="108"/>
      <c r="GG128" s="108"/>
      <c r="GH128" s="108"/>
      <c r="GI128" s="108"/>
      <c r="GJ128" s="108"/>
      <c r="GK128" s="108"/>
      <c r="GL128" s="108"/>
      <c r="GM128" s="108"/>
      <c r="GN128" s="108"/>
      <c r="GO128" s="108"/>
      <c r="GP128" s="108"/>
      <c r="GQ128" s="108"/>
      <c r="GR128" s="108"/>
      <c r="GS128" s="108"/>
      <c r="GT128" s="108"/>
      <c r="GU128" s="108"/>
      <c r="GV128" s="108"/>
      <c r="GW128" s="108"/>
      <c r="GX128" s="108"/>
      <c r="GY128" s="108"/>
      <c r="GZ128" s="108"/>
      <c r="HA128" s="108"/>
      <c r="HB128" s="108"/>
      <c r="HC128" s="108"/>
      <c r="HD128" s="108"/>
      <c r="HE128" s="108"/>
      <c r="HF128" s="108"/>
      <c r="HG128" s="108"/>
      <c r="HH128" s="108"/>
      <c r="HI128" s="108"/>
      <c r="HJ128" s="108"/>
      <c r="HK128" s="108"/>
      <c r="HL128" s="108"/>
      <c r="HM128" s="108"/>
      <c r="HN128" s="108"/>
      <c r="HO128" s="108"/>
      <c r="HP128" s="108"/>
      <c r="HQ128" s="108"/>
      <c r="HR128" s="108"/>
      <c r="HS128" s="108"/>
      <c r="HT128" s="108"/>
      <c r="HU128" s="108"/>
      <c r="HV128" s="108"/>
      <c r="HW128" s="108"/>
      <c r="HX128" s="108"/>
      <c r="HY128" s="108"/>
      <c r="HZ128" s="108"/>
      <c r="IA128" s="108"/>
      <c r="IB128" s="108"/>
      <c r="IC128" s="108"/>
      <c r="ID128" s="108"/>
      <c r="IE128" s="108"/>
      <c r="IF128" s="108"/>
      <c r="IG128" s="108"/>
      <c r="IH128" s="108"/>
      <c r="II128" s="108"/>
      <c r="IJ128" s="108"/>
      <c r="IK128" s="108"/>
      <c r="IL128" s="108"/>
      <c r="IM128" s="108"/>
      <c r="IN128" s="108"/>
      <c r="IO128" s="108"/>
      <c r="IP128" s="108"/>
      <c r="IQ128" s="108"/>
      <c r="IR128" s="108"/>
      <c r="IS128" s="108"/>
      <c r="IT128" s="108"/>
      <c r="IU128" s="108"/>
      <c r="IV128" s="108"/>
      <c r="IW128" s="108"/>
    </row>
    <row r="129" spans="1:257" x14ac:dyDescent="0.3">
      <c r="A129" s="158"/>
      <c r="B129" s="158"/>
      <c r="C129" s="158"/>
      <c r="D129" s="158"/>
      <c r="E129" s="158"/>
      <c r="F129" s="158"/>
      <c r="G129" s="158"/>
      <c r="H129" s="158"/>
      <c r="I129" s="176"/>
      <c r="J129" s="158"/>
      <c r="K129" s="158"/>
      <c r="L129" s="158"/>
      <c r="M129" s="158"/>
      <c r="N129" s="158"/>
      <c r="O129" s="108"/>
      <c r="P129" s="108"/>
      <c r="Q129" s="108"/>
      <c r="R129" s="108"/>
      <c r="S129" s="108"/>
      <c r="T129" s="108"/>
      <c r="U129" s="108"/>
      <c r="V129" s="108"/>
      <c r="W129" s="108"/>
      <c r="X129" s="108"/>
      <c r="Y129" s="108"/>
      <c r="Z129" s="108"/>
      <c r="AA129" s="108"/>
      <c r="AB129" s="108"/>
      <c r="AC129" s="108"/>
      <c r="AD129" s="108"/>
      <c r="AE129" s="108"/>
      <c r="AF129" s="108"/>
      <c r="AG129" s="108"/>
      <c r="AH129" s="108"/>
      <c r="AI129" s="108"/>
      <c r="AJ129" s="108"/>
      <c r="AK129" s="108"/>
      <c r="AL129" s="108"/>
      <c r="AM129" s="108"/>
      <c r="AN129" s="108"/>
      <c r="AO129" s="108"/>
      <c r="AP129" s="108"/>
      <c r="AQ129" s="108"/>
      <c r="AR129" s="108"/>
      <c r="AS129" s="108"/>
      <c r="AT129" s="108"/>
      <c r="AU129" s="108"/>
      <c r="AV129" s="108"/>
      <c r="AW129" s="108"/>
      <c r="AX129" s="108"/>
      <c r="AY129" s="108"/>
      <c r="AZ129" s="108"/>
      <c r="BA129" s="108"/>
      <c r="BB129" s="108"/>
      <c r="BC129" s="108"/>
      <c r="BD129" s="108"/>
      <c r="BE129" s="108"/>
      <c r="BF129" s="108"/>
      <c r="BG129" s="108"/>
      <c r="BH129" s="108"/>
      <c r="BI129" s="108"/>
      <c r="BJ129" s="108"/>
      <c r="BK129" s="108"/>
      <c r="BL129" s="108"/>
      <c r="BM129" s="108"/>
      <c r="BN129" s="108"/>
      <c r="BO129" s="108"/>
      <c r="BP129" s="108"/>
      <c r="BQ129" s="108"/>
      <c r="BR129" s="108"/>
      <c r="BS129" s="108"/>
      <c r="BT129" s="108"/>
      <c r="BU129" s="108"/>
      <c r="BV129" s="108"/>
      <c r="BW129" s="108"/>
      <c r="BX129" s="108"/>
      <c r="BY129" s="108"/>
      <c r="BZ129" s="108"/>
      <c r="CA129" s="108"/>
      <c r="CB129" s="108"/>
      <c r="CC129" s="108"/>
      <c r="CD129" s="108"/>
      <c r="CE129" s="108"/>
      <c r="CF129" s="108"/>
      <c r="CG129" s="108"/>
      <c r="CH129" s="108"/>
      <c r="CI129" s="108"/>
      <c r="CJ129" s="108"/>
      <c r="CK129" s="108"/>
      <c r="CL129" s="108"/>
      <c r="CM129" s="108"/>
      <c r="CN129" s="108"/>
      <c r="CO129" s="108"/>
      <c r="CP129" s="108"/>
      <c r="CQ129" s="108"/>
      <c r="CR129" s="108"/>
      <c r="CS129" s="108"/>
      <c r="CT129" s="108"/>
      <c r="CU129" s="108"/>
      <c r="CV129" s="108"/>
      <c r="CW129" s="108"/>
      <c r="CX129" s="108"/>
      <c r="CY129" s="108"/>
      <c r="CZ129" s="108"/>
      <c r="DA129" s="108"/>
      <c r="DB129" s="108"/>
      <c r="DC129" s="108"/>
      <c r="DD129" s="108"/>
      <c r="DE129" s="108"/>
      <c r="DF129" s="108"/>
      <c r="DG129" s="108"/>
      <c r="DH129" s="108"/>
      <c r="DI129" s="108"/>
      <c r="DJ129" s="108"/>
      <c r="DK129" s="108"/>
      <c r="DL129" s="108"/>
      <c r="DM129" s="108"/>
      <c r="DN129" s="108"/>
      <c r="DO129" s="108"/>
      <c r="DP129" s="108"/>
      <c r="DQ129" s="108"/>
      <c r="DR129" s="108"/>
      <c r="DS129" s="108"/>
      <c r="DT129" s="108"/>
      <c r="DU129" s="108"/>
      <c r="DV129" s="108"/>
      <c r="DW129" s="108"/>
      <c r="DX129" s="108"/>
      <c r="DY129" s="108"/>
      <c r="DZ129" s="108"/>
      <c r="EA129" s="108"/>
      <c r="EB129" s="108"/>
      <c r="EC129" s="108"/>
      <c r="ED129" s="108"/>
      <c r="EE129" s="108"/>
      <c r="EF129" s="108"/>
      <c r="EG129" s="108"/>
      <c r="EH129" s="108"/>
      <c r="EI129" s="108"/>
      <c r="EJ129" s="108"/>
      <c r="EK129" s="108"/>
      <c r="EL129" s="108"/>
      <c r="EM129" s="108"/>
      <c r="EN129" s="108"/>
      <c r="EO129" s="108"/>
      <c r="EP129" s="108"/>
      <c r="EQ129" s="108"/>
      <c r="ER129" s="108"/>
      <c r="ES129" s="108"/>
      <c r="ET129" s="108"/>
      <c r="EU129" s="108"/>
      <c r="EV129" s="108"/>
      <c r="EW129" s="108"/>
      <c r="EX129" s="108"/>
      <c r="EY129" s="108"/>
      <c r="EZ129" s="108"/>
      <c r="FA129" s="108"/>
      <c r="FB129" s="108"/>
      <c r="FC129" s="108"/>
      <c r="FD129" s="108"/>
      <c r="FE129" s="108"/>
      <c r="FF129" s="108"/>
      <c r="FG129" s="108"/>
      <c r="FH129" s="108"/>
      <c r="FI129" s="108"/>
      <c r="FJ129" s="108"/>
      <c r="FK129" s="108"/>
      <c r="FL129" s="108"/>
      <c r="FM129" s="108"/>
      <c r="FN129" s="108"/>
      <c r="FO129" s="108"/>
      <c r="FP129" s="108"/>
      <c r="FQ129" s="108"/>
      <c r="FR129" s="108"/>
      <c r="FS129" s="108"/>
      <c r="FT129" s="108"/>
      <c r="FU129" s="108"/>
      <c r="FV129" s="108"/>
      <c r="FW129" s="108"/>
      <c r="FX129" s="108"/>
      <c r="FY129" s="108"/>
      <c r="FZ129" s="108"/>
      <c r="GA129" s="108"/>
      <c r="GB129" s="108"/>
      <c r="GC129" s="108"/>
      <c r="GD129" s="108"/>
      <c r="GE129" s="108"/>
      <c r="GF129" s="108"/>
      <c r="GG129" s="108"/>
      <c r="GH129" s="108"/>
      <c r="GI129" s="108"/>
      <c r="GJ129" s="108"/>
      <c r="GK129" s="108"/>
      <c r="GL129" s="108"/>
      <c r="GM129" s="108"/>
      <c r="GN129" s="108"/>
      <c r="GO129" s="108"/>
      <c r="GP129" s="108"/>
      <c r="GQ129" s="108"/>
      <c r="GR129" s="108"/>
      <c r="GS129" s="108"/>
      <c r="GT129" s="108"/>
      <c r="GU129" s="108"/>
      <c r="GV129" s="108"/>
      <c r="GW129" s="108"/>
      <c r="GX129" s="108"/>
      <c r="GY129" s="108"/>
      <c r="GZ129" s="108"/>
      <c r="HA129" s="108"/>
      <c r="HB129" s="108"/>
      <c r="HC129" s="108"/>
      <c r="HD129" s="108"/>
      <c r="HE129" s="108"/>
      <c r="HF129" s="108"/>
      <c r="HG129" s="108"/>
      <c r="HH129" s="108"/>
      <c r="HI129" s="108"/>
      <c r="HJ129" s="108"/>
      <c r="HK129" s="108"/>
      <c r="HL129" s="108"/>
      <c r="HM129" s="108"/>
      <c r="HN129" s="108"/>
      <c r="HO129" s="108"/>
      <c r="HP129" s="108"/>
      <c r="HQ129" s="108"/>
      <c r="HR129" s="108"/>
      <c r="HS129" s="108"/>
      <c r="HT129" s="108"/>
      <c r="HU129" s="108"/>
      <c r="HV129" s="108"/>
      <c r="HW129" s="108"/>
      <c r="HX129" s="108"/>
      <c r="HY129" s="108"/>
      <c r="HZ129" s="108"/>
      <c r="IA129" s="108"/>
      <c r="IB129" s="108"/>
      <c r="IC129" s="108"/>
      <c r="ID129" s="108"/>
      <c r="IE129" s="108"/>
      <c r="IF129" s="108"/>
      <c r="IG129" s="108"/>
      <c r="IH129" s="108"/>
      <c r="II129" s="108"/>
      <c r="IJ129" s="108"/>
      <c r="IK129" s="108"/>
      <c r="IL129" s="108"/>
      <c r="IM129" s="108"/>
      <c r="IN129" s="108"/>
      <c r="IO129" s="108"/>
      <c r="IP129" s="108"/>
      <c r="IQ129" s="108"/>
      <c r="IR129" s="108"/>
      <c r="IS129" s="108"/>
      <c r="IT129" s="108"/>
      <c r="IU129" s="108"/>
      <c r="IV129" s="108"/>
      <c r="IW129" s="108"/>
    </row>
    <row r="130" spans="1:257" x14ac:dyDescent="0.3">
      <c r="A130" s="158"/>
      <c r="B130" s="158"/>
      <c r="C130" s="158"/>
      <c r="D130" s="158"/>
      <c r="E130" s="158"/>
      <c r="F130" s="158"/>
      <c r="G130" s="158"/>
      <c r="H130" s="158"/>
      <c r="I130" s="176"/>
      <c r="J130" s="158"/>
      <c r="K130" s="158"/>
      <c r="L130" s="158"/>
      <c r="M130" s="158"/>
      <c r="N130" s="158"/>
      <c r="O130" s="108"/>
      <c r="P130" s="108"/>
      <c r="Q130" s="108"/>
      <c r="R130" s="108"/>
      <c r="S130" s="108"/>
      <c r="T130" s="108"/>
      <c r="U130" s="108"/>
      <c r="V130" s="108"/>
      <c r="W130" s="108"/>
      <c r="X130" s="108"/>
      <c r="Y130" s="108"/>
      <c r="Z130" s="108"/>
      <c r="AA130" s="108"/>
      <c r="AB130" s="108"/>
      <c r="AC130" s="108"/>
      <c r="AD130" s="108"/>
      <c r="AE130" s="108"/>
      <c r="AF130" s="108"/>
      <c r="AG130" s="108"/>
      <c r="AH130" s="108"/>
      <c r="AI130" s="108"/>
      <c r="AJ130" s="108"/>
      <c r="AK130" s="108"/>
      <c r="AL130" s="108"/>
      <c r="AM130" s="108"/>
      <c r="AN130" s="108"/>
      <c r="AO130" s="108"/>
      <c r="AP130" s="108"/>
      <c r="AQ130" s="108"/>
      <c r="AR130" s="108"/>
      <c r="AS130" s="108"/>
      <c r="AT130" s="108"/>
      <c r="AU130" s="108"/>
      <c r="AV130" s="108"/>
      <c r="AW130" s="108"/>
      <c r="AX130" s="108"/>
      <c r="AY130" s="108"/>
      <c r="AZ130" s="108"/>
      <c r="BA130" s="108"/>
      <c r="BB130" s="108"/>
      <c r="BC130" s="108"/>
      <c r="BD130" s="108"/>
      <c r="BE130" s="108"/>
      <c r="BF130" s="108"/>
      <c r="BG130" s="108"/>
      <c r="BH130" s="108"/>
      <c r="BI130" s="108"/>
      <c r="BJ130" s="108"/>
      <c r="BK130" s="108"/>
      <c r="BL130" s="108"/>
      <c r="BM130" s="108"/>
      <c r="BN130" s="108"/>
      <c r="BO130" s="108"/>
      <c r="BP130" s="108"/>
      <c r="BQ130" s="108"/>
      <c r="BR130" s="108"/>
      <c r="BS130" s="108"/>
      <c r="BT130" s="108"/>
      <c r="BU130" s="108"/>
      <c r="BV130" s="108"/>
      <c r="BW130" s="108"/>
      <c r="BX130" s="108"/>
      <c r="BY130" s="108"/>
      <c r="BZ130" s="108"/>
      <c r="CA130" s="108"/>
      <c r="CB130" s="108"/>
      <c r="CC130" s="108"/>
      <c r="CD130" s="108"/>
      <c r="CE130" s="108"/>
      <c r="CF130" s="108"/>
      <c r="CG130" s="108"/>
      <c r="CH130" s="108"/>
      <c r="CI130" s="108"/>
      <c r="CJ130" s="108"/>
      <c r="CK130" s="108"/>
      <c r="CL130" s="108"/>
      <c r="CM130" s="108"/>
      <c r="CN130" s="108"/>
      <c r="CO130" s="108"/>
      <c r="CP130" s="108"/>
      <c r="CQ130" s="108"/>
      <c r="CR130" s="108"/>
      <c r="CS130" s="108"/>
      <c r="CT130" s="108"/>
      <c r="CU130" s="108"/>
      <c r="CV130" s="108"/>
      <c r="CW130" s="108"/>
      <c r="CX130" s="108"/>
      <c r="CY130" s="108"/>
      <c r="CZ130" s="108"/>
      <c r="DA130" s="108"/>
      <c r="DB130" s="108"/>
      <c r="DC130" s="108"/>
      <c r="DD130" s="108"/>
      <c r="DE130" s="108"/>
      <c r="DF130" s="108"/>
      <c r="DG130" s="108"/>
      <c r="DH130" s="108"/>
      <c r="DI130" s="108"/>
      <c r="DJ130" s="108"/>
      <c r="DK130" s="108"/>
      <c r="DL130" s="108"/>
      <c r="DM130" s="108"/>
      <c r="DN130" s="108"/>
      <c r="DO130" s="108"/>
      <c r="DP130" s="108"/>
      <c r="DQ130" s="108"/>
      <c r="DR130" s="108"/>
      <c r="DS130" s="108"/>
      <c r="DT130" s="108"/>
      <c r="DU130" s="108"/>
      <c r="DV130" s="108"/>
      <c r="DW130" s="108"/>
      <c r="DX130" s="108"/>
      <c r="DY130" s="108"/>
      <c r="DZ130" s="108"/>
      <c r="EA130" s="108"/>
      <c r="EB130" s="108"/>
      <c r="EC130" s="108"/>
      <c r="ED130" s="108"/>
      <c r="EE130" s="108"/>
      <c r="EF130" s="108"/>
      <c r="EG130" s="108"/>
      <c r="EH130" s="108"/>
      <c r="EI130" s="108"/>
      <c r="EJ130" s="108"/>
      <c r="EK130" s="108"/>
      <c r="EL130" s="108"/>
      <c r="EM130" s="108"/>
      <c r="EN130" s="108"/>
      <c r="EO130" s="108"/>
      <c r="EP130" s="108"/>
      <c r="EQ130" s="108"/>
      <c r="ER130" s="108"/>
      <c r="ES130" s="108"/>
      <c r="ET130" s="108"/>
      <c r="EU130" s="108"/>
      <c r="EV130" s="108"/>
      <c r="EW130" s="108"/>
      <c r="EX130" s="108"/>
      <c r="EY130" s="108"/>
      <c r="EZ130" s="108"/>
      <c r="FA130" s="108"/>
      <c r="FB130" s="108"/>
      <c r="FC130" s="108"/>
      <c r="FD130" s="108"/>
      <c r="FE130" s="108"/>
      <c r="FF130" s="108"/>
      <c r="FG130" s="108"/>
      <c r="FH130" s="108"/>
      <c r="FI130" s="108"/>
      <c r="FJ130" s="108"/>
      <c r="FK130" s="108"/>
      <c r="FL130" s="108"/>
      <c r="FM130" s="108"/>
      <c r="FN130" s="108"/>
      <c r="FO130" s="108"/>
      <c r="FP130" s="108"/>
      <c r="FQ130" s="108"/>
      <c r="FR130" s="108"/>
      <c r="FS130" s="108"/>
      <c r="FT130" s="108"/>
      <c r="FU130" s="108"/>
      <c r="FV130" s="108"/>
      <c r="FW130" s="108"/>
      <c r="FX130" s="108"/>
      <c r="FY130" s="108"/>
      <c r="FZ130" s="108"/>
      <c r="GA130" s="108"/>
      <c r="GB130" s="108"/>
      <c r="GC130" s="108"/>
      <c r="GD130" s="108"/>
      <c r="GE130" s="108"/>
      <c r="GF130" s="108"/>
      <c r="GG130" s="108"/>
      <c r="GH130" s="108"/>
      <c r="GI130" s="108"/>
      <c r="GJ130" s="108"/>
      <c r="GK130" s="108"/>
      <c r="GL130" s="108"/>
      <c r="GM130" s="108"/>
      <c r="GN130" s="108"/>
      <c r="GO130" s="108"/>
      <c r="GP130" s="108"/>
      <c r="GQ130" s="108"/>
      <c r="GR130" s="108"/>
      <c r="GS130" s="108"/>
      <c r="GT130" s="108"/>
      <c r="GU130" s="108"/>
      <c r="GV130" s="108"/>
      <c r="GW130" s="108"/>
      <c r="GX130" s="108"/>
      <c r="GY130" s="108"/>
      <c r="GZ130" s="108"/>
      <c r="HA130" s="108"/>
      <c r="HB130" s="108"/>
      <c r="HC130" s="108"/>
      <c r="HD130" s="108"/>
      <c r="HE130" s="108"/>
      <c r="HF130" s="108"/>
      <c r="HG130" s="108"/>
      <c r="HH130" s="108"/>
      <c r="HI130" s="108"/>
      <c r="HJ130" s="108"/>
      <c r="HK130" s="108"/>
      <c r="HL130" s="108"/>
      <c r="HM130" s="108"/>
      <c r="HN130" s="108"/>
      <c r="HO130" s="108"/>
      <c r="HP130" s="108"/>
      <c r="HQ130" s="108"/>
      <c r="HR130" s="108"/>
      <c r="HS130" s="108"/>
      <c r="HT130" s="108"/>
      <c r="HU130" s="108"/>
      <c r="HV130" s="108"/>
      <c r="HW130" s="108"/>
      <c r="HX130" s="108"/>
      <c r="HY130" s="108"/>
      <c r="HZ130" s="108"/>
      <c r="IA130" s="108"/>
      <c r="IB130" s="108"/>
      <c r="IC130" s="108"/>
      <c r="ID130" s="108"/>
      <c r="IE130" s="108"/>
      <c r="IF130" s="108"/>
      <c r="IG130" s="108"/>
      <c r="IH130" s="108"/>
      <c r="II130" s="108"/>
      <c r="IJ130" s="108"/>
      <c r="IK130" s="108"/>
      <c r="IL130" s="108"/>
      <c r="IM130" s="108"/>
      <c r="IN130" s="108"/>
      <c r="IO130" s="108"/>
      <c r="IP130" s="108"/>
      <c r="IQ130" s="108"/>
      <c r="IR130" s="108"/>
      <c r="IS130" s="108"/>
      <c r="IT130" s="108"/>
      <c r="IU130" s="108"/>
      <c r="IV130" s="108"/>
      <c r="IW130" s="108"/>
    </row>
    <row r="131" spans="1:257" x14ac:dyDescent="0.3">
      <c r="A131" s="158"/>
      <c r="B131" s="158"/>
      <c r="C131" s="158"/>
      <c r="D131" s="158"/>
      <c r="E131" s="158"/>
      <c r="F131" s="158"/>
      <c r="G131" s="158"/>
      <c r="H131" s="158"/>
      <c r="I131" s="176"/>
      <c r="J131" s="158"/>
      <c r="K131" s="158"/>
      <c r="L131" s="158"/>
      <c r="M131" s="158"/>
      <c r="N131" s="158"/>
      <c r="O131" s="108"/>
      <c r="P131" s="108"/>
      <c r="Q131" s="108"/>
      <c r="R131" s="108"/>
      <c r="S131" s="108"/>
      <c r="T131" s="108"/>
      <c r="U131" s="108"/>
      <c r="V131" s="108"/>
      <c r="W131" s="108"/>
      <c r="X131" s="108"/>
      <c r="Y131" s="108"/>
      <c r="Z131" s="108"/>
      <c r="AA131" s="108"/>
      <c r="AB131" s="108"/>
      <c r="AC131" s="108"/>
      <c r="AD131" s="108"/>
      <c r="AE131" s="108"/>
      <c r="AF131" s="108"/>
      <c r="AG131" s="108"/>
      <c r="AH131" s="108"/>
      <c r="AI131" s="108"/>
      <c r="AJ131" s="108"/>
      <c r="AK131" s="108"/>
      <c r="AL131" s="108"/>
      <c r="AM131" s="108"/>
      <c r="AN131" s="108"/>
      <c r="AO131" s="108"/>
      <c r="AP131" s="108"/>
      <c r="AQ131" s="108"/>
      <c r="AR131" s="108"/>
      <c r="AS131" s="108"/>
      <c r="AT131" s="108"/>
      <c r="AU131" s="108"/>
      <c r="AV131" s="108"/>
      <c r="AW131" s="108"/>
      <c r="AX131" s="108"/>
      <c r="AY131" s="108"/>
      <c r="AZ131" s="108"/>
      <c r="BA131" s="108"/>
      <c r="BB131" s="108"/>
      <c r="BC131" s="108"/>
      <c r="BD131" s="108"/>
      <c r="BE131" s="108"/>
      <c r="BF131" s="108"/>
      <c r="BG131" s="108"/>
      <c r="BH131" s="108"/>
      <c r="BI131" s="108"/>
      <c r="BJ131" s="108"/>
      <c r="BK131" s="108"/>
      <c r="BL131" s="108"/>
      <c r="BM131" s="108"/>
      <c r="BN131" s="108"/>
      <c r="BO131" s="108"/>
      <c r="BP131" s="108"/>
      <c r="BQ131" s="108"/>
      <c r="BR131" s="108"/>
      <c r="BS131" s="108"/>
      <c r="BT131" s="108"/>
      <c r="BU131" s="108"/>
      <c r="BV131" s="108"/>
      <c r="BW131" s="108"/>
      <c r="BX131" s="108"/>
      <c r="BY131" s="108"/>
      <c r="BZ131" s="108"/>
      <c r="CA131" s="108"/>
      <c r="CB131" s="108"/>
      <c r="CC131" s="108"/>
      <c r="CD131" s="108"/>
      <c r="CE131" s="108"/>
      <c r="CF131" s="108"/>
      <c r="CG131" s="108"/>
      <c r="CH131" s="108"/>
      <c r="CI131" s="108"/>
      <c r="CJ131" s="108"/>
      <c r="CK131" s="108"/>
      <c r="CL131" s="108"/>
      <c r="CM131" s="108"/>
      <c r="CN131" s="108"/>
      <c r="CO131" s="108"/>
      <c r="CP131" s="108"/>
      <c r="CQ131" s="108"/>
      <c r="CR131" s="108"/>
      <c r="CS131" s="108"/>
      <c r="CT131" s="108"/>
      <c r="CU131" s="108"/>
      <c r="CV131" s="108"/>
      <c r="CW131" s="108"/>
      <c r="CX131" s="108"/>
      <c r="CY131" s="108"/>
      <c r="CZ131" s="108"/>
      <c r="DA131" s="108"/>
      <c r="DB131" s="108"/>
      <c r="DC131" s="108"/>
      <c r="DD131" s="108"/>
      <c r="DE131" s="108"/>
      <c r="DF131" s="108"/>
      <c r="DG131" s="108"/>
      <c r="DH131" s="108"/>
      <c r="DI131" s="108"/>
      <c r="DJ131" s="108"/>
      <c r="DK131" s="108"/>
      <c r="DL131" s="108"/>
      <c r="DM131" s="108"/>
      <c r="DN131" s="108"/>
      <c r="DO131" s="108"/>
      <c r="DP131" s="108"/>
      <c r="DQ131" s="108"/>
      <c r="DR131" s="108"/>
      <c r="DS131" s="108"/>
      <c r="DT131" s="108"/>
      <c r="DU131" s="108"/>
      <c r="DV131" s="108"/>
      <c r="DW131" s="108"/>
      <c r="DX131" s="108"/>
      <c r="DY131" s="108"/>
      <c r="DZ131" s="108"/>
      <c r="EA131" s="108"/>
      <c r="EB131" s="108"/>
      <c r="EC131" s="108"/>
      <c r="ED131" s="108"/>
      <c r="EE131" s="108"/>
      <c r="EF131" s="108"/>
      <c r="EG131" s="108"/>
      <c r="EH131" s="108"/>
      <c r="EI131" s="108"/>
      <c r="EJ131" s="108"/>
      <c r="EK131" s="108"/>
      <c r="EL131" s="108"/>
      <c r="EM131" s="108"/>
      <c r="EN131" s="108"/>
      <c r="EO131" s="108"/>
      <c r="EP131" s="108"/>
      <c r="EQ131" s="108"/>
      <c r="ER131" s="108"/>
      <c r="ES131" s="108"/>
      <c r="ET131" s="108"/>
      <c r="EU131" s="108"/>
      <c r="EV131" s="108"/>
      <c r="EW131" s="108"/>
      <c r="EX131" s="108"/>
      <c r="EY131" s="108"/>
      <c r="EZ131" s="108"/>
      <c r="FA131" s="108"/>
      <c r="FB131" s="108"/>
      <c r="FC131" s="108"/>
      <c r="FD131" s="108"/>
      <c r="FE131" s="108"/>
      <c r="FF131" s="108"/>
      <c r="FG131" s="108"/>
      <c r="FH131" s="108"/>
      <c r="FI131" s="108"/>
      <c r="FJ131" s="108"/>
      <c r="FK131" s="108"/>
      <c r="FL131" s="108"/>
      <c r="FM131" s="108"/>
      <c r="FN131" s="108"/>
      <c r="FO131" s="108"/>
      <c r="FP131" s="108"/>
      <c r="FQ131" s="108"/>
      <c r="FR131" s="108"/>
      <c r="FS131" s="108"/>
      <c r="FT131" s="108"/>
      <c r="FU131" s="108"/>
      <c r="FV131" s="108"/>
      <c r="FW131" s="108"/>
      <c r="FX131" s="108"/>
      <c r="FY131" s="108"/>
      <c r="FZ131" s="108"/>
      <c r="GA131" s="108"/>
      <c r="GB131" s="108"/>
      <c r="GC131" s="108"/>
      <c r="GD131" s="108"/>
      <c r="GE131" s="108"/>
      <c r="GF131" s="108"/>
      <c r="GG131" s="108"/>
      <c r="GH131" s="108"/>
      <c r="GI131" s="108"/>
      <c r="GJ131" s="108"/>
      <c r="GK131" s="108"/>
      <c r="GL131" s="108"/>
      <c r="GM131" s="108"/>
      <c r="GN131" s="108"/>
      <c r="GO131" s="108"/>
      <c r="GP131" s="108"/>
      <c r="GQ131" s="108"/>
      <c r="GR131" s="108"/>
      <c r="GS131" s="108"/>
      <c r="GT131" s="108"/>
      <c r="GU131" s="108"/>
      <c r="GV131" s="108"/>
      <c r="GW131" s="108"/>
      <c r="GX131" s="108"/>
      <c r="GY131" s="108"/>
      <c r="GZ131" s="108"/>
      <c r="HA131" s="108"/>
      <c r="HB131" s="108"/>
      <c r="HC131" s="108"/>
      <c r="HD131" s="108"/>
      <c r="HE131" s="108"/>
      <c r="HF131" s="108"/>
      <c r="HG131" s="108"/>
      <c r="HH131" s="108"/>
      <c r="HI131" s="108"/>
      <c r="HJ131" s="108"/>
      <c r="HK131" s="108"/>
      <c r="HL131" s="108"/>
      <c r="HM131" s="108"/>
      <c r="HN131" s="108"/>
      <c r="HO131" s="108"/>
      <c r="HP131" s="108"/>
      <c r="HQ131" s="108"/>
      <c r="HR131" s="108"/>
      <c r="HS131" s="108"/>
      <c r="HT131" s="108"/>
      <c r="HU131" s="108"/>
      <c r="HV131" s="108"/>
      <c r="HW131" s="108"/>
      <c r="HX131" s="108"/>
      <c r="HY131" s="108"/>
      <c r="HZ131" s="108"/>
      <c r="IA131" s="108"/>
      <c r="IB131" s="108"/>
      <c r="IC131" s="108"/>
      <c r="ID131" s="108"/>
      <c r="IE131" s="108"/>
      <c r="IF131" s="108"/>
      <c r="IG131" s="108"/>
      <c r="IH131" s="108"/>
      <c r="II131" s="108"/>
      <c r="IJ131" s="108"/>
      <c r="IK131" s="108"/>
      <c r="IL131" s="108"/>
      <c r="IM131" s="108"/>
      <c r="IN131" s="108"/>
      <c r="IO131" s="108"/>
      <c r="IP131" s="108"/>
      <c r="IQ131" s="108"/>
      <c r="IR131" s="108"/>
      <c r="IS131" s="108"/>
      <c r="IT131" s="108"/>
      <c r="IU131" s="108"/>
      <c r="IV131" s="108"/>
      <c r="IW131" s="108"/>
    </row>
    <row r="132" spans="1:257" x14ac:dyDescent="0.3">
      <c r="A132" s="158"/>
      <c r="B132" s="158"/>
      <c r="C132" s="158"/>
      <c r="D132" s="158"/>
      <c r="E132" s="158"/>
      <c r="F132" s="158"/>
      <c r="G132" s="158"/>
      <c r="H132" s="158"/>
      <c r="I132" s="176"/>
      <c r="J132" s="158"/>
      <c r="K132" s="158"/>
      <c r="L132" s="158"/>
      <c r="M132" s="158"/>
      <c r="N132" s="158"/>
      <c r="O132" s="108"/>
      <c r="P132" s="108"/>
      <c r="Q132" s="108"/>
      <c r="R132" s="108"/>
      <c r="S132" s="108"/>
      <c r="T132" s="108"/>
      <c r="U132" s="108"/>
      <c r="V132" s="108"/>
      <c r="W132" s="108"/>
      <c r="X132" s="108"/>
      <c r="Y132" s="108"/>
      <c r="Z132" s="108"/>
      <c r="AA132" s="108"/>
      <c r="AB132" s="108"/>
      <c r="AC132" s="108"/>
      <c r="AD132" s="108"/>
      <c r="AE132" s="108"/>
      <c r="AF132" s="108"/>
      <c r="AG132" s="108"/>
      <c r="AH132" s="108"/>
      <c r="AI132" s="108"/>
      <c r="AJ132" s="108"/>
      <c r="AK132" s="108"/>
      <c r="AL132" s="108"/>
      <c r="AM132" s="108"/>
      <c r="AN132" s="108"/>
      <c r="AO132" s="108"/>
      <c r="AP132" s="108"/>
      <c r="AQ132" s="108"/>
      <c r="AR132" s="108"/>
      <c r="AS132" s="108"/>
      <c r="AT132" s="108"/>
      <c r="AU132" s="108"/>
      <c r="AV132" s="108"/>
      <c r="AW132" s="108"/>
      <c r="AX132" s="108"/>
      <c r="AY132" s="108"/>
      <c r="AZ132" s="108"/>
      <c r="BA132" s="108"/>
      <c r="BB132" s="108"/>
      <c r="BC132" s="108"/>
      <c r="BD132" s="108"/>
      <c r="BE132" s="108"/>
      <c r="BF132" s="108"/>
      <c r="BG132" s="108"/>
      <c r="BH132" s="108"/>
      <c r="BI132" s="108"/>
      <c r="BJ132" s="108"/>
      <c r="BK132" s="108"/>
      <c r="BL132" s="108"/>
      <c r="BM132" s="108"/>
      <c r="BN132" s="108"/>
      <c r="BO132" s="108"/>
      <c r="BP132" s="108"/>
      <c r="BQ132" s="108"/>
      <c r="BR132" s="108"/>
      <c r="BS132" s="108"/>
      <c r="BT132" s="108"/>
      <c r="BU132" s="108"/>
      <c r="BV132" s="108"/>
      <c r="BW132" s="108"/>
      <c r="BX132" s="108"/>
      <c r="BY132" s="108"/>
      <c r="BZ132" s="108"/>
      <c r="CA132" s="108"/>
      <c r="CB132" s="108"/>
      <c r="CC132" s="108"/>
      <c r="CD132" s="108"/>
      <c r="CE132" s="108"/>
      <c r="CF132" s="108"/>
      <c r="CG132" s="108"/>
      <c r="CH132" s="108"/>
      <c r="CI132" s="108"/>
      <c r="CJ132" s="108"/>
      <c r="CK132" s="108"/>
      <c r="CL132" s="108"/>
      <c r="CM132" s="108"/>
      <c r="CN132" s="108"/>
      <c r="CO132" s="108"/>
      <c r="CP132" s="108"/>
      <c r="CQ132" s="108"/>
      <c r="CR132" s="108"/>
      <c r="CS132" s="108"/>
      <c r="CT132" s="108"/>
      <c r="CU132" s="108"/>
      <c r="CV132" s="108"/>
      <c r="CW132" s="108"/>
      <c r="CX132" s="108"/>
      <c r="CY132" s="108"/>
      <c r="CZ132" s="108"/>
      <c r="DA132" s="108"/>
      <c r="DB132" s="108"/>
      <c r="DC132" s="108"/>
      <c r="DD132" s="108"/>
      <c r="DE132" s="108"/>
      <c r="DF132" s="108"/>
      <c r="DG132" s="108"/>
      <c r="DH132" s="108"/>
      <c r="DI132" s="108"/>
      <c r="DJ132" s="108"/>
      <c r="DK132" s="108"/>
      <c r="DL132" s="108"/>
      <c r="DM132" s="108"/>
      <c r="DN132" s="108"/>
      <c r="DO132" s="108"/>
      <c r="DP132" s="108"/>
      <c r="DQ132" s="108"/>
      <c r="DR132" s="108"/>
      <c r="DS132" s="108"/>
      <c r="DT132" s="108"/>
      <c r="DU132" s="108"/>
      <c r="DV132" s="108"/>
      <c r="DW132" s="108"/>
      <c r="DX132" s="108"/>
      <c r="DY132" s="108"/>
      <c r="DZ132" s="108"/>
      <c r="EA132" s="108"/>
      <c r="EB132" s="108"/>
      <c r="EC132" s="108"/>
      <c r="ED132" s="108"/>
      <c r="EE132" s="108"/>
      <c r="EF132" s="108"/>
      <c r="EG132" s="108"/>
      <c r="EH132" s="108"/>
      <c r="EI132" s="108"/>
      <c r="EJ132" s="108"/>
      <c r="EK132" s="108"/>
      <c r="EL132" s="108"/>
      <c r="EM132" s="108"/>
      <c r="EN132" s="108"/>
      <c r="EO132" s="108"/>
      <c r="EP132" s="108"/>
      <c r="EQ132" s="108"/>
      <c r="ER132" s="108"/>
      <c r="ES132" s="108"/>
      <c r="ET132" s="108"/>
      <c r="EU132" s="108"/>
      <c r="EV132" s="108"/>
      <c r="EW132" s="108"/>
      <c r="EX132" s="108"/>
      <c r="EY132" s="108"/>
      <c r="EZ132" s="108"/>
      <c r="FA132" s="108"/>
      <c r="FB132" s="108"/>
      <c r="FC132" s="108"/>
      <c r="FD132" s="108"/>
      <c r="FE132" s="108"/>
      <c r="FF132" s="108"/>
      <c r="FG132" s="108"/>
      <c r="FH132" s="108"/>
      <c r="FI132" s="108"/>
      <c r="FJ132" s="108"/>
      <c r="FK132" s="108"/>
      <c r="FL132" s="108"/>
      <c r="FM132" s="108"/>
      <c r="FN132" s="108"/>
      <c r="FO132" s="108"/>
      <c r="FP132" s="108"/>
      <c r="FQ132" s="108"/>
      <c r="FR132" s="108"/>
      <c r="FS132" s="108"/>
      <c r="FT132" s="108"/>
      <c r="FU132" s="108"/>
      <c r="FV132" s="108"/>
      <c r="FW132" s="108"/>
      <c r="FX132" s="108"/>
      <c r="FY132" s="108"/>
      <c r="FZ132" s="108"/>
      <c r="GA132" s="108"/>
      <c r="GB132" s="108"/>
      <c r="GC132" s="108"/>
      <c r="GD132" s="108"/>
      <c r="GE132" s="108"/>
      <c r="GF132" s="108"/>
      <c r="GG132" s="108"/>
      <c r="GH132" s="108"/>
      <c r="GI132" s="108"/>
      <c r="GJ132" s="108"/>
      <c r="GK132" s="108"/>
      <c r="GL132" s="108"/>
      <c r="GM132" s="108"/>
      <c r="GN132" s="108"/>
      <c r="GO132" s="108"/>
      <c r="GP132" s="108"/>
      <c r="GQ132" s="108"/>
      <c r="GR132" s="108"/>
      <c r="GS132" s="108"/>
      <c r="GT132" s="108"/>
      <c r="GU132" s="108"/>
      <c r="GV132" s="108"/>
      <c r="GW132" s="108"/>
      <c r="GX132" s="108"/>
      <c r="GY132" s="108"/>
      <c r="GZ132" s="108"/>
      <c r="HA132" s="108"/>
      <c r="HB132" s="108"/>
      <c r="HC132" s="108"/>
      <c r="HD132" s="108"/>
      <c r="HE132" s="108"/>
      <c r="HF132" s="108"/>
      <c r="HG132" s="108"/>
      <c r="HH132" s="108"/>
      <c r="HI132" s="108"/>
      <c r="HJ132" s="108"/>
      <c r="HK132" s="108"/>
      <c r="HL132" s="108"/>
      <c r="HM132" s="108"/>
      <c r="HN132" s="108"/>
      <c r="HO132" s="108"/>
      <c r="HP132" s="108"/>
      <c r="HQ132" s="108"/>
      <c r="HR132" s="108"/>
      <c r="HS132" s="108"/>
      <c r="HT132" s="108"/>
      <c r="HU132" s="108"/>
      <c r="HV132" s="108"/>
      <c r="HW132" s="108"/>
      <c r="HX132" s="108"/>
      <c r="HY132" s="108"/>
      <c r="HZ132" s="108"/>
      <c r="IA132" s="108"/>
      <c r="IB132" s="108"/>
      <c r="IC132" s="108"/>
      <c r="ID132" s="108"/>
      <c r="IE132" s="108"/>
      <c r="IF132" s="108"/>
      <c r="IG132" s="108"/>
      <c r="IH132" s="108"/>
      <c r="II132" s="108"/>
      <c r="IJ132" s="108"/>
      <c r="IK132" s="108"/>
      <c r="IL132" s="108"/>
      <c r="IM132" s="108"/>
      <c r="IN132" s="108"/>
      <c r="IO132" s="108"/>
      <c r="IP132" s="108"/>
      <c r="IQ132" s="108"/>
      <c r="IR132" s="108"/>
      <c r="IS132" s="108"/>
      <c r="IT132" s="108"/>
      <c r="IU132" s="108"/>
      <c r="IV132" s="108"/>
      <c r="IW132" s="108"/>
    </row>
    <row r="133" spans="1:257" x14ac:dyDescent="0.3">
      <c r="A133" s="158"/>
      <c r="B133" s="158"/>
      <c r="C133" s="158"/>
      <c r="D133" s="158"/>
      <c r="E133" s="158"/>
      <c r="F133" s="158"/>
      <c r="G133" s="158"/>
      <c r="H133" s="158"/>
      <c r="I133" s="176"/>
      <c r="J133" s="158"/>
      <c r="K133" s="158"/>
      <c r="L133" s="158"/>
      <c r="M133" s="158"/>
      <c r="N133" s="158"/>
      <c r="O133" s="108"/>
      <c r="P133" s="108"/>
      <c r="Q133" s="108"/>
      <c r="R133" s="108"/>
      <c r="S133" s="108"/>
      <c r="T133" s="108"/>
      <c r="U133" s="108"/>
      <c r="V133" s="108"/>
      <c r="W133" s="108"/>
      <c r="X133" s="108"/>
      <c r="Y133" s="108"/>
      <c r="Z133" s="108"/>
      <c r="AA133" s="108"/>
      <c r="AB133" s="108"/>
      <c r="AC133" s="108"/>
      <c r="AD133" s="108"/>
      <c r="AE133" s="108"/>
      <c r="AF133" s="108"/>
      <c r="AG133" s="108"/>
      <c r="AH133" s="108"/>
      <c r="AI133" s="108"/>
      <c r="AJ133" s="108"/>
      <c r="AK133" s="108"/>
      <c r="AL133" s="108"/>
      <c r="AM133" s="108"/>
      <c r="AN133" s="108"/>
      <c r="AO133" s="108"/>
      <c r="AP133" s="108"/>
      <c r="AQ133" s="108"/>
      <c r="AR133" s="108"/>
      <c r="AS133" s="108"/>
      <c r="AT133" s="108"/>
      <c r="AU133" s="108"/>
      <c r="AV133" s="108"/>
      <c r="AW133" s="108"/>
      <c r="AX133" s="108"/>
      <c r="AY133" s="108"/>
      <c r="AZ133" s="108"/>
      <c r="BA133" s="108"/>
      <c r="BB133" s="108"/>
      <c r="BC133" s="108"/>
      <c r="BD133" s="108"/>
      <c r="BE133" s="108"/>
      <c r="BF133" s="108"/>
      <c r="BG133" s="108"/>
      <c r="BH133" s="108"/>
      <c r="BI133" s="108"/>
      <c r="BJ133" s="108"/>
      <c r="BK133" s="108"/>
      <c r="BL133" s="108"/>
      <c r="BM133" s="108"/>
      <c r="BN133" s="108"/>
      <c r="BO133" s="108"/>
      <c r="BP133" s="108"/>
      <c r="BQ133" s="108"/>
      <c r="BR133" s="108"/>
      <c r="BS133" s="108"/>
      <c r="BT133" s="108"/>
      <c r="BU133" s="108"/>
      <c r="BV133" s="108"/>
      <c r="BW133" s="108"/>
      <c r="BX133" s="108"/>
      <c r="BY133" s="108"/>
      <c r="BZ133" s="108"/>
      <c r="CA133" s="108"/>
      <c r="CB133" s="108"/>
      <c r="CC133" s="108"/>
      <c r="CD133" s="108"/>
      <c r="CE133" s="108"/>
      <c r="CF133" s="108"/>
      <c r="CG133" s="108"/>
      <c r="CH133" s="108"/>
      <c r="CI133" s="108"/>
      <c r="CJ133" s="108"/>
      <c r="CK133" s="108"/>
      <c r="CL133" s="108"/>
      <c r="CM133" s="108"/>
      <c r="CN133" s="108"/>
      <c r="CO133" s="108"/>
      <c r="CP133" s="108"/>
      <c r="CQ133" s="108"/>
      <c r="CR133" s="108"/>
      <c r="CS133" s="108"/>
      <c r="CT133" s="108"/>
      <c r="CU133" s="108"/>
      <c r="CV133" s="108"/>
      <c r="CW133" s="108"/>
      <c r="CX133" s="108"/>
      <c r="CY133" s="108"/>
      <c r="CZ133" s="108"/>
      <c r="DA133" s="108"/>
      <c r="DB133" s="108"/>
      <c r="DC133" s="108"/>
      <c r="DD133" s="108"/>
      <c r="DE133" s="108"/>
      <c r="DF133" s="108"/>
      <c r="DG133" s="108"/>
      <c r="DH133" s="108"/>
      <c r="DI133" s="108"/>
      <c r="DJ133" s="108"/>
      <c r="DK133" s="108"/>
      <c r="DL133" s="108"/>
      <c r="DM133" s="108"/>
      <c r="DN133" s="108"/>
      <c r="DO133" s="108"/>
      <c r="DP133" s="108"/>
      <c r="DQ133" s="108"/>
      <c r="DR133" s="108"/>
      <c r="DS133" s="108"/>
      <c r="DT133" s="108"/>
      <c r="DU133" s="108"/>
      <c r="DV133" s="108"/>
      <c r="DW133" s="108"/>
      <c r="DX133" s="108"/>
      <c r="DY133" s="108"/>
      <c r="DZ133" s="108"/>
      <c r="EA133" s="108"/>
      <c r="EB133" s="108"/>
      <c r="EC133" s="108"/>
      <c r="ED133" s="108"/>
      <c r="EE133" s="108"/>
      <c r="EF133" s="108"/>
      <c r="EG133" s="108"/>
      <c r="EH133" s="108"/>
      <c r="EI133" s="108"/>
      <c r="EJ133" s="108"/>
      <c r="EK133" s="108"/>
      <c r="EL133" s="108"/>
      <c r="EM133" s="108"/>
      <c r="EN133" s="108"/>
      <c r="EO133" s="108"/>
      <c r="EP133" s="108"/>
      <c r="EQ133" s="108"/>
      <c r="ER133" s="108"/>
      <c r="ES133" s="108"/>
      <c r="ET133" s="108"/>
      <c r="EU133" s="108"/>
      <c r="EV133" s="108"/>
      <c r="EW133" s="108"/>
      <c r="EX133" s="108"/>
      <c r="EY133" s="108"/>
      <c r="EZ133" s="108"/>
      <c r="FA133" s="108"/>
      <c r="FB133" s="108"/>
      <c r="FC133" s="108"/>
      <c r="FD133" s="108"/>
      <c r="FE133" s="108"/>
      <c r="FF133" s="108"/>
      <c r="FG133" s="108"/>
      <c r="FH133" s="108"/>
      <c r="FI133" s="108"/>
      <c r="FJ133" s="108"/>
      <c r="FK133" s="108"/>
      <c r="FL133" s="108"/>
      <c r="FM133" s="108"/>
      <c r="FN133" s="108"/>
      <c r="FO133" s="108"/>
      <c r="FP133" s="108"/>
      <c r="FQ133" s="108"/>
      <c r="FR133" s="108"/>
      <c r="FS133" s="108"/>
      <c r="FT133" s="108"/>
      <c r="FU133" s="108"/>
      <c r="FV133" s="108"/>
      <c r="FW133" s="108"/>
      <c r="FX133" s="108"/>
      <c r="FY133" s="108"/>
      <c r="FZ133" s="108"/>
      <c r="GA133" s="108"/>
      <c r="GB133" s="108"/>
      <c r="GC133" s="108"/>
      <c r="GD133" s="108"/>
      <c r="GE133" s="108"/>
      <c r="GF133" s="108"/>
      <c r="GG133" s="108"/>
      <c r="GH133" s="108"/>
      <c r="GI133" s="108"/>
      <c r="GJ133" s="108"/>
      <c r="GK133" s="108"/>
      <c r="GL133" s="108"/>
      <c r="GM133" s="108"/>
      <c r="GN133" s="108"/>
      <c r="GO133" s="108"/>
      <c r="GP133" s="108"/>
      <c r="GQ133" s="108"/>
      <c r="GR133" s="108"/>
      <c r="GS133" s="108"/>
      <c r="GT133" s="108"/>
      <c r="GU133" s="108"/>
      <c r="GV133" s="108"/>
      <c r="GW133" s="108"/>
      <c r="GX133" s="108"/>
      <c r="GY133" s="108"/>
      <c r="GZ133" s="108"/>
      <c r="HA133" s="108"/>
      <c r="HB133" s="108"/>
      <c r="HC133" s="108"/>
      <c r="HD133" s="108"/>
      <c r="HE133" s="108"/>
      <c r="HF133" s="108"/>
      <c r="HG133" s="108"/>
      <c r="HH133" s="108"/>
      <c r="HI133" s="108"/>
      <c r="HJ133" s="108"/>
      <c r="HK133" s="108"/>
      <c r="HL133" s="108"/>
      <c r="HM133" s="108"/>
      <c r="HN133" s="108"/>
      <c r="HO133" s="108"/>
      <c r="HP133" s="108"/>
      <c r="HQ133" s="108"/>
      <c r="HR133" s="108"/>
      <c r="HS133" s="108"/>
      <c r="HT133" s="108"/>
      <c r="HU133" s="108"/>
      <c r="HV133" s="108"/>
      <c r="HW133" s="108"/>
      <c r="HX133" s="108"/>
      <c r="HY133" s="108"/>
      <c r="HZ133" s="108"/>
      <c r="IA133" s="108"/>
      <c r="IB133" s="108"/>
      <c r="IC133" s="108"/>
      <c r="ID133" s="108"/>
      <c r="IE133" s="108"/>
      <c r="IF133" s="108"/>
      <c r="IG133" s="108"/>
      <c r="IH133" s="108"/>
      <c r="II133" s="108"/>
      <c r="IJ133" s="108"/>
      <c r="IK133" s="108"/>
      <c r="IL133" s="108"/>
      <c r="IM133" s="108"/>
      <c r="IN133" s="108"/>
      <c r="IO133" s="108"/>
      <c r="IP133" s="108"/>
      <c r="IQ133" s="108"/>
      <c r="IR133" s="108"/>
      <c r="IS133" s="108"/>
      <c r="IT133" s="108"/>
      <c r="IU133" s="108"/>
      <c r="IV133" s="108"/>
      <c r="IW133" s="108"/>
    </row>
  </sheetData>
  <sortState xmlns:xlrd2="http://schemas.microsoft.com/office/spreadsheetml/2017/richdata2" ref="I6:L45">
    <sortCondition descending="1" ref="L6:L45"/>
  </sortState>
  <mergeCells count="1">
    <mergeCell ref="B1:M1"/>
  </mergeCells>
  <pageMargins left="0.7" right="0.7" top="0.75" bottom="0.75" header="0.3" footer="0.3"/>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rgb="FFFF0000"/>
  </sheetPr>
  <dimension ref="A1:IW133"/>
  <sheetViews>
    <sheetView zoomScale="55" zoomScaleNormal="55" workbookViewId="0">
      <selection activeCell="I5" sqref="I5:L45"/>
    </sheetView>
  </sheetViews>
  <sheetFormatPr defaultColWidth="8.77734375" defaultRowHeight="14.4" x14ac:dyDescent="0.3"/>
  <cols>
    <col min="2" max="2" width="15.77734375" bestFit="1" customWidth="1"/>
    <col min="3" max="3" width="13.44140625" bestFit="1" customWidth="1"/>
    <col min="4" max="4" width="9" bestFit="1" customWidth="1"/>
    <col min="5" max="5" width="15.77734375" bestFit="1" customWidth="1"/>
    <col min="9" max="9" width="12" customWidth="1"/>
    <col min="10" max="10" width="10.5546875" bestFit="1" customWidth="1"/>
    <col min="11" max="11" width="9" bestFit="1" customWidth="1"/>
    <col min="12" max="12" width="15.77734375" bestFit="1" customWidth="1"/>
  </cols>
  <sheetData>
    <row r="1" spans="1:257" ht="15" thickBot="1" x14ac:dyDescent="0.35">
      <c r="A1" s="158"/>
      <c r="B1" s="213" t="s">
        <v>776</v>
      </c>
      <c r="C1" s="214"/>
      <c r="D1" s="214"/>
      <c r="E1" s="214"/>
      <c r="F1" s="214"/>
      <c r="G1" s="214"/>
      <c r="H1" s="214"/>
      <c r="I1" s="214"/>
      <c r="J1" s="214"/>
      <c r="K1" s="214"/>
      <c r="L1" s="214"/>
      <c r="M1" s="215"/>
      <c r="N1" s="158"/>
      <c r="O1" s="108"/>
      <c r="P1" s="108"/>
      <c r="Q1" s="108"/>
      <c r="R1" s="108"/>
      <c r="S1" s="108"/>
      <c r="T1" s="108"/>
      <c r="U1" s="108"/>
      <c r="V1" s="108"/>
      <c r="W1" s="108"/>
      <c r="X1" s="108"/>
      <c r="Y1" s="108"/>
      <c r="Z1" s="108"/>
      <c r="AA1" s="108"/>
      <c r="AB1" s="108"/>
      <c r="AC1" s="108"/>
      <c r="AD1" s="108"/>
      <c r="AE1" s="108"/>
      <c r="AF1" s="108"/>
      <c r="AG1" s="108"/>
      <c r="AH1" s="108"/>
      <c r="AI1" s="108"/>
      <c r="AJ1" s="108"/>
      <c r="AK1" s="108"/>
      <c r="AL1" s="108"/>
      <c r="AM1" s="108"/>
      <c r="AN1" s="108"/>
      <c r="AO1" s="108"/>
      <c r="AP1" s="108"/>
      <c r="AQ1" s="108"/>
      <c r="AR1" s="108"/>
      <c r="AS1" s="108"/>
      <c r="AT1" s="108"/>
      <c r="AU1" s="108"/>
      <c r="AV1" s="108"/>
      <c r="AW1" s="108"/>
      <c r="AX1" s="108"/>
      <c r="AY1" s="108"/>
      <c r="AZ1" s="108"/>
      <c r="BA1" s="108"/>
      <c r="BB1" s="108"/>
      <c r="BC1" s="108"/>
      <c r="BD1" s="108"/>
      <c r="BE1" s="108"/>
      <c r="BF1" s="108"/>
      <c r="BG1" s="108"/>
      <c r="BH1" s="108"/>
      <c r="BI1" s="108"/>
      <c r="BJ1" s="108"/>
      <c r="BK1" s="108"/>
      <c r="BL1" s="108"/>
      <c r="BM1" s="108"/>
      <c r="BN1" s="108"/>
      <c r="BO1" s="108"/>
      <c r="BP1" s="108"/>
      <c r="BQ1" s="108"/>
      <c r="BR1" s="108"/>
      <c r="BS1" s="108"/>
      <c r="BT1" s="108"/>
      <c r="BU1" s="108"/>
      <c r="BV1" s="108"/>
      <c r="BW1" s="108"/>
      <c r="BX1" s="108"/>
      <c r="BY1" s="108"/>
      <c r="BZ1" s="108"/>
      <c r="CA1" s="108"/>
      <c r="CB1" s="108"/>
      <c r="CC1" s="108"/>
      <c r="CD1" s="108"/>
      <c r="CE1" s="108"/>
      <c r="CF1" s="108"/>
      <c r="CG1" s="108"/>
      <c r="CH1" s="108"/>
      <c r="CI1" s="108"/>
      <c r="CJ1" s="108"/>
      <c r="CK1" s="108"/>
      <c r="CL1" s="108"/>
      <c r="CM1" s="108"/>
      <c r="CN1" s="108"/>
      <c r="CO1" s="108"/>
      <c r="CP1" s="108"/>
      <c r="CQ1" s="108"/>
      <c r="CR1" s="108"/>
      <c r="CS1" s="108"/>
      <c r="CT1" s="108"/>
      <c r="CU1" s="108"/>
      <c r="CV1" s="108"/>
      <c r="CW1" s="108"/>
      <c r="CX1" s="108"/>
      <c r="CY1" s="108"/>
      <c r="CZ1" s="108"/>
      <c r="DA1" s="108"/>
      <c r="DB1" s="108"/>
      <c r="DC1" s="108"/>
      <c r="DD1" s="108"/>
      <c r="DE1" s="108"/>
      <c r="DF1" s="108"/>
      <c r="DG1" s="108"/>
      <c r="DH1" s="108"/>
      <c r="DI1" s="108"/>
      <c r="DJ1" s="108"/>
      <c r="DK1" s="108"/>
      <c r="DL1" s="108"/>
      <c r="DM1" s="108"/>
      <c r="DN1" s="108"/>
      <c r="DO1" s="108"/>
      <c r="DP1" s="108"/>
      <c r="DQ1" s="108"/>
      <c r="DR1" s="108"/>
      <c r="DS1" s="108"/>
      <c r="DT1" s="108"/>
      <c r="DU1" s="108"/>
      <c r="DV1" s="108"/>
      <c r="DW1" s="108"/>
      <c r="DX1" s="108"/>
      <c r="DY1" s="108"/>
      <c r="DZ1" s="108"/>
      <c r="EA1" s="108"/>
      <c r="EB1" s="108"/>
      <c r="EC1" s="108"/>
      <c r="ED1" s="108"/>
      <c r="EE1" s="108"/>
      <c r="EF1" s="108"/>
      <c r="EG1" s="108"/>
      <c r="EH1" s="108"/>
      <c r="EI1" s="108"/>
      <c r="EJ1" s="108"/>
      <c r="EK1" s="108"/>
      <c r="EL1" s="108"/>
      <c r="EM1" s="108"/>
      <c r="EN1" s="108"/>
      <c r="EO1" s="108"/>
      <c r="EP1" s="108"/>
      <c r="EQ1" s="108"/>
      <c r="ER1" s="108"/>
      <c r="ES1" s="108"/>
      <c r="ET1" s="108"/>
      <c r="EU1" s="108"/>
      <c r="EV1" s="108"/>
      <c r="EW1" s="108"/>
      <c r="EX1" s="108"/>
      <c r="EY1" s="108"/>
      <c r="EZ1" s="108"/>
      <c r="FA1" s="108"/>
      <c r="FB1" s="108"/>
      <c r="FC1" s="108"/>
      <c r="FD1" s="108"/>
      <c r="FE1" s="108"/>
      <c r="FF1" s="108"/>
      <c r="FG1" s="108"/>
      <c r="FH1" s="108"/>
      <c r="FI1" s="108"/>
      <c r="FJ1" s="108"/>
      <c r="FK1" s="108"/>
      <c r="FL1" s="108"/>
      <c r="FM1" s="108"/>
      <c r="FN1" s="108"/>
      <c r="FO1" s="108"/>
      <c r="FP1" s="108"/>
      <c r="FQ1" s="108"/>
      <c r="FR1" s="108"/>
      <c r="FS1" s="108"/>
      <c r="FT1" s="108"/>
      <c r="FU1" s="108"/>
      <c r="FV1" s="108"/>
      <c r="FW1" s="108"/>
      <c r="FX1" s="108"/>
      <c r="FY1" s="108"/>
      <c r="FZ1" s="108"/>
      <c r="GA1" s="108"/>
      <c r="GB1" s="108"/>
      <c r="GC1" s="108"/>
      <c r="GD1" s="108"/>
      <c r="GE1" s="108"/>
      <c r="GF1" s="108"/>
      <c r="GG1" s="108"/>
      <c r="GH1" s="108"/>
      <c r="GI1" s="108"/>
      <c r="GJ1" s="108"/>
      <c r="GK1" s="108"/>
      <c r="GL1" s="108"/>
      <c r="GM1" s="108"/>
      <c r="GN1" s="108"/>
      <c r="GO1" s="108"/>
      <c r="GP1" s="108"/>
      <c r="GQ1" s="108"/>
      <c r="GR1" s="108"/>
      <c r="GS1" s="108"/>
      <c r="GT1" s="108"/>
      <c r="GU1" s="108"/>
      <c r="GV1" s="108"/>
      <c r="GW1" s="108"/>
      <c r="GX1" s="108"/>
      <c r="GY1" s="108"/>
      <c r="GZ1" s="108"/>
      <c r="HA1" s="108"/>
      <c r="HB1" s="108"/>
      <c r="HC1" s="108"/>
      <c r="HD1" s="108"/>
      <c r="HE1" s="108"/>
      <c r="HF1" s="108"/>
      <c r="HG1" s="108"/>
      <c r="HH1" s="108"/>
      <c r="HI1" s="108"/>
      <c r="HJ1" s="108"/>
      <c r="HK1" s="108"/>
      <c r="HL1" s="108"/>
      <c r="HM1" s="108"/>
      <c r="HN1" s="108"/>
      <c r="HO1" s="108"/>
      <c r="HP1" s="108"/>
      <c r="HQ1" s="108"/>
      <c r="HR1" s="108"/>
      <c r="HS1" s="108"/>
      <c r="HT1" s="108"/>
      <c r="HU1" s="108"/>
      <c r="HV1" s="108"/>
      <c r="HW1" s="108"/>
      <c r="HX1" s="108"/>
      <c r="HY1" s="108"/>
      <c r="HZ1" s="108"/>
      <c r="IA1" s="108"/>
      <c r="IB1" s="108"/>
      <c r="IC1" s="108"/>
      <c r="ID1" s="108"/>
      <c r="IE1" s="108"/>
      <c r="IF1" s="108"/>
      <c r="IG1" s="108"/>
      <c r="IH1" s="108"/>
      <c r="II1" s="108"/>
      <c r="IJ1" s="108"/>
      <c r="IK1" s="108"/>
      <c r="IL1" s="108"/>
      <c r="IM1" s="108"/>
      <c r="IN1" s="108"/>
      <c r="IO1" s="108"/>
      <c r="IP1" s="108"/>
      <c r="IQ1" s="108"/>
      <c r="IR1" s="108"/>
      <c r="IS1" s="108"/>
      <c r="IT1" s="108"/>
      <c r="IU1" s="108"/>
      <c r="IV1" s="108"/>
      <c r="IW1" s="108"/>
    </row>
    <row r="2" spans="1:257" ht="15" thickBot="1" x14ac:dyDescent="0.35">
      <c r="A2" s="158"/>
      <c r="B2" s="159"/>
      <c r="C2" s="160"/>
      <c r="D2" s="160"/>
      <c r="E2" s="160"/>
      <c r="F2" s="158"/>
      <c r="G2" s="158"/>
      <c r="H2" s="158"/>
      <c r="I2" s="158"/>
      <c r="J2" s="158"/>
      <c r="K2" s="158"/>
      <c r="L2" s="158"/>
      <c r="M2" s="158"/>
      <c r="N2" s="158"/>
      <c r="O2" s="108"/>
      <c r="P2" s="108"/>
      <c r="Q2" s="108"/>
      <c r="R2" s="108"/>
      <c r="S2" s="108"/>
      <c r="T2" s="108"/>
      <c r="U2" s="108"/>
      <c r="V2" s="108"/>
      <c r="W2" s="108"/>
      <c r="X2" s="108"/>
      <c r="Y2" s="108"/>
      <c r="Z2" s="108"/>
      <c r="AA2" s="108"/>
      <c r="AB2" s="108"/>
      <c r="AC2" s="108"/>
      <c r="AD2" s="108"/>
      <c r="AE2" s="108"/>
      <c r="AF2" s="108"/>
      <c r="AG2" s="108"/>
      <c r="AH2" s="108"/>
      <c r="AI2" s="108"/>
      <c r="AJ2" s="108"/>
      <c r="AK2" s="108"/>
      <c r="AL2" s="108"/>
      <c r="AM2" s="108"/>
      <c r="AN2" s="108"/>
      <c r="AO2" s="108"/>
      <c r="AP2" s="108"/>
      <c r="AQ2" s="108"/>
      <c r="AR2" s="108"/>
      <c r="AS2" s="108"/>
      <c r="AT2" s="108"/>
      <c r="AU2" s="108"/>
      <c r="AV2" s="108"/>
      <c r="AW2" s="108"/>
      <c r="AX2" s="108"/>
      <c r="AY2" s="108"/>
      <c r="AZ2" s="108"/>
      <c r="BA2" s="108"/>
      <c r="BB2" s="108"/>
      <c r="BC2" s="108"/>
      <c r="BD2" s="108"/>
      <c r="BE2" s="108"/>
      <c r="BF2" s="108"/>
      <c r="BG2" s="108"/>
      <c r="BH2" s="108"/>
      <c r="BI2" s="108"/>
      <c r="BJ2" s="108"/>
      <c r="BK2" s="108"/>
      <c r="BL2" s="108"/>
      <c r="BM2" s="108"/>
      <c r="BN2" s="108"/>
      <c r="BO2" s="108"/>
      <c r="BP2" s="108"/>
      <c r="BQ2" s="108"/>
      <c r="BR2" s="108"/>
      <c r="BS2" s="108"/>
      <c r="BT2" s="108"/>
      <c r="BU2" s="108"/>
      <c r="BV2" s="108"/>
      <c r="BW2" s="108"/>
      <c r="BX2" s="108"/>
      <c r="BY2" s="108"/>
      <c r="BZ2" s="108"/>
      <c r="CA2" s="108"/>
      <c r="CB2" s="108"/>
      <c r="CC2" s="108"/>
      <c r="CD2" s="108"/>
      <c r="CE2" s="108"/>
      <c r="CF2" s="108"/>
      <c r="CG2" s="108"/>
      <c r="CH2" s="108"/>
      <c r="CI2" s="108"/>
      <c r="CJ2" s="108"/>
      <c r="CK2" s="108"/>
      <c r="CL2" s="108"/>
      <c r="CM2" s="108"/>
      <c r="CN2" s="108"/>
      <c r="CO2" s="108"/>
      <c r="CP2" s="108"/>
      <c r="CQ2" s="108"/>
      <c r="CR2" s="108"/>
      <c r="CS2" s="108"/>
      <c r="CT2" s="108"/>
      <c r="CU2" s="108"/>
      <c r="CV2" s="108"/>
      <c r="CW2" s="108"/>
      <c r="CX2" s="108"/>
      <c r="CY2" s="108"/>
      <c r="CZ2" s="108"/>
      <c r="DA2" s="108"/>
      <c r="DB2" s="108"/>
      <c r="DC2" s="108"/>
      <c r="DD2" s="108"/>
      <c r="DE2" s="108"/>
      <c r="DF2" s="108"/>
      <c r="DG2" s="108"/>
      <c r="DH2" s="108"/>
      <c r="DI2" s="108"/>
      <c r="DJ2" s="108"/>
      <c r="DK2" s="108"/>
      <c r="DL2" s="108"/>
      <c r="DM2" s="108"/>
      <c r="DN2" s="108"/>
      <c r="DO2" s="108"/>
      <c r="DP2" s="108"/>
      <c r="DQ2" s="108"/>
      <c r="DR2" s="108"/>
      <c r="DS2" s="108"/>
      <c r="DT2" s="108"/>
      <c r="DU2" s="108"/>
      <c r="DV2" s="108"/>
      <c r="DW2" s="108"/>
      <c r="DX2" s="108"/>
      <c r="DY2" s="108"/>
      <c r="DZ2" s="108"/>
      <c r="EA2" s="108"/>
      <c r="EB2" s="108"/>
      <c r="EC2" s="108"/>
      <c r="ED2" s="108"/>
      <c r="EE2" s="108"/>
      <c r="EF2" s="108"/>
      <c r="EG2" s="108"/>
      <c r="EH2" s="108"/>
      <c r="EI2" s="108"/>
      <c r="EJ2" s="108"/>
      <c r="EK2" s="108"/>
      <c r="EL2" s="108"/>
      <c r="EM2" s="108"/>
      <c r="EN2" s="108"/>
      <c r="EO2" s="108"/>
      <c r="EP2" s="108"/>
      <c r="EQ2" s="108"/>
      <c r="ER2" s="108"/>
      <c r="ES2" s="108"/>
      <c r="ET2" s="108"/>
      <c r="EU2" s="108"/>
      <c r="EV2" s="108"/>
      <c r="EW2" s="108"/>
      <c r="EX2" s="108"/>
      <c r="EY2" s="108"/>
      <c r="EZ2" s="108"/>
      <c r="FA2" s="108"/>
      <c r="FB2" s="108"/>
      <c r="FC2" s="108"/>
      <c r="FD2" s="108"/>
      <c r="FE2" s="108"/>
      <c r="FF2" s="108"/>
      <c r="FG2" s="108"/>
      <c r="FH2" s="108"/>
      <c r="FI2" s="108"/>
      <c r="FJ2" s="108"/>
      <c r="FK2" s="108"/>
      <c r="FL2" s="108"/>
      <c r="FM2" s="108"/>
      <c r="FN2" s="108"/>
      <c r="FO2" s="108"/>
      <c r="FP2" s="108"/>
      <c r="FQ2" s="108"/>
      <c r="FR2" s="108"/>
      <c r="FS2" s="108"/>
      <c r="FT2" s="108"/>
      <c r="FU2" s="108"/>
      <c r="FV2" s="108"/>
      <c r="FW2" s="108"/>
      <c r="FX2" s="108"/>
      <c r="FY2" s="108"/>
      <c r="FZ2" s="108"/>
      <c r="GA2" s="108"/>
      <c r="GB2" s="108"/>
      <c r="GC2" s="108"/>
      <c r="GD2" s="108"/>
      <c r="GE2" s="108"/>
      <c r="GF2" s="108"/>
      <c r="GG2" s="108"/>
      <c r="GH2" s="108"/>
      <c r="GI2" s="108"/>
      <c r="GJ2" s="108"/>
      <c r="GK2" s="108"/>
      <c r="GL2" s="108"/>
      <c r="GM2" s="108"/>
      <c r="GN2" s="108"/>
      <c r="GO2" s="108"/>
      <c r="GP2" s="108"/>
      <c r="GQ2" s="108"/>
      <c r="GR2" s="108"/>
      <c r="GS2" s="108"/>
      <c r="GT2" s="108"/>
      <c r="GU2" s="108"/>
      <c r="GV2" s="108"/>
      <c r="GW2" s="108"/>
      <c r="GX2" s="108"/>
      <c r="GY2" s="108"/>
      <c r="GZ2" s="108"/>
      <c r="HA2" s="108"/>
      <c r="HB2" s="108"/>
      <c r="HC2" s="108"/>
      <c r="HD2" s="108"/>
      <c r="HE2" s="108"/>
      <c r="HF2" s="108"/>
      <c r="HG2" s="108"/>
      <c r="HH2" s="108"/>
      <c r="HI2" s="108"/>
      <c r="HJ2" s="108"/>
      <c r="HK2" s="108"/>
      <c r="HL2" s="108"/>
      <c r="HM2" s="108"/>
      <c r="HN2" s="108"/>
      <c r="HO2" s="108"/>
      <c r="HP2" s="108"/>
      <c r="HQ2" s="108"/>
      <c r="HR2" s="108"/>
      <c r="HS2" s="108"/>
      <c r="HT2" s="108"/>
      <c r="HU2" s="108"/>
      <c r="HV2" s="108"/>
      <c r="HW2" s="108"/>
      <c r="HX2" s="108"/>
      <c r="HY2" s="108"/>
      <c r="HZ2" s="108"/>
      <c r="IA2" s="108"/>
      <c r="IB2" s="108"/>
      <c r="IC2" s="108"/>
      <c r="ID2" s="108"/>
      <c r="IE2" s="108"/>
      <c r="IF2" s="108"/>
      <c r="IG2" s="108"/>
      <c r="IH2" s="108"/>
      <c r="II2" s="108"/>
      <c r="IJ2" s="108"/>
      <c r="IK2" s="108"/>
      <c r="IL2" s="108"/>
      <c r="IM2" s="108"/>
      <c r="IN2" s="108"/>
      <c r="IO2" s="108"/>
      <c r="IP2" s="108"/>
      <c r="IQ2" s="108"/>
      <c r="IR2" s="108"/>
      <c r="IS2" s="108"/>
      <c r="IT2" s="108"/>
      <c r="IU2" s="108"/>
      <c r="IV2" s="108"/>
      <c r="IW2" s="108"/>
    </row>
    <row r="3" spans="1:257" ht="16.8" thickBot="1" x14ac:dyDescent="0.4">
      <c r="A3" s="158"/>
      <c r="B3" s="161" t="s">
        <v>784</v>
      </c>
      <c r="C3" s="162">
        <f>'Sensitivity analysis'!C6</f>
        <v>36158.435234355231</v>
      </c>
      <c r="D3" s="160"/>
      <c r="E3" s="160"/>
      <c r="F3" s="158"/>
      <c r="G3" s="158"/>
      <c r="H3" s="158"/>
      <c r="I3" s="163" t="s">
        <v>783</v>
      </c>
      <c r="J3" s="158"/>
      <c r="K3" s="158"/>
      <c r="L3" s="158"/>
      <c r="M3" s="158"/>
      <c r="N3" s="158"/>
      <c r="O3" s="108"/>
      <c r="P3" s="108"/>
      <c r="Q3" s="108"/>
      <c r="R3" s="108"/>
      <c r="S3" s="108"/>
      <c r="T3" s="108"/>
      <c r="U3" s="108"/>
      <c r="V3" s="108"/>
      <c r="W3" s="108"/>
      <c r="X3" s="108"/>
      <c r="Y3" s="108"/>
      <c r="Z3" s="108"/>
      <c r="AA3" s="108"/>
      <c r="AB3" s="108"/>
      <c r="AC3" s="108"/>
      <c r="AD3" s="108"/>
      <c r="AE3" s="108"/>
      <c r="AF3" s="108"/>
      <c r="AG3" s="108"/>
      <c r="AH3" s="108"/>
      <c r="AI3" s="108"/>
      <c r="AJ3" s="108"/>
      <c r="AK3" s="108"/>
      <c r="AL3" s="108"/>
      <c r="AM3" s="108"/>
      <c r="AN3" s="108"/>
      <c r="AO3" s="108"/>
      <c r="AP3" s="108"/>
      <c r="AQ3" s="108"/>
      <c r="AR3" s="108"/>
      <c r="AS3" s="108"/>
      <c r="AT3" s="108"/>
      <c r="AU3" s="108"/>
      <c r="AV3" s="108"/>
      <c r="AW3" s="108"/>
      <c r="AX3" s="108"/>
      <c r="AY3" s="108"/>
      <c r="AZ3" s="108"/>
      <c r="BA3" s="108"/>
      <c r="BB3" s="108"/>
      <c r="BC3" s="108"/>
      <c r="BD3" s="108"/>
      <c r="BE3" s="108"/>
      <c r="BF3" s="108"/>
      <c r="BG3" s="108"/>
      <c r="BH3" s="108"/>
      <c r="BI3" s="108"/>
      <c r="BJ3" s="108"/>
      <c r="BK3" s="108"/>
      <c r="BL3" s="108"/>
      <c r="BM3" s="108"/>
      <c r="BN3" s="108"/>
      <c r="BO3" s="108"/>
      <c r="BP3" s="108"/>
      <c r="BQ3" s="108"/>
      <c r="BR3" s="108"/>
      <c r="BS3" s="108"/>
      <c r="BT3" s="108"/>
      <c r="BU3" s="108"/>
      <c r="BV3" s="108"/>
      <c r="BW3" s="108"/>
      <c r="BX3" s="108"/>
      <c r="BY3" s="108"/>
      <c r="BZ3" s="108"/>
      <c r="CA3" s="108"/>
      <c r="CB3" s="108"/>
      <c r="CC3" s="108"/>
      <c r="CD3" s="108"/>
      <c r="CE3" s="108"/>
      <c r="CF3" s="108"/>
      <c r="CG3" s="108"/>
      <c r="CH3" s="108"/>
      <c r="CI3" s="108"/>
      <c r="CJ3" s="108"/>
      <c r="CK3" s="108"/>
      <c r="CL3" s="108"/>
      <c r="CM3" s="108"/>
      <c r="CN3" s="108"/>
      <c r="CO3" s="108"/>
      <c r="CP3" s="108"/>
      <c r="CQ3" s="108"/>
      <c r="CR3" s="108"/>
      <c r="CS3" s="108"/>
      <c r="CT3" s="108"/>
      <c r="CU3" s="108"/>
      <c r="CV3" s="108"/>
      <c r="CW3" s="108"/>
      <c r="CX3" s="108"/>
      <c r="CY3" s="108"/>
      <c r="CZ3" s="108"/>
      <c r="DA3" s="108"/>
      <c r="DB3" s="108"/>
      <c r="DC3" s="108"/>
      <c r="DD3" s="108"/>
      <c r="DE3" s="108"/>
      <c r="DF3" s="108"/>
      <c r="DG3" s="108"/>
      <c r="DH3" s="108"/>
      <c r="DI3" s="108"/>
      <c r="DJ3" s="108"/>
      <c r="DK3" s="108"/>
      <c r="DL3" s="108"/>
      <c r="DM3" s="108"/>
      <c r="DN3" s="108"/>
      <c r="DO3" s="108"/>
      <c r="DP3" s="108"/>
      <c r="DQ3" s="108"/>
      <c r="DR3" s="108"/>
      <c r="DS3" s="108"/>
      <c r="DT3" s="108"/>
      <c r="DU3" s="108"/>
      <c r="DV3" s="108"/>
      <c r="DW3" s="108"/>
      <c r="DX3" s="108"/>
      <c r="DY3" s="108"/>
      <c r="DZ3" s="108"/>
      <c r="EA3" s="108"/>
      <c r="EB3" s="108"/>
      <c r="EC3" s="108"/>
      <c r="ED3" s="108"/>
      <c r="EE3" s="108"/>
      <c r="EF3" s="108"/>
      <c r="EG3" s="108"/>
      <c r="EH3" s="108"/>
      <c r="EI3" s="108"/>
      <c r="EJ3" s="108"/>
      <c r="EK3" s="108"/>
      <c r="EL3" s="108"/>
      <c r="EM3" s="108"/>
      <c r="EN3" s="108"/>
      <c r="EO3" s="108"/>
      <c r="EP3" s="108"/>
      <c r="EQ3" s="108"/>
      <c r="ER3" s="108"/>
      <c r="ES3" s="108"/>
      <c r="ET3" s="108"/>
      <c r="EU3" s="108"/>
      <c r="EV3" s="108"/>
      <c r="EW3" s="108"/>
      <c r="EX3" s="108"/>
      <c r="EY3" s="108"/>
      <c r="EZ3" s="108"/>
      <c r="FA3" s="108"/>
      <c r="FB3" s="108"/>
      <c r="FC3" s="108"/>
      <c r="FD3" s="108"/>
      <c r="FE3" s="108"/>
      <c r="FF3" s="108"/>
      <c r="FG3" s="108"/>
      <c r="FH3" s="108"/>
      <c r="FI3" s="108"/>
      <c r="FJ3" s="108"/>
      <c r="FK3" s="108"/>
      <c r="FL3" s="108"/>
      <c r="FM3" s="108"/>
      <c r="FN3" s="108"/>
      <c r="FO3" s="108"/>
      <c r="FP3" s="108"/>
      <c r="FQ3" s="108"/>
      <c r="FR3" s="108"/>
      <c r="FS3" s="108"/>
      <c r="FT3" s="108"/>
      <c r="FU3" s="108"/>
      <c r="FV3" s="108"/>
      <c r="FW3" s="108"/>
      <c r="FX3" s="108"/>
      <c r="FY3" s="108"/>
      <c r="FZ3" s="108"/>
      <c r="GA3" s="108"/>
      <c r="GB3" s="108"/>
      <c r="GC3" s="108"/>
      <c r="GD3" s="108"/>
      <c r="GE3" s="108"/>
      <c r="GF3" s="108"/>
      <c r="GG3" s="108"/>
      <c r="GH3" s="108"/>
      <c r="GI3" s="108"/>
      <c r="GJ3" s="108"/>
      <c r="GK3" s="108"/>
      <c r="GL3" s="108"/>
      <c r="GM3" s="108"/>
      <c r="GN3" s="108"/>
      <c r="GO3" s="108"/>
      <c r="GP3" s="108"/>
      <c r="GQ3" s="108"/>
      <c r="GR3" s="108"/>
      <c r="GS3" s="108"/>
      <c r="GT3" s="108"/>
      <c r="GU3" s="108"/>
      <c r="GV3" s="108"/>
      <c r="GW3" s="108"/>
      <c r="GX3" s="108"/>
      <c r="GY3" s="108"/>
      <c r="GZ3" s="108"/>
      <c r="HA3" s="108"/>
      <c r="HB3" s="108"/>
      <c r="HC3" s="108"/>
      <c r="HD3" s="108"/>
      <c r="HE3" s="108"/>
      <c r="HF3" s="108"/>
      <c r="HG3" s="108"/>
      <c r="HH3" s="108"/>
      <c r="HI3" s="108"/>
      <c r="HJ3" s="108"/>
      <c r="HK3" s="108"/>
      <c r="HL3" s="108"/>
      <c r="HM3" s="108"/>
      <c r="HN3" s="108"/>
      <c r="HO3" s="108"/>
      <c r="HP3" s="108"/>
      <c r="HQ3" s="108"/>
      <c r="HR3" s="108"/>
      <c r="HS3" s="108"/>
      <c r="HT3" s="108"/>
      <c r="HU3" s="108"/>
      <c r="HV3" s="108"/>
      <c r="HW3" s="108"/>
      <c r="HX3" s="108"/>
      <c r="HY3" s="108"/>
      <c r="HZ3" s="108"/>
      <c r="IA3" s="108"/>
      <c r="IB3" s="108"/>
      <c r="IC3" s="108"/>
      <c r="ID3" s="108"/>
      <c r="IE3" s="108"/>
      <c r="IF3" s="108"/>
      <c r="IG3" s="108"/>
      <c r="IH3" s="108"/>
      <c r="II3" s="108"/>
      <c r="IJ3" s="108"/>
      <c r="IK3" s="108"/>
      <c r="IL3" s="108"/>
      <c r="IM3" s="108"/>
      <c r="IN3" s="108"/>
      <c r="IO3" s="108"/>
      <c r="IP3" s="108"/>
      <c r="IQ3" s="108"/>
      <c r="IR3" s="108"/>
      <c r="IS3" s="108"/>
      <c r="IT3" s="108"/>
      <c r="IU3" s="108"/>
      <c r="IV3" s="108"/>
      <c r="IW3" s="108"/>
    </row>
    <row r="4" spans="1:257" ht="16.2" x14ac:dyDescent="0.35">
      <c r="A4" s="164"/>
      <c r="B4" s="165"/>
      <c r="C4" s="165"/>
      <c r="D4" s="165"/>
      <c r="E4" s="165"/>
      <c r="F4" s="165"/>
      <c r="G4" s="165"/>
      <c r="H4" s="165"/>
      <c r="I4" s="165"/>
      <c r="J4" s="165"/>
      <c r="K4" s="165"/>
      <c r="L4" s="165"/>
      <c r="M4" s="165"/>
      <c r="N4" s="164"/>
      <c r="O4" s="108"/>
      <c r="P4" s="108"/>
      <c r="Q4" s="108"/>
      <c r="R4" s="108"/>
      <c r="S4" s="108"/>
      <c r="T4" s="108"/>
      <c r="U4" s="108"/>
      <c r="V4" s="108"/>
      <c r="W4" s="108"/>
      <c r="X4" s="108"/>
      <c r="Y4" s="108"/>
      <c r="Z4" s="108"/>
      <c r="AA4" s="108"/>
      <c r="AB4" s="108"/>
      <c r="AC4" s="108"/>
      <c r="AD4" s="108"/>
      <c r="AE4" s="108"/>
      <c r="AF4" s="108"/>
      <c r="AG4" s="108"/>
      <c r="AH4" s="108"/>
      <c r="AI4" s="108"/>
      <c r="AJ4" s="108"/>
      <c r="AK4" s="108"/>
      <c r="AL4" s="108"/>
      <c r="AM4" s="108"/>
      <c r="AN4" s="108"/>
      <c r="AO4" s="108"/>
      <c r="AP4" s="108"/>
      <c r="AQ4" s="108"/>
      <c r="AR4" s="108"/>
      <c r="AS4" s="108"/>
      <c r="AT4" s="108"/>
      <c r="AU4" s="108"/>
      <c r="AV4" s="108"/>
      <c r="AW4" s="108"/>
      <c r="AX4" s="108"/>
      <c r="AY4" s="108"/>
      <c r="AZ4" s="108"/>
      <c r="BA4" s="108"/>
      <c r="BB4" s="108"/>
      <c r="BC4" s="108"/>
      <c r="BD4" s="108"/>
      <c r="BE4" s="108"/>
      <c r="BF4" s="108"/>
      <c r="BG4" s="108"/>
      <c r="BH4" s="108"/>
      <c r="BI4" s="108"/>
      <c r="BJ4" s="108"/>
      <c r="BK4" s="108"/>
      <c r="BL4" s="108"/>
      <c r="BM4" s="108"/>
      <c r="BN4" s="108"/>
      <c r="BO4" s="108"/>
      <c r="BP4" s="108"/>
      <c r="BQ4" s="108"/>
      <c r="BR4" s="108"/>
      <c r="BS4" s="108"/>
      <c r="BT4" s="108"/>
      <c r="BU4" s="108"/>
      <c r="BV4" s="108"/>
      <c r="BW4" s="108"/>
      <c r="BX4" s="108"/>
      <c r="BY4" s="108"/>
      <c r="BZ4" s="108"/>
      <c r="CA4" s="108"/>
      <c r="CB4" s="108"/>
      <c r="CC4" s="108"/>
      <c r="CD4" s="108"/>
      <c r="CE4" s="108"/>
      <c r="CF4" s="108"/>
      <c r="CG4" s="108"/>
      <c r="CH4" s="108"/>
      <c r="CI4" s="108"/>
      <c r="CJ4" s="108"/>
      <c r="CK4" s="108"/>
      <c r="CL4" s="108"/>
      <c r="CM4" s="108"/>
      <c r="CN4" s="108"/>
      <c r="CO4" s="108"/>
      <c r="CP4" s="108"/>
      <c r="CQ4" s="108"/>
      <c r="CR4" s="108"/>
      <c r="CS4" s="108"/>
      <c r="CT4" s="108"/>
      <c r="CU4" s="108"/>
      <c r="CV4" s="108"/>
      <c r="CW4" s="108"/>
      <c r="CX4" s="108"/>
      <c r="CY4" s="108"/>
      <c r="CZ4" s="108"/>
      <c r="DA4" s="108"/>
      <c r="DB4" s="108"/>
      <c r="DC4" s="108"/>
      <c r="DD4" s="108"/>
      <c r="DE4" s="108"/>
      <c r="DF4" s="108"/>
      <c r="DG4" s="108"/>
      <c r="DH4" s="108"/>
      <c r="DI4" s="108"/>
      <c r="DJ4" s="108"/>
      <c r="DK4" s="108"/>
      <c r="DL4" s="108"/>
      <c r="DM4" s="108"/>
      <c r="DN4" s="108"/>
      <c r="DO4" s="108"/>
      <c r="DP4" s="108"/>
      <c r="DQ4" s="108"/>
      <c r="DR4" s="108"/>
      <c r="DS4" s="108"/>
      <c r="DT4" s="108"/>
      <c r="DU4" s="108"/>
      <c r="DV4" s="108"/>
      <c r="DW4" s="108"/>
      <c r="DX4" s="108"/>
      <c r="DY4" s="108"/>
      <c r="DZ4" s="108"/>
      <c r="EA4" s="108"/>
      <c r="EB4" s="108"/>
      <c r="EC4" s="108"/>
      <c r="ED4" s="108"/>
      <c r="EE4" s="108"/>
      <c r="EF4" s="108"/>
      <c r="EG4" s="108"/>
      <c r="EH4" s="108"/>
      <c r="EI4" s="108"/>
      <c r="EJ4" s="108"/>
      <c r="EK4" s="108"/>
      <c r="EL4" s="108"/>
      <c r="EM4" s="108"/>
      <c r="EN4" s="108"/>
      <c r="EO4" s="108"/>
      <c r="EP4" s="108"/>
      <c r="EQ4" s="108"/>
      <c r="ER4" s="108"/>
      <c r="ES4" s="108"/>
      <c r="ET4" s="108"/>
      <c r="EU4" s="108"/>
      <c r="EV4" s="108"/>
      <c r="EW4" s="108"/>
      <c r="EX4" s="108"/>
      <c r="EY4" s="108"/>
      <c r="EZ4" s="108"/>
      <c r="FA4" s="108"/>
      <c r="FB4" s="108"/>
      <c r="FC4" s="108"/>
      <c r="FD4" s="108"/>
      <c r="FE4" s="108"/>
      <c r="FF4" s="108"/>
      <c r="FG4" s="108"/>
      <c r="FH4" s="108"/>
      <c r="FI4" s="108"/>
      <c r="FJ4" s="108"/>
      <c r="FK4" s="108"/>
      <c r="FL4" s="108"/>
      <c r="FM4" s="108"/>
      <c r="FN4" s="108"/>
      <c r="FO4" s="108"/>
      <c r="FP4" s="108"/>
      <c r="FQ4" s="108"/>
      <c r="FR4" s="108"/>
      <c r="FS4" s="108"/>
      <c r="FT4" s="108"/>
      <c r="FU4" s="108"/>
      <c r="FV4" s="108"/>
      <c r="FW4" s="108"/>
      <c r="FX4" s="108"/>
      <c r="FY4" s="108"/>
      <c r="FZ4" s="108"/>
      <c r="GA4" s="108"/>
      <c r="GB4" s="108"/>
      <c r="GC4" s="108"/>
      <c r="GD4" s="108"/>
      <c r="GE4" s="108"/>
      <c r="GF4" s="108"/>
      <c r="GG4" s="108"/>
      <c r="GH4" s="108"/>
      <c r="GI4" s="108"/>
      <c r="GJ4" s="108"/>
      <c r="GK4" s="108"/>
      <c r="GL4" s="108"/>
      <c r="GM4" s="108"/>
      <c r="GN4" s="108"/>
      <c r="GO4" s="108"/>
      <c r="GP4" s="108"/>
      <c r="GQ4" s="108"/>
      <c r="GR4" s="108"/>
      <c r="GS4" s="108"/>
      <c r="GT4" s="108"/>
      <c r="GU4" s="108"/>
      <c r="GV4" s="108"/>
      <c r="GW4" s="108"/>
      <c r="GX4" s="108"/>
      <c r="GY4" s="108"/>
      <c r="GZ4" s="108"/>
      <c r="HA4" s="108"/>
      <c r="HB4" s="108"/>
      <c r="HC4" s="108"/>
      <c r="HD4" s="108"/>
      <c r="HE4" s="108"/>
      <c r="HF4" s="108"/>
      <c r="HG4" s="108"/>
      <c r="HH4" s="108"/>
      <c r="HI4" s="108"/>
      <c r="HJ4" s="108"/>
      <c r="HK4" s="108"/>
      <c r="HL4" s="108"/>
      <c r="HM4" s="108"/>
      <c r="HN4" s="108"/>
      <c r="HO4" s="108"/>
      <c r="HP4" s="108"/>
      <c r="HQ4" s="108"/>
      <c r="HR4" s="108"/>
      <c r="HS4" s="108"/>
      <c r="HT4" s="108"/>
      <c r="HU4" s="108"/>
      <c r="HV4" s="108"/>
      <c r="HW4" s="108"/>
      <c r="HX4" s="108"/>
      <c r="HY4" s="108"/>
      <c r="HZ4" s="108"/>
      <c r="IA4" s="108"/>
      <c r="IB4" s="108"/>
      <c r="IC4" s="108"/>
      <c r="ID4" s="108"/>
      <c r="IE4" s="108"/>
      <c r="IF4" s="108"/>
      <c r="IG4" s="108"/>
      <c r="IH4" s="108"/>
      <c r="II4" s="108"/>
      <c r="IJ4" s="108"/>
      <c r="IK4" s="108"/>
      <c r="IL4" s="108"/>
      <c r="IM4" s="108"/>
      <c r="IN4" s="108"/>
      <c r="IO4" s="108"/>
      <c r="IP4" s="108"/>
      <c r="IQ4" s="108"/>
      <c r="IR4" s="108"/>
      <c r="IS4" s="108"/>
      <c r="IT4" s="108"/>
      <c r="IU4" s="108"/>
      <c r="IV4" s="108"/>
      <c r="IW4" s="108"/>
    </row>
    <row r="5" spans="1:257" ht="15" thickBot="1" x14ac:dyDescent="0.35">
      <c r="A5" s="158"/>
      <c r="B5" s="166" t="s">
        <v>777</v>
      </c>
      <c r="C5" s="167" t="s">
        <v>778</v>
      </c>
      <c r="D5" s="168" t="s">
        <v>779</v>
      </c>
      <c r="E5" s="169" t="s">
        <v>780</v>
      </c>
      <c r="F5" s="158"/>
      <c r="G5" s="158"/>
      <c r="H5" s="158"/>
      <c r="I5" s="166" t="s">
        <v>777</v>
      </c>
      <c r="J5" s="167" t="s">
        <v>826</v>
      </c>
      <c r="K5" s="168" t="s">
        <v>827</v>
      </c>
      <c r="L5" s="169" t="s">
        <v>780</v>
      </c>
      <c r="M5" s="158"/>
      <c r="N5" s="158"/>
      <c r="O5" s="108"/>
      <c r="P5" s="108"/>
      <c r="Q5" s="108"/>
      <c r="R5" s="108"/>
      <c r="S5" s="108"/>
      <c r="T5" s="108"/>
      <c r="U5" s="108"/>
      <c r="V5" s="108"/>
      <c r="W5" s="108"/>
      <c r="X5" s="108"/>
      <c r="Y5" s="108"/>
      <c r="Z5" s="108"/>
      <c r="AA5" s="108"/>
      <c r="AB5" s="108"/>
      <c r="AC5" s="108"/>
      <c r="AD5" s="108"/>
      <c r="AE5" s="108"/>
      <c r="AF5" s="108"/>
      <c r="AG5" s="108"/>
      <c r="AH5" s="108"/>
      <c r="AI5" s="108"/>
      <c r="AJ5" s="108"/>
      <c r="AK5" s="108"/>
      <c r="AL5" s="108"/>
      <c r="AM5" s="108"/>
      <c r="AN5" s="108"/>
      <c r="AO5" s="108"/>
      <c r="AP5" s="108"/>
      <c r="AQ5" s="108"/>
      <c r="AR5" s="108"/>
      <c r="AS5" s="108"/>
      <c r="AT5" s="108"/>
      <c r="AU5" s="108"/>
      <c r="AV5" s="108"/>
      <c r="AW5" s="108"/>
      <c r="AX5" s="108"/>
      <c r="AY5" s="108"/>
      <c r="AZ5" s="108"/>
      <c r="BA5" s="108"/>
      <c r="BB5" s="108"/>
      <c r="BC5" s="108"/>
      <c r="BD5" s="108"/>
      <c r="BE5" s="108"/>
      <c r="BF5" s="108"/>
      <c r="BG5" s="108"/>
      <c r="BH5" s="108"/>
      <c r="BI5" s="108"/>
      <c r="BJ5" s="108"/>
      <c r="BK5" s="108"/>
      <c r="BL5" s="108"/>
      <c r="BM5" s="108"/>
      <c r="BN5" s="108"/>
      <c r="BO5" s="108"/>
      <c r="BP5" s="108"/>
      <c r="BQ5" s="108"/>
      <c r="BR5" s="108"/>
      <c r="BS5" s="108"/>
      <c r="BT5" s="108"/>
      <c r="BU5" s="108"/>
      <c r="BV5" s="108"/>
      <c r="BW5" s="108"/>
      <c r="BX5" s="108"/>
      <c r="BY5" s="108"/>
      <c r="BZ5" s="108"/>
      <c r="CA5" s="108"/>
      <c r="CB5" s="108"/>
      <c r="CC5" s="108"/>
      <c r="CD5" s="108"/>
      <c r="CE5" s="108"/>
      <c r="CF5" s="108"/>
      <c r="CG5" s="108"/>
      <c r="CH5" s="108"/>
      <c r="CI5" s="108"/>
      <c r="CJ5" s="108"/>
      <c r="CK5" s="108"/>
      <c r="CL5" s="108"/>
      <c r="CM5" s="108"/>
      <c r="CN5" s="108"/>
      <c r="CO5" s="108"/>
      <c r="CP5" s="108"/>
      <c r="CQ5" s="108"/>
      <c r="CR5" s="108"/>
      <c r="CS5" s="108"/>
      <c r="CT5" s="108"/>
      <c r="CU5" s="108"/>
      <c r="CV5" s="108"/>
      <c r="CW5" s="108"/>
      <c r="CX5" s="108"/>
      <c r="CY5" s="108"/>
      <c r="CZ5" s="108"/>
      <c r="DA5" s="108"/>
      <c r="DB5" s="108"/>
      <c r="DC5" s="108"/>
      <c r="DD5" s="108"/>
      <c r="DE5" s="108"/>
      <c r="DF5" s="108"/>
      <c r="DG5" s="108"/>
      <c r="DH5" s="108"/>
      <c r="DI5" s="108"/>
      <c r="DJ5" s="108"/>
      <c r="DK5" s="108"/>
      <c r="DL5" s="108"/>
      <c r="DM5" s="108"/>
      <c r="DN5" s="108"/>
      <c r="DO5" s="108"/>
      <c r="DP5" s="108"/>
      <c r="DQ5" s="108"/>
      <c r="DR5" s="108"/>
      <c r="DS5" s="108"/>
      <c r="DT5" s="108"/>
      <c r="DU5" s="108"/>
      <c r="DV5" s="108"/>
      <c r="DW5" s="108"/>
      <c r="DX5" s="108"/>
      <c r="DY5" s="108"/>
      <c r="DZ5" s="108"/>
      <c r="EA5" s="108"/>
      <c r="EB5" s="108"/>
      <c r="EC5" s="108"/>
      <c r="ED5" s="108"/>
      <c r="EE5" s="108"/>
      <c r="EF5" s="108"/>
      <c r="EG5" s="108"/>
      <c r="EH5" s="108"/>
      <c r="EI5" s="108"/>
      <c r="EJ5" s="108"/>
      <c r="EK5" s="108"/>
      <c r="EL5" s="108"/>
      <c r="EM5" s="108"/>
      <c r="EN5" s="108"/>
      <c r="EO5" s="108"/>
      <c r="EP5" s="108"/>
      <c r="EQ5" s="108"/>
      <c r="ER5" s="108"/>
      <c r="ES5" s="108"/>
      <c r="ET5" s="108"/>
      <c r="EU5" s="108"/>
      <c r="EV5" s="108"/>
      <c r="EW5" s="108"/>
      <c r="EX5" s="108"/>
      <c r="EY5" s="108"/>
      <c r="EZ5" s="108"/>
      <c r="FA5" s="108"/>
      <c r="FB5" s="108"/>
      <c r="FC5" s="108"/>
      <c r="FD5" s="108"/>
      <c r="FE5" s="108"/>
      <c r="FF5" s="108"/>
      <c r="FG5" s="108"/>
      <c r="FH5" s="108"/>
      <c r="FI5" s="108"/>
      <c r="FJ5" s="108"/>
      <c r="FK5" s="108"/>
      <c r="FL5" s="108"/>
      <c r="FM5" s="108"/>
      <c r="FN5" s="108"/>
      <c r="FO5" s="108"/>
      <c r="FP5" s="108"/>
      <c r="FQ5" s="108"/>
      <c r="FR5" s="108"/>
      <c r="FS5" s="108"/>
      <c r="FT5" s="108"/>
      <c r="FU5" s="108"/>
      <c r="FV5" s="108"/>
      <c r="FW5" s="108"/>
      <c r="FX5" s="108"/>
      <c r="FY5" s="108"/>
      <c r="FZ5" s="108"/>
      <c r="GA5" s="108"/>
      <c r="GB5" s="108"/>
      <c r="GC5" s="108"/>
      <c r="GD5" s="108"/>
      <c r="GE5" s="108"/>
      <c r="GF5" s="108"/>
      <c r="GG5" s="108"/>
      <c r="GH5" s="108"/>
      <c r="GI5" s="108"/>
      <c r="GJ5" s="108"/>
      <c r="GK5" s="108"/>
      <c r="GL5" s="108"/>
      <c r="GM5" s="108"/>
      <c r="GN5" s="108"/>
      <c r="GO5" s="108"/>
      <c r="GP5" s="108"/>
      <c r="GQ5" s="108"/>
      <c r="GR5" s="108"/>
      <c r="GS5" s="108"/>
      <c r="GT5" s="108"/>
      <c r="GU5" s="108"/>
      <c r="GV5" s="108"/>
      <c r="GW5" s="108"/>
      <c r="GX5" s="108"/>
      <c r="GY5" s="108"/>
      <c r="GZ5" s="108"/>
      <c r="HA5" s="108"/>
      <c r="HB5" s="108"/>
      <c r="HC5" s="108"/>
      <c r="HD5" s="108"/>
      <c r="HE5" s="108"/>
      <c r="HF5" s="108"/>
      <c r="HG5" s="108"/>
      <c r="HH5" s="108"/>
      <c r="HI5" s="108"/>
      <c r="HJ5" s="108"/>
      <c r="HK5" s="108"/>
      <c r="HL5" s="108"/>
      <c r="HM5" s="108"/>
      <c r="HN5" s="108"/>
      <c r="HO5" s="108"/>
      <c r="HP5" s="108"/>
      <c r="HQ5" s="108"/>
      <c r="HR5" s="108"/>
      <c r="HS5" s="108"/>
      <c r="HT5" s="108"/>
      <c r="HU5" s="108"/>
      <c r="HV5" s="108"/>
      <c r="HW5" s="108"/>
      <c r="HX5" s="108"/>
      <c r="HY5" s="108"/>
      <c r="HZ5" s="108"/>
      <c r="IA5" s="108"/>
      <c r="IB5" s="108"/>
      <c r="IC5" s="108"/>
      <c r="ID5" s="108"/>
      <c r="IE5" s="108"/>
      <c r="IF5" s="108"/>
      <c r="IG5" s="108"/>
      <c r="IH5" s="108"/>
      <c r="II5" s="108"/>
      <c r="IJ5" s="108"/>
      <c r="IK5" s="108"/>
      <c r="IL5" s="108"/>
      <c r="IM5" s="108"/>
      <c r="IN5" s="108"/>
      <c r="IO5" s="108"/>
      <c r="IP5" s="108"/>
      <c r="IQ5" s="108"/>
      <c r="IR5" s="108"/>
      <c r="IS5" s="108"/>
      <c r="IT5" s="108"/>
      <c r="IU5" s="108"/>
      <c r="IV5" s="108"/>
      <c r="IW5" s="108"/>
    </row>
    <row r="6" spans="1:257" ht="15" thickBot="1" x14ac:dyDescent="0.35">
      <c r="A6" s="158"/>
      <c r="B6" s="113" t="str">
        <f>'Sensitivity analysis'!B165</f>
        <v>PSG cost</v>
      </c>
      <c r="C6" s="170">
        <f>'Sensitivity analysis'!G165</f>
        <v>37308.435234355216</v>
      </c>
      <c r="D6" s="171">
        <f>'Sensitivity analysis'!H165</f>
        <v>35008.435234355129</v>
      </c>
      <c r="E6" s="172">
        <f>ABS(D6-C6)</f>
        <v>2300.0000000000873</v>
      </c>
      <c r="F6" s="158"/>
      <c r="G6" s="158"/>
      <c r="H6" s="158"/>
      <c r="I6" s="173" t="s">
        <v>790</v>
      </c>
      <c r="J6" s="174">
        <v>16936.22825962519</v>
      </c>
      <c r="K6" s="171">
        <v>54099.161744103461</v>
      </c>
      <c r="L6" s="172">
        <v>37162.933484478272</v>
      </c>
      <c r="M6" s="158"/>
      <c r="N6" s="158"/>
      <c r="O6" s="108"/>
      <c r="P6" s="108"/>
      <c r="Q6" s="108"/>
      <c r="R6" s="108"/>
      <c r="S6" s="108"/>
      <c r="T6" s="108"/>
      <c r="U6" s="108"/>
      <c r="V6" s="108"/>
      <c r="W6" s="108"/>
      <c r="X6" s="108"/>
      <c r="Y6" s="108"/>
      <c r="Z6" s="108"/>
      <c r="AA6" s="108"/>
      <c r="AB6" s="108"/>
      <c r="AC6" s="108"/>
      <c r="AD6" s="108"/>
      <c r="AE6" s="108"/>
      <c r="AF6" s="108"/>
      <c r="AG6" s="108"/>
      <c r="AH6" s="108"/>
      <c r="AI6" s="108"/>
      <c r="AJ6" s="108"/>
      <c r="AK6" s="108"/>
      <c r="AL6" s="108"/>
      <c r="AM6" s="108"/>
      <c r="AN6" s="108"/>
      <c r="AO6" s="108"/>
      <c r="AP6" s="108"/>
      <c r="AQ6" s="108"/>
      <c r="AR6" s="108"/>
      <c r="AS6" s="108"/>
      <c r="AT6" s="108"/>
      <c r="AU6" s="108"/>
      <c r="AV6" s="108"/>
      <c r="AW6" s="108"/>
      <c r="AX6" s="108"/>
      <c r="AY6" s="108"/>
      <c r="AZ6" s="108"/>
      <c r="BA6" s="108"/>
      <c r="BB6" s="108"/>
      <c r="BC6" s="108"/>
      <c r="BD6" s="108"/>
      <c r="BE6" s="108"/>
      <c r="BF6" s="108"/>
      <c r="BG6" s="108"/>
      <c r="BH6" s="108"/>
      <c r="BI6" s="108"/>
      <c r="BJ6" s="108"/>
      <c r="BK6" s="108"/>
      <c r="BL6" s="108"/>
      <c r="BM6" s="108"/>
      <c r="BN6" s="108"/>
      <c r="BO6" s="108"/>
      <c r="BP6" s="108"/>
      <c r="BQ6" s="108"/>
      <c r="BR6" s="108"/>
      <c r="BS6" s="108"/>
      <c r="BT6" s="108"/>
      <c r="BU6" s="108"/>
      <c r="BV6" s="108"/>
      <c r="BW6" s="108"/>
      <c r="BX6" s="108"/>
      <c r="BY6" s="108"/>
      <c r="BZ6" s="108"/>
      <c r="CA6" s="108"/>
      <c r="CB6" s="108"/>
      <c r="CC6" s="108"/>
      <c r="CD6" s="108"/>
      <c r="CE6" s="108"/>
      <c r="CF6" s="108"/>
      <c r="CG6" s="108"/>
      <c r="CH6" s="108"/>
      <c r="CI6" s="108"/>
      <c r="CJ6" s="108"/>
      <c r="CK6" s="108"/>
      <c r="CL6" s="108"/>
      <c r="CM6" s="108"/>
      <c r="CN6" s="108"/>
      <c r="CO6" s="108"/>
      <c r="CP6" s="108"/>
      <c r="CQ6" s="108"/>
      <c r="CR6" s="108"/>
      <c r="CS6" s="108"/>
      <c r="CT6" s="108"/>
      <c r="CU6" s="108"/>
      <c r="CV6" s="108"/>
      <c r="CW6" s="108"/>
      <c r="CX6" s="108"/>
      <c r="CY6" s="108"/>
      <c r="CZ6" s="108"/>
      <c r="DA6" s="108"/>
      <c r="DB6" s="108"/>
      <c r="DC6" s="108"/>
      <c r="DD6" s="108"/>
      <c r="DE6" s="108"/>
      <c r="DF6" s="108"/>
      <c r="DG6" s="108"/>
      <c r="DH6" s="108"/>
      <c r="DI6" s="108"/>
      <c r="DJ6" s="108"/>
      <c r="DK6" s="108"/>
      <c r="DL6" s="108"/>
      <c r="DM6" s="108"/>
      <c r="DN6" s="108"/>
      <c r="DO6" s="108"/>
      <c r="DP6" s="108"/>
      <c r="DQ6" s="108"/>
      <c r="DR6" s="108"/>
      <c r="DS6" s="108"/>
      <c r="DT6" s="108"/>
      <c r="DU6" s="108"/>
      <c r="DV6" s="108"/>
      <c r="DW6" s="108"/>
      <c r="DX6" s="108"/>
      <c r="DY6" s="108"/>
      <c r="DZ6" s="108"/>
      <c r="EA6" s="108"/>
      <c r="EB6" s="108"/>
      <c r="EC6" s="108"/>
      <c r="ED6" s="108"/>
      <c r="EE6" s="108"/>
      <c r="EF6" s="108"/>
      <c r="EG6" s="108"/>
      <c r="EH6" s="108"/>
      <c r="EI6" s="108"/>
      <c r="EJ6" s="108"/>
      <c r="EK6" s="108"/>
      <c r="EL6" s="108"/>
      <c r="EM6" s="108"/>
      <c r="EN6" s="108"/>
      <c r="EO6" s="108"/>
      <c r="EP6" s="108"/>
      <c r="EQ6" s="108"/>
      <c r="ER6" s="108"/>
      <c r="ES6" s="108"/>
      <c r="ET6" s="108"/>
      <c r="EU6" s="108"/>
      <c r="EV6" s="108"/>
      <c r="EW6" s="108"/>
      <c r="EX6" s="108"/>
      <c r="EY6" s="108"/>
      <c r="EZ6" s="108"/>
      <c r="FA6" s="108"/>
      <c r="FB6" s="108"/>
      <c r="FC6" s="108"/>
      <c r="FD6" s="108"/>
      <c r="FE6" s="108"/>
      <c r="FF6" s="108"/>
      <c r="FG6" s="108"/>
      <c r="FH6" s="108"/>
      <c r="FI6" s="108"/>
      <c r="FJ6" s="108"/>
      <c r="FK6" s="108"/>
      <c r="FL6" s="108"/>
      <c r="FM6" s="108"/>
      <c r="FN6" s="108"/>
      <c r="FO6" s="108"/>
      <c r="FP6" s="108"/>
      <c r="FQ6" s="108"/>
      <c r="FR6" s="108"/>
      <c r="FS6" s="108"/>
      <c r="FT6" s="108"/>
      <c r="FU6" s="108"/>
      <c r="FV6" s="108"/>
      <c r="FW6" s="108"/>
      <c r="FX6" s="108"/>
      <c r="FY6" s="108"/>
      <c r="FZ6" s="108"/>
      <c r="GA6" s="108"/>
      <c r="GB6" s="108"/>
      <c r="GC6" s="108"/>
      <c r="GD6" s="108"/>
      <c r="GE6" s="108"/>
      <c r="GF6" s="108"/>
      <c r="GG6" s="108"/>
      <c r="GH6" s="108"/>
      <c r="GI6" s="108"/>
      <c r="GJ6" s="108"/>
      <c r="GK6" s="108"/>
      <c r="GL6" s="108"/>
      <c r="GM6" s="108"/>
      <c r="GN6" s="108"/>
      <c r="GO6" s="108"/>
      <c r="GP6" s="108"/>
      <c r="GQ6" s="108"/>
      <c r="GR6" s="108"/>
      <c r="GS6" s="108"/>
      <c r="GT6" s="108"/>
      <c r="GU6" s="108"/>
      <c r="GV6" s="108"/>
      <c r="GW6" s="108"/>
      <c r="GX6" s="108"/>
      <c r="GY6" s="108"/>
      <c r="GZ6" s="108"/>
      <c r="HA6" s="108"/>
      <c r="HB6" s="108"/>
      <c r="HC6" s="108"/>
      <c r="HD6" s="108"/>
      <c r="HE6" s="108"/>
      <c r="HF6" s="108"/>
      <c r="HG6" s="108"/>
      <c r="HH6" s="108"/>
      <c r="HI6" s="108"/>
      <c r="HJ6" s="108"/>
      <c r="HK6" s="108"/>
      <c r="HL6" s="108"/>
      <c r="HM6" s="108"/>
      <c r="HN6" s="108"/>
      <c r="HO6" s="108"/>
      <c r="HP6" s="108"/>
      <c r="HQ6" s="108"/>
      <c r="HR6" s="108"/>
      <c r="HS6" s="108"/>
      <c r="HT6" s="108"/>
      <c r="HU6" s="108"/>
      <c r="HV6" s="108"/>
      <c r="HW6" s="108"/>
      <c r="HX6" s="108"/>
      <c r="HY6" s="108"/>
      <c r="HZ6" s="108"/>
      <c r="IA6" s="108"/>
      <c r="IB6" s="108"/>
      <c r="IC6" s="108"/>
      <c r="ID6" s="108"/>
      <c r="IE6" s="108"/>
      <c r="IF6" s="108"/>
      <c r="IG6" s="108"/>
      <c r="IH6" s="108"/>
      <c r="II6" s="108"/>
      <c r="IJ6" s="108"/>
      <c r="IK6" s="108"/>
      <c r="IL6" s="108"/>
      <c r="IM6" s="108"/>
      <c r="IN6" s="108"/>
      <c r="IO6" s="108"/>
      <c r="IP6" s="108"/>
      <c r="IQ6" s="108"/>
      <c r="IR6" s="108"/>
      <c r="IS6" s="108"/>
      <c r="IT6" s="108"/>
      <c r="IU6" s="108"/>
      <c r="IV6" s="108"/>
      <c r="IW6" s="108"/>
    </row>
    <row r="7" spans="1:257" ht="15" thickBot="1" x14ac:dyDescent="0.35">
      <c r="A7" s="158"/>
      <c r="B7" s="113" t="str">
        <f>'Sensitivity analysis'!B166</f>
        <v>Increase in antenatal first visit coverage with a PSG</v>
      </c>
      <c r="C7" s="170">
        <f>'Sensitivity analysis'!G166</f>
        <v>34947.055673458271</v>
      </c>
      <c r="D7" s="171">
        <f>'Sensitivity analysis'!H166</f>
        <v>37369.814795252161</v>
      </c>
      <c r="E7" s="172">
        <f t="shared" ref="E7:E45" si="0">ABS(D7-C7)</f>
        <v>2422.7591217938898</v>
      </c>
      <c r="F7" s="158"/>
      <c r="G7" s="158"/>
      <c r="H7" s="158"/>
      <c r="I7" s="173" t="s">
        <v>816</v>
      </c>
      <c r="J7" s="170">
        <v>16759.549132432574</v>
      </c>
      <c r="K7" s="175">
        <v>40734.787653307838</v>
      </c>
      <c r="L7" s="172">
        <v>23975.238520875264</v>
      </c>
      <c r="M7" s="158"/>
      <c r="N7" s="158"/>
      <c r="O7" s="108"/>
      <c r="P7" s="108"/>
      <c r="Q7" s="108"/>
      <c r="R7" s="108"/>
      <c r="S7" s="108"/>
      <c r="T7" s="108"/>
      <c r="U7" s="108"/>
      <c r="V7" s="108"/>
      <c r="W7" s="108"/>
      <c r="X7" s="108"/>
      <c r="Y7" s="108"/>
      <c r="Z7" s="108"/>
      <c r="AA7" s="108"/>
      <c r="AB7" s="108"/>
      <c r="AC7" s="108"/>
      <c r="AD7" s="108"/>
      <c r="AE7" s="108"/>
      <c r="AF7" s="108"/>
      <c r="AG7" s="108"/>
      <c r="AH7" s="108"/>
      <c r="AI7" s="108"/>
      <c r="AJ7" s="108"/>
      <c r="AK7" s="108"/>
      <c r="AL7" s="108"/>
      <c r="AM7" s="108"/>
      <c r="AN7" s="108"/>
      <c r="AO7" s="108"/>
      <c r="AP7" s="108"/>
      <c r="AQ7" s="108"/>
      <c r="AR7" s="108"/>
      <c r="AS7" s="108"/>
      <c r="AT7" s="108"/>
      <c r="AU7" s="108"/>
      <c r="AV7" s="108"/>
      <c r="AW7" s="108"/>
      <c r="AX7" s="108"/>
      <c r="AY7" s="108"/>
      <c r="AZ7" s="108"/>
      <c r="BA7" s="108"/>
      <c r="BB7" s="108"/>
      <c r="BC7" s="108"/>
      <c r="BD7" s="108"/>
      <c r="BE7" s="108"/>
      <c r="BF7" s="108"/>
      <c r="BG7" s="108"/>
      <c r="BH7" s="108"/>
      <c r="BI7" s="108"/>
      <c r="BJ7" s="108"/>
      <c r="BK7" s="108"/>
      <c r="BL7" s="108"/>
      <c r="BM7" s="108"/>
      <c r="BN7" s="108"/>
      <c r="BO7" s="108"/>
      <c r="BP7" s="108"/>
      <c r="BQ7" s="108"/>
      <c r="BR7" s="108"/>
      <c r="BS7" s="108"/>
      <c r="BT7" s="108"/>
      <c r="BU7" s="108"/>
      <c r="BV7" s="108"/>
      <c r="BW7" s="108"/>
      <c r="BX7" s="108"/>
      <c r="BY7" s="108"/>
      <c r="BZ7" s="108"/>
      <c r="CA7" s="108"/>
      <c r="CB7" s="108"/>
      <c r="CC7" s="108"/>
      <c r="CD7" s="108"/>
      <c r="CE7" s="108"/>
      <c r="CF7" s="108"/>
      <c r="CG7" s="108"/>
      <c r="CH7" s="108"/>
      <c r="CI7" s="108"/>
      <c r="CJ7" s="108"/>
      <c r="CK7" s="108"/>
      <c r="CL7" s="108"/>
      <c r="CM7" s="108"/>
      <c r="CN7" s="108"/>
      <c r="CO7" s="108"/>
      <c r="CP7" s="108"/>
      <c r="CQ7" s="108"/>
      <c r="CR7" s="108"/>
      <c r="CS7" s="108"/>
      <c r="CT7" s="108"/>
      <c r="CU7" s="108"/>
      <c r="CV7" s="108"/>
      <c r="CW7" s="108"/>
      <c r="CX7" s="108"/>
      <c r="CY7" s="108"/>
      <c r="CZ7" s="108"/>
      <c r="DA7" s="108"/>
      <c r="DB7" s="108"/>
      <c r="DC7" s="108"/>
      <c r="DD7" s="108"/>
      <c r="DE7" s="108"/>
      <c r="DF7" s="108"/>
      <c r="DG7" s="108"/>
      <c r="DH7" s="108"/>
      <c r="DI7" s="108"/>
      <c r="DJ7" s="108"/>
      <c r="DK7" s="108"/>
      <c r="DL7" s="108"/>
      <c r="DM7" s="108"/>
      <c r="DN7" s="108"/>
      <c r="DO7" s="108"/>
      <c r="DP7" s="108"/>
      <c r="DQ7" s="108"/>
      <c r="DR7" s="108"/>
      <c r="DS7" s="108"/>
      <c r="DT7" s="108"/>
      <c r="DU7" s="108"/>
      <c r="DV7" s="108"/>
      <c r="DW7" s="108"/>
      <c r="DX7" s="108"/>
      <c r="DY7" s="108"/>
      <c r="DZ7" s="108"/>
      <c r="EA7" s="108"/>
      <c r="EB7" s="108"/>
      <c r="EC7" s="108"/>
      <c r="ED7" s="108"/>
      <c r="EE7" s="108"/>
      <c r="EF7" s="108"/>
      <c r="EG7" s="108"/>
      <c r="EH7" s="108"/>
      <c r="EI7" s="108"/>
      <c r="EJ7" s="108"/>
      <c r="EK7" s="108"/>
      <c r="EL7" s="108"/>
      <c r="EM7" s="108"/>
      <c r="EN7" s="108"/>
      <c r="EO7" s="108"/>
      <c r="EP7" s="108"/>
      <c r="EQ7" s="108"/>
      <c r="ER7" s="108"/>
      <c r="ES7" s="108"/>
      <c r="ET7" s="108"/>
      <c r="EU7" s="108"/>
      <c r="EV7" s="108"/>
      <c r="EW7" s="108"/>
      <c r="EX7" s="108"/>
      <c r="EY7" s="108"/>
      <c r="EZ7" s="108"/>
      <c r="FA7" s="108"/>
      <c r="FB7" s="108"/>
      <c r="FC7" s="108"/>
      <c r="FD7" s="108"/>
      <c r="FE7" s="108"/>
      <c r="FF7" s="108"/>
      <c r="FG7" s="108"/>
      <c r="FH7" s="108"/>
      <c r="FI7" s="108"/>
      <c r="FJ7" s="108"/>
      <c r="FK7" s="108"/>
      <c r="FL7" s="108"/>
      <c r="FM7" s="108"/>
      <c r="FN7" s="108"/>
      <c r="FO7" s="108"/>
      <c r="FP7" s="108"/>
      <c r="FQ7" s="108"/>
      <c r="FR7" s="108"/>
      <c r="FS7" s="108"/>
      <c r="FT7" s="108"/>
      <c r="FU7" s="108"/>
      <c r="FV7" s="108"/>
      <c r="FW7" s="108"/>
      <c r="FX7" s="108"/>
      <c r="FY7" s="108"/>
      <c r="FZ7" s="108"/>
      <c r="GA7" s="108"/>
      <c r="GB7" s="108"/>
      <c r="GC7" s="108"/>
      <c r="GD7" s="108"/>
      <c r="GE7" s="108"/>
      <c r="GF7" s="108"/>
      <c r="GG7" s="108"/>
      <c r="GH7" s="108"/>
      <c r="GI7" s="108"/>
      <c r="GJ7" s="108"/>
      <c r="GK7" s="108"/>
      <c r="GL7" s="108"/>
      <c r="GM7" s="108"/>
      <c r="GN7" s="108"/>
      <c r="GO7" s="108"/>
      <c r="GP7" s="108"/>
      <c r="GQ7" s="108"/>
      <c r="GR7" s="108"/>
      <c r="GS7" s="108"/>
      <c r="GT7" s="108"/>
      <c r="GU7" s="108"/>
      <c r="GV7" s="108"/>
      <c r="GW7" s="108"/>
      <c r="GX7" s="108"/>
      <c r="GY7" s="108"/>
      <c r="GZ7" s="108"/>
      <c r="HA7" s="108"/>
      <c r="HB7" s="108"/>
      <c r="HC7" s="108"/>
      <c r="HD7" s="108"/>
      <c r="HE7" s="108"/>
      <c r="HF7" s="108"/>
      <c r="HG7" s="108"/>
      <c r="HH7" s="108"/>
      <c r="HI7" s="108"/>
      <c r="HJ7" s="108"/>
      <c r="HK7" s="108"/>
      <c r="HL7" s="108"/>
      <c r="HM7" s="108"/>
      <c r="HN7" s="108"/>
      <c r="HO7" s="108"/>
      <c r="HP7" s="108"/>
      <c r="HQ7" s="108"/>
      <c r="HR7" s="108"/>
      <c r="HS7" s="108"/>
      <c r="HT7" s="108"/>
      <c r="HU7" s="108"/>
      <c r="HV7" s="108"/>
      <c r="HW7" s="108"/>
      <c r="HX7" s="108"/>
      <c r="HY7" s="108"/>
      <c r="HZ7" s="108"/>
      <c r="IA7" s="108"/>
      <c r="IB7" s="108"/>
      <c r="IC7" s="108"/>
      <c r="ID7" s="108"/>
      <c r="IE7" s="108"/>
      <c r="IF7" s="108"/>
      <c r="IG7" s="108"/>
      <c r="IH7" s="108"/>
      <c r="II7" s="108"/>
      <c r="IJ7" s="108"/>
      <c r="IK7" s="108"/>
      <c r="IL7" s="108"/>
      <c r="IM7" s="108"/>
      <c r="IN7" s="108"/>
      <c r="IO7" s="108"/>
      <c r="IP7" s="108"/>
      <c r="IQ7" s="108"/>
      <c r="IR7" s="108"/>
      <c r="IS7" s="108"/>
      <c r="IT7" s="108"/>
      <c r="IU7" s="108"/>
      <c r="IV7" s="108"/>
      <c r="IW7" s="108"/>
    </row>
    <row r="8" spans="1:257" ht="15" thickBot="1" x14ac:dyDescent="0.35">
      <c r="A8" s="158"/>
      <c r="B8" s="113" t="str">
        <f>'Sensitivity analysis'!B167</f>
        <v xml:space="preserve">Reduction in preterm birth with a PSG </v>
      </c>
      <c r="C8" s="170">
        <f>'Sensitivity analysis'!G167</f>
        <v>37436.502366306653</v>
      </c>
      <c r="D8" s="171">
        <f>'Sensitivity analysis'!H167</f>
        <v>34789.077592978749</v>
      </c>
      <c r="E8" s="172">
        <f t="shared" si="0"/>
        <v>2647.4247733279044</v>
      </c>
      <c r="F8" s="158"/>
      <c r="G8" s="158"/>
      <c r="H8" s="158"/>
      <c r="I8" s="173" t="s">
        <v>810</v>
      </c>
      <c r="J8" s="170">
        <v>44197.104095223527</v>
      </c>
      <c r="K8" s="171">
        <v>25105.26555066129</v>
      </c>
      <c r="L8" s="172">
        <v>19091.838544562237</v>
      </c>
      <c r="M8" s="158"/>
      <c r="N8" s="158"/>
      <c r="O8" s="108"/>
      <c r="P8" s="108"/>
      <c r="Q8" s="108"/>
      <c r="R8" s="108"/>
      <c r="S8" s="108"/>
      <c r="T8" s="108"/>
      <c r="U8" s="108"/>
      <c r="V8" s="108"/>
      <c r="W8" s="108"/>
      <c r="X8" s="108"/>
      <c r="Y8" s="108"/>
      <c r="Z8" s="108"/>
      <c r="AA8" s="108"/>
      <c r="AB8" s="108"/>
      <c r="AC8" s="108"/>
      <c r="AD8" s="108"/>
      <c r="AE8" s="108"/>
      <c r="AF8" s="108"/>
      <c r="AG8" s="108"/>
      <c r="AH8" s="108"/>
      <c r="AI8" s="108"/>
      <c r="AJ8" s="108"/>
      <c r="AK8" s="108"/>
      <c r="AL8" s="108"/>
      <c r="AM8" s="108"/>
      <c r="AN8" s="108"/>
      <c r="AO8" s="108"/>
      <c r="AP8" s="108"/>
      <c r="AQ8" s="108"/>
      <c r="AR8" s="108"/>
      <c r="AS8" s="108"/>
      <c r="AT8" s="108"/>
      <c r="AU8" s="108"/>
      <c r="AV8" s="108"/>
      <c r="AW8" s="108"/>
      <c r="AX8" s="108"/>
      <c r="AY8" s="108"/>
      <c r="AZ8" s="108"/>
      <c r="BA8" s="108"/>
      <c r="BB8" s="108"/>
      <c r="BC8" s="108"/>
      <c r="BD8" s="108"/>
      <c r="BE8" s="108"/>
      <c r="BF8" s="108"/>
      <c r="BG8" s="108"/>
      <c r="BH8" s="108"/>
      <c r="BI8" s="108"/>
      <c r="BJ8" s="108"/>
      <c r="BK8" s="108"/>
      <c r="BL8" s="108"/>
      <c r="BM8" s="108"/>
      <c r="BN8" s="108"/>
      <c r="BO8" s="108"/>
      <c r="BP8" s="108"/>
      <c r="BQ8" s="108"/>
      <c r="BR8" s="108"/>
      <c r="BS8" s="108"/>
      <c r="BT8" s="108"/>
      <c r="BU8" s="108"/>
      <c r="BV8" s="108"/>
      <c r="BW8" s="108"/>
      <c r="BX8" s="108"/>
      <c r="BY8" s="108"/>
      <c r="BZ8" s="108"/>
      <c r="CA8" s="108"/>
      <c r="CB8" s="108"/>
      <c r="CC8" s="108"/>
      <c r="CD8" s="108"/>
      <c r="CE8" s="108"/>
      <c r="CF8" s="108"/>
      <c r="CG8" s="108"/>
      <c r="CH8" s="108"/>
      <c r="CI8" s="108"/>
      <c r="CJ8" s="108"/>
      <c r="CK8" s="108"/>
      <c r="CL8" s="108"/>
      <c r="CM8" s="108"/>
      <c r="CN8" s="108"/>
      <c r="CO8" s="108"/>
      <c r="CP8" s="108"/>
      <c r="CQ8" s="108"/>
      <c r="CR8" s="108"/>
      <c r="CS8" s="108"/>
      <c r="CT8" s="108"/>
      <c r="CU8" s="108"/>
      <c r="CV8" s="108"/>
      <c r="CW8" s="108"/>
      <c r="CX8" s="108"/>
      <c r="CY8" s="108"/>
      <c r="CZ8" s="108"/>
      <c r="DA8" s="108"/>
      <c r="DB8" s="108"/>
      <c r="DC8" s="108"/>
      <c r="DD8" s="108"/>
      <c r="DE8" s="108"/>
      <c r="DF8" s="108"/>
      <c r="DG8" s="108"/>
      <c r="DH8" s="108"/>
      <c r="DI8" s="108"/>
      <c r="DJ8" s="108"/>
      <c r="DK8" s="108"/>
      <c r="DL8" s="108"/>
      <c r="DM8" s="108"/>
      <c r="DN8" s="108"/>
      <c r="DO8" s="108"/>
      <c r="DP8" s="108"/>
      <c r="DQ8" s="108"/>
      <c r="DR8" s="108"/>
      <c r="DS8" s="108"/>
      <c r="DT8" s="108"/>
      <c r="DU8" s="108"/>
      <c r="DV8" s="108"/>
      <c r="DW8" s="108"/>
      <c r="DX8" s="108"/>
      <c r="DY8" s="108"/>
      <c r="DZ8" s="108"/>
      <c r="EA8" s="108"/>
      <c r="EB8" s="108"/>
      <c r="EC8" s="108"/>
      <c r="ED8" s="108"/>
      <c r="EE8" s="108"/>
      <c r="EF8" s="108"/>
      <c r="EG8" s="108"/>
      <c r="EH8" s="108"/>
      <c r="EI8" s="108"/>
      <c r="EJ8" s="108"/>
      <c r="EK8" s="108"/>
      <c r="EL8" s="108"/>
      <c r="EM8" s="108"/>
      <c r="EN8" s="108"/>
      <c r="EO8" s="108"/>
      <c r="EP8" s="108"/>
      <c r="EQ8" s="108"/>
      <c r="ER8" s="108"/>
      <c r="ES8" s="108"/>
      <c r="ET8" s="108"/>
      <c r="EU8" s="108"/>
      <c r="EV8" s="108"/>
      <c r="EW8" s="108"/>
      <c r="EX8" s="108"/>
      <c r="EY8" s="108"/>
      <c r="EZ8" s="108"/>
      <c r="FA8" s="108"/>
      <c r="FB8" s="108"/>
      <c r="FC8" s="108"/>
      <c r="FD8" s="108"/>
      <c r="FE8" s="108"/>
      <c r="FF8" s="108"/>
      <c r="FG8" s="108"/>
      <c r="FH8" s="108"/>
      <c r="FI8" s="108"/>
      <c r="FJ8" s="108"/>
      <c r="FK8" s="108"/>
      <c r="FL8" s="108"/>
      <c r="FM8" s="108"/>
      <c r="FN8" s="108"/>
      <c r="FO8" s="108"/>
      <c r="FP8" s="108"/>
      <c r="FQ8" s="108"/>
      <c r="FR8" s="108"/>
      <c r="FS8" s="108"/>
      <c r="FT8" s="108"/>
      <c r="FU8" s="108"/>
      <c r="FV8" s="108"/>
      <c r="FW8" s="108"/>
      <c r="FX8" s="108"/>
      <c r="FY8" s="108"/>
      <c r="FZ8" s="108"/>
      <c r="GA8" s="108"/>
      <c r="GB8" s="108"/>
      <c r="GC8" s="108"/>
      <c r="GD8" s="108"/>
      <c r="GE8" s="108"/>
      <c r="GF8" s="108"/>
      <c r="GG8" s="108"/>
      <c r="GH8" s="108"/>
      <c r="GI8" s="108"/>
      <c r="GJ8" s="108"/>
      <c r="GK8" s="108"/>
      <c r="GL8" s="108"/>
      <c r="GM8" s="108"/>
      <c r="GN8" s="108"/>
      <c r="GO8" s="108"/>
      <c r="GP8" s="108"/>
      <c r="GQ8" s="108"/>
      <c r="GR8" s="108"/>
      <c r="GS8" s="108"/>
      <c r="GT8" s="108"/>
      <c r="GU8" s="108"/>
      <c r="GV8" s="108"/>
      <c r="GW8" s="108"/>
      <c r="GX8" s="108"/>
      <c r="GY8" s="108"/>
      <c r="GZ8" s="108"/>
      <c r="HA8" s="108"/>
      <c r="HB8" s="108"/>
      <c r="HC8" s="108"/>
      <c r="HD8" s="108"/>
      <c r="HE8" s="108"/>
      <c r="HF8" s="108"/>
      <c r="HG8" s="108"/>
      <c r="HH8" s="108"/>
      <c r="HI8" s="108"/>
      <c r="HJ8" s="108"/>
      <c r="HK8" s="108"/>
      <c r="HL8" s="108"/>
      <c r="HM8" s="108"/>
      <c r="HN8" s="108"/>
      <c r="HO8" s="108"/>
      <c r="HP8" s="108"/>
      <c r="HQ8" s="108"/>
      <c r="HR8" s="108"/>
      <c r="HS8" s="108"/>
      <c r="HT8" s="108"/>
      <c r="HU8" s="108"/>
      <c r="HV8" s="108"/>
      <c r="HW8" s="108"/>
      <c r="HX8" s="108"/>
      <c r="HY8" s="108"/>
      <c r="HZ8" s="108"/>
      <c r="IA8" s="108"/>
      <c r="IB8" s="108"/>
      <c r="IC8" s="108"/>
      <c r="ID8" s="108"/>
      <c r="IE8" s="108"/>
      <c r="IF8" s="108"/>
      <c r="IG8" s="108"/>
      <c r="IH8" s="108"/>
      <c r="II8" s="108"/>
      <c r="IJ8" s="108"/>
      <c r="IK8" s="108"/>
      <c r="IL8" s="108"/>
      <c r="IM8" s="108"/>
      <c r="IN8" s="108"/>
      <c r="IO8" s="108"/>
      <c r="IP8" s="108"/>
      <c r="IQ8" s="108"/>
      <c r="IR8" s="108"/>
      <c r="IS8" s="108"/>
      <c r="IT8" s="108"/>
      <c r="IU8" s="108"/>
      <c r="IV8" s="108"/>
      <c r="IW8" s="108"/>
    </row>
    <row r="9" spans="1:257" ht="15" thickBot="1" x14ac:dyDescent="0.35">
      <c r="A9" s="158"/>
      <c r="B9" s="113" t="str">
        <f>'Sensitivity analysis'!B168</f>
        <v xml:space="preserve">Reduction in LBW with a PSG </v>
      </c>
      <c r="C9" s="170">
        <f>'Sensitivity analysis'!G168</f>
        <v>44197.104095223527</v>
      </c>
      <c r="D9" s="171">
        <f>'Sensitivity analysis'!H168</f>
        <v>25105.26555066129</v>
      </c>
      <c r="E9" s="172">
        <f>ABS(D9-C9)</f>
        <v>19091.838544562237</v>
      </c>
      <c r="F9" s="158"/>
      <c r="G9" s="158"/>
      <c r="H9" s="158"/>
      <c r="I9" s="173" t="s">
        <v>793</v>
      </c>
      <c r="J9" s="170">
        <v>26768.623433254281</v>
      </c>
      <c r="K9" s="175">
        <v>45548.247035456348</v>
      </c>
      <c r="L9" s="172">
        <v>18779.623602202068</v>
      </c>
      <c r="M9" s="158"/>
      <c r="N9" s="158"/>
      <c r="O9" s="108"/>
      <c r="P9" s="108"/>
      <c r="Q9" s="108"/>
      <c r="R9" s="108"/>
      <c r="S9" s="108"/>
      <c r="T9" s="108"/>
      <c r="U9" s="108"/>
      <c r="V9" s="108"/>
      <c r="W9" s="108"/>
      <c r="X9" s="108"/>
      <c r="Y9" s="108"/>
      <c r="Z9" s="108"/>
      <c r="AA9" s="108"/>
      <c r="AB9" s="108"/>
      <c r="AC9" s="108"/>
      <c r="AD9" s="108"/>
      <c r="AE9" s="108"/>
      <c r="AF9" s="108"/>
      <c r="AG9" s="108"/>
      <c r="AH9" s="108"/>
      <c r="AI9" s="108"/>
      <c r="AJ9" s="108"/>
      <c r="AK9" s="108"/>
      <c r="AL9" s="108"/>
      <c r="AM9" s="108"/>
      <c r="AN9" s="108"/>
      <c r="AO9" s="108"/>
      <c r="AP9" s="108"/>
      <c r="AQ9" s="108"/>
      <c r="AR9" s="108"/>
      <c r="AS9" s="108"/>
      <c r="AT9" s="108"/>
      <c r="AU9" s="108"/>
      <c r="AV9" s="108"/>
      <c r="AW9" s="108"/>
      <c r="AX9" s="108"/>
      <c r="AY9" s="108"/>
      <c r="AZ9" s="108"/>
      <c r="BA9" s="108"/>
      <c r="BB9" s="108"/>
      <c r="BC9" s="108"/>
      <c r="BD9" s="108"/>
      <c r="BE9" s="108"/>
      <c r="BF9" s="108"/>
      <c r="BG9" s="108"/>
      <c r="BH9" s="108"/>
      <c r="BI9" s="108"/>
      <c r="BJ9" s="108"/>
      <c r="BK9" s="108"/>
      <c r="BL9" s="108"/>
      <c r="BM9" s="108"/>
      <c r="BN9" s="108"/>
      <c r="BO9" s="108"/>
      <c r="BP9" s="108"/>
      <c r="BQ9" s="108"/>
      <c r="BR9" s="108"/>
      <c r="BS9" s="108"/>
      <c r="BT9" s="108"/>
      <c r="BU9" s="108"/>
      <c r="BV9" s="108"/>
      <c r="BW9" s="108"/>
      <c r="BX9" s="108"/>
      <c r="BY9" s="108"/>
      <c r="BZ9" s="108"/>
      <c r="CA9" s="108"/>
      <c r="CB9" s="108"/>
      <c r="CC9" s="108"/>
      <c r="CD9" s="108"/>
      <c r="CE9" s="108"/>
      <c r="CF9" s="108"/>
      <c r="CG9" s="108"/>
      <c r="CH9" s="108"/>
      <c r="CI9" s="108"/>
      <c r="CJ9" s="108"/>
      <c r="CK9" s="108"/>
      <c r="CL9" s="108"/>
      <c r="CM9" s="108"/>
      <c r="CN9" s="108"/>
      <c r="CO9" s="108"/>
      <c r="CP9" s="108"/>
      <c r="CQ9" s="108"/>
      <c r="CR9" s="108"/>
      <c r="CS9" s="108"/>
      <c r="CT9" s="108"/>
      <c r="CU9" s="108"/>
      <c r="CV9" s="108"/>
      <c r="CW9" s="108"/>
      <c r="CX9" s="108"/>
      <c r="CY9" s="108"/>
      <c r="CZ9" s="108"/>
      <c r="DA9" s="108"/>
      <c r="DB9" s="108"/>
      <c r="DC9" s="108"/>
      <c r="DD9" s="108"/>
      <c r="DE9" s="108"/>
      <c r="DF9" s="108"/>
      <c r="DG9" s="108"/>
      <c r="DH9" s="108"/>
      <c r="DI9" s="108"/>
      <c r="DJ9" s="108"/>
      <c r="DK9" s="108"/>
      <c r="DL9" s="108"/>
      <c r="DM9" s="108"/>
      <c r="DN9" s="108"/>
      <c r="DO9" s="108"/>
      <c r="DP9" s="108"/>
      <c r="DQ9" s="108"/>
      <c r="DR9" s="108"/>
      <c r="DS9" s="108"/>
      <c r="DT9" s="108"/>
      <c r="DU9" s="108"/>
      <c r="DV9" s="108"/>
      <c r="DW9" s="108"/>
      <c r="DX9" s="108"/>
      <c r="DY9" s="108"/>
      <c r="DZ9" s="108"/>
      <c r="EA9" s="108"/>
      <c r="EB9" s="108"/>
      <c r="EC9" s="108"/>
      <c r="ED9" s="108"/>
      <c r="EE9" s="108"/>
      <c r="EF9" s="108"/>
      <c r="EG9" s="108"/>
      <c r="EH9" s="108"/>
      <c r="EI9" s="108"/>
      <c r="EJ9" s="108"/>
      <c r="EK9" s="108"/>
      <c r="EL9" s="108"/>
      <c r="EM9" s="108"/>
      <c r="EN9" s="108"/>
      <c r="EO9" s="108"/>
      <c r="EP9" s="108"/>
      <c r="EQ9" s="108"/>
      <c r="ER9" s="108"/>
      <c r="ES9" s="108"/>
      <c r="ET9" s="108"/>
      <c r="EU9" s="108"/>
      <c r="EV9" s="108"/>
      <c r="EW9" s="108"/>
      <c r="EX9" s="108"/>
      <c r="EY9" s="108"/>
      <c r="EZ9" s="108"/>
      <c r="FA9" s="108"/>
      <c r="FB9" s="108"/>
      <c r="FC9" s="108"/>
      <c r="FD9" s="108"/>
      <c r="FE9" s="108"/>
      <c r="FF9" s="108"/>
      <c r="FG9" s="108"/>
      <c r="FH9" s="108"/>
      <c r="FI9" s="108"/>
      <c r="FJ9" s="108"/>
      <c r="FK9" s="108"/>
      <c r="FL9" s="108"/>
      <c r="FM9" s="108"/>
      <c r="FN9" s="108"/>
      <c r="FO9" s="108"/>
      <c r="FP9" s="108"/>
      <c r="FQ9" s="108"/>
      <c r="FR9" s="108"/>
      <c r="FS9" s="108"/>
      <c r="FT9" s="108"/>
      <c r="FU9" s="108"/>
      <c r="FV9" s="108"/>
      <c r="FW9" s="108"/>
      <c r="FX9" s="108"/>
      <c r="FY9" s="108"/>
      <c r="FZ9" s="108"/>
      <c r="GA9" s="108"/>
      <c r="GB9" s="108"/>
      <c r="GC9" s="108"/>
      <c r="GD9" s="108"/>
      <c r="GE9" s="108"/>
      <c r="GF9" s="108"/>
      <c r="GG9" s="108"/>
      <c r="GH9" s="108"/>
      <c r="GI9" s="108"/>
      <c r="GJ9" s="108"/>
      <c r="GK9" s="108"/>
      <c r="GL9" s="108"/>
      <c r="GM9" s="108"/>
      <c r="GN9" s="108"/>
      <c r="GO9" s="108"/>
      <c r="GP9" s="108"/>
      <c r="GQ9" s="108"/>
      <c r="GR9" s="108"/>
      <c r="GS9" s="108"/>
      <c r="GT9" s="108"/>
      <c r="GU9" s="108"/>
      <c r="GV9" s="108"/>
      <c r="GW9" s="108"/>
      <c r="GX9" s="108"/>
      <c r="GY9" s="108"/>
      <c r="GZ9" s="108"/>
      <c r="HA9" s="108"/>
      <c r="HB9" s="108"/>
      <c r="HC9" s="108"/>
      <c r="HD9" s="108"/>
      <c r="HE9" s="108"/>
      <c r="HF9" s="108"/>
      <c r="HG9" s="108"/>
      <c r="HH9" s="108"/>
      <c r="HI9" s="108"/>
      <c r="HJ9" s="108"/>
      <c r="HK9" s="108"/>
      <c r="HL9" s="108"/>
      <c r="HM9" s="108"/>
      <c r="HN9" s="108"/>
      <c r="HO9" s="108"/>
      <c r="HP9" s="108"/>
      <c r="HQ9" s="108"/>
      <c r="HR9" s="108"/>
      <c r="HS9" s="108"/>
      <c r="HT9" s="108"/>
      <c r="HU9" s="108"/>
      <c r="HV9" s="108"/>
      <c r="HW9" s="108"/>
      <c r="HX9" s="108"/>
      <c r="HY9" s="108"/>
      <c r="HZ9" s="108"/>
      <c r="IA9" s="108"/>
      <c r="IB9" s="108"/>
      <c r="IC9" s="108"/>
      <c r="ID9" s="108"/>
      <c r="IE9" s="108"/>
      <c r="IF9" s="108"/>
      <c r="IG9" s="108"/>
      <c r="IH9" s="108"/>
      <c r="II9" s="108"/>
      <c r="IJ9" s="108"/>
      <c r="IK9" s="108"/>
      <c r="IL9" s="108"/>
      <c r="IM9" s="108"/>
      <c r="IN9" s="108"/>
      <c r="IO9" s="108"/>
      <c r="IP9" s="108"/>
      <c r="IQ9" s="108"/>
      <c r="IR9" s="108"/>
      <c r="IS9" s="108"/>
      <c r="IT9" s="108"/>
      <c r="IU9" s="108"/>
      <c r="IV9" s="108"/>
      <c r="IW9" s="108"/>
    </row>
    <row r="10" spans="1:257" ht="15" thickBot="1" x14ac:dyDescent="0.35">
      <c r="A10" s="158"/>
      <c r="B10" s="113" t="str">
        <f>'Sensitivity analysis'!B169</f>
        <v xml:space="preserve">Reduction in SGA with a PSG </v>
      </c>
      <c r="C10" s="170">
        <f>'Sensitivity analysis'!G169</f>
        <v>36448.687458326043</v>
      </c>
      <c r="D10" s="171">
        <f>'Sensitivity analysis'!H169</f>
        <v>35852.46101491939</v>
      </c>
      <c r="E10" s="172">
        <f>ABS(D10-C10)</f>
        <v>596.22644340665283</v>
      </c>
      <c r="F10" s="158"/>
      <c r="G10" s="158"/>
      <c r="H10" s="158"/>
      <c r="I10" s="173" t="s">
        <v>792</v>
      </c>
      <c r="J10" s="170">
        <v>29347.255018886386</v>
      </c>
      <c r="K10" s="175">
        <v>42515.536768792794</v>
      </c>
      <c r="L10" s="172">
        <v>13168.281749906408</v>
      </c>
      <c r="M10" s="158"/>
      <c r="N10" s="158"/>
      <c r="O10" s="108"/>
      <c r="P10" s="108"/>
      <c r="Q10" s="108"/>
      <c r="R10" s="108"/>
      <c r="S10" s="108"/>
      <c r="T10" s="108"/>
      <c r="U10" s="108"/>
      <c r="V10" s="108"/>
      <c r="W10" s="108"/>
      <c r="X10" s="108"/>
      <c r="Y10" s="108"/>
      <c r="Z10" s="108"/>
      <c r="AA10" s="108"/>
      <c r="AB10" s="108"/>
      <c r="AC10" s="108"/>
      <c r="AD10" s="108"/>
      <c r="AE10" s="108"/>
      <c r="AF10" s="108"/>
      <c r="AG10" s="108"/>
      <c r="AH10" s="108"/>
      <c r="AI10" s="108"/>
      <c r="AJ10" s="108"/>
      <c r="AK10" s="108"/>
      <c r="AL10" s="108"/>
      <c r="AM10" s="108"/>
      <c r="AN10" s="108"/>
      <c r="AO10" s="108"/>
      <c r="AP10" s="108"/>
      <c r="AQ10" s="108"/>
      <c r="AR10" s="108"/>
      <c r="AS10" s="108"/>
      <c r="AT10" s="108"/>
      <c r="AU10" s="108"/>
      <c r="AV10" s="108"/>
      <c r="AW10" s="108"/>
      <c r="AX10" s="108"/>
      <c r="AY10" s="108"/>
      <c r="AZ10" s="108"/>
      <c r="BA10" s="108"/>
      <c r="BB10" s="108"/>
      <c r="BC10" s="108"/>
      <c r="BD10" s="108"/>
      <c r="BE10" s="108"/>
      <c r="BF10" s="108"/>
      <c r="BG10" s="108"/>
      <c r="BH10" s="108"/>
      <c r="BI10" s="108"/>
      <c r="BJ10" s="108"/>
      <c r="BK10" s="108"/>
      <c r="BL10" s="108"/>
      <c r="BM10" s="108"/>
      <c r="BN10" s="108"/>
      <c r="BO10" s="108"/>
      <c r="BP10" s="108"/>
      <c r="BQ10" s="108"/>
      <c r="BR10" s="108"/>
      <c r="BS10" s="108"/>
      <c r="BT10" s="108"/>
      <c r="BU10" s="108"/>
      <c r="BV10" s="108"/>
      <c r="BW10" s="108"/>
      <c r="BX10" s="108"/>
      <c r="BY10" s="108"/>
      <c r="BZ10" s="108"/>
      <c r="CA10" s="108"/>
      <c r="CB10" s="108"/>
      <c r="CC10" s="108"/>
      <c r="CD10" s="108"/>
      <c r="CE10" s="108"/>
      <c r="CF10" s="108"/>
      <c r="CG10" s="108"/>
      <c r="CH10" s="108"/>
      <c r="CI10" s="108"/>
      <c r="CJ10" s="108"/>
      <c r="CK10" s="108"/>
      <c r="CL10" s="108"/>
      <c r="CM10" s="108"/>
      <c r="CN10" s="108"/>
      <c r="CO10" s="108"/>
      <c r="CP10" s="108"/>
      <c r="CQ10" s="108"/>
      <c r="CR10" s="108"/>
      <c r="CS10" s="108"/>
      <c r="CT10" s="108"/>
      <c r="CU10" s="108"/>
      <c r="CV10" s="108"/>
      <c r="CW10" s="108"/>
      <c r="CX10" s="108"/>
      <c r="CY10" s="108"/>
      <c r="CZ10" s="108"/>
      <c r="DA10" s="108"/>
      <c r="DB10" s="108"/>
      <c r="DC10" s="108"/>
      <c r="DD10" s="108"/>
      <c r="DE10" s="108"/>
      <c r="DF10" s="108"/>
      <c r="DG10" s="108"/>
      <c r="DH10" s="108"/>
      <c r="DI10" s="108"/>
      <c r="DJ10" s="108"/>
      <c r="DK10" s="108"/>
      <c r="DL10" s="108"/>
      <c r="DM10" s="108"/>
      <c r="DN10" s="108"/>
      <c r="DO10" s="108"/>
      <c r="DP10" s="108"/>
      <c r="DQ10" s="108"/>
      <c r="DR10" s="108"/>
      <c r="DS10" s="108"/>
      <c r="DT10" s="108"/>
      <c r="DU10" s="108"/>
      <c r="DV10" s="108"/>
      <c r="DW10" s="108"/>
      <c r="DX10" s="108"/>
      <c r="DY10" s="108"/>
      <c r="DZ10" s="108"/>
      <c r="EA10" s="108"/>
      <c r="EB10" s="108"/>
      <c r="EC10" s="108"/>
      <c r="ED10" s="108"/>
      <c r="EE10" s="108"/>
      <c r="EF10" s="108"/>
      <c r="EG10" s="108"/>
      <c r="EH10" s="108"/>
      <c r="EI10" s="108"/>
      <c r="EJ10" s="108"/>
      <c r="EK10" s="108"/>
      <c r="EL10" s="108"/>
      <c r="EM10" s="108"/>
      <c r="EN10" s="108"/>
      <c r="EO10" s="108"/>
      <c r="EP10" s="108"/>
      <c r="EQ10" s="108"/>
      <c r="ER10" s="108"/>
      <c r="ES10" s="108"/>
      <c r="ET10" s="108"/>
      <c r="EU10" s="108"/>
      <c r="EV10" s="108"/>
      <c r="EW10" s="108"/>
      <c r="EX10" s="108"/>
      <c r="EY10" s="108"/>
      <c r="EZ10" s="108"/>
      <c r="FA10" s="108"/>
      <c r="FB10" s="108"/>
      <c r="FC10" s="108"/>
      <c r="FD10" s="108"/>
      <c r="FE10" s="108"/>
      <c r="FF10" s="108"/>
      <c r="FG10" s="108"/>
      <c r="FH10" s="108"/>
      <c r="FI10" s="108"/>
      <c r="FJ10" s="108"/>
      <c r="FK10" s="108"/>
      <c r="FL10" s="108"/>
      <c r="FM10" s="108"/>
      <c r="FN10" s="108"/>
      <c r="FO10" s="108"/>
      <c r="FP10" s="108"/>
      <c r="FQ10" s="108"/>
      <c r="FR10" s="108"/>
      <c r="FS10" s="108"/>
      <c r="FT10" s="108"/>
      <c r="FU10" s="108"/>
      <c r="FV10" s="108"/>
      <c r="FW10" s="108"/>
      <c r="FX10" s="108"/>
      <c r="FY10" s="108"/>
      <c r="FZ10" s="108"/>
      <c r="GA10" s="108"/>
      <c r="GB10" s="108"/>
      <c r="GC10" s="108"/>
      <c r="GD10" s="108"/>
      <c r="GE10" s="108"/>
      <c r="GF10" s="108"/>
      <c r="GG10" s="108"/>
      <c r="GH10" s="108"/>
      <c r="GI10" s="108"/>
      <c r="GJ10" s="108"/>
      <c r="GK10" s="108"/>
      <c r="GL10" s="108"/>
      <c r="GM10" s="108"/>
      <c r="GN10" s="108"/>
      <c r="GO10" s="108"/>
      <c r="GP10" s="108"/>
      <c r="GQ10" s="108"/>
      <c r="GR10" s="108"/>
      <c r="GS10" s="108"/>
      <c r="GT10" s="108"/>
      <c r="GU10" s="108"/>
      <c r="GV10" s="108"/>
      <c r="GW10" s="108"/>
      <c r="GX10" s="108"/>
      <c r="GY10" s="108"/>
      <c r="GZ10" s="108"/>
      <c r="HA10" s="108"/>
      <c r="HB10" s="108"/>
      <c r="HC10" s="108"/>
      <c r="HD10" s="108"/>
      <c r="HE10" s="108"/>
      <c r="HF10" s="108"/>
      <c r="HG10" s="108"/>
      <c r="HH10" s="108"/>
      <c r="HI10" s="108"/>
      <c r="HJ10" s="108"/>
      <c r="HK10" s="108"/>
      <c r="HL10" s="108"/>
      <c r="HM10" s="108"/>
      <c r="HN10" s="108"/>
      <c r="HO10" s="108"/>
      <c r="HP10" s="108"/>
      <c r="HQ10" s="108"/>
      <c r="HR10" s="108"/>
      <c r="HS10" s="108"/>
      <c r="HT10" s="108"/>
      <c r="HU10" s="108"/>
      <c r="HV10" s="108"/>
      <c r="HW10" s="108"/>
      <c r="HX10" s="108"/>
      <c r="HY10" s="108"/>
      <c r="HZ10" s="108"/>
      <c r="IA10" s="108"/>
      <c r="IB10" s="108"/>
      <c r="IC10" s="108"/>
      <c r="ID10" s="108"/>
      <c r="IE10" s="108"/>
      <c r="IF10" s="108"/>
      <c r="IG10" s="108"/>
      <c r="IH10" s="108"/>
      <c r="II10" s="108"/>
      <c r="IJ10" s="108"/>
      <c r="IK10" s="108"/>
      <c r="IL10" s="108"/>
      <c r="IM10" s="108"/>
      <c r="IN10" s="108"/>
      <c r="IO10" s="108"/>
      <c r="IP10" s="108"/>
      <c r="IQ10" s="108"/>
      <c r="IR10" s="108"/>
      <c r="IS10" s="108"/>
      <c r="IT10" s="108"/>
      <c r="IU10" s="108"/>
      <c r="IV10" s="108"/>
      <c r="IW10" s="108"/>
    </row>
    <row r="11" spans="1:257" ht="15" thickBot="1" x14ac:dyDescent="0.35">
      <c r="A11" s="158"/>
      <c r="B11" s="113" t="str">
        <f>'Sensitivity analysis'!B170</f>
        <v>Reduction in infant death with a PSG</v>
      </c>
      <c r="C11" s="170">
        <f>'Sensitivity analysis'!G170</f>
        <v>35734.730543923462</v>
      </c>
      <c r="D11" s="171">
        <f>'Sensitivity analysis'!H170</f>
        <v>36553.892945424843</v>
      </c>
      <c r="E11" s="172">
        <f t="shared" si="0"/>
        <v>819.16240150138037</v>
      </c>
      <c r="F11" s="158"/>
      <c r="G11" s="158"/>
      <c r="H11" s="158"/>
      <c r="I11" s="173" t="s">
        <v>791</v>
      </c>
      <c r="J11" s="174">
        <v>31729.202190471973</v>
      </c>
      <c r="K11" s="171">
        <v>40587.668278238503</v>
      </c>
      <c r="L11" s="172">
        <v>8858.4660877665301</v>
      </c>
      <c r="M11" s="158"/>
      <c r="N11" s="158"/>
      <c r="O11" s="108"/>
      <c r="P11" s="108"/>
      <c r="Q11" s="108"/>
      <c r="R11" s="108"/>
      <c r="S11" s="108"/>
      <c r="T11" s="108"/>
      <c r="U11" s="108"/>
      <c r="V11" s="108"/>
      <c r="W11" s="108"/>
      <c r="X11" s="108"/>
      <c r="Y11" s="108"/>
      <c r="Z11" s="108"/>
      <c r="AA11" s="108"/>
      <c r="AB11" s="108"/>
      <c r="AC11" s="108"/>
      <c r="AD11" s="108"/>
      <c r="AE11" s="108"/>
      <c r="AF11" s="108"/>
      <c r="AG11" s="108"/>
      <c r="AH11" s="108"/>
      <c r="AI11" s="108"/>
      <c r="AJ11" s="108"/>
      <c r="AK11" s="108"/>
      <c r="AL11" s="108"/>
      <c r="AM11" s="108"/>
      <c r="AN11" s="108"/>
      <c r="AO11" s="108"/>
      <c r="AP11" s="108"/>
      <c r="AQ11" s="108"/>
      <c r="AR11" s="108"/>
      <c r="AS11" s="108"/>
      <c r="AT11" s="108"/>
      <c r="AU11" s="108"/>
      <c r="AV11" s="108"/>
      <c r="AW11" s="108"/>
      <c r="AX11" s="108"/>
      <c r="AY11" s="108"/>
      <c r="AZ11" s="108"/>
      <c r="BA11" s="108"/>
      <c r="BB11" s="108"/>
      <c r="BC11" s="108"/>
      <c r="BD11" s="108"/>
      <c r="BE11" s="108"/>
      <c r="BF11" s="108"/>
      <c r="BG11" s="108"/>
      <c r="BH11" s="108"/>
      <c r="BI11" s="108"/>
      <c r="BJ11" s="108"/>
      <c r="BK11" s="108"/>
      <c r="BL11" s="108"/>
      <c r="BM11" s="108"/>
      <c r="BN11" s="108"/>
      <c r="BO11" s="108"/>
      <c r="BP11" s="108"/>
      <c r="BQ11" s="108"/>
      <c r="BR11" s="108"/>
      <c r="BS11" s="108"/>
      <c r="BT11" s="108"/>
      <c r="BU11" s="108"/>
      <c r="BV11" s="108"/>
      <c r="BW11" s="108"/>
      <c r="BX11" s="108"/>
      <c r="BY11" s="108"/>
      <c r="BZ11" s="108"/>
      <c r="CA11" s="108"/>
      <c r="CB11" s="108"/>
      <c r="CC11" s="108"/>
      <c r="CD11" s="108"/>
      <c r="CE11" s="108"/>
      <c r="CF11" s="108"/>
      <c r="CG11" s="108"/>
      <c r="CH11" s="108"/>
      <c r="CI11" s="108"/>
      <c r="CJ11" s="108"/>
      <c r="CK11" s="108"/>
      <c r="CL11" s="108"/>
      <c r="CM11" s="108"/>
      <c r="CN11" s="108"/>
      <c r="CO11" s="108"/>
      <c r="CP11" s="108"/>
      <c r="CQ11" s="108"/>
      <c r="CR11" s="108"/>
      <c r="CS11" s="108"/>
      <c r="CT11" s="108"/>
      <c r="CU11" s="108"/>
      <c r="CV11" s="108"/>
      <c r="CW11" s="108"/>
      <c r="CX11" s="108"/>
      <c r="CY11" s="108"/>
      <c r="CZ11" s="108"/>
      <c r="DA11" s="108"/>
      <c r="DB11" s="108"/>
      <c r="DC11" s="108"/>
      <c r="DD11" s="108"/>
      <c r="DE11" s="108"/>
      <c r="DF11" s="108"/>
      <c r="DG11" s="108"/>
      <c r="DH11" s="108"/>
      <c r="DI11" s="108"/>
      <c r="DJ11" s="108"/>
      <c r="DK11" s="108"/>
      <c r="DL11" s="108"/>
      <c r="DM11" s="108"/>
      <c r="DN11" s="108"/>
      <c r="DO11" s="108"/>
      <c r="DP11" s="108"/>
      <c r="DQ11" s="108"/>
      <c r="DR11" s="108"/>
      <c r="DS11" s="108"/>
      <c r="DT11" s="108"/>
      <c r="DU11" s="108"/>
      <c r="DV11" s="108"/>
      <c r="DW11" s="108"/>
      <c r="DX11" s="108"/>
      <c r="DY11" s="108"/>
      <c r="DZ11" s="108"/>
      <c r="EA11" s="108"/>
      <c r="EB11" s="108"/>
      <c r="EC11" s="108"/>
      <c r="ED11" s="108"/>
      <c r="EE11" s="108"/>
      <c r="EF11" s="108"/>
      <c r="EG11" s="108"/>
      <c r="EH11" s="108"/>
      <c r="EI11" s="108"/>
      <c r="EJ11" s="108"/>
      <c r="EK11" s="108"/>
      <c r="EL11" s="108"/>
      <c r="EM11" s="108"/>
      <c r="EN11" s="108"/>
      <c r="EO11" s="108"/>
      <c r="EP11" s="108"/>
      <c r="EQ11" s="108"/>
      <c r="ER11" s="108"/>
      <c r="ES11" s="108"/>
      <c r="ET11" s="108"/>
      <c r="EU11" s="108"/>
      <c r="EV11" s="108"/>
      <c r="EW11" s="108"/>
      <c r="EX11" s="108"/>
      <c r="EY11" s="108"/>
      <c r="EZ11" s="108"/>
      <c r="FA11" s="108"/>
      <c r="FB11" s="108"/>
      <c r="FC11" s="108"/>
      <c r="FD11" s="108"/>
      <c r="FE11" s="108"/>
      <c r="FF11" s="108"/>
      <c r="FG11" s="108"/>
      <c r="FH11" s="108"/>
      <c r="FI11" s="108"/>
      <c r="FJ11" s="108"/>
      <c r="FK11" s="108"/>
      <c r="FL11" s="108"/>
      <c r="FM11" s="108"/>
      <c r="FN11" s="108"/>
      <c r="FO11" s="108"/>
      <c r="FP11" s="108"/>
      <c r="FQ11" s="108"/>
      <c r="FR11" s="108"/>
      <c r="FS11" s="108"/>
      <c r="FT11" s="108"/>
      <c r="FU11" s="108"/>
      <c r="FV11" s="108"/>
      <c r="FW11" s="108"/>
      <c r="FX11" s="108"/>
      <c r="FY11" s="108"/>
      <c r="FZ11" s="108"/>
      <c r="GA11" s="108"/>
      <c r="GB11" s="108"/>
      <c r="GC11" s="108"/>
      <c r="GD11" s="108"/>
      <c r="GE11" s="108"/>
      <c r="GF11" s="108"/>
      <c r="GG11" s="108"/>
      <c r="GH11" s="108"/>
      <c r="GI11" s="108"/>
      <c r="GJ11" s="108"/>
      <c r="GK11" s="108"/>
      <c r="GL11" s="108"/>
      <c r="GM11" s="108"/>
      <c r="GN11" s="108"/>
      <c r="GO11" s="108"/>
      <c r="GP11" s="108"/>
      <c r="GQ11" s="108"/>
      <c r="GR11" s="108"/>
      <c r="GS11" s="108"/>
      <c r="GT11" s="108"/>
      <c r="GU11" s="108"/>
      <c r="GV11" s="108"/>
      <c r="GW11" s="108"/>
      <c r="GX11" s="108"/>
      <c r="GY11" s="108"/>
      <c r="GZ11" s="108"/>
      <c r="HA11" s="108"/>
      <c r="HB11" s="108"/>
      <c r="HC11" s="108"/>
      <c r="HD11" s="108"/>
      <c r="HE11" s="108"/>
      <c r="HF11" s="108"/>
      <c r="HG11" s="108"/>
      <c r="HH11" s="108"/>
      <c r="HI11" s="108"/>
      <c r="HJ11" s="108"/>
      <c r="HK11" s="108"/>
      <c r="HL11" s="108"/>
      <c r="HM11" s="108"/>
      <c r="HN11" s="108"/>
      <c r="HO11" s="108"/>
      <c r="HP11" s="108"/>
      <c r="HQ11" s="108"/>
      <c r="HR11" s="108"/>
      <c r="HS11" s="108"/>
      <c r="HT11" s="108"/>
      <c r="HU11" s="108"/>
      <c r="HV11" s="108"/>
      <c r="HW11" s="108"/>
      <c r="HX11" s="108"/>
      <c r="HY11" s="108"/>
      <c r="HZ11" s="108"/>
      <c r="IA11" s="108"/>
      <c r="IB11" s="108"/>
      <c r="IC11" s="108"/>
      <c r="ID11" s="108"/>
      <c r="IE11" s="108"/>
      <c r="IF11" s="108"/>
      <c r="IG11" s="108"/>
      <c r="IH11" s="108"/>
      <c r="II11" s="108"/>
      <c r="IJ11" s="108"/>
      <c r="IK11" s="108"/>
      <c r="IL11" s="108"/>
      <c r="IM11" s="108"/>
      <c r="IN11" s="108"/>
      <c r="IO11" s="108"/>
      <c r="IP11" s="108"/>
      <c r="IQ11" s="108"/>
      <c r="IR11" s="108"/>
      <c r="IS11" s="108"/>
      <c r="IT11" s="108"/>
      <c r="IU11" s="108"/>
      <c r="IV11" s="108"/>
      <c r="IW11" s="108"/>
    </row>
    <row r="12" spans="1:257" ht="15" thickBot="1" x14ac:dyDescent="0.35">
      <c r="A12" s="158"/>
      <c r="B12" s="113" t="str">
        <f>'Sensitivity analysis'!B171</f>
        <v>Chronic lung disease DW</v>
      </c>
      <c r="C12" s="170">
        <f>'Sensitivity analysis'!G171</f>
        <v>35924.618769112858</v>
      </c>
      <c r="D12" s="171">
        <f>'Sensitivity analysis'!H171</f>
        <v>36451.949520510563</v>
      </c>
      <c r="E12" s="172">
        <f t="shared" si="0"/>
        <v>527.33075139770517</v>
      </c>
      <c r="F12" s="158"/>
      <c r="G12" s="158"/>
      <c r="H12" s="158"/>
      <c r="I12" s="173" t="s">
        <v>809</v>
      </c>
      <c r="J12" s="174">
        <v>37436.502366306653</v>
      </c>
      <c r="K12" s="171">
        <v>34789.077592978749</v>
      </c>
      <c r="L12" s="172">
        <v>2647.4247733279044</v>
      </c>
      <c r="M12" s="158"/>
      <c r="N12" s="158"/>
      <c r="O12" s="108"/>
      <c r="P12" s="108"/>
      <c r="Q12" s="108"/>
      <c r="R12" s="108"/>
      <c r="S12" s="108"/>
      <c r="T12" s="108"/>
      <c r="U12" s="108"/>
      <c r="V12" s="108"/>
      <c r="W12" s="108"/>
      <c r="X12" s="108"/>
      <c r="Y12" s="108"/>
      <c r="Z12" s="108"/>
      <c r="AA12" s="108"/>
      <c r="AB12" s="108"/>
      <c r="AC12" s="108"/>
      <c r="AD12" s="108"/>
      <c r="AE12" s="108"/>
      <c r="AF12" s="108"/>
      <c r="AG12" s="108"/>
      <c r="AH12" s="108"/>
      <c r="AI12" s="108"/>
      <c r="AJ12" s="108"/>
      <c r="AK12" s="108"/>
      <c r="AL12" s="108"/>
      <c r="AM12" s="108"/>
      <c r="AN12" s="108"/>
      <c r="AO12" s="108"/>
      <c r="AP12" s="108"/>
      <c r="AQ12" s="108"/>
      <c r="AR12" s="108"/>
      <c r="AS12" s="108"/>
      <c r="AT12" s="108"/>
      <c r="AU12" s="108"/>
      <c r="AV12" s="108"/>
      <c r="AW12" s="108"/>
      <c r="AX12" s="108"/>
      <c r="AY12" s="108"/>
      <c r="AZ12" s="108"/>
      <c r="BA12" s="108"/>
      <c r="BB12" s="108"/>
      <c r="BC12" s="108"/>
      <c r="BD12" s="108"/>
      <c r="BE12" s="108"/>
      <c r="BF12" s="108"/>
      <c r="BG12" s="108"/>
      <c r="BH12" s="108"/>
      <c r="BI12" s="108"/>
      <c r="BJ12" s="108"/>
      <c r="BK12" s="108"/>
      <c r="BL12" s="108"/>
      <c r="BM12" s="108"/>
      <c r="BN12" s="108"/>
      <c r="BO12" s="108"/>
      <c r="BP12" s="108"/>
      <c r="BQ12" s="108"/>
      <c r="BR12" s="108"/>
      <c r="BS12" s="108"/>
      <c r="BT12" s="108"/>
      <c r="BU12" s="108"/>
      <c r="BV12" s="108"/>
      <c r="BW12" s="108"/>
      <c r="BX12" s="108"/>
      <c r="BY12" s="108"/>
      <c r="BZ12" s="108"/>
      <c r="CA12" s="108"/>
      <c r="CB12" s="108"/>
      <c r="CC12" s="108"/>
      <c r="CD12" s="108"/>
      <c r="CE12" s="108"/>
      <c r="CF12" s="108"/>
      <c r="CG12" s="108"/>
      <c r="CH12" s="108"/>
      <c r="CI12" s="108"/>
      <c r="CJ12" s="108"/>
      <c r="CK12" s="108"/>
      <c r="CL12" s="108"/>
      <c r="CM12" s="108"/>
      <c r="CN12" s="108"/>
      <c r="CO12" s="108"/>
      <c r="CP12" s="108"/>
      <c r="CQ12" s="108"/>
      <c r="CR12" s="108"/>
      <c r="CS12" s="108"/>
      <c r="CT12" s="108"/>
      <c r="CU12" s="108"/>
      <c r="CV12" s="108"/>
      <c r="CW12" s="108"/>
      <c r="CX12" s="108"/>
      <c r="CY12" s="108"/>
      <c r="CZ12" s="108"/>
      <c r="DA12" s="108"/>
      <c r="DB12" s="108"/>
      <c r="DC12" s="108"/>
      <c r="DD12" s="108"/>
      <c r="DE12" s="108"/>
      <c r="DF12" s="108"/>
      <c r="DG12" s="108"/>
      <c r="DH12" s="108"/>
      <c r="DI12" s="108"/>
      <c r="DJ12" s="108"/>
      <c r="DK12" s="108"/>
      <c r="DL12" s="108"/>
      <c r="DM12" s="108"/>
      <c r="DN12" s="108"/>
      <c r="DO12" s="108"/>
      <c r="DP12" s="108"/>
      <c r="DQ12" s="108"/>
      <c r="DR12" s="108"/>
      <c r="DS12" s="108"/>
      <c r="DT12" s="108"/>
      <c r="DU12" s="108"/>
      <c r="DV12" s="108"/>
      <c r="DW12" s="108"/>
      <c r="DX12" s="108"/>
      <c r="DY12" s="108"/>
      <c r="DZ12" s="108"/>
      <c r="EA12" s="108"/>
      <c r="EB12" s="108"/>
      <c r="EC12" s="108"/>
      <c r="ED12" s="108"/>
      <c r="EE12" s="108"/>
      <c r="EF12" s="108"/>
      <c r="EG12" s="108"/>
      <c r="EH12" s="108"/>
      <c r="EI12" s="108"/>
      <c r="EJ12" s="108"/>
      <c r="EK12" s="108"/>
      <c r="EL12" s="108"/>
      <c r="EM12" s="108"/>
      <c r="EN12" s="108"/>
      <c r="EO12" s="108"/>
      <c r="EP12" s="108"/>
      <c r="EQ12" s="108"/>
      <c r="ER12" s="108"/>
      <c r="ES12" s="108"/>
      <c r="ET12" s="108"/>
      <c r="EU12" s="108"/>
      <c r="EV12" s="108"/>
      <c r="EW12" s="108"/>
      <c r="EX12" s="108"/>
      <c r="EY12" s="108"/>
      <c r="EZ12" s="108"/>
      <c r="FA12" s="108"/>
      <c r="FB12" s="108"/>
      <c r="FC12" s="108"/>
      <c r="FD12" s="108"/>
      <c r="FE12" s="108"/>
      <c r="FF12" s="108"/>
      <c r="FG12" s="108"/>
      <c r="FH12" s="108"/>
      <c r="FI12" s="108"/>
      <c r="FJ12" s="108"/>
      <c r="FK12" s="108"/>
      <c r="FL12" s="108"/>
      <c r="FM12" s="108"/>
      <c r="FN12" s="108"/>
      <c r="FO12" s="108"/>
      <c r="FP12" s="108"/>
      <c r="FQ12" s="108"/>
      <c r="FR12" s="108"/>
      <c r="FS12" s="108"/>
      <c r="FT12" s="108"/>
      <c r="FU12" s="108"/>
      <c r="FV12" s="108"/>
      <c r="FW12" s="108"/>
      <c r="FX12" s="108"/>
      <c r="FY12" s="108"/>
      <c r="FZ12" s="108"/>
      <c r="GA12" s="108"/>
      <c r="GB12" s="108"/>
      <c r="GC12" s="108"/>
      <c r="GD12" s="108"/>
      <c r="GE12" s="108"/>
      <c r="GF12" s="108"/>
      <c r="GG12" s="108"/>
      <c r="GH12" s="108"/>
      <c r="GI12" s="108"/>
      <c r="GJ12" s="108"/>
      <c r="GK12" s="108"/>
      <c r="GL12" s="108"/>
      <c r="GM12" s="108"/>
      <c r="GN12" s="108"/>
      <c r="GO12" s="108"/>
      <c r="GP12" s="108"/>
      <c r="GQ12" s="108"/>
      <c r="GR12" s="108"/>
      <c r="GS12" s="108"/>
      <c r="GT12" s="108"/>
      <c r="GU12" s="108"/>
      <c r="GV12" s="108"/>
      <c r="GW12" s="108"/>
      <c r="GX12" s="108"/>
      <c r="GY12" s="108"/>
      <c r="GZ12" s="108"/>
      <c r="HA12" s="108"/>
      <c r="HB12" s="108"/>
      <c r="HC12" s="108"/>
      <c r="HD12" s="108"/>
      <c r="HE12" s="108"/>
      <c r="HF12" s="108"/>
      <c r="HG12" s="108"/>
      <c r="HH12" s="108"/>
      <c r="HI12" s="108"/>
      <c r="HJ12" s="108"/>
      <c r="HK12" s="108"/>
      <c r="HL12" s="108"/>
      <c r="HM12" s="108"/>
      <c r="HN12" s="108"/>
      <c r="HO12" s="108"/>
      <c r="HP12" s="108"/>
      <c r="HQ12" s="108"/>
      <c r="HR12" s="108"/>
      <c r="HS12" s="108"/>
      <c r="HT12" s="108"/>
      <c r="HU12" s="108"/>
      <c r="HV12" s="108"/>
      <c r="HW12" s="108"/>
      <c r="HX12" s="108"/>
      <c r="HY12" s="108"/>
      <c r="HZ12" s="108"/>
      <c r="IA12" s="108"/>
      <c r="IB12" s="108"/>
      <c r="IC12" s="108"/>
      <c r="ID12" s="108"/>
      <c r="IE12" s="108"/>
      <c r="IF12" s="108"/>
      <c r="IG12" s="108"/>
      <c r="IH12" s="108"/>
      <c r="II12" s="108"/>
      <c r="IJ12" s="108"/>
      <c r="IK12" s="108"/>
      <c r="IL12" s="108"/>
      <c r="IM12" s="108"/>
      <c r="IN12" s="108"/>
      <c r="IO12" s="108"/>
      <c r="IP12" s="108"/>
      <c r="IQ12" s="108"/>
      <c r="IR12" s="108"/>
      <c r="IS12" s="108"/>
      <c r="IT12" s="108"/>
      <c r="IU12" s="108"/>
      <c r="IV12" s="108"/>
      <c r="IW12" s="108"/>
    </row>
    <row r="13" spans="1:257" ht="15" thickBot="1" x14ac:dyDescent="0.35">
      <c r="A13" s="158"/>
      <c r="B13" s="113" t="str">
        <f>'Sensitivity analysis'!B172</f>
        <v>Motor impairment DW</v>
      </c>
      <c r="C13" s="170">
        <f>'Sensitivity analysis'!G172</f>
        <v>36154.069349905738</v>
      </c>
      <c r="D13" s="171">
        <f>'Sensitivity analysis'!H172</f>
        <v>36163.916844830768</v>
      </c>
      <c r="E13" s="172">
        <f t="shared" si="0"/>
        <v>9.8474949250303325</v>
      </c>
      <c r="F13" s="158"/>
      <c r="G13" s="158"/>
      <c r="H13" s="158"/>
      <c r="I13" s="173" t="s">
        <v>788</v>
      </c>
      <c r="J13" s="170">
        <v>34802.806837220167</v>
      </c>
      <c r="K13" s="175">
        <v>37423.65671196513</v>
      </c>
      <c r="L13" s="172">
        <v>2620.849874744963</v>
      </c>
      <c r="M13" s="158"/>
      <c r="N13" s="158"/>
      <c r="O13" s="108"/>
      <c r="P13" s="108"/>
      <c r="Q13" s="108"/>
      <c r="R13" s="108"/>
      <c r="S13" s="108"/>
      <c r="T13" s="108"/>
      <c r="U13" s="108"/>
      <c r="V13" s="108"/>
      <c r="W13" s="108"/>
      <c r="X13" s="108"/>
      <c r="Y13" s="108"/>
      <c r="Z13" s="108"/>
      <c r="AA13" s="108"/>
      <c r="AB13" s="108"/>
      <c r="AC13" s="108"/>
      <c r="AD13" s="108"/>
      <c r="AE13" s="108"/>
      <c r="AF13" s="108"/>
      <c r="AG13" s="108"/>
      <c r="AH13" s="108"/>
      <c r="AI13" s="108"/>
      <c r="AJ13" s="108"/>
      <c r="AK13" s="108"/>
      <c r="AL13" s="108"/>
      <c r="AM13" s="108"/>
      <c r="AN13" s="108"/>
      <c r="AO13" s="108"/>
      <c r="AP13" s="108"/>
      <c r="AQ13" s="108"/>
      <c r="AR13" s="108"/>
      <c r="AS13" s="108"/>
      <c r="AT13" s="108"/>
      <c r="AU13" s="108"/>
      <c r="AV13" s="108"/>
      <c r="AW13" s="108"/>
      <c r="AX13" s="108"/>
      <c r="AY13" s="108"/>
      <c r="AZ13" s="108"/>
      <c r="BA13" s="108"/>
      <c r="BB13" s="108"/>
      <c r="BC13" s="108"/>
      <c r="BD13" s="108"/>
      <c r="BE13" s="108"/>
      <c r="BF13" s="108"/>
      <c r="BG13" s="108"/>
      <c r="BH13" s="108"/>
      <c r="BI13" s="108"/>
      <c r="BJ13" s="108"/>
      <c r="BK13" s="108"/>
      <c r="BL13" s="108"/>
      <c r="BM13" s="108"/>
      <c r="BN13" s="108"/>
      <c r="BO13" s="108"/>
      <c r="BP13" s="108"/>
      <c r="BQ13" s="108"/>
      <c r="BR13" s="108"/>
      <c r="BS13" s="108"/>
      <c r="BT13" s="108"/>
      <c r="BU13" s="108"/>
      <c r="BV13" s="108"/>
      <c r="BW13" s="108"/>
      <c r="BX13" s="108"/>
      <c r="BY13" s="108"/>
      <c r="BZ13" s="108"/>
      <c r="CA13" s="108"/>
      <c r="CB13" s="108"/>
      <c r="CC13" s="108"/>
      <c r="CD13" s="108"/>
      <c r="CE13" s="108"/>
      <c r="CF13" s="108"/>
      <c r="CG13" s="108"/>
      <c r="CH13" s="108"/>
      <c r="CI13" s="108"/>
      <c r="CJ13" s="108"/>
      <c r="CK13" s="108"/>
      <c r="CL13" s="108"/>
      <c r="CM13" s="108"/>
      <c r="CN13" s="108"/>
      <c r="CO13" s="108"/>
      <c r="CP13" s="108"/>
      <c r="CQ13" s="108"/>
      <c r="CR13" s="108"/>
      <c r="CS13" s="108"/>
      <c r="CT13" s="108"/>
      <c r="CU13" s="108"/>
      <c r="CV13" s="108"/>
      <c r="CW13" s="108"/>
      <c r="CX13" s="108"/>
      <c r="CY13" s="108"/>
      <c r="CZ13" s="108"/>
      <c r="DA13" s="108"/>
      <c r="DB13" s="108"/>
      <c r="DC13" s="108"/>
      <c r="DD13" s="108"/>
      <c r="DE13" s="108"/>
      <c r="DF13" s="108"/>
      <c r="DG13" s="108"/>
      <c r="DH13" s="108"/>
      <c r="DI13" s="108"/>
      <c r="DJ13" s="108"/>
      <c r="DK13" s="108"/>
      <c r="DL13" s="108"/>
      <c r="DM13" s="108"/>
      <c r="DN13" s="108"/>
      <c r="DO13" s="108"/>
      <c r="DP13" s="108"/>
      <c r="DQ13" s="108"/>
      <c r="DR13" s="108"/>
      <c r="DS13" s="108"/>
      <c r="DT13" s="108"/>
      <c r="DU13" s="108"/>
      <c r="DV13" s="108"/>
      <c r="DW13" s="108"/>
      <c r="DX13" s="108"/>
      <c r="DY13" s="108"/>
      <c r="DZ13" s="108"/>
      <c r="EA13" s="108"/>
      <c r="EB13" s="108"/>
      <c r="EC13" s="108"/>
      <c r="ED13" s="108"/>
      <c r="EE13" s="108"/>
      <c r="EF13" s="108"/>
      <c r="EG13" s="108"/>
      <c r="EH13" s="108"/>
      <c r="EI13" s="108"/>
      <c r="EJ13" s="108"/>
      <c r="EK13" s="108"/>
      <c r="EL13" s="108"/>
      <c r="EM13" s="108"/>
      <c r="EN13" s="108"/>
      <c r="EO13" s="108"/>
      <c r="EP13" s="108"/>
      <c r="EQ13" s="108"/>
      <c r="ER13" s="108"/>
      <c r="ES13" s="108"/>
      <c r="ET13" s="108"/>
      <c r="EU13" s="108"/>
      <c r="EV13" s="108"/>
      <c r="EW13" s="108"/>
      <c r="EX13" s="108"/>
      <c r="EY13" s="108"/>
      <c r="EZ13" s="108"/>
      <c r="FA13" s="108"/>
      <c r="FB13" s="108"/>
      <c r="FC13" s="108"/>
      <c r="FD13" s="108"/>
      <c r="FE13" s="108"/>
      <c r="FF13" s="108"/>
      <c r="FG13" s="108"/>
      <c r="FH13" s="108"/>
      <c r="FI13" s="108"/>
      <c r="FJ13" s="108"/>
      <c r="FK13" s="108"/>
      <c r="FL13" s="108"/>
      <c r="FM13" s="108"/>
      <c r="FN13" s="108"/>
      <c r="FO13" s="108"/>
      <c r="FP13" s="108"/>
      <c r="FQ13" s="108"/>
      <c r="FR13" s="108"/>
      <c r="FS13" s="108"/>
      <c r="FT13" s="108"/>
      <c r="FU13" s="108"/>
      <c r="FV13" s="108"/>
      <c r="FW13" s="108"/>
      <c r="FX13" s="108"/>
      <c r="FY13" s="108"/>
      <c r="FZ13" s="108"/>
      <c r="GA13" s="108"/>
      <c r="GB13" s="108"/>
      <c r="GC13" s="108"/>
      <c r="GD13" s="108"/>
      <c r="GE13" s="108"/>
      <c r="GF13" s="108"/>
      <c r="GG13" s="108"/>
      <c r="GH13" s="108"/>
      <c r="GI13" s="108"/>
      <c r="GJ13" s="108"/>
      <c r="GK13" s="108"/>
      <c r="GL13" s="108"/>
      <c r="GM13" s="108"/>
      <c r="GN13" s="108"/>
      <c r="GO13" s="108"/>
      <c r="GP13" s="108"/>
      <c r="GQ13" s="108"/>
      <c r="GR13" s="108"/>
      <c r="GS13" s="108"/>
      <c r="GT13" s="108"/>
      <c r="GU13" s="108"/>
      <c r="GV13" s="108"/>
      <c r="GW13" s="108"/>
      <c r="GX13" s="108"/>
      <c r="GY13" s="108"/>
      <c r="GZ13" s="108"/>
      <c r="HA13" s="108"/>
      <c r="HB13" s="108"/>
      <c r="HC13" s="108"/>
      <c r="HD13" s="108"/>
      <c r="HE13" s="108"/>
      <c r="HF13" s="108"/>
      <c r="HG13" s="108"/>
      <c r="HH13" s="108"/>
      <c r="HI13" s="108"/>
      <c r="HJ13" s="108"/>
      <c r="HK13" s="108"/>
      <c r="HL13" s="108"/>
      <c r="HM13" s="108"/>
      <c r="HN13" s="108"/>
      <c r="HO13" s="108"/>
      <c r="HP13" s="108"/>
      <c r="HQ13" s="108"/>
      <c r="HR13" s="108"/>
      <c r="HS13" s="108"/>
      <c r="HT13" s="108"/>
      <c r="HU13" s="108"/>
      <c r="HV13" s="108"/>
      <c r="HW13" s="108"/>
      <c r="HX13" s="108"/>
      <c r="HY13" s="108"/>
      <c r="HZ13" s="108"/>
      <c r="IA13" s="108"/>
      <c r="IB13" s="108"/>
      <c r="IC13" s="108"/>
      <c r="ID13" s="108"/>
      <c r="IE13" s="108"/>
      <c r="IF13" s="108"/>
      <c r="IG13" s="108"/>
      <c r="IH13" s="108"/>
      <c r="II13" s="108"/>
      <c r="IJ13" s="108"/>
      <c r="IK13" s="108"/>
      <c r="IL13" s="108"/>
      <c r="IM13" s="108"/>
      <c r="IN13" s="108"/>
      <c r="IO13" s="108"/>
      <c r="IP13" s="108"/>
      <c r="IQ13" s="108"/>
      <c r="IR13" s="108"/>
      <c r="IS13" s="108"/>
      <c r="IT13" s="108"/>
      <c r="IU13" s="108"/>
      <c r="IV13" s="108"/>
      <c r="IW13" s="108"/>
    </row>
    <row r="14" spans="1:257" ht="15" thickBot="1" x14ac:dyDescent="0.35">
      <c r="A14" s="158"/>
      <c r="B14" s="113" t="str">
        <f>'Sensitivity analysis'!B173</f>
        <v>Antenatal care</v>
      </c>
      <c r="C14" s="170">
        <f>'Sensitivity analysis'!G173</f>
        <v>35593.264516045994</v>
      </c>
      <c r="D14" s="171">
        <f>'Sensitivity analysis'!H173</f>
        <v>36835.838435732927</v>
      </c>
      <c r="E14" s="172">
        <f t="shared" si="0"/>
        <v>1242.5739196869326</v>
      </c>
      <c r="F14" s="158"/>
      <c r="G14" s="158"/>
      <c r="H14" s="158"/>
      <c r="I14" s="173" t="s">
        <v>808</v>
      </c>
      <c r="J14" s="174">
        <v>34947.055673458271</v>
      </c>
      <c r="K14" s="171">
        <v>37369.814795252161</v>
      </c>
      <c r="L14" s="172">
        <v>2422.7591217938898</v>
      </c>
      <c r="M14" s="158"/>
      <c r="N14" s="158"/>
      <c r="O14" s="108"/>
      <c r="P14" s="108"/>
      <c r="Q14" s="108"/>
      <c r="R14" s="108"/>
      <c r="S14" s="108"/>
      <c r="T14" s="108"/>
      <c r="U14" s="108"/>
      <c r="V14" s="108"/>
      <c r="W14" s="108"/>
      <c r="X14" s="108"/>
      <c r="Y14" s="108"/>
      <c r="Z14" s="108"/>
      <c r="AA14" s="108"/>
      <c r="AB14" s="108"/>
      <c r="AC14" s="108"/>
      <c r="AD14" s="108"/>
      <c r="AE14" s="108"/>
      <c r="AF14" s="108"/>
      <c r="AG14" s="108"/>
      <c r="AH14" s="108"/>
      <c r="AI14" s="108"/>
      <c r="AJ14" s="108"/>
      <c r="AK14" s="108"/>
      <c r="AL14" s="108"/>
      <c r="AM14" s="108"/>
      <c r="AN14" s="108"/>
      <c r="AO14" s="108"/>
      <c r="AP14" s="108"/>
      <c r="AQ14" s="108"/>
      <c r="AR14" s="108"/>
      <c r="AS14" s="108"/>
      <c r="AT14" s="108"/>
      <c r="AU14" s="108"/>
      <c r="AV14" s="108"/>
      <c r="AW14" s="108"/>
      <c r="AX14" s="108"/>
      <c r="AY14" s="108"/>
      <c r="AZ14" s="108"/>
      <c r="BA14" s="108"/>
      <c r="BB14" s="108"/>
      <c r="BC14" s="108"/>
      <c r="BD14" s="108"/>
      <c r="BE14" s="108"/>
      <c r="BF14" s="108"/>
      <c r="BG14" s="108"/>
      <c r="BH14" s="108"/>
      <c r="BI14" s="108"/>
      <c r="BJ14" s="108"/>
      <c r="BK14" s="108"/>
      <c r="BL14" s="108"/>
      <c r="BM14" s="108"/>
      <c r="BN14" s="108"/>
      <c r="BO14" s="108"/>
      <c r="BP14" s="108"/>
      <c r="BQ14" s="108"/>
      <c r="BR14" s="108"/>
      <c r="BS14" s="108"/>
      <c r="BT14" s="108"/>
      <c r="BU14" s="108"/>
      <c r="BV14" s="108"/>
      <c r="BW14" s="108"/>
      <c r="BX14" s="108"/>
      <c r="BY14" s="108"/>
      <c r="BZ14" s="108"/>
      <c r="CA14" s="108"/>
      <c r="CB14" s="108"/>
      <c r="CC14" s="108"/>
      <c r="CD14" s="108"/>
      <c r="CE14" s="108"/>
      <c r="CF14" s="108"/>
      <c r="CG14" s="108"/>
      <c r="CH14" s="108"/>
      <c r="CI14" s="108"/>
      <c r="CJ14" s="108"/>
      <c r="CK14" s="108"/>
      <c r="CL14" s="108"/>
      <c r="CM14" s="108"/>
      <c r="CN14" s="108"/>
      <c r="CO14" s="108"/>
      <c r="CP14" s="108"/>
      <c r="CQ14" s="108"/>
      <c r="CR14" s="108"/>
      <c r="CS14" s="108"/>
      <c r="CT14" s="108"/>
      <c r="CU14" s="108"/>
      <c r="CV14" s="108"/>
      <c r="CW14" s="108"/>
      <c r="CX14" s="108"/>
      <c r="CY14" s="108"/>
      <c r="CZ14" s="108"/>
      <c r="DA14" s="108"/>
      <c r="DB14" s="108"/>
      <c r="DC14" s="108"/>
      <c r="DD14" s="108"/>
      <c r="DE14" s="108"/>
      <c r="DF14" s="108"/>
      <c r="DG14" s="108"/>
      <c r="DH14" s="108"/>
      <c r="DI14" s="108"/>
      <c r="DJ14" s="108"/>
      <c r="DK14" s="108"/>
      <c r="DL14" s="108"/>
      <c r="DM14" s="108"/>
      <c r="DN14" s="108"/>
      <c r="DO14" s="108"/>
      <c r="DP14" s="108"/>
      <c r="DQ14" s="108"/>
      <c r="DR14" s="108"/>
      <c r="DS14" s="108"/>
      <c r="DT14" s="108"/>
      <c r="DU14" s="108"/>
      <c r="DV14" s="108"/>
      <c r="DW14" s="108"/>
      <c r="DX14" s="108"/>
      <c r="DY14" s="108"/>
      <c r="DZ14" s="108"/>
      <c r="EA14" s="108"/>
      <c r="EB14" s="108"/>
      <c r="EC14" s="108"/>
      <c r="ED14" s="108"/>
      <c r="EE14" s="108"/>
      <c r="EF14" s="108"/>
      <c r="EG14" s="108"/>
      <c r="EH14" s="108"/>
      <c r="EI14" s="108"/>
      <c r="EJ14" s="108"/>
      <c r="EK14" s="108"/>
      <c r="EL14" s="108"/>
      <c r="EM14" s="108"/>
      <c r="EN14" s="108"/>
      <c r="EO14" s="108"/>
      <c r="EP14" s="108"/>
      <c r="EQ14" s="108"/>
      <c r="ER14" s="108"/>
      <c r="ES14" s="108"/>
      <c r="ET14" s="108"/>
      <c r="EU14" s="108"/>
      <c r="EV14" s="108"/>
      <c r="EW14" s="108"/>
      <c r="EX14" s="108"/>
      <c r="EY14" s="108"/>
      <c r="EZ14" s="108"/>
      <c r="FA14" s="108"/>
      <c r="FB14" s="108"/>
      <c r="FC14" s="108"/>
      <c r="FD14" s="108"/>
      <c r="FE14" s="108"/>
      <c r="FF14" s="108"/>
      <c r="FG14" s="108"/>
      <c r="FH14" s="108"/>
      <c r="FI14" s="108"/>
      <c r="FJ14" s="108"/>
      <c r="FK14" s="108"/>
      <c r="FL14" s="108"/>
      <c r="FM14" s="108"/>
      <c r="FN14" s="108"/>
      <c r="FO14" s="108"/>
      <c r="FP14" s="108"/>
      <c r="FQ14" s="108"/>
      <c r="FR14" s="108"/>
      <c r="FS14" s="108"/>
      <c r="FT14" s="108"/>
      <c r="FU14" s="108"/>
      <c r="FV14" s="108"/>
      <c r="FW14" s="108"/>
      <c r="FX14" s="108"/>
      <c r="FY14" s="108"/>
      <c r="FZ14" s="108"/>
      <c r="GA14" s="108"/>
      <c r="GB14" s="108"/>
      <c r="GC14" s="108"/>
      <c r="GD14" s="108"/>
      <c r="GE14" s="108"/>
      <c r="GF14" s="108"/>
      <c r="GG14" s="108"/>
      <c r="GH14" s="108"/>
      <c r="GI14" s="108"/>
      <c r="GJ14" s="108"/>
      <c r="GK14" s="108"/>
      <c r="GL14" s="108"/>
      <c r="GM14" s="108"/>
      <c r="GN14" s="108"/>
      <c r="GO14" s="108"/>
      <c r="GP14" s="108"/>
      <c r="GQ14" s="108"/>
      <c r="GR14" s="108"/>
      <c r="GS14" s="108"/>
      <c r="GT14" s="108"/>
      <c r="GU14" s="108"/>
      <c r="GV14" s="108"/>
      <c r="GW14" s="108"/>
      <c r="GX14" s="108"/>
      <c r="GY14" s="108"/>
      <c r="GZ14" s="108"/>
      <c r="HA14" s="108"/>
      <c r="HB14" s="108"/>
      <c r="HC14" s="108"/>
      <c r="HD14" s="108"/>
      <c r="HE14" s="108"/>
      <c r="HF14" s="108"/>
      <c r="HG14" s="108"/>
      <c r="HH14" s="108"/>
      <c r="HI14" s="108"/>
      <c r="HJ14" s="108"/>
      <c r="HK14" s="108"/>
      <c r="HL14" s="108"/>
      <c r="HM14" s="108"/>
      <c r="HN14" s="108"/>
      <c r="HO14" s="108"/>
      <c r="HP14" s="108"/>
      <c r="HQ14" s="108"/>
      <c r="HR14" s="108"/>
      <c r="HS14" s="108"/>
      <c r="HT14" s="108"/>
      <c r="HU14" s="108"/>
      <c r="HV14" s="108"/>
      <c r="HW14" s="108"/>
      <c r="HX14" s="108"/>
      <c r="HY14" s="108"/>
      <c r="HZ14" s="108"/>
      <c r="IA14" s="108"/>
      <c r="IB14" s="108"/>
      <c r="IC14" s="108"/>
      <c r="ID14" s="108"/>
      <c r="IE14" s="108"/>
      <c r="IF14" s="108"/>
      <c r="IG14" s="108"/>
      <c r="IH14" s="108"/>
      <c r="II14" s="108"/>
      <c r="IJ14" s="108"/>
      <c r="IK14" s="108"/>
      <c r="IL14" s="108"/>
      <c r="IM14" s="108"/>
      <c r="IN14" s="108"/>
      <c r="IO14" s="108"/>
      <c r="IP14" s="108"/>
      <c r="IQ14" s="108"/>
      <c r="IR14" s="108"/>
      <c r="IS14" s="108"/>
      <c r="IT14" s="108"/>
      <c r="IU14" s="108"/>
      <c r="IV14" s="108"/>
      <c r="IW14" s="108"/>
    </row>
    <row r="15" spans="1:257" ht="15" thickBot="1" x14ac:dyDescent="0.35">
      <c r="A15" s="158"/>
      <c r="B15" s="113" t="str">
        <f>'Sensitivity analysis'!B174</f>
        <v>Live birth with antenatal care</v>
      </c>
      <c r="C15" s="170">
        <f>'Sensitivity analysis'!G174</f>
        <v>34802.806837220167</v>
      </c>
      <c r="D15" s="171">
        <f>'Sensitivity analysis'!H174</f>
        <v>37423.65671196513</v>
      </c>
      <c r="E15" s="172">
        <f t="shared" si="0"/>
        <v>2620.849874744963</v>
      </c>
      <c r="F15" s="158"/>
      <c r="G15" s="158"/>
      <c r="H15" s="158"/>
      <c r="I15" s="173" t="s">
        <v>825</v>
      </c>
      <c r="J15" s="170">
        <v>37308.435234355216</v>
      </c>
      <c r="K15" s="175">
        <v>35008.435234355129</v>
      </c>
      <c r="L15" s="172">
        <v>2300.0000000000873</v>
      </c>
      <c r="M15" s="158"/>
      <c r="N15" s="158"/>
      <c r="O15" s="108"/>
      <c r="P15" s="108"/>
      <c r="Q15" s="108"/>
      <c r="R15" s="108"/>
      <c r="S15" s="108"/>
      <c r="T15" s="108"/>
      <c r="U15" s="108"/>
      <c r="V15" s="108"/>
      <c r="W15" s="108"/>
      <c r="X15" s="108"/>
      <c r="Y15" s="108"/>
      <c r="Z15" s="108"/>
      <c r="AA15" s="108"/>
      <c r="AB15" s="108"/>
      <c r="AC15" s="108"/>
      <c r="AD15" s="108"/>
      <c r="AE15" s="108"/>
      <c r="AF15" s="108"/>
      <c r="AG15" s="108"/>
      <c r="AH15" s="108"/>
      <c r="AI15" s="108"/>
      <c r="AJ15" s="108"/>
      <c r="AK15" s="108"/>
      <c r="AL15" s="108"/>
      <c r="AM15" s="108"/>
      <c r="AN15" s="108"/>
      <c r="AO15" s="108"/>
      <c r="AP15" s="108"/>
      <c r="AQ15" s="108"/>
      <c r="AR15" s="108"/>
      <c r="AS15" s="108"/>
      <c r="AT15" s="108"/>
      <c r="AU15" s="108"/>
      <c r="AV15" s="108"/>
      <c r="AW15" s="108"/>
      <c r="AX15" s="108"/>
      <c r="AY15" s="108"/>
      <c r="AZ15" s="108"/>
      <c r="BA15" s="108"/>
      <c r="BB15" s="108"/>
      <c r="BC15" s="108"/>
      <c r="BD15" s="108"/>
      <c r="BE15" s="108"/>
      <c r="BF15" s="108"/>
      <c r="BG15" s="108"/>
      <c r="BH15" s="108"/>
      <c r="BI15" s="108"/>
      <c r="BJ15" s="108"/>
      <c r="BK15" s="108"/>
      <c r="BL15" s="108"/>
      <c r="BM15" s="108"/>
      <c r="BN15" s="108"/>
      <c r="BO15" s="108"/>
      <c r="BP15" s="108"/>
      <c r="BQ15" s="108"/>
      <c r="BR15" s="108"/>
      <c r="BS15" s="108"/>
      <c r="BT15" s="108"/>
      <c r="BU15" s="108"/>
      <c r="BV15" s="108"/>
      <c r="BW15" s="108"/>
      <c r="BX15" s="108"/>
      <c r="BY15" s="108"/>
      <c r="BZ15" s="108"/>
      <c r="CA15" s="108"/>
      <c r="CB15" s="108"/>
      <c r="CC15" s="108"/>
      <c r="CD15" s="108"/>
      <c r="CE15" s="108"/>
      <c r="CF15" s="108"/>
      <c r="CG15" s="108"/>
      <c r="CH15" s="108"/>
      <c r="CI15" s="108"/>
      <c r="CJ15" s="108"/>
      <c r="CK15" s="108"/>
      <c r="CL15" s="108"/>
      <c r="CM15" s="108"/>
      <c r="CN15" s="108"/>
      <c r="CO15" s="108"/>
      <c r="CP15" s="108"/>
      <c r="CQ15" s="108"/>
      <c r="CR15" s="108"/>
      <c r="CS15" s="108"/>
      <c r="CT15" s="108"/>
      <c r="CU15" s="108"/>
      <c r="CV15" s="108"/>
      <c r="CW15" s="108"/>
      <c r="CX15" s="108"/>
      <c r="CY15" s="108"/>
      <c r="CZ15" s="108"/>
      <c r="DA15" s="108"/>
      <c r="DB15" s="108"/>
      <c r="DC15" s="108"/>
      <c r="DD15" s="108"/>
      <c r="DE15" s="108"/>
      <c r="DF15" s="108"/>
      <c r="DG15" s="108"/>
      <c r="DH15" s="108"/>
      <c r="DI15" s="108"/>
      <c r="DJ15" s="108"/>
      <c r="DK15" s="108"/>
      <c r="DL15" s="108"/>
      <c r="DM15" s="108"/>
      <c r="DN15" s="108"/>
      <c r="DO15" s="108"/>
      <c r="DP15" s="108"/>
      <c r="DQ15" s="108"/>
      <c r="DR15" s="108"/>
      <c r="DS15" s="108"/>
      <c r="DT15" s="108"/>
      <c r="DU15" s="108"/>
      <c r="DV15" s="108"/>
      <c r="DW15" s="108"/>
      <c r="DX15" s="108"/>
      <c r="DY15" s="108"/>
      <c r="DZ15" s="108"/>
      <c r="EA15" s="108"/>
      <c r="EB15" s="108"/>
      <c r="EC15" s="108"/>
      <c r="ED15" s="108"/>
      <c r="EE15" s="108"/>
      <c r="EF15" s="108"/>
      <c r="EG15" s="108"/>
      <c r="EH15" s="108"/>
      <c r="EI15" s="108"/>
      <c r="EJ15" s="108"/>
      <c r="EK15" s="108"/>
      <c r="EL15" s="108"/>
      <c r="EM15" s="108"/>
      <c r="EN15" s="108"/>
      <c r="EO15" s="108"/>
      <c r="EP15" s="108"/>
      <c r="EQ15" s="108"/>
      <c r="ER15" s="108"/>
      <c r="ES15" s="108"/>
      <c r="ET15" s="108"/>
      <c r="EU15" s="108"/>
      <c r="EV15" s="108"/>
      <c r="EW15" s="108"/>
      <c r="EX15" s="108"/>
      <c r="EY15" s="108"/>
      <c r="EZ15" s="108"/>
      <c r="FA15" s="108"/>
      <c r="FB15" s="108"/>
      <c r="FC15" s="108"/>
      <c r="FD15" s="108"/>
      <c r="FE15" s="108"/>
      <c r="FF15" s="108"/>
      <c r="FG15" s="108"/>
      <c r="FH15" s="108"/>
      <c r="FI15" s="108"/>
      <c r="FJ15" s="108"/>
      <c r="FK15" s="108"/>
      <c r="FL15" s="108"/>
      <c r="FM15" s="108"/>
      <c r="FN15" s="108"/>
      <c r="FO15" s="108"/>
      <c r="FP15" s="108"/>
      <c r="FQ15" s="108"/>
      <c r="FR15" s="108"/>
      <c r="FS15" s="108"/>
      <c r="FT15" s="108"/>
      <c r="FU15" s="108"/>
      <c r="FV15" s="108"/>
      <c r="FW15" s="108"/>
      <c r="FX15" s="108"/>
      <c r="FY15" s="108"/>
      <c r="FZ15" s="108"/>
      <c r="GA15" s="108"/>
      <c r="GB15" s="108"/>
      <c r="GC15" s="108"/>
      <c r="GD15" s="108"/>
      <c r="GE15" s="108"/>
      <c r="GF15" s="108"/>
      <c r="GG15" s="108"/>
      <c r="GH15" s="108"/>
      <c r="GI15" s="108"/>
      <c r="GJ15" s="108"/>
      <c r="GK15" s="108"/>
      <c r="GL15" s="108"/>
      <c r="GM15" s="108"/>
      <c r="GN15" s="108"/>
      <c r="GO15" s="108"/>
      <c r="GP15" s="108"/>
      <c r="GQ15" s="108"/>
      <c r="GR15" s="108"/>
      <c r="GS15" s="108"/>
      <c r="GT15" s="108"/>
      <c r="GU15" s="108"/>
      <c r="GV15" s="108"/>
      <c r="GW15" s="108"/>
      <c r="GX15" s="108"/>
      <c r="GY15" s="108"/>
      <c r="GZ15" s="108"/>
      <c r="HA15" s="108"/>
      <c r="HB15" s="108"/>
      <c r="HC15" s="108"/>
      <c r="HD15" s="108"/>
      <c r="HE15" s="108"/>
      <c r="HF15" s="108"/>
      <c r="HG15" s="108"/>
      <c r="HH15" s="108"/>
      <c r="HI15" s="108"/>
      <c r="HJ15" s="108"/>
      <c r="HK15" s="108"/>
      <c r="HL15" s="108"/>
      <c r="HM15" s="108"/>
      <c r="HN15" s="108"/>
      <c r="HO15" s="108"/>
      <c r="HP15" s="108"/>
      <c r="HQ15" s="108"/>
      <c r="HR15" s="108"/>
      <c r="HS15" s="108"/>
      <c r="HT15" s="108"/>
      <c r="HU15" s="108"/>
      <c r="HV15" s="108"/>
      <c r="HW15" s="108"/>
      <c r="HX15" s="108"/>
      <c r="HY15" s="108"/>
      <c r="HZ15" s="108"/>
      <c r="IA15" s="108"/>
      <c r="IB15" s="108"/>
      <c r="IC15" s="108"/>
      <c r="ID15" s="108"/>
      <c r="IE15" s="108"/>
      <c r="IF15" s="108"/>
      <c r="IG15" s="108"/>
      <c r="IH15" s="108"/>
      <c r="II15" s="108"/>
      <c r="IJ15" s="108"/>
      <c r="IK15" s="108"/>
      <c r="IL15" s="108"/>
      <c r="IM15" s="108"/>
      <c r="IN15" s="108"/>
      <c r="IO15" s="108"/>
      <c r="IP15" s="108"/>
      <c r="IQ15" s="108"/>
      <c r="IR15" s="108"/>
      <c r="IS15" s="108"/>
      <c r="IT15" s="108"/>
      <c r="IU15" s="108"/>
      <c r="IV15" s="108"/>
      <c r="IW15" s="108"/>
    </row>
    <row r="16" spans="1:257" ht="15" thickBot="1" x14ac:dyDescent="0.35">
      <c r="A16" s="158"/>
      <c r="B16" s="113" t="str">
        <f>'Sensitivity analysis'!B175</f>
        <v>Live birth among unbooked</v>
      </c>
      <c r="C16" s="170">
        <f>'Sensitivity analysis'!G175</f>
        <v>35595.66349230746</v>
      </c>
      <c r="D16" s="171">
        <f>'Sensitivity analysis'!H175</f>
        <v>36683.688860266542</v>
      </c>
      <c r="E16" s="172">
        <f t="shared" si="0"/>
        <v>1088.0253679590824</v>
      </c>
      <c r="F16" s="158"/>
      <c r="G16" s="158"/>
      <c r="H16" s="158"/>
      <c r="I16" s="173" t="s">
        <v>803</v>
      </c>
      <c r="J16" s="170">
        <v>35181.284811144884</v>
      </c>
      <c r="K16" s="175">
        <v>37070.442296018351</v>
      </c>
      <c r="L16" s="172">
        <v>1889.1574848734672</v>
      </c>
      <c r="M16" s="158"/>
      <c r="N16" s="158"/>
      <c r="O16" s="108"/>
      <c r="P16" s="108"/>
      <c r="Q16" s="108"/>
      <c r="R16" s="108"/>
      <c r="S16" s="108"/>
      <c r="T16" s="108"/>
      <c r="U16" s="108"/>
      <c r="V16" s="108"/>
      <c r="W16" s="108"/>
      <c r="X16" s="108"/>
      <c r="Y16" s="108"/>
      <c r="Z16" s="108"/>
      <c r="AA16" s="108"/>
      <c r="AB16" s="108"/>
      <c r="AC16" s="108"/>
      <c r="AD16" s="108"/>
      <c r="AE16" s="108"/>
      <c r="AF16" s="108"/>
      <c r="AG16" s="108"/>
      <c r="AH16" s="108"/>
      <c r="AI16" s="108"/>
      <c r="AJ16" s="108"/>
      <c r="AK16" s="108"/>
      <c r="AL16" s="108"/>
      <c r="AM16" s="108"/>
      <c r="AN16" s="108"/>
      <c r="AO16" s="108"/>
      <c r="AP16" s="108"/>
      <c r="AQ16" s="108"/>
      <c r="AR16" s="108"/>
      <c r="AS16" s="108"/>
      <c r="AT16" s="108"/>
      <c r="AU16" s="108"/>
      <c r="AV16" s="108"/>
      <c r="AW16" s="108"/>
      <c r="AX16" s="108"/>
      <c r="AY16" s="108"/>
      <c r="AZ16" s="108"/>
      <c r="BA16" s="108"/>
      <c r="BB16" s="108"/>
      <c r="BC16" s="108"/>
      <c r="BD16" s="108"/>
      <c r="BE16" s="108"/>
      <c r="BF16" s="108"/>
      <c r="BG16" s="108"/>
      <c r="BH16" s="108"/>
      <c r="BI16" s="108"/>
      <c r="BJ16" s="108"/>
      <c r="BK16" s="108"/>
      <c r="BL16" s="108"/>
      <c r="BM16" s="108"/>
      <c r="BN16" s="108"/>
      <c r="BO16" s="108"/>
      <c r="BP16" s="108"/>
      <c r="BQ16" s="108"/>
      <c r="BR16" s="108"/>
      <c r="BS16" s="108"/>
      <c r="BT16" s="108"/>
      <c r="BU16" s="108"/>
      <c r="BV16" s="108"/>
      <c r="BW16" s="108"/>
      <c r="BX16" s="108"/>
      <c r="BY16" s="108"/>
      <c r="BZ16" s="108"/>
      <c r="CA16" s="108"/>
      <c r="CB16" s="108"/>
      <c r="CC16" s="108"/>
      <c r="CD16" s="108"/>
      <c r="CE16" s="108"/>
      <c r="CF16" s="108"/>
      <c r="CG16" s="108"/>
      <c r="CH16" s="108"/>
      <c r="CI16" s="108"/>
      <c r="CJ16" s="108"/>
      <c r="CK16" s="108"/>
      <c r="CL16" s="108"/>
      <c r="CM16" s="108"/>
      <c r="CN16" s="108"/>
      <c r="CO16" s="108"/>
      <c r="CP16" s="108"/>
      <c r="CQ16" s="108"/>
      <c r="CR16" s="108"/>
      <c r="CS16" s="108"/>
      <c r="CT16" s="108"/>
      <c r="CU16" s="108"/>
      <c r="CV16" s="108"/>
      <c r="CW16" s="108"/>
      <c r="CX16" s="108"/>
      <c r="CY16" s="108"/>
      <c r="CZ16" s="108"/>
      <c r="DA16" s="108"/>
      <c r="DB16" s="108"/>
      <c r="DC16" s="108"/>
      <c r="DD16" s="108"/>
      <c r="DE16" s="108"/>
      <c r="DF16" s="108"/>
      <c r="DG16" s="108"/>
      <c r="DH16" s="108"/>
      <c r="DI16" s="108"/>
      <c r="DJ16" s="108"/>
      <c r="DK16" s="108"/>
      <c r="DL16" s="108"/>
      <c r="DM16" s="108"/>
      <c r="DN16" s="108"/>
      <c r="DO16" s="108"/>
      <c r="DP16" s="108"/>
      <c r="DQ16" s="108"/>
      <c r="DR16" s="108"/>
      <c r="DS16" s="108"/>
      <c r="DT16" s="108"/>
      <c r="DU16" s="108"/>
      <c r="DV16" s="108"/>
      <c r="DW16" s="108"/>
      <c r="DX16" s="108"/>
      <c r="DY16" s="108"/>
      <c r="DZ16" s="108"/>
      <c r="EA16" s="108"/>
      <c r="EB16" s="108"/>
      <c r="EC16" s="108"/>
      <c r="ED16" s="108"/>
      <c r="EE16" s="108"/>
      <c r="EF16" s="108"/>
      <c r="EG16" s="108"/>
      <c r="EH16" s="108"/>
      <c r="EI16" s="108"/>
      <c r="EJ16" s="108"/>
      <c r="EK16" s="108"/>
      <c r="EL16" s="108"/>
      <c r="EM16" s="108"/>
      <c r="EN16" s="108"/>
      <c r="EO16" s="108"/>
      <c r="EP16" s="108"/>
      <c r="EQ16" s="108"/>
      <c r="ER16" s="108"/>
      <c r="ES16" s="108"/>
      <c r="ET16" s="108"/>
      <c r="EU16" s="108"/>
      <c r="EV16" s="108"/>
      <c r="EW16" s="108"/>
      <c r="EX16" s="108"/>
      <c r="EY16" s="108"/>
      <c r="EZ16" s="108"/>
      <c r="FA16" s="108"/>
      <c r="FB16" s="108"/>
      <c r="FC16" s="108"/>
      <c r="FD16" s="108"/>
      <c r="FE16" s="108"/>
      <c r="FF16" s="108"/>
      <c r="FG16" s="108"/>
      <c r="FH16" s="108"/>
      <c r="FI16" s="108"/>
      <c r="FJ16" s="108"/>
      <c r="FK16" s="108"/>
      <c r="FL16" s="108"/>
      <c r="FM16" s="108"/>
      <c r="FN16" s="108"/>
      <c r="FO16" s="108"/>
      <c r="FP16" s="108"/>
      <c r="FQ16" s="108"/>
      <c r="FR16" s="108"/>
      <c r="FS16" s="108"/>
      <c r="FT16" s="108"/>
      <c r="FU16" s="108"/>
      <c r="FV16" s="108"/>
      <c r="FW16" s="108"/>
      <c r="FX16" s="108"/>
      <c r="FY16" s="108"/>
      <c r="FZ16" s="108"/>
      <c r="GA16" s="108"/>
      <c r="GB16" s="108"/>
      <c r="GC16" s="108"/>
      <c r="GD16" s="108"/>
      <c r="GE16" s="108"/>
      <c r="GF16" s="108"/>
      <c r="GG16" s="108"/>
      <c r="GH16" s="108"/>
      <c r="GI16" s="108"/>
      <c r="GJ16" s="108"/>
      <c r="GK16" s="108"/>
      <c r="GL16" s="108"/>
      <c r="GM16" s="108"/>
      <c r="GN16" s="108"/>
      <c r="GO16" s="108"/>
      <c r="GP16" s="108"/>
      <c r="GQ16" s="108"/>
      <c r="GR16" s="108"/>
      <c r="GS16" s="108"/>
      <c r="GT16" s="108"/>
      <c r="GU16" s="108"/>
      <c r="GV16" s="108"/>
      <c r="GW16" s="108"/>
      <c r="GX16" s="108"/>
      <c r="GY16" s="108"/>
      <c r="GZ16" s="108"/>
      <c r="HA16" s="108"/>
      <c r="HB16" s="108"/>
      <c r="HC16" s="108"/>
      <c r="HD16" s="108"/>
      <c r="HE16" s="108"/>
      <c r="HF16" s="108"/>
      <c r="HG16" s="108"/>
      <c r="HH16" s="108"/>
      <c r="HI16" s="108"/>
      <c r="HJ16" s="108"/>
      <c r="HK16" s="108"/>
      <c r="HL16" s="108"/>
      <c r="HM16" s="108"/>
      <c r="HN16" s="108"/>
      <c r="HO16" s="108"/>
      <c r="HP16" s="108"/>
      <c r="HQ16" s="108"/>
      <c r="HR16" s="108"/>
      <c r="HS16" s="108"/>
      <c r="HT16" s="108"/>
      <c r="HU16" s="108"/>
      <c r="HV16" s="108"/>
      <c r="HW16" s="108"/>
      <c r="HX16" s="108"/>
      <c r="HY16" s="108"/>
      <c r="HZ16" s="108"/>
      <c r="IA16" s="108"/>
      <c r="IB16" s="108"/>
      <c r="IC16" s="108"/>
      <c r="ID16" s="108"/>
      <c r="IE16" s="108"/>
      <c r="IF16" s="108"/>
      <c r="IG16" s="108"/>
      <c r="IH16" s="108"/>
      <c r="II16" s="108"/>
      <c r="IJ16" s="108"/>
      <c r="IK16" s="108"/>
      <c r="IL16" s="108"/>
      <c r="IM16" s="108"/>
      <c r="IN16" s="108"/>
      <c r="IO16" s="108"/>
      <c r="IP16" s="108"/>
      <c r="IQ16" s="108"/>
      <c r="IR16" s="108"/>
      <c r="IS16" s="108"/>
      <c r="IT16" s="108"/>
      <c r="IU16" s="108"/>
      <c r="IV16" s="108"/>
      <c r="IW16" s="108"/>
    </row>
    <row r="17" spans="1:257" ht="15" thickBot="1" x14ac:dyDescent="0.35">
      <c r="A17" s="158"/>
      <c r="B17" s="113" t="str">
        <f>'Sensitivity analysis'!B176</f>
        <v>Term birth with antenatal care</v>
      </c>
      <c r="C17" s="170">
        <f>'Sensitivity analysis'!G176</f>
        <v>16936.22825962519</v>
      </c>
      <c r="D17" s="171">
        <f>'Sensitivity analysis'!H176</f>
        <v>54099.161744103461</v>
      </c>
      <c r="E17" s="172">
        <f t="shared" si="0"/>
        <v>37162.933484478272</v>
      </c>
      <c r="F17" s="158"/>
      <c r="G17" s="158"/>
      <c r="H17" s="158"/>
      <c r="I17" s="173" t="s">
        <v>796</v>
      </c>
      <c r="J17" s="170">
        <v>35338.067205349995</v>
      </c>
      <c r="K17" s="175">
        <v>36978.803263360431</v>
      </c>
      <c r="L17" s="172">
        <v>1640.736058010436</v>
      </c>
      <c r="M17" s="158"/>
      <c r="N17" s="158"/>
      <c r="O17" s="108"/>
      <c r="P17" s="108"/>
      <c r="Q17" s="108"/>
      <c r="R17" s="108"/>
      <c r="S17" s="108"/>
      <c r="T17" s="108"/>
      <c r="U17" s="108"/>
      <c r="V17" s="108"/>
      <c r="W17" s="108"/>
      <c r="X17" s="108"/>
      <c r="Y17" s="108"/>
      <c r="Z17" s="108"/>
      <c r="AA17" s="108"/>
      <c r="AB17" s="108"/>
      <c r="AC17" s="108"/>
      <c r="AD17" s="108"/>
      <c r="AE17" s="108"/>
      <c r="AF17" s="108"/>
      <c r="AG17" s="108"/>
      <c r="AH17" s="108"/>
      <c r="AI17" s="108"/>
      <c r="AJ17" s="108"/>
      <c r="AK17" s="108"/>
      <c r="AL17" s="108"/>
      <c r="AM17" s="108"/>
      <c r="AN17" s="108"/>
      <c r="AO17" s="108"/>
      <c r="AP17" s="108"/>
      <c r="AQ17" s="108"/>
      <c r="AR17" s="108"/>
      <c r="AS17" s="108"/>
      <c r="AT17" s="108"/>
      <c r="AU17" s="108"/>
      <c r="AV17" s="108"/>
      <c r="AW17" s="108"/>
      <c r="AX17" s="108"/>
      <c r="AY17" s="108"/>
      <c r="AZ17" s="108"/>
      <c r="BA17" s="108"/>
      <c r="BB17" s="108"/>
      <c r="BC17" s="108"/>
      <c r="BD17" s="108"/>
      <c r="BE17" s="108"/>
      <c r="BF17" s="108"/>
      <c r="BG17" s="108"/>
      <c r="BH17" s="108"/>
      <c r="BI17" s="108"/>
      <c r="BJ17" s="108"/>
      <c r="BK17" s="108"/>
      <c r="BL17" s="108"/>
      <c r="BM17" s="108"/>
      <c r="BN17" s="108"/>
      <c r="BO17" s="108"/>
      <c r="BP17" s="108"/>
      <c r="BQ17" s="108"/>
      <c r="BR17" s="108"/>
      <c r="BS17" s="108"/>
      <c r="BT17" s="108"/>
      <c r="BU17" s="108"/>
      <c r="BV17" s="108"/>
      <c r="BW17" s="108"/>
      <c r="BX17" s="108"/>
      <c r="BY17" s="108"/>
      <c r="BZ17" s="108"/>
      <c r="CA17" s="108"/>
      <c r="CB17" s="108"/>
      <c r="CC17" s="108"/>
      <c r="CD17" s="108"/>
      <c r="CE17" s="108"/>
      <c r="CF17" s="108"/>
      <c r="CG17" s="108"/>
      <c r="CH17" s="108"/>
      <c r="CI17" s="108"/>
      <c r="CJ17" s="108"/>
      <c r="CK17" s="108"/>
      <c r="CL17" s="108"/>
      <c r="CM17" s="108"/>
      <c r="CN17" s="108"/>
      <c r="CO17" s="108"/>
      <c r="CP17" s="108"/>
      <c r="CQ17" s="108"/>
      <c r="CR17" s="108"/>
      <c r="CS17" s="108"/>
      <c r="CT17" s="108"/>
      <c r="CU17" s="108"/>
      <c r="CV17" s="108"/>
      <c r="CW17" s="108"/>
      <c r="CX17" s="108"/>
      <c r="CY17" s="108"/>
      <c r="CZ17" s="108"/>
      <c r="DA17" s="108"/>
      <c r="DB17" s="108"/>
      <c r="DC17" s="108"/>
      <c r="DD17" s="108"/>
      <c r="DE17" s="108"/>
      <c r="DF17" s="108"/>
      <c r="DG17" s="108"/>
      <c r="DH17" s="108"/>
      <c r="DI17" s="108"/>
      <c r="DJ17" s="108"/>
      <c r="DK17" s="108"/>
      <c r="DL17" s="108"/>
      <c r="DM17" s="108"/>
      <c r="DN17" s="108"/>
      <c r="DO17" s="108"/>
      <c r="DP17" s="108"/>
      <c r="DQ17" s="108"/>
      <c r="DR17" s="108"/>
      <c r="DS17" s="108"/>
      <c r="DT17" s="108"/>
      <c r="DU17" s="108"/>
      <c r="DV17" s="108"/>
      <c r="DW17" s="108"/>
      <c r="DX17" s="108"/>
      <c r="DY17" s="108"/>
      <c r="DZ17" s="108"/>
      <c r="EA17" s="108"/>
      <c r="EB17" s="108"/>
      <c r="EC17" s="108"/>
      <c r="ED17" s="108"/>
      <c r="EE17" s="108"/>
      <c r="EF17" s="108"/>
      <c r="EG17" s="108"/>
      <c r="EH17" s="108"/>
      <c r="EI17" s="108"/>
      <c r="EJ17" s="108"/>
      <c r="EK17" s="108"/>
      <c r="EL17" s="108"/>
      <c r="EM17" s="108"/>
      <c r="EN17" s="108"/>
      <c r="EO17" s="108"/>
      <c r="EP17" s="108"/>
      <c r="EQ17" s="108"/>
      <c r="ER17" s="108"/>
      <c r="ES17" s="108"/>
      <c r="ET17" s="108"/>
      <c r="EU17" s="108"/>
      <c r="EV17" s="108"/>
      <c r="EW17" s="108"/>
      <c r="EX17" s="108"/>
      <c r="EY17" s="108"/>
      <c r="EZ17" s="108"/>
      <c r="FA17" s="108"/>
      <c r="FB17" s="108"/>
      <c r="FC17" s="108"/>
      <c r="FD17" s="108"/>
      <c r="FE17" s="108"/>
      <c r="FF17" s="108"/>
      <c r="FG17" s="108"/>
      <c r="FH17" s="108"/>
      <c r="FI17" s="108"/>
      <c r="FJ17" s="108"/>
      <c r="FK17" s="108"/>
      <c r="FL17" s="108"/>
      <c r="FM17" s="108"/>
      <c r="FN17" s="108"/>
      <c r="FO17" s="108"/>
      <c r="FP17" s="108"/>
      <c r="FQ17" s="108"/>
      <c r="FR17" s="108"/>
      <c r="FS17" s="108"/>
      <c r="FT17" s="108"/>
      <c r="FU17" s="108"/>
      <c r="FV17" s="108"/>
      <c r="FW17" s="108"/>
      <c r="FX17" s="108"/>
      <c r="FY17" s="108"/>
      <c r="FZ17" s="108"/>
      <c r="GA17" s="108"/>
      <c r="GB17" s="108"/>
      <c r="GC17" s="108"/>
      <c r="GD17" s="108"/>
      <c r="GE17" s="108"/>
      <c r="GF17" s="108"/>
      <c r="GG17" s="108"/>
      <c r="GH17" s="108"/>
      <c r="GI17" s="108"/>
      <c r="GJ17" s="108"/>
      <c r="GK17" s="108"/>
      <c r="GL17" s="108"/>
      <c r="GM17" s="108"/>
      <c r="GN17" s="108"/>
      <c r="GO17" s="108"/>
      <c r="GP17" s="108"/>
      <c r="GQ17" s="108"/>
      <c r="GR17" s="108"/>
      <c r="GS17" s="108"/>
      <c r="GT17" s="108"/>
      <c r="GU17" s="108"/>
      <c r="GV17" s="108"/>
      <c r="GW17" s="108"/>
      <c r="GX17" s="108"/>
      <c r="GY17" s="108"/>
      <c r="GZ17" s="108"/>
      <c r="HA17" s="108"/>
      <c r="HB17" s="108"/>
      <c r="HC17" s="108"/>
      <c r="HD17" s="108"/>
      <c r="HE17" s="108"/>
      <c r="HF17" s="108"/>
      <c r="HG17" s="108"/>
      <c r="HH17" s="108"/>
      <c r="HI17" s="108"/>
      <c r="HJ17" s="108"/>
      <c r="HK17" s="108"/>
      <c r="HL17" s="108"/>
      <c r="HM17" s="108"/>
      <c r="HN17" s="108"/>
      <c r="HO17" s="108"/>
      <c r="HP17" s="108"/>
      <c r="HQ17" s="108"/>
      <c r="HR17" s="108"/>
      <c r="HS17" s="108"/>
      <c r="HT17" s="108"/>
      <c r="HU17" s="108"/>
      <c r="HV17" s="108"/>
      <c r="HW17" s="108"/>
      <c r="HX17" s="108"/>
      <c r="HY17" s="108"/>
      <c r="HZ17" s="108"/>
      <c r="IA17" s="108"/>
      <c r="IB17" s="108"/>
      <c r="IC17" s="108"/>
      <c r="ID17" s="108"/>
      <c r="IE17" s="108"/>
      <c r="IF17" s="108"/>
      <c r="IG17" s="108"/>
      <c r="IH17" s="108"/>
      <c r="II17" s="108"/>
      <c r="IJ17" s="108"/>
      <c r="IK17" s="108"/>
      <c r="IL17" s="108"/>
      <c r="IM17" s="108"/>
      <c r="IN17" s="108"/>
      <c r="IO17" s="108"/>
      <c r="IP17" s="108"/>
      <c r="IQ17" s="108"/>
      <c r="IR17" s="108"/>
      <c r="IS17" s="108"/>
      <c r="IT17" s="108"/>
      <c r="IU17" s="108"/>
      <c r="IV17" s="108"/>
      <c r="IW17" s="108"/>
    </row>
    <row r="18" spans="1:257" ht="15" thickBot="1" x14ac:dyDescent="0.35">
      <c r="A18" s="158"/>
      <c r="B18" s="113" t="str">
        <f>'Sensitivity analysis'!B177</f>
        <v>Term birth in the unbooked</v>
      </c>
      <c r="C18" s="170">
        <f>'Sensitivity analysis'!G177</f>
        <v>31729.202190471973</v>
      </c>
      <c r="D18" s="171">
        <f>'Sensitivity analysis'!H177</f>
        <v>40587.668278238503</v>
      </c>
      <c r="E18" s="172">
        <f t="shared" si="0"/>
        <v>8858.4660877665301</v>
      </c>
      <c r="F18" s="158"/>
      <c r="G18" s="158"/>
      <c r="H18" s="158"/>
      <c r="I18" s="176" t="s">
        <v>821</v>
      </c>
      <c r="J18" s="170">
        <v>35474.063487478867</v>
      </c>
      <c r="K18" s="171">
        <v>36797.182198106559</v>
      </c>
      <c r="L18" s="172">
        <v>1323.1187106276921</v>
      </c>
      <c r="M18" s="158"/>
      <c r="N18" s="158"/>
      <c r="O18" s="108"/>
      <c r="P18" s="108"/>
      <c r="Q18" s="108"/>
      <c r="R18" s="108"/>
      <c r="S18" s="108"/>
      <c r="T18" s="108"/>
      <c r="U18" s="108"/>
      <c r="V18" s="108"/>
      <c r="W18" s="108"/>
      <c r="X18" s="108"/>
      <c r="Y18" s="108"/>
      <c r="Z18" s="108"/>
      <c r="AA18" s="108"/>
      <c r="AB18" s="108"/>
      <c r="AC18" s="108"/>
      <c r="AD18" s="108"/>
      <c r="AE18" s="108"/>
      <c r="AF18" s="108"/>
      <c r="AG18" s="108"/>
      <c r="AH18" s="108"/>
      <c r="AI18" s="108"/>
      <c r="AJ18" s="108"/>
      <c r="AK18" s="108"/>
      <c r="AL18" s="108"/>
      <c r="AM18" s="108"/>
      <c r="AN18" s="108"/>
      <c r="AO18" s="108"/>
      <c r="AP18" s="108"/>
      <c r="AQ18" s="108"/>
      <c r="AR18" s="108"/>
      <c r="AS18" s="108"/>
      <c r="AT18" s="108"/>
      <c r="AU18" s="108"/>
      <c r="AV18" s="108"/>
      <c r="AW18" s="108"/>
      <c r="AX18" s="108"/>
      <c r="AY18" s="108"/>
      <c r="AZ18" s="108"/>
      <c r="BA18" s="108"/>
      <c r="BB18" s="108"/>
      <c r="BC18" s="108"/>
      <c r="BD18" s="108"/>
      <c r="BE18" s="108"/>
      <c r="BF18" s="108"/>
      <c r="BG18" s="108"/>
      <c r="BH18" s="108"/>
      <c r="BI18" s="108"/>
      <c r="BJ18" s="108"/>
      <c r="BK18" s="108"/>
      <c r="BL18" s="108"/>
      <c r="BM18" s="108"/>
      <c r="BN18" s="108"/>
      <c r="BO18" s="108"/>
      <c r="BP18" s="108"/>
      <c r="BQ18" s="108"/>
      <c r="BR18" s="108"/>
      <c r="BS18" s="108"/>
      <c r="BT18" s="108"/>
      <c r="BU18" s="108"/>
      <c r="BV18" s="108"/>
      <c r="BW18" s="108"/>
      <c r="BX18" s="108"/>
      <c r="BY18" s="108"/>
      <c r="BZ18" s="108"/>
      <c r="CA18" s="108"/>
      <c r="CB18" s="108"/>
      <c r="CC18" s="108"/>
      <c r="CD18" s="108"/>
      <c r="CE18" s="108"/>
      <c r="CF18" s="108"/>
      <c r="CG18" s="108"/>
      <c r="CH18" s="108"/>
      <c r="CI18" s="108"/>
      <c r="CJ18" s="108"/>
      <c r="CK18" s="108"/>
      <c r="CL18" s="108"/>
      <c r="CM18" s="108"/>
      <c r="CN18" s="108"/>
      <c r="CO18" s="108"/>
      <c r="CP18" s="108"/>
      <c r="CQ18" s="108"/>
      <c r="CR18" s="108"/>
      <c r="CS18" s="108"/>
      <c r="CT18" s="108"/>
      <c r="CU18" s="108"/>
      <c r="CV18" s="108"/>
      <c r="CW18" s="108"/>
      <c r="CX18" s="108"/>
      <c r="CY18" s="108"/>
      <c r="CZ18" s="108"/>
      <c r="DA18" s="108"/>
      <c r="DB18" s="108"/>
      <c r="DC18" s="108"/>
      <c r="DD18" s="108"/>
      <c r="DE18" s="108"/>
      <c r="DF18" s="108"/>
      <c r="DG18" s="108"/>
      <c r="DH18" s="108"/>
      <c r="DI18" s="108"/>
      <c r="DJ18" s="108"/>
      <c r="DK18" s="108"/>
      <c r="DL18" s="108"/>
      <c r="DM18" s="108"/>
      <c r="DN18" s="108"/>
      <c r="DO18" s="108"/>
      <c r="DP18" s="108"/>
      <c r="DQ18" s="108"/>
      <c r="DR18" s="108"/>
      <c r="DS18" s="108"/>
      <c r="DT18" s="108"/>
      <c r="DU18" s="108"/>
      <c r="DV18" s="108"/>
      <c r="DW18" s="108"/>
      <c r="DX18" s="108"/>
      <c r="DY18" s="108"/>
      <c r="DZ18" s="108"/>
      <c r="EA18" s="108"/>
      <c r="EB18" s="108"/>
      <c r="EC18" s="108"/>
      <c r="ED18" s="108"/>
      <c r="EE18" s="108"/>
      <c r="EF18" s="108"/>
      <c r="EG18" s="108"/>
      <c r="EH18" s="108"/>
      <c r="EI18" s="108"/>
      <c r="EJ18" s="108"/>
      <c r="EK18" s="108"/>
      <c r="EL18" s="108"/>
      <c r="EM18" s="108"/>
      <c r="EN18" s="108"/>
      <c r="EO18" s="108"/>
      <c r="EP18" s="108"/>
      <c r="EQ18" s="108"/>
      <c r="ER18" s="108"/>
      <c r="ES18" s="108"/>
      <c r="ET18" s="108"/>
      <c r="EU18" s="108"/>
      <c r="EV18" s="108"/>
      <c r="EW18" s="108"/>
      <c r="EX18" s="108"/>
      <c r="EY18" s="108"/>
      <c r="EZ18" s="108"/>
      <c r="FA18" s="108"/>
      <c r="FB18" s="108"/>
      <c r="FC18" s="108"/>
      <c r="FD18" s="108"/>
      <c r="FE18" s="108"/>
      <c r="FF18" s="108"/>
      <c r="FG18" s="108"/>
      <c r="FH18" s="108"/>
      <c r="FI18" s="108"/>
      <c r="FJ18" s="108"/>
      <c r="FK18" s="108"/>
      <c r="FL18" s="108"/>
      <c r="FM18" s="108"/>
      <c r="FN18" s="108"/>
      <c r="FO18" s="108"/>
      <c r="FP18" s="108"/>
      <c r="FQ18" s="108"/>
      <c r="FR18" s="108"/>
      <c r="FS18" s="108"/>
      <c r="FT18" s="108"/>
      <c r="FU18" s="108"/>
      <c r="FV18" s="108"/>
      <c r="FW18" s="108"/>
      <c r="FX18" s="108"/>
      <c r="FY18" s="108"/>
      <c r="FZ18" s="108"/>
      <c r="GA18" s="108"/>
      <c r="GB18" s="108"/>
      <c r="GC18" s="108"/>
      <c r="GD18" s="108"/>
      <c r="GE18" s="108"/>
      <c r="GF18" s="108"/>
      <c r="GG18" s="108"/>
      <c r="GH18" s="108"/>
      <c r="GI18" s="108"/>
      <c r="GJ18" s="108"/>
      <c r="GK18" s="108"/>
      <c r="GL18" s="108"/>
      <c r="GM18" s="108"/>
      <c r="GN18" s="108"/>
      <c r="GO18" s="108"/>
      <c r="GP18" s="108"/>
      <c r="GQ18" s="108"/>
      <c r="GR18" s="108"/>
      <c r="GS18" s="108"/>
      <c r="GT18" s="108"/>
      <c r="GU18" s="108"/>
      <c r="GV18" s="108"/>
      <c r="GW18" s="108"/>
      <c r="GX18" s="108"/>
      <c r="GY18" s="108"/>
      <c r="GZ18" s="108"/>
      <c r="HA18" s="108"/>
      <c r="HB18" s="108"/>
      <c r="HC18" s="108"/>
      <c r="HD18" s="108"/>
      <c r="HE18" s="108"/>
      <c r="HF18" s="108"/>
      <c r="HG18" s="108"/>
      <c r="HH18" s="108"/>
      <c r="HI18" s="108"/>
      <c r="HJ18" s="108"/>
      <c r="HK18" s="108"/>
      <c r="HL18" s="108"/>
      <c r="HM18" s="108"/>
      <c r="HN18" s="108"/>
      <c r="HO18" s="108"/>
      <c r="HP18" s="108"/>
      <c r="HQ18" s="108"/>
      <c r="HR18" s="108"/>
      <c r="HS18" s="108"/>
      <c r="HT18" s="108"/>
      <c r="HU18" s="108"/>
      <c r="HV18" s="108"/>
      <c r="HW18" s="108"/>
      <c r="HX18" s="108"/>
      <c r="HY18" s="108"/>
      <c r="HZ18" s="108"/>
      <c r="IA18" s="108"/>
      <c r="IB18" s="108"/>
      <c r="IC18" s="108"/>
      <c r="ID18" s="108"/>
      <c r="IE18" s="108"/>
      <c r="IF18" s="108"/>
      <c r="IG18" s="108"/>
      <c r="IH18" s="108"/>
      <c r="II18" s="108"/>
      <c r="IJ18" s="108"/>
      <c r="IK18" s="108"/>
      <c r="IL18" s="108"/>
      <c r="IM18" s="108"/>
      <c r="IN18" s="108"/>
      <c r="IO18" s="108"/>
      <c r="IP18" s="108"/>
      <c r="IQ18" s="108"/>
      <c r="IR18" s="108"/>
      <c r="IS18" s="108"/>
      <c r="IT18" s="108"/>
      <c r="IU18" s="108"/>
      <c r="IV18" s="108"/>
      <c r="IW18" s="108"/>
    </row>
    <row r="19" spans="1:257" ht="15" thickBot="1" x14ac:dyDescent="0.35">
      <c r="A19" s="158"/>
      <c r="B19" s="113" t="str">
        <f>'Sensitivity analysis'!B178</f>
        <v>LBW and preterm</v>
      </c>
      <c r="C19" s="170">
        <f>'Sensitivity analysis'!G178</f>
        <v>29347.255018886386</v>
      </c>
      <c r="D19" s="171">
        <f>'Sensitivity analysis'!H178</f>
        <v>42515.536768792794</v>
      </c>
      <c r="E19" s="172">
        <f t="shared" si="0"/>
        <v>13168.281749906408</v>
      </c>
      <c r="F19" s="158"/>
      <c r="G19" s="158"/>
      <c r="H19" s="158"/>
      <c r="I19" s="173" t="s">
        <v>787</v>
      </c>
      <c r="J19" s="170">
        <v>35593.264516045994</v>
      </c>
      <c r="K19" s="175">
        <v>36835.838435732927</v>
      </c>
      <c r="L19" s="172">
        <v>1242.5739196869326</v>
      </c>
      <c r="M19" s="158"/>
      <c r="N19" s="158"/>
      <c r="O19" s="108"/>
      <c r="P19" s="108"/>
      <c r="Q19" s="108"/>
      <c r="R19" s="108"/>
      <c r="S19" s="108"/>
      <c r="T19" s="108"/>
      <c r="U19" s="108"/>
      <c r="V19" s="108"/>
      <c r="W19" s="108"/>
      <c r="X19" s="108"/>
      <c r="Y19" s="108"/>
      <c r="Z19" s="108"/>
      <c r="AA19" s="108"/>
      <c r="AB19" s="108"/>
      <c r="AC19" s="108"/>
      <c r="AD19" s="108"/>
      <c r="AE19" s="108"/>
      <c r="AF19" s="108"/>
      <c r="AG19" s="108"/>
      <c r="AH19" s="108"/>
      <c r="AI19" s="108"/>
      <c r="AJ19" s="108"/>
      <c r="AK19" s="108"/>
      <c r="AL19" s="108"/>
      <c r="AM19" s="108"/>
      <c r="AN19" s="108"/>
      <c r="AO19" s="108"/>
      <c r="AP19" s="108"/>
      <c r="AQ19" s="108"/>
      <c r="AR19" s="108"/>
      <c r="AS19" s="108"/>
      <c r="AT19" s="108"/>
      <c r="AU19" s="108"/>
      <c r="AV19" s="108"/>
      <c r="AW19" s="108"/>
      <c r="AX19" s="108"/>
      <c r="AY19" s="108"/>
      <c r="AZ19" s="108"/>
      <c r="BA19" s="108"/>
      <c r="BB19" s="108"/>
      <c r="BC19" s="108"/>
      <c r="BD19" s="108"/>
      <c r="BE19" s="108"/>
      <c r="BF19" s="108"/>
      <c r="BG19" s="108"/>
      <c r="BH19" s="108"/>
      <c r="BI19" s="108"/>
      <c r="BJ19" s="108"/>
      <c r="BK19" s="108"/>
      <c r="BL19" s="108"/>
      <c r="BM19" s="108"/>
      <c r="BN19" s="108"/>
      <c r="BO19" s="108"/>
      <c r="BP19" s="108"/>
      <c r="BQ19" s="108"/>
      <c r="BR19" s="108"/>
      <c r="BS19" s="108"/>
      <c r="BT19" s="108"/>
      <c r="BU19" s="108"/>
      <c r="BV19" s="108"/>
      <c r="BW19" s="108"/>
      <c r="BX19" s="108"/>
      <c r="BY19" s="108"/>
      <c r="BZ19" s="108"/>
      <c r="CA19" s="108"/>
      <c r="CB19" s="108"/>
      <c r="CC19" s="108"/>
      <c r="CD19" s="108"/>
      <c r="CE19" s="108"/>
      <c r="CF19" s="108"/>
      <c r="CG19" s="108"/>
      <c r="CH19" s="108"/>
      <c r="CI19" s="108"/>
      <c r="CJ19" s="108"/>
      <c r="CK19" s="108"/>
      <c r="CL19" s="108"/>
      <c r="CM19" s="108"/>
      <c r="CN19" s="108"/>
      <c r="CO19" s="108"/>
      <c r="CP19" s="108"/>
      <c r="CQ19" s="108"/>
      <c r="CR19" s="108"/>
      <c r="CS19" s="108"/>
      <c r="CT19" s="108"/>
      <c r="CU19" s="108"/>
      <c r="CV19" s="108"/>
      <c r="CW19" s="108"/>
      <c r="CX19" s="108"/>
      <c r="CY19" s="108"/>
      <c r="CZ19" s="108"/>
      <c r="DA19" s="108"/>
      <c r="DB19" s="108"/>
      <c r="DC19" s="108"/>
      <c r="DD19" s="108"/>
      <c r="DE19" s="108"/>
      <c r="DF19" s="108"/>
      <c r="DG19" s="108"/>
      <c r="DH19" s="108"/>
      <c r="DI19" s="108"/>
      <c r="DJ19" s="108"/>
      <c r="DK19" s="108"/>
      <c r="DL19" s="108"/>
      <c r="DM19" s="108"/>
      <c r="DN19" s="108"/>
      <c r="DO19" s="108"/>
      <c r="DP19" s="108"/>
      <c r="DQ19" s="108"/>
      <c r="DR19" s="108"/>
      <c r="DS19" s="108"/>
      <c r="DT19" s="108"/>
      <c r="DU19" s="108"/>
      <c r="DV19" s="108"/>
      <c r="DW19" s="108"/>
      <c r="DX19" s="108"/>
      <c r="DY19" s="108"/>
      <c r="DZ19" s="108"/>
      <c r="EA19" s="108"/>
      <c r="EB19" s="108"/>
      <c r="EC19" s="108"/>
      <c r="ED19" s="108"/>
      <c r="EE19" s="108"/>
      <c r="EF19" s="108"/>
      <c r="EG19" s="108"/>
      <c r="EH19" s="108"/>
      <c r="EI19" s="108"/>
      <c r="EJ19" s="108"/>
      <c r="EK19" s="108"/>
      <c r="EL19" s="108"/>
      <c r="EM19" s="108"/>
      <c r="EN19" s="108"/>
      <c r="EO19" s="108"/>
      <c r="EP19" s="108"/>
      <c r="EQ19" s="108"/>
      <c r="ER19" s="108"/>
      <c r="ES19" s="108"/>
      <c r="ET19" s="108"/>
      <c r="EU19" s="108"/>
      <c r="EV19" s="108"/>
      <c r="EW19" s="108"/>
      <c r="EX19" s="108"/>
      <c r="EY19" s="108"/>
      <c r="EZ19" s="108"/>
      <c r="FA19" s="108"/>
      <c r="FB19" s="108"/>
      <c r="FC19" s="108"/>
      <c r="FD19" s="108"/>
      <c r="FE19" s="108"/>
      <c r="FF19" s="108"/>
      <c r="FG19" s="108"/>
      <c r="FH19" s="108"/>
      <c r="FI19" s="108"/>
      <c r="FJ19" s="108"/>
      <c r="FK19" s="108"/>
      <c r="FL19" s="108"/>
      <c r="FM19" s="108"/>
      <c r="FN19" s="108"/>
      <c r="FO19" s="108"/>
      <c r="FP19" s="108"/>
      <c r="FQ19" s="108"/>
      <c r="FR19" s="108"/>
      <c r="FS19" s="108"/>
      <c r="FT19" s="108"/>
      <c r="FU19" s="108"/>
      <c r="FV19" s="108"/>
      <c r="FW19" s="108"/>
      <c r="FX19" s="108"/>
      <c r="FY19" s="108"/>
      <c r="FZ19" s="108"/>
      <c r="GA19" s="108"/>
      <c r="GB19" s="108"/>
      <c r="GC19" s="108"/>
      <c r="GD19" s="108"/>
      <c r="GE19" s="108"/>
      <c r="GF19" s="108"/>
      <c r="GG19" s="108"/>
      <c r="GH19" s="108"/>
      <c r="GI19" s="108"/>
      <c r="GJ19" s="108"/>
      <c r="GK19" s="108"/>
      <c r="GL19" s="108"/>
      <c r="GM19" s="108"/>
      <c r="GN19" s="108"/>
      <c r="GO19" s="108"/>
      <c r="GP19" s="108"/>
      <c r="GQ19" s="108"/>
      <c r="GR19" s="108"/>
      <c r="GS19" s="108"/>
      <c r="GT19" s="108"/>
      <c r="GU19" s="108"/>
      <c r="GV19" s="108"/>
      <c r="GW19" s="108"/>
      <c r="GX19" s="108"/>
      <c r="GY19" s="108"/>
      <c r="GZ19" s="108"/>
      <c r="HA19" s="108"/>
      <c r="HB19" s="108"/>
      <c r="HC19" s="108"/>
      <c r="HD19" s="108"/>
      <c r="HE19" s="108"/>
      <c r="HF19" s="108"/>
      <c r="HG19" s="108"/>
      <c r="HH19" s="108"/>
      <c r="HI19" s="108"/>
      <c r="HJ19" s="108"/>
      <c r="HK19" s="108"/>
      <c r="HL19" s="108"/>
      <c r="HM19" s="108"/>
      <c r="HN19" s="108"/>
      <c r="HO19" s="108"/>
      <c r="HP19" s="108"/>
      <c r="HQ19" s="108"/>
      <c r="HR19" s="108"/>
      <c r="HS19" s="108"/>
      <c r="HT19" s="108"/>
      <c r="HU19" s="108"/>
      <c r="HV19" s="108"/>
      <c r="HW19" s="108"/>
      <c r="HX19" s="108"/>
      <c r="HY19" s="108"/>
      <c r="HZ19" s="108"/>
      <c r="IA19" s="108"/>
      <c r="IB19" s="108"/>
      <c r="IC19" s="108"/>
      <c r="ID19" s="108"/>
      <c r="IE19" s="108"/>
      <c r="IF19" s="108"/>
      <c r="IG19" s="108"/>
      <c r="IH19" s="108"/>
      <c r="II19" s="108"/>
      <c r="IJ19" s="108"/>
      <c r="IK19" s="108"/>
      <c r="IL19" s="108"/>
      <c r="IM19" s="108"/>
      <c r="IN19" s="108"/>
      <c r="IO19" s="108"/>
      <c r="IP19" s="108"/>
      <c r="IQ19" s="108"/>
      <c r="IR19" s="108"/>
      <c r="IS19" s="108"/>
      <c r="IT19" s="108"/>
      <c r="IU19" s="108"/>
      <c r="IV19" s="108"/>
      <c r="IW19" s="108"/>
    </row>
    <row r="20" spans="1:257" ht="15" thickBot="1" x14ac:dyDescent="0.35">
      <c r="A20" s="158"/>
      <c r="B20" s="113" t="str">
        <f>'Sensitivity analysis'!B179</f>
        <v>LBW term infants</v>
      </c>
      <c r="C20" s="170">
        <f>'Sensitivity analysis'!G179</f>
        <v>26768.623433254281</v>
      </c>
      <c r="D20" s="171">
        <f>'Sensitivity analysis'!H179</f>
        <v>45548.247035456348</v>
      </c>
      <c r="E20" s="172">
        <f t="shared" si="0"/>
        <v>18779.623602202068</v>
      </c>
      <c r="F20" s="158"/>
      <c r="G20" s="158"/>
      <c r="H20" s="158"/>
      <c r="I20" s="173" t="s">
        <v>789</v>
      </c>
      <c r="J20" s="170">
        <v>35595.66349230746</v>
      </c>
      <c r="K20" s="175">
        <v>36683.688860266542</v>
      </c>
      <c r="L20" s="172">
        <v>1088.0253679590824</v>
      </c>
      <c r="M20" s="158"/>
      <c r="N20" s="158"/>
      <c r="O20" s="108"/>
      <c r="P20" s="108"/>
      <c r="Q20" s="108"/>
      <c r="R20" s="108"/>
      <c r="S20" s="108"/>
      <c r="T20" s="108"/>
      <c r="U20" s="108"/>
      <c r="V20" s="108"/>
      <c r="W20" s="108"/>
      <c r="X20" s="108"/>
      <c r="Y20" s="108"/>
      <c r="Z20" s="108"/>
      <c r="AA20" s="108"/>
      <c r="AB20" s="108"/>
      <c r="AC20" s="108"/>
      <c r="AD20" s="108"/>
      <c r="AE20" s="108"/>
      <c r="AF20" s="108"/>
      <c r="AG20" s="108"/>
      <c r="AH20" s="108"/>
      <c r="AI20" s="108"/>
      <c r="AJ20" s="108"/>
      <c r="AK20" s="108"/>
      <c r="AL20" s="108"/>
      <c r="AM20" s="108"/>
      <c r="AN20" s="108"/>
      <c r="AO20" s="108"/>
      <c r="AP20" s="108"/>
      <c r="AQ20" s="108"/>
      <c r="AR20" s="108"/>
      <c r="AS20" s="108"/>
      <c r="AT20" s="108"/>
      <c r="AU20" s="108"/>
      <c r="AV20" s="108"/>
      <c r="AW20" s="108"/>
      <c r="AX20" s="108"/>
      <c r="AY20" s="108"/>
      <c r="AZ20" s="108"/>
      <c r="BA20" s="108"/>
      <c r="BB20" s="108"/>
      <c r="BC20" s="108"/>
      <c r="BD20" s="108"/>
      <c r="BE20" s="108"/>
      <c r="BF20" s="108"/>
      <c r="BG20" s="108"/>
      <c r="BH20" s="108"/>
      <c r="BI20" s="108"/>
      <c r="BJ20" s="108"/>
      <c r="BK20" s="108"/>
      <c r="BL20" s="108"/>
      <c r="BM20" s="108"/>
      <c r="BN20" s="108"/>
      <c r="BO20" s="108"/>
      <c r="BP20" s="108"/>
      <c r="BQ20" s="108"/>
      <c r="BR20" s="108"/>
      <c r="BS20" s="108"/>
      <c r="BT20" s="108"/>
      <c r="BU20" s="108"/>
      <c r="BV20" s="108"/>
      <c r="BW20" s="108"/>
      <c r="BX20" s="108"/>
      <c r="BY20" s="108"/>
      <c r="BZ20" s="108"/>
      <c r="CA20" s="108"/>
      <c r="CB20" s="108"/>
      <c r="CC20" s="108"/>
      <c r="CD20" s="108"/>
      <c r="CE20" s="108"/>
      <c r="CF20" s="108"/>
      <c r="CG20" s="108"/>
      <c r="CH20" s="108"/>
      <c r="CI20" s="108"/>
      <c r="CJ20" s="108"/>
      <c r="CK20" s="108"/>
      <c r="CL20" s="108"/>
      <c r="CM20" s="108"/>
      <c r="CN20" s="108"/>
      <c r="CO20" s="108"/>
      <c r="CP20" s="108"/>
      <c r="CQ20" s="108"/>
      <c r="CR20" s="108"/>
      <c r="CS20" s="108"/>
      <c r="CT20" s="108"/>
      <c r="CU20" s="108"/>
      <c r="CV20" s="108"/>
      <c r="CW20" s="108"/>
      <c r="CX20" s="108"/>
      <c r="CY20" s="108"/>
      <c r="CZ20" s="108"/>
      <c r="DA20" s="108"/>
      <c r="DB20" s="108"/>
      <c r="DC20" s="108"/>
      <c r="DD20" s="108"/>
      <c r="DE20" s="108"/>
      <c r="DF20" s="108"/>
      <c r="DG20" s="108"/>
      <c r="DH20" s="108"/>
      <c r="DI20" s="108"/>
      <c r="DJ20" s="108"/>
      <c r="DK20" s="108"/>
      <c r="DL20" s="108"/>
      <c r="DM20" s="108"/>
      <c r="DN20" s="108"/>
      <c r="DO20" s="108"/>
      <c r="DP20" s="108"/>
      <c r="DQ20" s="108"/>
      <c r="DR20" s="108"/>
      <c r="DS20" s="108"/>
      <c r="DT20" s="108"/>
      <c r="DU20" s="108"/>
      <c r="DV20" s="108"/>
      <c r="DW20" s="108"/>
      <c r="DX20" s="108"/>
      <c r="DY20" s="108"/>
      <c r="DZ20" s="108"/>
      <c r="EA20" s="108"/>
      <c r="EB20" s="108"/>
      <c r="EC20" s="108"/>
      <c r="ED20" s="108"/>
      <c r="EE20" s="108"/>
      <c r="EF20" s="108"/>
      <c r="EG20" s="108"/>
      <c r="EH20" s="108"/>
      <c r="EI20" s="108"/>
      <c r="EJ20" s="108"/>
      <c r="EK20" s="108"/>
      <c r="EL20" s="108"/>
      <c r="EM20" s="108"/>
      <c r="EN20" s="108"/>
      <c r="EO20" s="108"/>
      <c r="EP20" s="108"/>
      <c r="EQ20" s="108"/>
      <c r="ER20" s="108"/>
      <c r="ES20" s="108"/>
      <c r="ET20" s="108"/>
      <c r="EU20" s="108"/>
      <c r="EV20" s="108"/>
      <c r="EW20" s="108"/>
      <c r="EX20" s="108"/>
      <c r="EY20" s="108"/>
      <c r="EZ20" s="108"/>
      <c r="FA20" s="108"/>
      <c r="FB20" s="108"/>
      <c r="FC20" s="108"/>
      <c r="FD20" s="108"/>
      <c r="FE20" s="108"/>
      <c r="FF20" s="108"/>
      <c r="FG20" s="108"/>
      <c r="FH20" s="108"/>
      <c r="FI20" s="108"/>
      <c r="FJ20" s="108"/>
      <c r="FK20" s="108"/>
      <c r="FL20" s="108"/>
      <c r="FM20" s="108"/>
      <c r="FN20" s="108"/>
      <c r="FO20" s="108"/>
      <c r="FP20" s="108"/>
      <c r="FQ20" s="108"/>
      <c r="FR20" s="108"/>
      <c r="FS20" s="108"/>
      <c r="FT20" s="108"/>
      <c r="FU20" s="108"/>
      <c r="FV20" s="108"/>
      <c r="FW20" s="108"/>
      <c r="FX20" s="108"/>
      <c r="FY20" s="108"/>
      <c r="FZ20" s="108"/>
      <c r="GA20" s="108"/>
      <c r="GB20" s="108"/>
      <c r="GC20" s="108"/>
      <c r="GD20" s="108"/>
      <c r="GE20" s="108"/>
      <c r="GF20" s="108"/>
      <c r="GG20" s="108"/>
      <c r="GH20" s="108"/>
      <c r="GI20" s="108"/>
      <c r="GJ20" s="108"/>
      <c r="GK20" s="108"/>
      <c r="GL20" s="108"/>
      <c r="GM20" s="108"/>
      <c r="GN20" s="108"/>
      <c r="GO20" s="108"/>
      <c r="GP20" s="108"/>
      <c r="GQ20" s="108"/>
      <c r="GR20" s="108"/>
      <c r="GS20" s="108"/>
      <c r="GT20" s="108"/>
      <c r="GU20" s="108"/>
      <c r="GV20" s="108"/>
      <c r="GW20" s="108"/>
      <c r="GX20" s="108"/>
      <c r="GY20" s="108"/>
      <c r="GZ20" s="108"/>
      <c r="HA20" s="108"/>
      <c r="HB20" s="108"/>
      <c r="HC20" s="108"/>
      <c r="HD20" s="108"/>
      <c r="HE20" s="108"/>
      <c r="HF20" s="108"/>
      <c r="HG20" s="108"/>
      <c r="HH20" s="108"/>
      <c r="HI20" s="108"/>
      <c r="HJ20" s="108"/>
      <c r="HK20" s="108"/>
      <c r="HL20" s="108"/>
      <c r="HM20" s="108"/>
      <c r="HN20" s="108"/>
      <c r="HO20" s="108"/>
      <c r="HP20" s="108"/>
      <c r="HQ20" s="108"/>
      <c r="HR20" s="108"/>
      <c r="HS20" s="108"/>
      <c r="HT20" s="108"/>
      <c r="HU20" s="108"/>
      <c r="HV20" s="108"/>
      <c r="HW20" s="108"/>
      <c r="HX20" s="108"/>
      <c r="HY20" s="108"/>
      <c r="HZ20" s="108"/>
      <c r="IA20" s="108"/>
      <c r="IB20" s="108"/>
      <c r="IC20" s="108"/>
      <c r="ID20" s="108"/>
      <c r="IE20" s="108"/>
      <c r="IF20" s="108"/>
      <c r="IG20" s="108"/>
      <c r="IH20" s="108"/>
      <c r="II20" s="108"/>
      <c r="IJ20" s="108"/>
      <c r="IK20" s="108"/>
      <c r="IL20" s="108"/>
      <c r="IM20" s="108"/>
      <c r="IN20" s="108"/>
      <c r="IO20" s="108"/>
      <c r="IP20" s="108"/>
      <c r="IQ20" s="108"/>
      <c r="IR20" s="108"/>
      <c r="IS20" s="108"/>
      <c r="IT20" s="108"/>
      <c r="IU20" s="108"/>
      <c r="IV20" s="108"/>
      <c r="IW20" s="108"/>
    </row>
    <row r="21" spans="1:257" ht="15" thickBot="1" x14ac:dyDescent="0.35">
      <c r="A21" s="158"/>
      <c r="B21" s="113" t="str">
        <f>'Sensitivity analysis'!B180</f>
        <v>SGA among preterm LBW infants</v>
      </c>
      <c r="C21" s="170">
        <f>'Sensitivity analysis'!G180</f>
        <v>35668.667291226149</v>
      </c>
      <c r="D21" s="171">
        <f>'Sensitivity analysis'!H180</f>
        <v>36648.20317748456</v>
      </c>
      <c r="E21" s="172">
        <f t="shared" si="0"/>
        <v>979.53588625841076</v>
      </c>
      <c r="F21" s="158"/>
      <c r="G21" s="158"/>
      <c r="H21" s="158"/>
      <c r="I21" s="173" t="s">
        <v>797</v>
      </c>
      <c r="J21" s="170">
        <v>35652.849750403897</v>
      </c>
      <c r="K21" s="175">
        <v>36664.020718306609</v>
      </c>
      <c r="L21" s="172">
        <v>1011.1709679027117</v>
      </c>
      <c r="M21" s="158"/>
      <c r="N21" s="158"/>
      <c r="O21" s="108"/>
      <c r="P21" s="108"/>
      <c r="Q21" s="108"/>
      <c r="R21" s="108"/>
      <c r="S21" s="108"/>
      <c r="T21" s="108"/>
      <c r="U21" s="108"/>
      <c r="V21" s="108"/>
      <c r="W21" s="108"/>
      <c r="X21" s="108"/>
      <c r="Y21" s="108"/>
      <c r="Z21" s="108"/>
      <c r="AA21" s="108"/>
      <c r="AB21" s="108"/>
      <c r="AC21" s="108"/>
      <c r="AD21" s="108"/>
      <c r="AE21" s="108"/>
      <c r="AF21" s="108"/>
      <c r="AG21" s="108"/>
      <c r="AH21" s="108"/>
      <c r="AI21" s="108"/>
      <c r="AJ21" s="108"/>
      <c r="AK21" s="108"/>
      <c r="AL21" s="108"/>
      <c r="AM21" s="108"/>
      <c r="AN21" s="108"/>
      <c r="AO21" s="108"/>
      <c r="AP21" s="108"/>
      <c r="AQ21" s="108"/>
      <c r="AR21" s="108"/>
      <c r="AS21" s="108"/>
      <c r="AT21" s="108"/>
      <c r="AU21" s="108"/>
      <c r="AV21" s="108"/>
      <c r="AW21" s="108"/>
      <c r="AX21" s="108"/>
      <c r="AY21" s="108"/>
      <c r="AZ21" s="108"/>
      <c r="BA21" s="108"/>
      <c r="BB21" s="108"/>
      <c r="BC21" s="108"/>
      <c r="BD21" s="108"/>
      <c r="BE21" s="108"/>
      <c r="BF21" s="108"/>
      <c r="BG21" s="108"/>
      <c r="BH21" s="108"/>
      <c r="BI21" s="108"/>
      <c r="BJ21" s="108"/>
      <c r="BK21" s="108"/>
      <c r="BL21" s="108"/>
      <c r="BM21" s="108"/>
      <c r="BN21" s="108"/>
      <c r="BO21" s="108"/>
      <c r="BP21" s="108"/>
      <c r="BQ21" s="108"/>
      <c r="BR21" s="108"/>
      <c r="BS21" s="108"/>
      <c r="BT21" s="108"/>
      <c r="BU21" s="108"/>
      <c r="BV21" s="108"/>
      <c r="BW21" s="108"/>
      <c r="BX21" s="108"/>
      <c r="BY21" s="108"/>
      <c r="BZ21" s="108"/>
      <c r="CA21" s="108"/>
      <c r="CB21" s="108"/>
      <c r="CC21" s="108"/>
      <c r="CD21" s="108"/>
      <c r="CE21" s="108"/>
      <c r="CF21" s="108"/>
      <c r="CG21" s="108"/>
      <c r="CH21" s="108"/>
      <c r="CI21" s="108"/>
      <c r="CJ21" s="108"/>
      <c r="CK21" s="108"/>
      <c r="CL21" s="108"/>
      <c r="CM21" s="108"/>
      <c r="CN21" s="108"/>
      <c r="CO21" s="108"/>
      <c r="CP21" s="108"/>
      <c r="CQ21" s="108"/>
      <c r="CR21" s="108"/>
      <c r="CS21" s="108"/>
      <c r="CT21" s="108"/>
      <c r="CU21" s="108"/>
      <c r="CV21" s="108"/>
      <c r="CW21" s="108"/>
      <c r="CX21" s="108"/>
      <c r="CY21" s="108"/>
      <c r="CZ21" s="108"/>
      <c r="DA21" s="108"/>
      <c r="DB21" s="108"/>
      <c r="DC21" s="108"/>
      <c r="DD21" s="108"/>
      <c r="DE21" s="108"/>
      <c r="DF21" s="108"/>
      <c r="DG21" s="108"/>
      <c r="DH21" s="108"/>
      <c r="DI21" s="108"/>
      <c r="DJ21" s="108"/>
      <c r="DK21" s="108"/>
      <c r="DL21" s="108"/>
      <c r="DM21" s="108"/>
      <c r="DN21" s="108"/>
      <c r="DO21" s="108"/>
      <c r="DP21" s="108"/>
      <c r="DQ21" s="108"/>
      <c r="DR21" s="108"/>
      <c r="DS21" s="108"/>
      <c r="DT21" s="108"/>
      <c r="DU21" s="108"/>
      <c r="DV21" s="108"/>
      <c r="DW21" s="108"/>
      <c r="DX21" s="108"/>
      <c r="DY21" s="108"/>
      <c r="DZ21" s="108"/>
      <c r="EA21" s="108"/>
      <c r="EB21" s="108"/>
      <c r="EC21" s="108"/>
      <c r="ED21" s="108"/>
      <c r="EE21" s="108"/>
      <c r="EF21" s="108"/>
      <c r="EG21" s="108"/>
      <c r="EH21" s="108"/>
      <c r="EI21" s="108"/>
      <c r="EJ21" s="108"/>
      <c r="EK21" s="108"/>
      <c r="EL21" s="108"/>
      <c r="EM21" s="108"/>
      <c r="EN21" s="108"/>
      <c r="EO21" s="108"/>
      <c r="EP21" s="108"/>
      <c r="EQ21" s="108"/>
      <c r="ER21" s="108"/>
      <c r="ES21" s="108"/>
      <c r="ET21" s="108"/>
      <c r="EU21" s="108"/>
      <c r="EV21" s="108"/>
      <c r="EW21" s="108"/>
      <c r="EX21" s="108"/>
      <c r="EY21" s="108"/>
      <c r="EZ21" s="108"/>
      <c r="FA21" s="108"/>
      <c r="FB21" s="108"/>
      <c r="FC21" s="108"/>
      <c r="FD21" s="108"/>
      <c r="FE21" s="108"/>
      <c r="FF21" s="108"/>
      <c r="FG21" s="108"/>
      <c r="FH21" s="108"/>
      <c r="FI21" s="108"/>
      <c r="FJ21" s="108"/>
      <c r="FK21" s="108"/>
      <c r="FL21" s="108"/>
      <c r="FM21" s="108"/>
      <c r="FN21" s="108"/>
      <c r="FO21" s="108"/>
      <c r="FP21" s="108"/>
      <c r="FQ21" s="108"/>
      <c r="FR21" s="108"/>
      <c r="FS21" s="108"/>
      <c r="FT21" s="108"/>
      <c r="FU21" s="108"/>
      <c r="FV21" s="108"/>
      <c r="FW21" s="108"/>
      <c r="FX21" s="108"/>
      <c r="FY21" s="108"/>
      <c r="FZ21" s="108"/>
      <c r="GA21" s="108"/>
      <c r="GB21" s="108"/>
      <c r="GC21" s="108"/>
      <c r="GD21" s="108"/>
      <c r="GE21" s="108"/>
      <c r="GF21" s="108"/>
      <c r="GG21" s="108"/>
      <c r="GH21" s="108"/>
      <c r="GI21" s="108"/>
      <c r="GJ21" s="108"/>
      <c r="GK21" s="108"/>
      <c r="GL21" s="108"/>
      <c r="GM21" s="108"/>
      <c r="GN21" s="108"/>
      <c r="GO21" s="108"/>
      <c r="GP21" s="108"/>
      <c r="GQ21" s="108"/>
      <c r="GR21" s="108"/>
      <c r="GS21" s="108"/>
      <c r="GT21" s="108"/>
      <c r="GU21" s="108"/>
      <c r="GV21" s="108"/>
      <c r="GW21" s="108"/>
      <c r="GX21" s="108"/>
      <c r="GY21" s="108"/>
      <c r="GZ21" s="108"/>
      <c r="HA21" s="108"/>
      <c r="HB21" s="108"/>
      <c r="HC21" s="108"/>
      <c r="HD21" s="108"/>
      <c r="HE21" s="108"/>
      <c r="HF21" s="108"/>
      <c r="HG21" s="108"/>
      <c r="HH21" s="108"/>
      <c r="HI21" s="108"/>
      <c r="HJ21" s="108"/>
      <c r="HK21" s="108"/>
      <c r="HL21" s="108"/>
      <c r="HM21" s="108"/>
      <c r="HN21" s="108"/>
      <c r="HO21" s="108"/>
      <c r="HP21" s="108"/>
      <c r="HQ21" s="108"/>
      <c r="HR21" s="108"/>
      <c r="HS21" s="108"/>
      <c r="HT21" s="108"/>
      <c r="HU21" s="108"/>
      <c r="HV21" s="108"/>
      <c r="HW21" s="108"/>
      <c r="HX21" s="108"/>
      <c r="HY21" s="108"/>
      <c r="HZ21" s="108"/>
      <c r="IA21" s="108"/>
      <c r="IB21" s="108"/>
      <c r="IC21" s="108"/>
      <c r="ID21" s="108"/>
      <c r="IE21" s="108"/>
      <c r="IF21" s="108"/>
      <c r="IG21" s="108"/>
      <c r="IH21" s="108"/>
      <c r="II21" s="108"/>
      <c r="IJ21" s="108"/>
      <c r="IK21" s="108"/>
      <c r="IL21" s="108"/>
      <c r="IM21" s="108"/>
      <c r="IN21" s="108"/>
      <c r="IO21" s="108"/>
      <c r="IP21" s="108"/>
      <c r="IQ21" s="108"/>
      <c r="IR21" s="108"/>
      <c r="IS21" s="108"/>
      <c r="IT21" s="108"/>
      <c r="IU21" s="108"/>
      <c r="IV21" s="108"/>
      <c r="IW21" s="108"/>
    </row>
    <row r="22" spans="1:257" ht="15" thickBot="1" x14ac:dyDescent="0.35">
      <c r="A22" s="158"/>
      <c r="B22" s="113" t="str">
        <f>'Sensitivity analysis'!B181</f>
        <v>AGA among term normal birth weight infants</v>
      </c>
      <c r="C22" s="170">
        <f>'Sensitivity analysis'!G181</f>
        <v>36124.6332152873</v>
      </c>
      <c r="D22" s="171">
        <f>'Sensitivity analysis'!H181</f>
        <v>36189.983785485369</v>
      </c>
      <c r="E22" s="172">
        <f t="shared" si="0"/>
        <v>65.350570198068453</v>
      </c>
      <c r="F22" s="158"/>
      <c r="G22" s="158"/>
      <c r="H22" s="158"/>
      <c r="I22" s="173" t="s">
        <v>794</v>
      </c>
      <c r="J22" s="170">
        <v>35668.667291226149</v>
      </c>
      <c r="K22" s="175">
        <v>36648.20317748456</v>
      </c>
      <c r="L22" s="172">
        <v>979.53588625841076</v>
      </c>
      <c r="M22" s="158"/>
      <c r="N22" s="158"/>
      <c r="O22" s="108"/>
      <c r="P22" s="108"/>
      <c r="Q22" s="108"/>
      <c r="R22" s="108"/>
      <c r="S22" s="108"/>
      <c r="T22" s="108"/>
      <c r="U22" s="108"/>
      <c r="V22" s="108"/>
      <c r="W22" s="108"/>
      <c r="X22" s="108"/>
      <c r="Y22" s="108"/>
      <c r="Z22" s="108"/>
      <c r="AA22" s="108"/>
      <c r="AB22" s="108"/>
      <c r="AC22" s="108"/>
      <c r="AD22" s="108"/>
      <c r="AE22" s="108"/>
      <c r="AF22" s="108"/>
      <c r="AG22" s="108"/>
      <c r="AH22" s="108"/>
      <c r="AI22" s="108"/>
      <c r="AJ22" s="108"/>
      <c r="AK22" s="108"/>
      <c r="AL22" s="108"/>
      <c r="AM22" s="108"/>
      <c r="AN22" s="108"/>
      <c r="AO22" s="108"/>
      <c r="AP22" s="108"/>
      <c r="AQ22" s="108"/>
      <c r="AR22" s="108"/>
      <c r="AS22" s="108"/>
      <c r="AT22" s="108"/>
      <c r="AU22" s="108"/>
      <c r="AV22" s="108"/>
      <c r="AW22" s="108"/>
      <c r="AX22" s="108"/>
      <c r="AY22" s="108"/>
      <c r="AZ22" s="108"/>
      <c r="BA22" s="108"/>
      <c r="BB22" s="108"/>
      <c r="BC22" s="108"/>
      <c r="BD22" s="108"/>
      <c r="BE22" s="108"/>
      <c r="BF22" s="108"/>
      <c r="BG22" s="108"/>
      <c r="BH22" s="108"/>
      <c r="BI22" s="108"/>
      <c r="BJ22" s="108"/>
      <c r="BK22" s="108"/>
      <c r="BL22" s="108"/>
      <c r="BM22" s="108"/>
      <c r="BN22" s="108"/>
      <c r="BO22" s="108"/>
      <c r="BP22" s="108"/>
      <c r="BQ22" s="108"/>
      <c r="BR22" s="108"/>
      <c r="BS22" s="108"/>
      <c r="BT22" s="108"/>
      <c r="BU22" s="108"/>
      <c r="BV22" s="108"/>
      <c r="BW22" s="108"/>
      <c r="BX22" s="108"/>
      <c r="BY22" s="108"/>
      <c r="BZ22" s="108"/>
      <c r="CA22" s="108"/>
      <c r="CB22" s="108"/>
      <c r="CC22" s="108"/>
      <c r="CD22" s="108"/>
      <c r="CE22" s="108"/>
      <c r="CF22" s="108"/>
      <c r="CG22" s="108"/>
      <c r="CH22" s="108"/>
      <c r="CI22" s="108"/>
      <c r="CJ22" s="108"/>
      <c r="CK22" s="108"/>
      <c r="CL22" s="108"/>
      <c r="CM22" s="108"/>
      <c r="CN22" s="108"/>
      <c r="CO22" s="108"/>
      <c r="CP22" s="108"/>
      <c r="CQ22" s="108"/>
      <c r="CR22" s="108"/>
      <c r="CS22" s="108"/>
      <c r="CT22" s="108"/>
      <c r="CU22" s="108"/>
      <c r="CV22" s="108"/>
      <c r="CW22" s="108"/>
      <c r="CX22" s="108"/>
      <c r="CY22" s="108"/>
      <c r="CZ22" s="108"/>
      <c r="DA22" s="108"/>
      <c r="DB22" s="108"/>
      <c r="DC22" s="108"/>
      <c r="DD22" s="108"/>
      <c r="DE22" s="108"/>
      <c r="DF22" s="108"/>
      <c r="DG22" s="108"/>
      <c r="DH22" s="108"/>
      <c r="DI22" s="108"/>
      <c r="DJ22" s="108"/>
      <c r="DK22" s="108"/>
      <c r="DL22" s="108"/>
      <c r="DM22" s="108"/>
      <c r="DN22" s="108"/>
      <c r="DO22" s="108"/>
      <c r="DP22" s="108"/>
      <c r="DQ22" s="108"/>
      <c r="DR22" s="108"/>
      <c r="DS22" s="108"/>
      <c r="DT22" s="108"/>
      <c r="DU22" s="108"/>
      <c r="DV22" s="108"/>
      <c r="DW22" s="108"/>
      <c r="DX22" s="108"/>
      <c r="DY22" s="108"/>
      <c r="DZ22" s="108"/>
      <c r="EA22" s="108"/>
      <c r="EB22" s="108"/>
      <c r="EC22" s="108"/>
      <c r="ED22" s="108"/>
      <c r="EE22" s="108"/>
      <c r="EF22" s="108"/>
      <c r="EG22" s="108"/>
      <c r="EH22" s="108"/>
      <c r="EI22" s="108"/>
      <c r="EJ22" s="108"/>
      <c r="EK22" s="108"/>
      <c r="EL22" s="108"/>
      <c r="EM22" s="108"/>
      <c r="EN22" s="108"/>
      <c r="EO22" s="108"/>
      <c r="EP22" s="108"/>
      <c r="EQ22" s="108"/>
      <c r="ER22" s="108"/>
      <c r="ES22" s="108"/>
      <c r="ET22" s="108"/>
      <c r="EU22" s="108"/>
      <c r="EV22" s="108"/>
      <c r="EW22" s="108"/>
      <c r="EX22" s="108"/>
      <c r="EY22" s="108"/>
      <c r="EZ22" s="108"/>
      <c r="FA22" s="108"/>
      <c r="FB22" s="108"/>
      <c r="FC22" s="108"/>
      <c r="FD22" s="108"/>
      <c r="FE22" s="108"/>
      <c r="FF22" s="108"/>
      <c r="FG22" s="108"/>
      <c r="FH22" s="108"/>
      <c r="FI22" s="108"/>
      <c r="FJ22" s="108"/>
      <c r="FK22" s="108"/>
      <c r="FL22" s="108"/>
      <c r="FM22" s="108"/>
      <c r="FN22" s="108"/>
      <c r="FO22" s="108"/>
      <c r="FP22" s="108"/>
      <c r="FQ22" s="108"/>
      <c r="FR22" s="108"/>
      <c r="FS22" s="108"/>
      <c r="FT22" s="108"/>
      <c r="FU22" s="108"/>
      <c r="FV22" s="108"/>
      <c r="FW22" s="108"/>
      <c r="FX22" s="108"/>
      <c r="FY22" s="108"/>
      <c r="FZ22" s="108"/>
      <c r="GA22" s="108"/>
      <c r="GB22" s="108"/>
      <c r="GC22" s="108"/>
      <c r="GD22" s="108"/>
      <c r="GE22" s="108"/>
      <c r="GF22" s="108"/>
      <c r="GG22" s="108"/>
      <c r="GH22" s="108"/>
      <c r="GI22" s="108"/>
      <c r="GJ22" s="108"/>
      <c r="GK22" s="108"/>
      <c r="GL22" s="108"/>
      <c r="GM22" s="108"/>
      <c r="GN22" s="108"/>
      <c r="GO22" s="108"/>
      <c r="GP22" s="108"/>
      <c r="GQ22" s="108"/>
      <c r="GR22" s="108"/>
      <c r="GS22" s="108"/>
      <c r="GT22" s="108"/>
      <c r="GU22" s="108"/>
      <c r="GV22" s="108"/>
      <c r="GW22" s="108"/>
      <c r="GX22" s="108"/>
      <c r="GY22" s="108"/>
      <c r="GZ22" s="108"/>
      <c r="HA22" s="108"/>
      <c r="HB22" s="108"/>
      <c r="HC22" s="108"/>
      <c r="HD22" s="108"/>
      <c r="HE22" s="108"/>
      <c r="HF22" s="108"/>
      <c r="HG22" s="108"/>
      <c r="HH22" s="108"/>
      <c r="HI22" s="108"/>
      <c r="HJ22" s="108"/>
      <c r="HK22" s="108"/>
      <c r="HL22" s="108"/>
      <c r="HM22" s="108"/>
      <c r="HN22" s="108"/>
      <c r="HO22" s="108"/>
      <c r="HP22" s="108"/>
      <c r="HQ22" s="108"/>
      <c r="HR22" s="108"/>
      <c r="HS22" s="108"/>
      <c r="HT22" s="108"/>
      <c r="HU22" s="108"/>
      <c r="HV22" s="108"/>
      <c r="HW22" s="108"/>
      <c r="HX22" s="108"/>
      <c r="HY22" s="108"/>
      <c r="HZ22" s="108"/>
      <c r="IA22" s="108"/>
      <c r="IB22" s="108"/>
      <c r="IC22" s="108"/>
      <c r="ID22" s="108"/>
      <c r="IE22" s="108"/>
      <c r="IF22" s="108"/>
      <c r="IG22" s="108"/>
      <c r="IH22" s="108"/>
      <c r="II22" s="108"/>
      <c r="IJ22" s="108"/>
      <c r="IK22" s="108"/>
      <c r="IL22" s="108"/>
      <c r="IM22" s="108"/>
      <c r="IN22" s="108"/>
      <c r="IO22" s="108"/>
      <c r="IP22" s="108"/>
      <c r="IQ22" s="108"/>
      <c r="IR22" s="108"/>
      <c r="IS22" s="108"/>
      <c r="IT22" s="108"/>
      <c r="IU22" s="108"/>
      <c r="IV22" s="108"/>
      <c r="IW22" s="108"/>
    </row>
    <row r="23" spans="1:257" ht="15" thickBot="1" x14ac:dyDescent="0.35">
      <c r="A23" s="158"/>
      <c r="B23" s="113" t="str">
        <f>'Sensitivity analysis'!B182</f>
        <v>Death among preterm SGA infants</v>
      </c>
      <c r="C23" s="170">
        <f>'Sensitivity analysis'!G182</f>
        <v>35338.067205349995</v>
      </c>
      <c r="D23" s="171">
        <f>'Sensitivity analysis'!H182</f>
        <v>36978.803263360431</v>
      </c>
      <c r="E23" s="172">
        <f t="shared" si="0"/>
        <v>1640.736058010436</v>
      </c>
      <c r="F23" s="158"/>
      <c r="G23" s="158"/>
      <c r="H23" s="158"/>
      <c r="I23" s="173" t="s">
        <v>804</v>
      </c>
      <c r="J23" s="170">
        <v>35672.417421928956</v>
      </c>
      <c r="K23" s="175">
        <v>36644.453046781513</v>
      </c>
      <c r="L23" s="172">
        <v>972.03562485255679</v>
      </c>
      <c r="M23" s="158"/>
      <c r="N23" s="158"/>
      <c r="O23" s="108"/>
      <c r="P23" s="108"/>
      <c r="Q23" s="108"/>
      <c r="R23" s="108"/>
      <c r="S23" s="108"/>
      <c r="T23" s="108"/>
      <c r="U23" s="108"/>
      <c r="V23" s="108"/>
      <c r="W23" s="108"/>
      <c r="X23" s="108"/>
      <c r="Y23" s="108"/>
      <c r="Z23" s="108"/>
      <c r="AA23" s="108"/>
      <c r="AB23" s="108"/>
      <c r="AC23" s="108"/>
      <c r="AD23" s="108"/>
      <c r="AE23" s="108"/>
      <c r="AF23" s="108"/>
      <c r="AG23" s="108"/>
      <c r="AH23" s="108"/>
      <c r="AI23" s="108"/>
      <c r="AJ23" s="108"/>
      <c r="AK23" s="108"/>
      <c r="AL23" s="108"/>
      <c r="AM23" s="108"/>
      <c r="AN23" s="108"/>
      <c r="AO23" s="108"/>
      <c r="AP23" s="108"/>
      <c r="AQ23" s="108"/>
      <c r="AR23" s="108"/>
      <c r="AS23" s="108"/>
      <c r="AT23" s="108"/>
      <c r="AU23" s="108"/>
      <c r="AV23" s="108"/>
      <c r="AW23" s="108"/>
      <c r="AX23" s="108"/>
      <c r="AY23" s="108"/>
      <c r="AZ23" s="108"/>
      <c r="BA23" s="108"/>
      <c r="BB23" s="108"/>
      <c r="BC23" s="108"/>
      <c r="BD23" s="108"/>
      <c r="BE23" s="108"/>
      <c r="BF23" s="108"/>
      <c r="BG23" s="108"/>
      <c r="BH23" s="108"/>
      <c r="BI23" s="108"/>
      <c r="BJ23" s="108"/>
      <c r="BK23" s="108"/>
      <c r="BL23" s="108"/>
      <c r="BM23" s="108"/>
      <c r="BN23" s="108"/>
      <c r="BO23" s="108"/>
      <c r="BP23" s="108"/>
      <c r="BQ23" s="108"/>
      <c r="BR23" s="108"/>
      <c r="BS23" s="108"/>
      <c r="BT23" s="108"/>
      <c r="BU23" s="108"/>
      <c r="BV23" s="108"/>
      <c r="BW23" s="108"/>
      <c r="BX23" s="108"/>
      <c r="BY23" s="108"/>
      <c r="BZ23" s="108"/>
      <c r="CA23" s="108"/>
      <c r="CB23" s="108"/>
      <c r="CC23" s="108"/>
      <c r="CD23" s="108"/>
      <c r="CE23" s="108"/>
      <c r="CF23" s="108"/>
      <c r="CG23" s="108"/>
      <c r="CH23" s="108"/>
      <c r="CI23" s="108"/>
      <c r="CJ23" s="108"/>
      <c r="CK23" s="108"/>
      <c r="CL23" s="108"/>
      <c r="CM23" s="108"/>
      <c r="CN23" s="108"/>
      <c r="CO23" s="108"/>
      <c r="CP23" s="108"/>
      <c r="CQ23" s="108"/>
      <c r="CR23" s="108"/>
      <c r="CS23" s="108"/>
      <c r="CT23" s="108"/>
      <c r="CU23" s="108"/>
      <c r="CV23" s="108"/>
      <c r="CW23" s="108"/>
      <c r="CX23" s="108"/>
      <c r="CY23" s="108"/>
      <c r="CZ23" s="108"/>
      <c r="DA23" s="108"/>
      <c r="DB23" s="108"/>
      <c r="DC23" s="108"/>
      <c r="DD23" s="108"/>
      <c r="DE23" s="108"/>
      <c r="DF23" s="108"/>
      <c r="DG23" s="108"/>
      <c r="DH23" s="108"/>
      <c r="DI23" s="108"/>
      <c r="DJ23" s="108"/>
      <c r="DK23" s="108"/>
      <c r="DL23" s="108"/>
      <c r="DM23" s="108"/>
      <c r="DN23" s="108"/>
      <c r="DO23" s="108"/>
      <c r="DP23" s="108"/>
      <c r="DQ23" s="108"/>
      <c r="DR23" s="108"/>
      <c r="DS23" s="108"/>
      <c r="DT23" s="108"/>
      <c r="DU23" s="108"/>
      <c r="DV23" s="108"/>
      <c r="DW23" s="108"/>
      <c r="DX23" s="108"/>
      <c r="DY23" s="108"/>
      <c r="DZ23" s="108"/>
      <c r="EA23" s="108"/>
      <c r="EB23" s="108"/>
      <c r="EC23" s="108"/>
      <c r="ED23" s="108"/>
      <c r="EE23" s="108"/>
      <c r="EF23" s="108"/>
      <c r="EG23" s="108"/>
      <c r="EH23" s="108"/>
      <c r="EI23" s="108"/>
      <c r="EJ23" s="108"/>
      <c r="EK23" s="108"/>
      <c r="EL23" s="108"/>
      <c r="EM23" s="108"/>
      <c r="EN23" s="108"/>
      <c r="EO23" s="108"/>
      <c r="EP23" s="108"/>
      <c r="EQ23" s="108"/>
      <c r="ER23" s="108"/>
      <c r="ES23" s="108"/>
      <c r="ET23" s="108"/>
      <c r="EU23" s="108"/>
      <c r="EV23" s="108"/>
      <c r="EW23" s="108"/>
      <c r="EX23" s="108"/>
      <c r="EY23" s="108"/>
      <c r="EZ23" s="108"/>
      <c r="FA23" s="108"/>
      <c r="FB23" s="108"/>
      <c r="FC23" s="108"/>
      <c r="FD23" s="108"/>
      <c r="FE23" s="108"/>
      <c r="FF23" s="108"/>
      <c r="FG23" s="108"/>
      <c r="FH23" s="108"/>
      <c r="FI23" s="108"/>
      <c r="FJ23" s="108"/>
      <c r="FK23" s="108"/>
      <c r="FL23" s="108"/>
      <c r="FM23" s="108"/>
      <c r="FN23" s="108"/>
      <c r="FO23" s="108"/>
      <c r="FP23" s="108"/>
      <c r="FQ23" s="108"/>
      <c r="FR23" s="108"/>
      <c r="FS23" s="108"/>
      <c r="FT23" s="108"/>
      <c r="FU23" s="108"/>
      <c r="FV23" s="108"/>
      <c r="FW23" s="108"/>
      <c r="FX23" s="108"/>
      <c r="FY23" s="108"/>
      <c r="FZ23" s="108"/>
      <c r="GA23" s="108"/>
      <c r="GB23" s="108"/>
      <c r="GC23" s="108"/>
      <c r="GD23" s="108"/>
      <c r="GE23" s="108"/>
      <c r="GF23" s="108"/>
      <c r="GG23" s="108"/>
      <c r="GH23" s="108"/>
      <c r="GI23" s="108"/>
      <c r="GJ23" s="108"/>
      <c r="GK23" s="108"/>
      <c r="GL23" s="108"/>
      <c r="GM23" s="108"/>
      <c r="GN23" s="108"/>
      <c r="GO23" s="108"/>
      <c r="GP23" s="108"/>
      <c r="GQ23" s="108"/>
      <c r="GR23" s="108"/>
      <c r="GS23" s="108"/>
      <c r="GT23" s="108"/>
      <c r="GU23" s="108"/>
      <c r="GV23" s="108"/>
      <c r="GW23" s="108"/>
      <c r="GX23" s="108"/>
      <c r="GY23" s="108"/>
      <c r="GZ23" s="108"/>
      <c r="HA23" s="108"/>
      <c r="HB23" s="108"/>
      <c r="HC23" s="108"/>
      <c r="HD23" s="108"/>
      <c r="HE23" s="108"/>
      <c r="HF23" s="108"/>
      <c r="HG23" s="108"/>
      <c r="HH23" s="108"/>
      <c r="HI23" s="108"/>
      <c r="HJ23" s="108"/>
      <c r="HK23" s="108"/>
      <c r="HL23" s="108"/>
      <c r="HM23" s="108"/>
      <c r="HN23" s="108"/>
      <c r="HO23" s="108"/>
      <c r="HP23" s="108"/>
      <c r="HQ23" s="108"/>
      <c r="HR23" s="108"/>
      <c r="HS23" s="108"/>
      <c r="HT23" s="108"/>
      <c r="HU23" s="108"/>
      <c r="HV23" s="108"/>
      <c r="HW23" s="108"/>
      <c r="HX23" s="108"/>
      <c r="HY23" s="108"/>
      <c r="HZ23" s="108"/>
      <c r="IA23" s="108"/>
      <c r="IB23" s="108"/>
      <c r="IC23" s="108"/>
      <c r="ID23" s="108"/>
      <c r="IE23" s="108"/>
      <c r="IF23" s="108"/>
      <c r="IG23" s="108"/>
      <c r="IH23" s="108"/>
      <c r="II23" s="108"/>
      <c r="IJ23" s="108"/>
      <c r="IK23" s="108"/>
      <c r="IL23" s="108"/>
      <c r="IM23" s="108"/>
      <c r="IN23" s="108"/>
      <c r="IO23" s="108"/>
      <c r="IP23" s="108"/>
      <c r="IQ23" s="108"/>
      <c r="IR23" s="108"/>
      <c r="IS23" s="108"/>
      <c r="IT23" s="108"/>
      <c r="IU23" s="108"/>
      <c r="IV23" s="108"/>
      <c r="IW23" s="108"/>
    </row>
    <row r="24" spans="1:257" ht="15" thickBot="1" x14ac:dyDescent="0.35">
      <c r="A24" s="158"/>
      <c r="B24" s="113" t="str">
        <f>'Sensitivity analysis'!B183</f>
        <v>Death among term SGA infants</v>
      </c>
      <c r="C24" s="170">
        <f>'Sensitivity analysis'!G183</f>
        <v>35652.849750403897</v>
      </c>
      <c r="D24" s="171">
        <f>'Sensitivity analysis'!H183</f>
        <v>36664.020718306609</v>
      </c>
      <c r="E24" s="172">
        <f t="shared" si="0"/>
        <v>1011.1709679027117</v>
      </c>
      <c r="F24" s="158"/>
      <c r="G24" s="158"/>
      <c r="H24" s="158"/>
      <c r="I24" s="173" t="s">
        <v>812</v>
      </c>
      <c r="J24" s="170">
        <v>35734.730543923462</v>
      </c>
      <c r="K24" s="175">
        <v>36553.892945424843</v>
      </c>
      <c r="L24" s="172">
        <v>819.16240150138037</v>
      </c>
      <c r="M24" s="158"/>
      <c r="N24" s="158"/>
      <c r="O24" s="108"/>
      <c r="P24" s="108"/>
      <c r="Q24" s="108"/>
      <c r="R24" s="108"/>
      <c r="S24" s="108"/>
      <c r="T24" s="108"/>
      <c r="U24" s="108"/>
      <c r="V24" s="108"/>
      <c r="W24" s="108"/>
      <c r="X24" s="108"/>
      <c r="Y24" s="108"/>
      <c r="Z24" s="108"/>
      <c r="AA24" s="108"/>
      <c r="AB24" s="108"/>
      <c r="AC24" s="108"/>
      <c r="AD24" s="108"/>
      <c r="AE24" s="108"/>
      <c r="AF24" s="108"/>
      <c r="AG24" s="108"/>
      <c r="AH24" s="108"/>
      <c r="AI24" s="108"/>
      <c r="AJ24" s="108"/>
      <c r="AK24" s="108"/>
      <c r="AL24" s="108"/>
      <c r="AM24" s="108"/>
      <c r="AN24" s="108"/>
      <c r="AO24" s="108"/>
      <c r="AP24" s="108"/>
      <c r="AQ24" s="108"/>
      <c r="AR24" s="108"/>
      <c r="AS24" s="108"/>
      <c r="AT24" s="108"/>
      <c r="AU24" s="108"/>
      <c r="AV24" s="108"/>
      <c r="AW24" s="108"/>
      <c r="AX24" s="108"/>
      <c r="AY24" s="108"/>
      <c r="AZ24" s="108"/>
      <c r="BA24" s="108"/>
      <c r="BB24" s="108"/>
      <c r="BC24" s="108"/>
      <c r="BD24" s="108"/>
      <c r="BE24" s="108"/>
      <c r="BF24" s="108"/>
      <c r="BG24" s="108"/>
      <c r="BH24" s="108"/>
      <c r="BI24" s="108"/>
      <c r="BJ24" s="108"/>
      <c r="BK24" s="108"/>
      <c r="BL24" s="108"/>
      <c r="BM24" s="108"/>
      <c r="BN24" s="108"/>
      <c r="BO24" s="108"/>
      <c r="BP24" s="108"/>
      <c r="BQ24" s="108"/>
      <c r="BR24" s="108"/>
      <c r="BS24" s="108"/>
      <c r="BT24" s="108"/>
      <c r="BU24" s="108"/>
      <c r="BV24" s="108"/>
      <c r="BW24" s="108"/>
      <c r="BX24" s="108"/>
      <c r="BY24" s="108"/>
      <c r="BZ24" s="108"/>
      <c r="CA24" s="108"/>
      <c r="CB24" s="108"/>
      <c r="CC24" s="108"/>
      <c r="CD24" s="108"/>
      <c r="CE24" s="108"/>
      <c r="CF24" s="108"/>
      <c r="CG24" s="108"/>
      <c r="CH24" s="108"/>
      <c r="CI24" s="108"/>
      <c r="CJ24" s="108"/>
      <c r="CK24" s="108"/>
      <c r="CL24" s="108"/>
      <c r="CM24" s="108"/>
      <c r="CN24" s="108"/>
      <c r="CO24" s="108"/>
      <c r="CP24" s="108"/>
      <c r="CQ24" s="108"/>
      <c r="CR24" s="108"/>
      <c r="CS24" s="108"/>
      <c r="CT24" s="108"/>
      <c r="CU24" s="108"/>
      <c r="CV24" s="108"/>
      <c r="CW24" s="108"/>
      <c r="CX24" s="108"/>
      <c r="CY24" s="108"/>
      <c r="CZ24" s="108"/>
      <c r="DA24" s="108"/>
      <c r="DB24" s="108"/>
      <c r="DC24" s="108"/>
      <c r="DD24" s="108"/>
      <c r="DE24" s="108"/>
      <c r="DF24" s="108"/>
      <c r="DG24" s="108"/>
      <c r="DH24" s="108"/>
      <c r="DI24" s="108"/>
      <c r="DJ24" s="108"/>
      <c r="DK24" s="108"/>
      <c r="DL24" s="108"/>
      <c r="DM24" s="108"/>
      <c r="DN24" s="108"/>
      <c r="DO24" s="108"/>
      <c r="DP24" s="108"/>
      <c r="DQ24" s="108"/>
      <c r="DR24" s="108"/>
      <c r="DS24" s="108"/>
      <c r="DT24" s="108"/>
      <c r="DU24" s="108"/>
      <c r="DV24" s="108"/>
      <c r="DW24" s="108"/>
      <c r="DX24" s="108"/>
      <c r="DY24" s="108"/>
      <c r="DZ24" s="108"/>
      <c r="EA24" s="108"/>
      <c r="EB24" s="108"/>
      <c r="EC24" s="108"/>
      <c r="ED24" s="108"/>
      <c r="EE24" s="108"/>
      <c r="EF24" s="108"/>
      <c r="EG24" s="108"/>
      <c r="EH24" s="108"/>
      <c r="EI24" s="108"/>
      <c r="EJ24" s="108"/>
      <c r="EK24" s="108"/>
      <c r="EL24" s="108"/>
      <c r="EM24" s="108"/>
      <c r="EN24" s="108"/>
      <c r="EO24" s="108"/>
      <c r="EP24" s="108"/>
      <c r="EQ24" s="108"/>
      <c r="ER24" s="108"/>
      <c r="ES24" s="108"/>
      <c r="ET24" s="108"/>
      <c r="EU24" s="108"/>
      <c r="EV24" s="108"/>
      <c r="EW24" s="108"/>
      <c r="EX24" s="108"/>
      <c r="EY24" s="108"/>
      <c r="EZ24" s="108"/>
      <c r="FA24" s="108"/>
      <c r="FB24" s="108"/>
      <c r="FC24" s="108"/>
      <c r="FD24" s="108"/>
      <c r="FE24" s="108"/>
      <c r="FF24" s="108"/>
      <c r="FG24" s="108"/>
      <c r="FH24" s="108"/>
      <c r="FI24" s="108"/>
      <c r="FJ24" s="108"/>
      <c r="FK24" s="108"/>
      <c r="FL24" s="108"/>
      <c r="FM24" s="108"/>
      <c r="FN24" s="108"/>
      <c r="FO24" s="108"/>
      <c r="FP24" s="108"/>
      <c r="FQ24" s="108"/>
      <c r="FR24" s="108"/>
      <c r="FS24" s="108"/>
      <c r="FT24" s="108"/>
      <c r="FU24" s="108"/>
      <c r="FV24" s="108"/>
      <c r="FW24" s="108"/>
      <c r="FX24" s="108"/>
      <c r="FY24" s="108"/>
      <c r="FZ24" s="108"/>
      <c r="GA24" s="108"/>
      <c r="GB24" s="108"/>
      <c r="GC24" s="108"/>
      <c r="GD24" s="108"/>
      <c r="GE24" s="108"/>
      <c r="GF24" s="108"/>
      <c r="GG24" s="108"/>
      <c r="GH24" s="108"/>
      <c r="GI24" s="108"/>
      <c r="GJ24" s="108"/>
      <c r="GK24" s="108"/>
      <c r="GL24" s="108"/>
      <c r="GM24" s="108"/>
      <c r="GN24" s="108"/>
      <c r="GO24" s="108"/>
      <c r="GP24" s="108"/>
      <c r="GQ24" s="108"/>
      <c r="GR24" s="108"/>
      <c r="GS24" s="108"/>
      <c r="GT24" s="108"/>
      <c r="GU24" s="108"/>
      <c r="GV24" s="108"/>
      <c r="GW24" s="108"/>
      <c r="GX24" s="108"/>
      <c r="GY24" s="108"/>
      <c r="GZ24" s="108"/>
      <c r="HA24" s="108"/>
      <c r="HB24" s="108"/>
      <c r="HC24" s="108"/>
      <c r="HD24" s="108"/>
      <c r="HE24" s="108"/>
      <c r="HF24" s="108"/>
      <c r="HG24" s="108"/>
      <c r="HH24" s="108"/>
      <c r="HI24" s="108"/>
      <c r="HJ24" s="108"/>
      <c r="HK24" s="108"/>
      <c r="HL24" s="108"/>
      <c r="HM24" s="108"/>
      <c r="HN24" s="108"/>
      <c r="HO24" s="108"/>
      <c r="HP24" s="108"/>
      <c r="HQ24" s="108"/>
      <c r="HR24" s="108"/>
      <c r="HS24" s="108"/>
      <c r="HT24" s="108"/>
      <c r="HU24" s="108"/>
      <c r="HV24" s="108"/>
      <c r="HW24" s="108"/>
      <c r="HX24" s="108"/>
      <c r="HY24" s="108"/>
      <c r="HZ24" s="108"/>
      <c r="IA24" s="108"/>
      <c r="IB24" s="108"/>
      <c r="IC24" s="108"/>
      <c r="ID24" s="108"/>
      <c r="IE24" s="108"/>
      <c r="IF24" s="108"/>
      <c r="IG24" s="108"/>
      <c r="IH24" s="108"/>
      <c r="II24" s="108"/>
      <c r="IJ24" s="108"/>
      <c r="IK24" s="108"/>
      <c r="IL24" s="108"/>
      <c r="IM24" s="108"/>
      <c r="IN24" s="108"/>
      <c r="IO24" s="108"/>
      <c r="IP24" s="108"/>
      <c r="IQ24" s="108"/>
      <c r="IR24" s="108"/>
      <c r="IS24" s="108"/>
      <c r="IT24" s="108"/>
      <c r="IU24" s="108"/>
      <c r="IV24" s="108"/>
      <c r="IW24" s="108"/>
    </row>
    <row r="25" spans="1:257" ht="15" thickBot="1" x14ac:dyDescent="0.35">
      <c r="A25" s="158"/>
      <c r="B25" s="113" t="str">
        <f>'Sensitivity analysis'!B184</f>
        <v>Death among preterm AGA infants</v>
      </c>
      <c r="C25" s="170">
        <f>'Sensitivity analysis'!G184</f>
        <v>35874.512406173963</v>
      </c>
      <c r="D25" s="171">
        <f>'Sensitivity analysis'!H184</f>
        <v>36442.358062536441</v>
      </c>
      <c r="E25" s="172">
        <f t="shared" si="0"/>
        <v>567.84565636247862</v>
      </c>
      <c r="F25" s="158"/>
      <c r="G25" s="158"/>
      <c r="H25" s="158"/>
      <c r="I25" s="173" t="s">
        <v>805</v>
      </c>
      <c r="J25" s="170">
        <v>36531.577270489644</v>
      </c>
      <c r="K25" s="175">
        <v>35810.169333963211</v>
      </c>
      <c r="L25" s="172">
        <v>721.40793652643333</v>
      </c>
      <c r="M25" s="158"/>
      <c r="N25" s="158"/>
      <c r="O25" s="108"/>
      <c r="P25" s="108"/>
      <c r="Q25" s="108"/>
      <c r="R25" s="108"/>
      <c r="S25" s="108"/>
      <c r="T25" s="108"/>
      <c r="U25" s="108"/>
      <c r="V25" s="108"/>
      <c r="W25" s="108"/>
      <c r="X25" s="108"/>
      <c r="Y25" s="108"/>
      <c r="Z25" s="108"/>
      <c r="AA25" s="108"/>
      <c r="AB25" s="108"/>
      <c r="AC25" s="108"/>
      <c r="AD25" s="108"/>
      <c r="AE25" s="108"/>
      <c r="AF25" s="108"/>
      <c r="AG25" s="108"/>
      <c r="AH25" s="108"/>
      <c r="AI25" s="108"/>
      <c r="AJ25" s="108"/>
      <c r="AK25" s="108"/>
      <c r="AL25" s="108"/>
      <c r="AM25" s="108"/>
      <c r="AN25" s="108"/>
      <c r="AO25" s="108"/>
      <c r="AP25" s="108"/>
      <c r="AQ25" s="108"/>
      <c r="AR25" s="108"/>
      <c r="AS25" s="108"/>
      <c r="AT25" s="108"/>
      <c r="AU25" s="108"/>
      <c r="AV25" s="108"/>
      <c r="AW25" s="108"/>
      <c r="AX25" s="108"/>
      <c r="AY25" s="108"/>
      <c r="AZ25" s="108"/>
      <c r="BA25" s="108"/>
      <c r="BB25" s="108"/>
      <c r="BC25" s="108"/>
      <c r="BD25" s="108"/>
      <c r="BE25" s="108"/>
      <c r="BF25" s="108"/>
      <c r="BG25" s="108"/>
      <c r="BH25" s="108"/>
      <c r="BI25" s="108"/>
      <c r="BJ25" s="108"/>
      <c r="BK25" s="108"/>
      <c r="BL25" s="108"/>
      <c r="BM25" s="108"/>
      <c r="BN25" s="108"/>
      <c r="BO25" s="108"/>
      <c r="BP25" s="108"/>
      <c r="BQ25" s="108"/>
      <c r="BR25" s="108"/>
      <c r="BS25" s="108"/>
      <c r="BT25" s="108"/>
      <c r="BU25" s="108"/>
      <c r="BV25" s="108"/>
      <c r="BW25" s="108"/>
      <c r="BX25" s="108"/>
      <c r="BY25" s="108"/>
      <c r="BZ25" s="108"/>
      <c r="CA25" s="108"/>
      <c r="CB25" s="108"/>
      <c r="CC25" s="108"/>
      <c r="CD25" s="108"/>
      <c r="CE25" s="108"/>
      <c r="CF25" s="108"/>
      <c r="CG25" s="108"/>
      <c r="CH25" s="108"/>
      <c r="CI25" s="108"/>
      <c r="CJ25" s="108"/>
      <c r="CK25" s="108"/>
      <c r="CL25" s="108"/>
      <c r="CM25" s="108"/>
      <c r="CN25" s="108"/>
      <c r="CO25" s="108"/>
      <c r="CP25" s="108"/>
      <c r="CQ25" s="108"/>
      <c r="CR25" s="108"/>
      <c r="CS25" s="108"/>
      <c r="CT25" s="108"/>
      <c r="CU25" s="108"/>
      <c r="CV25" s="108"/>
      <c r="CW25" s="108"/>
      <c r="CX25" s="108"/>
      <c r="CY25" s="108"/>
      <c r="CZ25" s="108"/>
      <c r="DA25" s="108"/>
      <c r="DB25" s="108"/>
      <c r="DC25" s="108"/>
      <c r="DD25" s="108"/>
      <c r="DE25" s="108"/>
      <c r="DF25" s="108"/>
      <c r="DG25" s="108"/>
      <c r="DH25" s="108"/>
      <c r="DI25" s="108"/>
      <c r="DJ25" s="108"/>
      <c r="DK25" s="108"/>
      <c r="DL25" s="108"/>
      <c r="DM25" s="108"/>
      <c r="DN25" s="108"/>
      <c r="DO25" s="108"/>
      <c r="DP25" s="108"/>
      <c r="DQ25" s="108"/>
      <c r="DR25" s="108"/>
      <c r="DS25" s="108"/>
      <c r="DT25" s="108"/>
      <c r="DU25" s="108"/>
      <c r="DV25" s="108"/>
      <c r="DW25" s="108"/>
      <c r="DX25" s="108"/>
      <c r="DY25" s="108"/>
      <c r="DZ25" s="108"/>
      <c r="EA25" s="108"/>
      <c r="EB25" s="108"/>
      <c r="EC25" s="108"/>
      <c r="ED25" s="108"/>
      <c r="EE25" s="108"/>
      <c r="EF25" s="108"/>
      <c r="EG25" s="108"/>
      <c r="EH25" s="108"/>
      <c r="EI25" s="108"/>
      <c r="EJ25" s="108"/>
      <c r="EK25" s="108"/>
      <c r="EL25" s="108"/>
      <c r="EM25" s="108"/>
      <c r="EN25" s="108"/>
      <c r="EO25" s="108"/>
      <c r="EP25" s="108"/>
      <c r="EQ25" s="108"/>
      <c r="ER25" s="108"/>
      <c r="ES25" s="108"/>
      <c r="ET25" s="108"/>
      <c r="EU25" s="108"/>
      <c r="EV25" s="108"/>
      <c r="EW25" s="108"/>
      <c r="EX25" s="108"/>
      <c r="EY25" s="108"/>
      <c r="EZ25" s="108"/>
      <c r="FA25" s="108"/>
      <c r="FB25" s="108"/>
      <c r="FC25" s="108"/>
      <c r="FD25" s="108"/>
      <c r="FE25" s="108"/>
      <c r="FF25" s="108"/>
      <c r="FG25" s="108"/>
      <c r="FH25" s="108"/>
      <c r="FI25" s="108"/>
      <c r="FJ25" s="108"/>
      <c r="FK25" s="108"/>
      <c r="FL25" s="108"/>
      <c r="FM25" s="108"/>
      <c r="FN25" s="108"/>
      <c r="FO25" s="108"/>
      <c r="FP25" s="108"/>
      <c r="FQ25" s="108"/>
      <c r="FR25" s="108"/>
      <c r="FS25" s="108"/>
      <c r="FT25" s="108"/>
      <c r="FU25" s="108"/>
      <c r="FV25" s="108"/>
      <c r="FW25" s="108"/>
      <c r="FX25" s="108"/>
      <c r="FY25" s="108"/>
      <c r="FZ25" s="108"/>
      <c r="GA25" s="108"/>
      <c r="GB25" s="108"/>
      <c r="GC25" s="108"/>
      <c r="GD25" s="108"/>
      <c r="GE25" s="108"/>
      <c r="GF25" s="108"/>
      <c r="GG25" s="108"/>
      <c r="GH25" s="108"/>
      <c r="GI25" s="108"/>
      <c r="GJ25" s="108"/>
      <c r="GK25" s="108"/>
      <c r="GL25" s="108"/>
      <c r="GM25" s="108"/>
      <c r="GN25" s="108"/>
      <c r="GO25" s="108"/>
      <c r="GP25" s="108"/>
      <c r="GQ25" s="108"/>
      <c r="GR25" s="108"/>
      <c r="GS25" s="108"/>
      <c r="GT25" s="108"/>
      <c r="GU25" s="108"/>
      <c r="GV25" s="108"/>
      <c r="GW25" s="108"/>
      <c r="GX25" s="108"/>
      <c r="GY25" s="108"/>
      <c r="GZ25" s="108"/>
      <c r="HA25" s="108"/>
      <c r="HB25" s="108"/>
      <c r="HC25" s="108"/>
      <c r="HD25" s="108"/>
      <c r="HE25" s="108"/>
      <c r="HF25" s="108"/>
      <c r="HG25" s="108"/>
      <c r="HH25" s="108"/>
      <c r="HI25" s="108"/>
      <c r="HJ25" s="108"/>
      <c r="HK25" s="108"/>
      <c r="HL25" s="108"/>
      <c r="HM25" s="108"/>
      <c r="HN25" s="108"/>
      <c r="HO25" s="108"/>
      <c r="HP25" s="108"/>
      <c r="HQ25" s="108"/>
      <c r="HR25" s="108"/>
      <c r="HS25" s="108"/>
      <c r="HT25" s="108"/>
      <c r="HU25" s="108"/>
      <c r="HV25" s="108"/>
      <c r="HW25" s="108"/>
      <c r="HX25" s="108"/>
      <c r="HY25" s="108"/>
      <c r="HZ25" s="108"/>
      <c r="IA25" s="108"/>
      <c r="IB25" s="108"/>
      <c r="IC25" s="108"/>
      <c r="ID25" s="108"/>
      <c r="IE25" s="108"/>
      <c r="IF25" s="108"/>
      <c r="IG25" s="108"/>
      <c r="IH25" s="108"/>
      <c r="II25" s="108"/>
      <c r="IJ25" s="108"/>
      <c r="IK25" s="108"/>
      <c r="IL25" s="108"/>
      <c r="IM25" s="108"/>
      <c r="IN25" s="108"/>
      <c r="IO25" s="108"/>
      <c r="IP25" s="108"/>
      <c r="IQ25" s="108"/>
      <c r="IR25" s="108"/>
      <c r="IS25" s="108"/>
      <c r="IT25" s="108"/>
      <c r="IU25" s="108"/>
      <c r="IV25" s="108"/>
      <c r="IW25" s="108"/>
    </row>
    <row r="26" spans="1:257" ht="15" thickBot="1" x14ac:dyDescent="0.35">
      <c r="A26" s="158"/>
      <c r="B26" s="113" t="str">
        <f>'Sensitivity analysis'!B185</f>
        <v>Death among term AGA infants</v>
      </c>
      <c r="C26" s="170">
        <f>'Sensitivity analysis'!G185</f>
        <v>36321.95541198815</v>
      </c>
      <c r="D26" s="171">
        <f>'Sensitivity analysis'!H185</f>
        <v>35994.915056722319</v>
      </c>
      <c r="E26" s="172">
        <f t="shared" si="0"/>
        <v>327.04035526583175</v>
      </c>
      <c r="F26" s="158"/>
      <c r="G26" s="158"/>
      <c r="H26" s="158"/>
      <c r="I26" s="173" t="s">
        <v>800</v>
      </c>
      <c r="J26" s="170">
        <v>35795.991647443196</v>
      </c>
      <c r="K26" s="175">
        <v>36496.715915473033</v>
      </c>
      <c r="L26" s="172">
        <v>700.72426802983682</v>
      </c>
      <c r="M26" s="158"/>
      <c r="N26" s="158"/>
      <c r="O26" s="108"/>
      <c r="P26" s="108"/>
      <c r="Q26" s="108"/>
      <c r="R26" s="108"/>
      <c r="S26" s="108"/>
      <c r="T26" s="108"/>
      <c r="U26" s="108"/>
      <c r="V26" s="108"/>
      <c r="W26" s="108"/>
      <c r="X26" s="108"/>
      <c r="Y26" s="108"/>
      <c r="Z26" s="108"/>
      <c r="AA26" s="108"/>
      <c r="AB26" s="108"/>
      <c r="AC26" s="108"/>
      <c r="AD26" s="108"/>
      <c r="AE26" s="108"/>
      <c r="AF26" s="108"/>
      <c r="AG26" s="108"/>
      <c r="AH26" s="108"/>
      <c r="AI26" s="108"/>
      <c r="AJ26" s="108"/>
      <c r="AK26" s="108"/>
      <c r="AL26" s="108"/>
      <c r="AM26" s="108"/>
      <c r="AN26" s="108"/>
      <c r="AO26" s="108"/>
      <c r="AP26" s="108"/>
      <c r="AQ26" s="108"/>
      <c r="AR26" s="108"/>
      <c r="AS26" s="108"/>
      <c r="AT26" s="108"/>
      <c r="AU26" s="108"/>
      <c r="AV26" s="108"/>
      <c r="AW26" s="108"/>
      <c r="AX26" s="108"/>
      <c r="AY26" s="108"/>
      <c r="AZ26" s="108"/>
      <c r="BA26" s="108"/>
      <c r="BB26" s="108"/>
      <c r="BC26" s="108"/>
      <c r="BD26" s="108"/>
      <c r="BE26" s="108"/>
      <c r="BF26" s="108"/>
      <c r="BG26" s="108"/>
      <c r="BH26" s="108"/>
      <c r="BI26" s="108"/>
      <c r="BJ26" s="108"/>
      <c r="BK26" s="108"/>
      <c r="BL26" s="108"/>
      <c r="BM26" s="108"/>
      <c r="BN26" s="108"/>
      <c r="BO26" s="108"/>
      <c r="BP26" s="108"/>
      <c r="BQ26" s="108"/>
      <c r="BR26" s="108"/>
      <c r="BS26" s="108"/>
      <c r="BT26" s="108"/>
      <c r="BU26" s="108"/>
      <c r="BV26" s="108"/>
      <c r="BW26" s="108"/>
      <c r="BX26" s="108"/>
      <c r="BY26" s="108"/>
      <c r="BZ26" s="108"/>
      <c r="CA26" s="108"/>
      <c r="CB26" s="108"/>
      <c r="CC26" s="108"/>
      <c r="CD26" s="108"/>
      <c r="CE26" s="108"/>
      <c r="CF26" s="108"/>
      <c r="CG26" s="108"/>
      <c r="CH26" s="108"/>
      <c r="CI26" s="108"/>
      <c r="CJ26" s="108"/>
      <c r="CK26" s="108"/>
      <c r="CL26" s="108"/>
      <c r="CM26" s="108"/>
      <c r="CN26" s="108"/>
      <c r="CO26" s="108"/>
      <c r="CP26" s="108"/>
      <c r="CQ26" s="108"/>
      <c r="CR26" s="108"/>
      <c r="CS26" s="108"/>
      <c r="CT26" s="108"/>
      <c r="CU26" s="108"/>
      <c r="CV26" s="108"/>
      <c r="CW26" s="108"/>
      <c r="CX26" s="108"/>
      <c r="CY26" s="108"/>
      <c r="CZ26" s="108"/>
      <c r="DA26" s="108"/>
      <c r="DB26" s="108"/>
      <c r="DC26" s="108"/>
      <c r="DD26" s="108"/>
      <c r="DE26" s="108"/>
      <c r="DF26" s="108"/>
      <c r="DG26" s="108"/>
      <c r="DH26" s="108"/>
      <c r="DI26" s="108"/>
      <c r="DJ26" s="108"/>
      <c r="DK26" s="108"/>
      <c r="DL26" s="108"/>
      <c r="DM26" s="108"/>
      <c r="DN26" s="108"/>
      <c r="DO26" s="108"/>
      <c r="DP26" s="108"/>
      <c r="DQ26" s="108"/>
      <c r="DR26" s="108"/>
      <c r="DS26" s="108"/>
      <c r="DT26" s="108"/>
      <c r="DU26" s="108"/>
      <c r="DV26" s="108"/>
      <c r="DW26" s="108"/>
      <c r="DX26" s="108"/>
      <c r="DY26" s="108"/>
      <c r="DZ26" s="108"/>
      <c r="EA26" s="108"/>
      <c r="EB26" s="108"/>
      <c r="EC26" s="108"/>
      <c r="ED26" s="108"/>
      <c r="EE26" s="108"/>
      <c r="EF26" s="108"/>
      <c r="EG26" s="108"/>
      <c r="EH26" s="108"/>
      <c r="EI26" s="108"/>
      <c r="EJ26" s="108"/>
      <c r="EK26" s="108"/>
      <c r="EL26" s="108"/>
      <c r="EM26" s="108"/>
      <c r="EN26" s="108"/>
      <c r="EO26" s="108"/>
      <c r="EP26" s="108"/>
      <c r="EQ26" s="108"/>
      <c r="ER26" s="108"/>
      <c r="ES26" s="108"/>
      <c r="ET26" s="108"/>
      <c r="EU26" s="108"/>
      <c r="EV26" s="108"/>
      <c r="EW26" s="108"/>
      <c r="EX26" s="108"/>
      <c r="EY26" s="108"/>
      <c r="EZ26" s="108"/>
      <c r="FA26" s="108"/>
      <c r="FB26" s="108"/>
      <c r="FC26" s="108"/>
      <c r="FD26" s="108"/>
      <c r="FE26" s="108"/>
      <c r="FF26" s="108"/>
      <c r="FG26" s="108"/>
      <c r="FH26" s="108"/>
      <c r="FI26" s="108"/>
      <c r="FJ26" s="108"/>
      <c r="FK26" s="108"/>
      <c r="FL26" s="108"/>
      <c r="FM26" s="108"/>
      <c r="FN26" s="108"/>
      <c r="FO26" s="108"/>
      <c r="FP26" s="108"/>
      <c r="FQ26" s="108"/>
      <c r="FR26" s="108"/>
      <c r="FS26" s="108"/>
      <c r="FT26" s="108"/>
      <c r="FU26" s="108"/>
      <c r="FV26" s="108"/>
      <c r="FW26" s="108"/>
      <c r="FX26" s="108"/>
      <c r="FY26" s="108"/>
      <c r="FZ26" s="108"/>
      <c r="GA26" s="108"/>
      <c r="GB26" s="108"/>
      <c r="GC26" s="108"/>
      <c r="GD26" s="108"/>
      <c r="GE26" s="108"/>
      <c r="GF26" s="108"/>
      <c r="GG26" s="108"/>
      <c r="GH26" s="108"/>
      <c r="GI26" s="108"/>
      <c r="GJ26" s="108"/>
      <c r="GK26" s="108"/>
      <c r="GL26" s="108"/>
      <c r="GM26" s="108"/>
      <c r="GN26" s="108"/>
      <c r="GO26" s="108"/>
      <c r="GP26" s="108"/>
      <c r="GQ26" s="108"/>
      <c r="GR26" s="108"/>
      <c r="GS26" s="108"/>
      <c r="GT26" s="108"/>
      <c r="GU26" s="108"/>
      <c r="GV26" s="108"/>
      <c r="GW26" s="108"/>
      <c r="GX26" s="108"/>
      <c r="GY26" s="108"/>
      <c r="GZ26" s="108"/>
      <c r="HA26" s="108"/>
      <c r="HB26" s="108"/>
      <c r="HC26" s="108"/>
      <c r="HD26" s="108"/>
      <c r="HE26" s="108"/>
      <c r="HF26" s="108"/>
      <c r="HG26" s="108"/>
      <c r="HH26" s="108"/>
      <c r="HI26" s="108"/>
      <c r="HJ26" s="108"/>
      <c r="HK26" s="108"/>
      <c r="HL26" s="108"/>
      <c r="HM26" s="108"/>
      <c r="HN26" s="108"/>
      <c r="HO26" s="108"/>
      <c r="HP26" s="108"/>
      <c r="HQ26" s="108"/>
      <c r="HR26" s="108"/>
      <c r="HS26" s="108"/>
      <c r="HT26" s="108"/>
      <c r="HU26" s="108"/>
      <c r="HV26" s="108"/>
      <c r="HW26" s="108"/>
      <c r="HX26" s="108"/>
      <c r="HY26" s="108"/>
      <c r="HZ26" s="108"/>
      <c r="IA26" s="108"/>
      <c r="IB26" s="108"/>
      <c r="IC26" s="108"/>
      <c r="ID26" s="108"/>
      <c r="IE26" s="108"/>
      <c r="IF26" s="108"/>
      <c r="IG26" s="108"/>
      <c r="IH26" s="108"/>
      <c r="II26" s="108"/>
      <c r="IJ26" s="108"/>
      <c r="IK26" s="108"/>
      <c r="IL26" s="108"/>
      <c r="IM26" s="108"/>
      <c r="IN26" s="108"/>
      <c r="IO26" s="108"/>
      <c r="IP26" s="108"/>
      <c r="IQ26" s="108"/>
      <c r="IR26" s="108"/>
      <c r="IS26" s="108"/>
      <c r="IT26" s="108"/>
      <c r="IU26" s="108"/>
      <c r="IV26" s="108"/>
      <c r="IW26" s="108"/>
    </row>
    <row r="27" spans="1:257" ht="15" thickBot="1" x14ac:dyDescent="0.35">
      <c r="A27" s="158"/>
      <c r="B27" s="113" t="str">
        <f>'Sensitivity analysis'!B186</f>
        <v>RDS among preterm infants</v>
      </c>
      <c r="C27" s="170">
        <f>'Sensitivity analysis'!G186</f>
        <v>35795.991647443196</v>
      </c>
      <c r="D27" s="171">
        <f>'Sensitivity analysis'!H186</f>
        <v>36496.715915473033</v>
      </c>
      <c r="E27" s="172">
        <f t="shared" si="0"/>
        <v>700.72426802983682</v>
      </c>
      <c r="F27" s="158"/>
      <c r="G27" s="158"/>
      <c r="H27" s="158"/>
      <c r="I27" s="173" t="s">
        <v>811</v>
      </c>
      <c r="J27" s="174">
        <v>36448.687458326043</v>
      </c>
      <c r="K27" s="171">
        <v>35852.46101491939</v>
      </c>
      <c r="L27" s="172">
        <v>596.22644340665283</v>
      </c>
      <c r="M27" s="158"/>
      <c r="N27" s="158"/>
      <c r="O27" s="108"/>
      <c r="P27" s="108"/>
      <c r="Q27" s="108"/>
      <c r="R27" s="108"/>
      <c r="S27" s="108"/>
      <c r="T27" s="108"/>
      <c r="U27" s="108"/>
      <c r="V27" s="108"/>
      <c r="W27" s="108"/>
      <c r="X27" s="108"/>
      <c r="Y27" s="108"/>
      <c r="Z27" s="108"/>
      <c r="AA27" s="108"/>
      <c r="AB27" s="108"/>
      <c r="AC27" s="108"/>
      <c r="AD27" s="108"/>
      <c r="AE27" s="108"/>
      <c r="AF27" s="108"/>
      <c r="AG27" s="108"/>
      <c r="AH27" s="108"/>
      <c r="AI27" s="108"/>
      <c r="AJ27" s="108"/>
      <c r="AK27" s="108"/>
      <c r="AL27" s="108"/>
      <c r="AM27" s="108"/>
      <c r="AN27" s="108"/>
      <c r="AO27" s="108"/>
      <c r="AP27" s="108"/>
      <c r="AQ27" s="108"/>
      <c r="AR27" s="108"/>
      <c r="AS27" s="108"/>
      <c r="AT27" s="108"/>
      <c r="AU27" s="108"/>
      <c r="AV27" s="108"/>
      <c r="AW27" s="108"/>
      <c r="AX27" s="108"/>
      <c r="AY27" s="108"/>
      <c r="AZ27" s="108"/>
      <c r="BA27" s="108"/>
      <c r="BB27" s="108"/>
      <c r="BC27" s="108"/>
      <c r="BD27" s="108"/>
      <c r="BE27" s="108"/>
      <c r="BF27" s="108"/>
      <c r="BG27" s="108"/>
      <c r="BH27" s="108"/>
      <c r="BI27" s="108"/>
      <c r="BJ27" s="108"/>
      <c r="BK27" s="108"/>
      <c r="BL27" s="108"/>
      <c r="BM27" s="108"/>
      <c r="BN27" s="108"/>
      <c r="BO27" s="108"/>
      <c r="BP27" s="108"/>
      <c r="BQ27" s="108"/>
      <c r="BR27" s="108"/>
      <c r="BS27" s="108"/>
      <c r="BT27" s="108"/>
      <c r="BU27" s="108"/>
      <c r="BV27" s="108"/>
      <c r="BW27" s="108"/>
      <c r="BX27" s="108"/>
      <c r="BY27" s="108"/>
      <c r="BZ27" s="108"/>
      <c r="CA27" s="108"/>
      <c r="CB27" s="108"/>
      <c r="CC27" s="108"/>
      <c r="CD27" s="108"/>
      <c r="CE27" s="108"/>
      <c r="CF27" s="108"/>
      <c r="CG27" s="108"/>
      <c r="CH27" s="108"/>
      <c r="CI27" s="108"/>
      <c r="CJ27" s="108"/>
      <c r="CK27" s="108"/>
      <c r="CL27" s="108"/>
      <c r="CM27" s="108"/>
      <c r="CN27" s="108"/>
      <c r="CO27" s="108"/>
      <c r="CP27" s="108"/>
      <c r="CQ27" s="108"/>
      <c r="CR27" s="108"/>
      <c r="CS27" s="108"/>
      <c r="CT27" s="108"/>
      <c r="CU27" s="108"/>
      <c r="CV27" s="108"/>
      <c r="CW27" s="108"/>
      <c r="CX27" s="108"/>
      <c r="CY27" s="108"/>
      <c r="CZ27" s="108"/>
      <c r="DA27" s="108"/>
      <c r="DB27" s="108"/>
      <c r="DC27" s="108"/>
      <c r="DD27" s="108"/>
      <c r="DE27" s="108"/>
      <c r="DF27" s="108"/>
      <c r="DG27" s="108"/>
      <c r="DH27" s="108"/>
      <c r="DI27" s="108"/>
      <c r="DJ27" s="108"/>
      <c r="DK27" s="108"/>
      <c r="DL27" s="108"/>
      <c r="DM27" s="108"/>
      <c r="DN27" s="108"/>
      <c r="DO27" s="108"/>
      <c r="DP27" s="108"/>
      <c r="DQ27" s="108"/>
      <c r="DR27" s="108"/>
      <c r="DS27" s="108"/>
      <c r="DT27" s="108"/>
      <c r="DU27" s="108"/>
      <c r="DV27" s="108"/>
      <c r="DW27" s="108"/>
      <c r="DX27" s="108"/>
      <c r="DY27" s="108"/>
      <c r="DZ27" s="108"/>
      <c r="EA27" s="108"/>
      <c r="EB27" s="108"/>
      <c r="EC27" s="108"/>
      <c r="ED27" s="108"/>
      <c r="EE27" s="108"/>
      <c r="EF27" s="108"/>
      <c r="EG27" s="108"/>
      <c r="EH27" s="108"/>
      <c r="EI27" s="108"/>
      <c r="EJ27" s="108"/>
      <c r="EK27" s="108"/>
      <c r="EL27" s="108"/>
      <c r="EM27" s="108"/>
      <c r="EN27" s="108"/>
      <c r="EO27" s="108"/>
      <c r="EP27" s="108"/>
      <c r="EQ27" s="108"/>
      <c r="ER27" s="108"/>
      <c r="ES27" s="108"/>
      <c r="ET27" s="108"/>
      <c r="EU27" s="108"/>
      <c r="EV27" s="108"/>
      <c r="EW27" s="108"/>
      <c r="EX27" s="108"/>
      <c r="EY27" s="108"/>
      <c r="EZ27" s="108"/>
      <c r="FA27" s="108"/>
      <c r="FB27" s="108"/>
      <c r="FC27" s="108"/>
      <c r="FD27" s="108"/>
      <c r="FE27" s="108"/>
      <c r="FF27" s="108"/>
      <c r="FG27" s="108"/>
      <c r="FH27" s="108"/>
      <c r="FI27" s="108"/>
      <c r="FJ27" s="108"/>
      <c r="FK27" s="108"/>
      <c r="FL27" s="108"/>
      <c r="FM27" s="108"/>
      <c r="FN27" s="108"/>
      <c r="FO27" s="108"/>
      <c r="FP27" s="108"/>
      <c r="FQ27" s="108"/>
      <c r="FR27" s="108"/>
      <c r="FS27" s="108"/>
      <c r="FT27" s="108"/>
      <c r="FU27" s="108"/>
      <c r="FV27" s="108"/>
      <c r="FW27" s="108"/>
      <c r="FX27" s="108"/>
      <c r="FY27" s="108"/>
      <c r="FZ27" s="108"/>
      <c r="GA27" s="108"/>
      <c r="GB27" s="108"/>
      <c r="GC27" s="108"/>
      <c r="GD27" s="108"/>
      <c r="GE27" s="108"/>
      <c r="GF27" s="108"/>
      <c r="GG27" s="108"/>
      <c r="GH27" s="108"/>
      <c r="GI27" s="108"/>
      <c r="GJ27" s="108"/>
      <c r="GK27" s="108"/>
      <c r="GL27" s="108"/>
      <c r="GM27" s="108"/>
      <c r="GN27" s="108"/>
      <c r="GO27" s="108"/>
      <c r="GP27" s="108"/>
      <c r="GQ27" s="108"/>
      <c r="GR27" s="108"/>
      <c r="GS27" s="108"/>
      <c r="GT27" s="108"/>
      <c r="GU27" s="108"/>
      <c r="GV27" s="108"/>
      <c r="GW27" s="108"/>
      <c r="GX27" s="108"/>
      <c r="GY27" s="108"/>
      <c r="GZ27" s="108"/>
      <c r="HA27" s="108"/>
      <c r="HB27" s="108"/>
      <c r="HC27" s="108"/>
      <c r="HD27" s="108"/>
      <c r="HE27" s="108"/>
      <c r="HF27" s="108"/>
      <c r="HG27" s="108"/>
      <c r="HH27" s="108"/>
      <c r="HI27" s="108"/>
      <c r="HJ27" s="108"/>
      <c r="HK27" s="108"/>
      <c r="HL27" s="108"/>
      <c r="HM27" s="108"/>
      <c r="HN27" s="108"/>
      <c r="HO27" s="108"/>
      <c r="HP27" s="108"/>
      <c r="HQ27" s="108"/>
      <c r="HR27" s="108"/>
      <c r="HS27" s="108"/>
      <c r="HT27" s="108"/>
      <c r="HU27" s="108"/>
      <c r="HV27" s="108"/>
      <c r="HW27" s="108"/>
      <c r="HX27" s="108"/>
      <c r="HY27" s="108"/>
      <c r="HZ27" s="108"/>
      <c r="IA27" s="108"/>
      <c r="IB27" s="108"/>
      <c r="IC27" s="108"/>
      <c r="ID27" s="108"/>
      <c r="IE27" s="108"/>
      <c r="IF27" s="108"/>
      <c r="IG27" s="108"/>
      <c r="IH27" s="108"/>
      <c r="II27" s="108"/>
      <c r="IJ27" s="108"/>
      <c r="IK27" s="108"/>
      <c r="IL27" s="108"/>
      <c r="IM27" s="108"/>
      <c r="IN27" s="108"/>
      <c r="IO27" s="108"/>
      <c r="IP27" s="108"/>
      <c r="IQ27" s="108"/>
      <c r="IR27" s="108"/>
      <c r="IS27" s="108"/>
      <c r="IT27" s="108"/>
      <c r="IU27" s="108"/>
      <c r="IV27" s="108"/>
      <c r="IW27" s="108"/>
    </row>
    <row r="28" spans="1:257" ht="15" thickBot="1" x14ac:dyDescent="0.35">
      <c r="A28" s="158"/>
      <c r="B28" s="113" t="str">
        <f>'Sensitivity analysis'!B187</f>
        <v>Hypoglycaemia among preterm SGA infants</v>
      </c>
      <c r="C28" s="170">
        <f>'Sensitivity analysis'!G187</f>
        <v>36119.097566976518</v>
      </c>
      <c r="D28" s="171">
        <f>'Sensitivity analysis'!H187</f>
        <v>36197.772901733959</v>
      </c>
      <c r="E28" s="172">
        <f t="shared" si="0"/>
        <v>78.675334757441306</v>
      </c>
      <c r="F28" s="158"/>
      <c r="G28" s="158"/>
      <c r="H28" s="158"/>
      <c r="I28" s="173" t="s">
        <v>798</v>
      </c>
      <c r="J28" s="170">
        <v>35874.512406173963</v>
      </c>
      <c r="K28" s="175">
        <v>36442.358062536441</v>
      </c>
      <c r="L28" s="172">
        <v>567.84565636247862</v>
      </c>
      <c r="M28" s="158"/>
      <c r="N28" s="158"/>
      <c r="O28" s="108"/>
      <c r="P28" s="108"/>
      <c r="Q28" s="108"/>
      <c r="R28" s="108"/>
      <c r="S28" s="108"/>
      <c r="T28" s="108"/>
      <c r="U28" s="108"/>
      <c r="V28" s="108"/>
      <c r="W28" s="108"/>
      <c r="X28" s="108"/>
      <c r="Y28" s="108"/>
      <c r="Z28" s="108"/>
      <c r="AA28" s="108"/>
      <c r="AB28" s="108"/>
      <c r="AC28" s="108"/>
      <c r="AD28" s="108"/>
      <c r="AE28" s="108"/>
      <c r="AF28" s="108"/>
      <c r="AG28" s="108"/>
      <c r="AH28" s="108"/>
      <c r="AI28" s="108"/>
      <c r="AJ28" s="108"/>
      <c r="AK28" s="108"/>
      <c r="AL28" s="108"/>
      <c r="AM28" s="108"/>
      <c r="AN28" s="108"/>
      <c r="AO28" s="108"/>
      <c r="AP28" s="108"/>
      <c r="AQ28" s="108"/>
      <c r="AR28" s="108"/>
      <c r="AS28" s="108"/>
      <c r="AT28" s="108"/>
      <c r="AU28" s="108"/>
      <c r="AV28" s="108"/>
      <c r="AW28" s="108"/>
      <c r="AX28" s="108"/>
      <c r="AY28" s="108"/>
      <c r="AZ28" s="108"/>
      <c r="BA28" s="108"/>
      <c r="BB28" s="108"/>
      <c r="BC28" s="108"/>
      <c r="BD28" s="108"/>
      <c r="BE28" s="108"/>
      <c r="BF28" s="108"/>
      <c r="BG28" s="108"/>
      <c r="BH28" s="108"/>
      <c r="BI28" s="108"/>
      <c r="BJ28" s="108"/>
      <c r="BK28" s="108"/>
      <c r="BL28" s="108"/>
      <c r="BM28" s="108"/>
      <c r="BN28" s="108"/>
      <c r="BO28" s="108"/>
      <c r="BP28" s="108"/>
      <c r="BQ28" s="108"/>
      <c r="BR28" s="108"/>
      <c r="BS28" s="108"/>
      <c r="BT28" s="108"/>
      <c r="BU28" s="108"/>
      <c r="BV28" s="108"/>
      <c r="BW28" s="108"/>
      <c r="BX28" s="108"/>
      <c r="BY28" s="108"/>
      <c r="BZ28" s="108"/>
      <c r="CA28" s="108"/>
      <c r="CB28" s="108"/>
      <c r="CC28" s="108"/>
      <c r="CD28" s="108"/>
      <c r="CE28" s="108"/>
      <c r="CF28" s="108"/>
      <c r="CG28" s="108"/>
      <c r="CH28" s="108"/>
      <c r="CI28" s="108"/>
      <c r="CJ28" s="108"/>
      <c r="CK28" s="108"/>
      <c r="CL28" s="108"/>
      <c r="CM28" s="108"/>
      <c r="CN28" s="108"/>
      <c r="CO28" s="108"/>
      <c r="CP28" s="108"/>
      <c r="CQ28" s="108"/>
      <c r="CR28" s="108"/>
      <c r="CS28" s="108"/>
      <c r="CT28" s="108"/>
      <c r="CU28" s="108"/>
      <c r="CV28" s="108"/>
      <c r="CW28" s="108"/>
      <c r="CX28" s="108"/>
      <c r="CY28" s="108"/>
      <c r="CZ28" s="108"/>
      <c r="DA28" s="108"/>
      <c r="DB28" s="108"/>
      <c r="DC28" s="108"/>
      <c r="DD28" s="108"/>
      <c r="DE28" s="108"/>
      <c r="DF28" s="108"/>
      <c r="DG28" s="108"/>
      <c r="DH28" s="108"/>
      <c r="DI28" s="108"/>
      <c r="DJ28" s="108"/>
      <c r="DK28" s="108"/>
      <c r="DL28" s="108"/>
      <c r="DM28" s="108"/>
      <c r="DN28" s="108"/>
      <c r="DO28" s="108"/>
      <c r="DP28" s="108"/>
      <c r="DQ28" s="108"/>
      <c r="DR28" s="108"/>
      <c r="DS28" s="108"/>
      <c r="DT28" s="108"/>
      <c r="DU28" s="108"/>
      <c r="DV28" s="108"/>
      <c r="DW28" s="108"/>
      <c r="DX28" s="108"/>
      <c r="DY28" s="108"/>
      <c r="DZ28" s="108"/>
      <c r="EA28" s="108"/>
      <c r="EB28" s="108"/>
      <c r="EC28" s="108"/>
      <c r="ED28" s="108"/>
      <c r="EE28" s="108"/>
      <c r="EF28" s="108"/>
      <c r="EG28" s="108"/>
      <c r="EH28" s="108"/>
      <c r="EI28" s="108"/>
      <c r="EJ28" s="108"/>
      <c r="EK28" s="108"/>
      <c r="EL28" s="108"/>
      <c r="EM28" s="108"/>
      <c r="EN28" s="108"/>
      <c r="EO28" s="108"/>
      <c r="EP28" s="108"/>
      <c r="EQ28" s="108"/>
      <c r="ER28" s="108"/>
      <c r="ES28" s="108"/>
      <c r="ET28" s="108"/>
      <c r="EU28" s="108"/>
      <c r="EV28" s="108"/>
      <c r="EW28" s="108"/>
      <c r="EX28" s="108"/>
      <c r="EY28" s="108"/>
      <c r="EZ28" s="108"/>
      <c r="FA28" s="108"/>
      <c r="FB28" s="108"/>
      <c r="FC28" s="108"/>
      <c r="FD28" s="108"/>
      <c r="FE28" s="108"/>
      <c r="FF28" s="108"/>
      <c r="FG28" s="108"/>
      <c r="FH28" s="108"/>
      <c r="FI28" s="108"/>
      <c r="FJ28" s="108"/>
      <c r="FK28" s="108"/>
      <c r="FL28" s="108"/>
      <c r="FM28" s="108"/>
      <c r="FN28" s="108"/>
      <c r="FO28" s="108"/>
      <c r="FP28" s="108"/>
      <c r="FQ28" s="108"/>
      <c r="FR28" s="108"/>
      <c r="FS28" s="108"/>
      <c r="FT28" s="108"/>
      <c r="FU28" s="108"/>
      <c r="FV28" s="108"/>
      <c r="FW28" s="108"/>
      <c r="FX28" s="108"/>
      <c r="FY28" s="108"/>
      <c r="FZ28" s="108"/>
      <c r="GA28" s="108"/>
      <c r="GB28" s="108"/>
      <c r="GC28" s="108"/>
      <c r="GD28" s="108"/>
      <c r="GE28" s="108"/>
      <c r="GF28" s="108"/>
      <c r="GG28" s="108"/>
      <c r="GH28" s="108"/>
      <c r="GI28" s="108"/>
      <c r="GJ28" s="108"/>
      <c r="GK28" s="108"/>
      <c r="GL28" s="108"/>
      <c r="GM28" s="108"/>
      <c r="GN28" s="108"/>
      <c r="GO28" s="108"/>
      <c r="GP28" s="108"/>
      <c r="GQ28" s="108"/>
      <c r="GR28" s="108"/>
      <c r="GS28" s="108"/>
      <c r="GT28" s="108"/>
      <c r="GU28" s="108"/>
      <c r="GV28" s="108"/>
      <c r="GW28" s="108"/>
      <c r="GX28" s="108"/>
      <c r="GY28" s="108"/>
      <c r="GZ28" s="108"/>
      <c r="HA28" s="108"/>
      <c r="HB28" s="108"/>
      <c r="HC28" s="108"/>
      <c r="HD28" s="108"/>
      <c r="HE28" s="108"/>
      <c r="HF28" s="108"/>
      <c r="HG28" s="108"/>
      <c r="HH28" s="108"/>
      <c r="HI28" s="108"/>
      <c r="HJ28" s="108"/>
      <c r="HK28" s="108"/>
      <c r="HL28" s="108"/>
      <c r="HM28" s="108"/>
      <c r="HN28" s="108"/>
      <c r="HO28" s="108"/>
      <c r="HP28" s="108"/>
      <c r="HQ28" s="108"/>
      <c r="HR28" s="108"/>
      <c r="HS28" s="108"/>
      <c r="HT28" s="108"/>
      <c r="HU28" s="108"/>
      <c r="HV28" s="108"/>
      <c r="HW28" s="108"/>
      <c r="HX28" s="108"/>
      <c r="HY28" s="108"/>
      <c r="HZ28" s="108"/>
      <c r="IA28" s="108"/>
      <c r="IB28" s="108"/>
      <c r="IC28" s="108"/>
      <c r="ID28" s="108"/>
      <c r="IE28" s="108"/>
      <c r="IF28" s="108"/>
      <c r="IG28" s="108"/>
      <c r="IH28" s="108"/>
      <c r="II28" s="108"/>
      <c r="IJ28" s="108"/>
      <c r="IK28" s="108"/>
      <c r="IL28" s="108"/>
      <c r="IM28" s="108"/>
      <c r="IN28" s="108"/>
      <c r="IO28" s="108"/>
      <c r="IP28" s="108"/>
      <c r="IQ28" s="108"/>
      <c r="IR28" s="108"/>
      <c r="IS28" s="108"/>
      <c r="IT28" s="108"/>
      <c r="IU28" s="108"/>
      <c r="IV28" s="108"/>
      <c r="IW28" s="108"/>
    </row>
    <row r="29" spans="1:257" ht="15" thickBot="1" x14ac:dyDescent="0.35">
      <c r="A29" s="158"/>
      <c r="B29" s="113" t="str">
        <f>'Sensitivity analysis'!B188</f>
        <v>Hypoglycaemia among term SGA infants</v>
      </c>
      <c r="C29" s="170">
        <f>'Sensitivity analysis'!G188</f>
        <v>35998.487963994427</v>
      </c>
      <c r="D29" s="171">
        <f>'Sensitivity analysis'!H188</f>
        <v>36318.382504716006</v>
      </c>
      <c r="E29" s="172">
        <f t="shared" si="0"/>
        <v>319.89454072157969</v>
      </c>
      <c r="F29" s="158"/>
      <c r="G29" s="158"/>
      <c r="H29" s="158"/>
      <c r="I29" s="173" t="s">
        <v>806</v>
      </c>
      <c r="J29" s="170">
        <v>35924.618769112858</v>
      </c>
      <c r="K29" s="175">
        <v>36451.949520510563</v>
      </c>
      <c r="L29" s="172">
        <v>527.33075139770517</v>
      </c>
      <c r="M29" s="158"/>
      <c r="N29" s="158"/>
      <c r="O29" s="108"/>
      <c r="P29" s="108"/>
      <c r="Q29" s="108"/>
      <c r="R29" s="108"/>
      <c r="S29" s="108"/>
      <c r="T29" s="108"/>
      <c r="U29" s="108"/>
      <c r="V29" s="108"/>
      <c r="W29" s="108"/>
      <c r="X29" s="108"/>
      <c r="Y29" s="108"/>
      <c r="Z29" s="108"/>
      <c r="AA29" s="108"/>
      <c r="AB29" s="108"/>
      <c r="AC29" s="108"/>
      <c r="AD29" s="108"/>
      <c r="AE29" s="108"/>
      <c r="AF29" s="108"/>
      <c r="AG29" s="108"/>
      <c r="AH29" s="108"/>
      <c r="AI29" s="108"/>
      <c r="AJ29" s="108"/>
      <c r="AK29" s="108"/>
      <c r="AL29" s="108"/>
      <c r="AM29" s="108"/>
      <c r="AN29" s="108"/>
      <c r="AO29" s="108"/>
      <c r="AP29" s="108"/>
      <c r="AQ29" s="108"/>
      <c r="AR29" s="108"/>
      <c r="AS29" s="108"/>
      <c r="AT29" s="108"/>
      <c r="AU29" s="108"/>
      <c r="AV29" s="108"/>
      <c r="AW29" s="108"/>
      <c r="AX29" s="108"/>
      <c r="AY29" s="108"/>
      <c r="AZ29" s="108"/>
      <c r="BA29" s="108"/>
      <c r="BB29" s="108"/>
      <c r="BC29" s="108"/>
      <c r="BD29" s="108"/>
      <c r="BE29" s="108"/>
      <c r="BF29" s="108"/>
      <c r="BG29" s="108"/>
      <c r="BH29" s="108"/>
      <c r="BI29" s="108"/>
      <c r="BJ29" s="108"/>
      <c r="BK29" s="108"/>
      <c r="BL29" s="108"/>
      <c r="BM29" s="108"/>
      <c r="BN29" s="108"/>
      <c r="BO29" s="108"/>
      <c r="BP29" s="108"/>
      <c r="BQ29" s="108"/>
      <c r="BR29" s="108"/>
      <c r="BS29" s="108"/>
      <c r="BT29" s="108"/>
      <c r="BU29" s="108"/>
      <c r="BV29" s="108"/>
      <c r="BW29" s="108"/>
      <c r="BX29" s="108"/>
      <c r="BY29" s="108"/>
      <c r="BZ29" s="108"/>
      <c r="CA29" s="108"/>
      <c r="CB29" s="108"/>
      <c r="CC29" s="108"/>
      <c r="CD29" s="108"/>
      <c r="CE29" s="108"/>
      <c r="CF29" s="108"/>
      <c r="CG29" s="108"/>
      <c r="CH29" s="108"/>
      <c r="CI29" s="108"/>
      <c r="CJ29" s="108"/>
      <c r="CK29" s="108"/>
      <c r="CL29" s="108"/>
      <c r="CM29" s="108"/>
      <c r="CN29" s="108"/>
      <c r="CO29" s="108"/>
      <c r="CP29" s="108"/>
      <c r="CQ29" s="108"/>
      <c r="CR29" s="108"/>
      <c r="CS29" s="108"/>
      <c r="CT29" s="108"/>
      <c r="CU29" s="108"/>
      <c r="CV29" s="108"/>
      <c r="CW29" s="108"/>
      <c r="CX29" s="108"/>
      <c r="CY29" s="108"/>
      <c r="CZ29" s="108"/>
      <c r="DA29" s="108"/>
      <c r="DB29" s="108"/>
      <c r="DC29" s="108"/>
      <c r="DD29" s="108"/>
      <c r="DE29" s="108"/>
      <c r="DF29" s="108"/>
      <c r="DG29" s="108"/>
      <c r="DH29" s="108"/>
      <c r="DI29" s="108"/>
      <c r="DJ29" s="108"/>
      <c r="DK29" s="108"/>
      <c r="DL29" s="108"/>
      <c r="DM29" s="108"/>
      <c r="DN29" s="108"/>
      <c r="DO29" s="108"/>
      <c r="DP29" s="108"/>
      <c r="DQ29" s="108"/>
      <c r="DR29" s="108"/>
      <c r="DS29" s="108"/>
      <c r="DT29" s="108"/>
      <c r="DU29" s="108"/>
      <c r="DV29" s="108"/>
      <c r="DW29" s="108"/>
      <c r="DX29" s="108"/>
      <c r="DY29" s="108"/>
      <c r="DZ29" s="108"/>
      <c r="EA29" s="108"/>
      <c r="EB29" s="108"/>
      <c r="EC29" s="108"/>
      <c r="ED29" s="108"/>
      <c r="EE29" s="108"/>
      <c r="EF29" s="108"/>
      <c r="EG29" s="108"/>
      <c r="EH29" s="108"/>
      <c r="EI29" s="108"/>
      <c r="EJ29" s="108"/>
      <c r="EK29" s="108"/>
      <c r="EL29" s="108"/>
      <c r="EM29" s="108"/>
      <c r="EN29" s="108"/>
      <c r="EO29" s="108"/>
      <c r="EP29" s="108"/>
      <c r="EQ29" s="108"/>
      <c r="ER29" s="108"/>
      <c r="ES29" s="108"/>
      <c r="ET29" s="108"/>
      <c r="EU29" s="108"/>
      <c r="EV29" s="108"/>
      <c r="EW29" s="108"/>
      <c r="EX29" s="108"/>
      <c r="EY29" s="108"/>
      <c r="EZ29" s="108"/>
      <c r="FA29" s="108"/>
      <c r="FB29" s="108"/>
      <c r="FC29" s="108"/>
      <c r="FD29" s="108"/>
      <c r="FE29" s="108"/>
      <c r="FF29" s="108"/>
      <c r="FG29" s="108"/>
      <c r="FH29" s="108"/>
      <c r="FI29" s="108"/>
      <c r="FJ29" s="108"/>
      <c r="FK29" s="108"/>
      <c r="FL29" s="108"/>
      <c r="FM29" s="108"/>
      <c r="FN29" s="108"/>
      <c r="FO29" s="108"/>
      <c r="FP29" s="108"/>
      <c r="FQ29" s="108"/>
      <c r="FR29" s="108"/>
      <c r="FS29" s="108"/>
      <c r="FT29" s="108"/>
      <c r="FU29" s="108"/>
      <c r="FV29" s="108"/>
      <c r="FW29" s="108"/>
      <c r="FX29" s="108"/>
      <c r="FY29" s="108"/>
      <c r="FZ29" s="108"/>
      <c r="GA29" s="108"/>
      <c r="GB29" s="108"/>
      <c r="GC29" s="108"/>
      <c r="GD29" s="108"/>
      <c r="GE29" s="108"/>
      <c r="GF29" s="108"/>
      <c r="GG29" s="108"/>
      <c r="GH29" s="108"/>
      <c r="GI29" s="108"/>
      <c r="GJ29" s="108"/>
      <c r="GK29" s="108"/>
      <c r="GL29" s="108"/>
      <c r="GM29" s="108"/>
      <c r="GN29" s="108"/>
      <c r="GO29" s="108"/>
      <c r="GP29" s="108"/>
      <c r="GQ29" s="108"/>
      <c r="GR29" s="108"/>
      <c r="GS29" s="108"/>
      <c r="GT29" s="108"/>
      <c r="GU29" s="108"/>
      <c r="GV29" s="108"/>
      <c r="GW29" s="108"/>
      <c r="GX29" s="108"/>
      <c r="GY29" s="108"/>
      <c r="GZ29" s="108"/>
      <c r="HA29" s="108"/>
      <c r="HB29" s="108"/>
      <c r="HC29" s="108"/>
      <c r="HD29" s="108"/>
      <c r="HE29" s="108"/>
      <c r="HF29" s="108"/>
      <c r="HG29" s="108"/>
      <c r="HH29" s="108"/>
      <c r="HI29" s="108"/>
      <c r="HJ29" s="108"/>
      <c r="HK29" s="108"/>
      <c r="HL29" s="108"/>
      <c r="HM29" s="108"/>
      <c r="HN29" s="108"/>
      <c r="HO29" s="108"/>
      <c r="HP29" s="108"/>
      <c r="HQ29" s="108"/>
      <c r="HR29" s="108"/>
      <c r="HS29" s="108"/>
      <c r="HT29" s="108"/>
      <c r="HU29" s="108"/>
      <c r="HV29" s="108"/>
      <c r="HW29" s="108"/>
      <c r="HX29" s="108"/>
      <c r="HY29" s="108"/>
      <c r="HZ29" s="108"/>
      <c r="IA29" s="108"/>
      <c r="IB29" s="108"/>
      <c r="IC29" s="108"/>
      <c r="ID29" s="108"/>
      <c r="IE29" s="108"/>
      <c r="IF29" s="108"/>
      <c r="IG29" s="108"/>
      <c r="IH29" s="108"/>
      <c r="II29" s="108"/>
      <c r="IJ29" s="108"/>
      <c r="IK29" s="108"/>
      <c r="IL29" s="108"/>
      <c r="IM29" s="108"/>
      <c r="IN29" s="108"/>
      <c r="IO29" s="108"/>
      <c r="IP29" s="108"/>
      <c r="IQ29" s="108"/>
      <c r="IR29" s="108"/>
      <c r="IS29" s="108"/>
      <c r="IT29" s="108"/>
      <c r="IU29" s="108"/>
      <c r="IV29" s="108"/>
      <c r="IW29" s="108"/>
    </row>
    <row r="30" spans="1:257" ht="15" thickBot="1" x14ac:dyDescent="0.35">
      <c r="A30" s="158"/>
      <c r="B30" s="113" t="str">
        <f>'Sensitivity analysis'!B189</f>
        <v>Hypoglycaemia among preterm SGA infants</v>
      </c>
      <c r="C30" s="170">
        <f>'Sensitivity analysis'!G189</f>
        <v>36143.256553236766</v>
      </c>
      <c r="D30" s="171">
        <f>'Sensitivity analysis'!H189</f>
        <v>36172.602003399166</v>
      </c>
      <c r="E30" s="172">
        <f t="shared" si="0"/>
        <v>29.345450162400084</v>
      </c>
      <c r="F30" s="158"/>
      <c r="G30" s="158"/>
      <c r="H30" s="158"/>
      <c r="I30" s="173" t="s">
        <v>819</v>
      </c>
      <c r="J30" s="170">
        <v>35899.8241088918</v>
      </c>
      <c r="K30" s="175">
        <v>36399.805618121012</v>
      </c>
      <c r="L30" s="172">
        <v>499.98150922921195</v>
      </c>
      <c r="M30" s="158"/>
      <c r="N30" s="158"/>
      <c r="O30" s="108"/>
      <c r="P30" s="108"/>
      <c r="Q30" s="108"/>
      <c r="R30" s="108"/>
      <c r="S30" s="108"/>
      <c r="T30" s="108"/>
      <c r="U30" s="108"/>
      <c r="V30" s="108"/>
      <c r="W30" s="108"/>
      <c r="X30" s="108"/>
      <c r="Y30" s="108"/>
      <c r="Z30" s="108"/>
      <c r="AA30" s="108"/>
      <c r="AB30" s="108"/>
      <c r="AC30" s="108"/>
      <c r="AD30" s="108"/>
      <c r="AE30" s="108"/>
      <c r="AF30" s="108"/>
      <c r="AG30" s="108"/>
      <c r="AH30" s="108"/>
      <c r="AI30" s="108"/>
      <c r="AJ30" s="108"/>
      <c r="AK30" s="108"/>
      <c r="AL30" s="108"/>
      <c r="AM30" s="108"/>
      <c r="AN30" s="108"/>
      <c r="AO30" s="108"/>
      <c r="AP30" s="108"/>
      <c r="AQ30" s="108"/>
      <c r="AR30" s="108"/>
      <c r="AS30" s="108"/>
      <c r="AT30" s="108"/>
      <c r="AU30" s="108"/>
      <c r="AV30" s="108"/>
      <c r="AW30" s="108"/>
      <c r="AX30" s="108"/>
      <c r="AY30" s="108"/>
      <c r="AZ30" s="108"/>
      <c r="BA30" s="108"/>
      <c r="BB30" s="108"/>
      <c r="BC30" s="108"/>
      <c r="BD30" s="108"/>
      <c r="BE30" s="108"/>
      <c r="BF30" s="108"/>
      <c r="BG30" s="108"/>
      <c r="BH30" s="108"/>
      <c r="BI30" s="108"/>
      <c r="BJ30" s="108"/>
      <c r="BK30" s="108"/>
      <c r="BL30" s="108"/>
      <c r="BM30" s="108"/>
      <c r="BN30" s="108"/>
      <c r="BO30" s="108"/>
      <c r="BP30" s="108"/>
      <c r="BQ30" s="108"/>
      <c r="BR30" s="108"/>
      <c r="BS30" s="108"/>
      <c r="BT30" s="108"/>
      <c r="BU30" s="108"/>
      <c r="BV30" s="108"/>
      <c r="BW30" s="108"/>
      <c r="BX30" s="108"/>
      <c r="BY30" s="108"/>
      <c r="BZ30" s="108"/>
      <c r="CA30" s="108"/>
      <c r="CB30" s="108"/>
      <c r="CC30" s="108"/>
      <c r="CD30" s="108"/>
      <c r="CE30" s="108"/>
      <c r="CF30" s="108"/>
      <c r="CG30" s="108"/>
      <c r="CH30" s="108"/>
      <c r="CI30" s="108"/>
      <c r="CJ30" s="108"/>
      <c r="CK30" s="108"/>
      <c r="CL30" s="108"/>
      <c r="CM30" s="108"/>
      <c r="CN30" s="108"/>
      <c r="CO30" s="108"/>
      <c r="CP30" s="108"/>
      <c r="CQ30" s="108"/>
      <c r="CR30" s="108"/>
      <c r="CS30" s="108"/>
      <c r="CT30" s="108"/>
      <c r="CU30" s="108"/>
      <c r="CV30" s="108"/>
      <c r="CW30" s="108"/>
      <c r="CX30" s="108"/>
      <c r="CY30" s="108"/>
      <c r="CZ30" s="108"/>
      <c r="DA30" s="108"/>
      <c r="DB30" s="108"/>
      <c r="DC30" s="108"/>
      <c r="DD30" s="108"/>
      <c r="DE30" s="108"/>
      <c r="DF30" s="108"/>
      <c r="DG30" s="108"/>
      <c r="DH30" s="108"/>
      <c r="DI30" s="108"/>
      <c r="DJ30" s="108"/>
      <c r="DK30" s="108"/>
      <c r="DL30" s="108"/>
      <c r="DM30" s="108"/>
      <c r="DN30" s="108"/>
      <c r="DO30" s="108"/>
      <c r="DP30" s="108"/>
      <c r="DQ30" s="108"/>
      <c r="DR30" s="108"/>
      <c r="DS30" s="108"/>
      <c r="DT30" s="108"/>
      <c r="DU30" s="108"/>
      <c r="DV30" s="108"/>
      <c r="DW30" s="108"/>
      <c r="DX30" s="108"/>
      <c r="DY30" s="108"/>
      <c r="DZ30" s="108"/>
      <c r="EA30" s="108"/>
      <c r="EB30" s="108"/>
      <c r="EC30" s="108"/>
      <c r="ED30" s="108"/>
      <c r="EE30" s="108"/>
      <c r="EF30" s="108"/>
      <c r="EG30" s="108"/>
      <c r="EH30" s="108"/>
      <c r="EI30" s="108"/>
      <c r="EJ30" s="108"/>
      <c r="EK30" s="108"/>
      <c r="EL30" s="108"/>
      <c r="EM30" s="108"/>
      <c r="EN30" s="108"/>
      <c r="EO30" s="108"/>
      <c r="EP30" s="108"/>
      <c r="EQ30" s="108"/>
      <c r="ER30" s="108"/>
      <c r="ES30" s="108"/>
      <c r="ET30" s="108"/>
      <c r="EU30" s="108"/>
      <c r="EV30" s="108"/>
      <c r="EW30" s="108"/>
      <c r="EX30" s="108"/>
      <c r="EY30" s="108"/>
      <c r="EZ30" s="108"/>
      <c r="FA30" s="108"/>
      <c r="FB30" s="108"/>
      <c r="FC30" s="108"/>
      <c r="FD30" s="108"/>
      <c r="FE30" s="108"/>
      <c r="FF30" s="108"/>
      <c r="FG30" s="108"/>
      <c r="FH30" s="108"/>
      <c r="FI30" s="108"/>
      <c r="FJ30" s="108"/>
      <c r="FK30" s="108"/>
      <c r="FL30" s="108"/>
      <c r="FM30" s="108"/>
      <c r="FN30" s="108"/>
      <c r="FO30" s="108"/>
      <c r="FP30" s="108"/>
      <c r="FQ30" s="108"/>
      <c r="FR30" s="108"/>
      <c r="FS30" s="108"/>
      <c r="FT30" s="108"/>
      <c r="FU30" s="108"/>
      <c r="FV30" s="108"/>
      <c r="FW30" s="108"/>
      <c r="FX30" s="108"/>
      <c r="FY30" s="108"/>
      <c r="FZ30" s="108"/>
      <c r="GA30" s="108"/>
      <c r="GB30" s="108"/>
      <c r="GC30" s="108"/>
      <c r="GD30" s="108"/>
      <c r="GE30" s="108"/>
      <c r="GF30" s="108"/>
      <c r="GG30" s="108"/>
      <c r="GH30" s="108"/>
      <c r="GI30" s="108"/>
      <c r="GJ30" s="108"/>
      <c r="GK30" s="108"/>
      <c r="GL30" s="108"/>
      <c r="GM30" s="108"/>
      <c r="GN30" s="108"/>
      <c r="GO30" s="108"/>
      <c r="GP30" s="108"/>
      <c r="GQ30" s="108"/>
      <c r="GR30" s="108"/>
      <c r="GS30" s="108"/>
      <c r="GT30" s="108"/>
      <c r="GU30" s="108"/>
      <c r="GV30" s="108"/>
      <c r="GW30" s="108"/>
      <c r="GX30" s="108"/>
      <c r="GY30" s="108"/>
      <c r="GZ30" s="108"/>
      <c r="HA30" s="108"/>
      <c r="HB30" s="108"/>
      <c r="HC30" s="108"/>
      <c r="HD30" s="108"/>
      <c r="HE30" s="108"/>
      <c r="HF30" s="108"/>
      <c r="HG30" s="108"/>
      <c r="HH30" s="108"/>
      <c r="HI30" s="108"/>
      <c r="HJ30" s="108"/>
      <c r="HK30" s="108"/>
      <c r="HL30" s="108"/>
      <c r="HM30" s="108"/>
      <c r="HN30" s="108"/>
      <c r="HO30" s="108"/>
      <c r="HP30" s="108"/>
      <c r="HQ30" s="108"/>
      <c r="HR30" s="108"/>
      <c r="HS30" s="108"/>
      <c r="HT30" s="108"/>
      <c r="HU30" s="108"/>
      <c r="HV30" s="108"/>
      <c r="HW30" s="108"/>
      <c r="HX30" s="108"/>
      <c r="HY30" s="108"/>
      <c r="HZ30" s="108"/>
      <c r="IA30" s="108"/>
      <c r="IB30" s="108"/>
      <c r="IC30" s="108"/>
      <c r="ID30" s="108"/>
      <c r="IE30" s="108"/>
      <c r="IF30" s="108"/>
      <c r="IG30" s="108"/>
      <c r="IH30" s="108"/>
      <c r="II30" s="108"/>
      <c r="IJ30" s="108"/>
      <c r="IK30" s="108"/>
      <c r="IL30" s="108"/>
      <c r="IM30" s="108"/>
      <c r="IN30" s="108"/>
      <c r="IO30" s="108"/>
      <c r="IP30" s="108"/>
      <c r="IQ30" s="108"/>
      <c r="IR30" s="108"/>
      <c r="IS30" s="108"/>
      <c r="IT30" s="108"/>
      <c r="IU30" s="108"/>
      <c r="IV30" s="108"/>
      <c r="IW30" s="108"/>
    </row>
    <row r="31" spans="1:257" ht="15" thickBot="1" x14ac:dyDescent="0.35">
      <c r="A31" s="158"/>
      <c r="B31" s="113" t="str">
        <f>'Sensitivity analysis'!B190</f>
        <v>Chronic lung disease among infants with RDS</v>
      </c>
      <c r="C31" s="170">
        <f>'Sensitivity analysis'!G190</f>
        <v>35181.284811144884</v>
      </c>
      <c r="D31" s="171">
        <f>'Sensitivity analysis'!H190</f>
        <v>37070.442296018351</v>
      </c>
      <c r="E31" s="172">
        <f t="shared" si="0"/>
        <v>1889.1574848734672</v>
      </c>
      <c r="F31" s="158"/>
      <c r="G31" s="158"/>
      <c r="H31" s="158"/>
      <c r="I31" s="173" t="s">
        <v>817</v>
      </c>
      <c r="J31" s="170">
        <v>36121.325029489322</v>
      </c>
      <c r="K31" s="175">
        <v>35730.48737432684</v>
      </c>
      <c r="L31" s="172">
        <v>390.83765516248241</v>
      </c>
      <c r="M31" s="158"/>
      <c r="N31" s="158"/>
      <c r="O31" s="108"/>
      <c r="P31" s="108"/>
      <c r="Q31" s="108"/>
      <c r="R31" s="108"/>
      <c r="S31" s="108"/>
      <c r="T31" s="108"/>
      <c r="U31" s="108"/>
      <c r="V31" s="108"/>
      <c r="W31" s="108"/>
      <c r="X31" s="108"/>
      <c r="Y31" s="108"/>
      <c r="Z31" s="108"/>
      <c r="AA31" s="108"/>
      <c r="AB31" s="108"/>
      <c r="AC31" s="108"/>
      <c r="AD31" s="108"/>
      <c r="AE31" s="108"/>
      <c r="AF31" s="108"/>
      <c r="AG31" s="108"/>
      <c r="AH31" s="108"/>
      <c r="AI31" s="108"/>
      <c r="AJ31" s="108"/>
      <c r="AK31" s="108"/>
      <c r="AL31" s="108"/>
      <c r="AM31" s="108"/>
      <c r="AN31" s="108"/>
      <c r="AO31" s="108"/>
      <c r="AP31" s="108"/>
      <c r="AQ31" s="108"/>
      <c r="AR31" s="108"/>
      <c r="AS31" s="108"/>
      <c r="AT31" s="108"/>
      <c r="AU31" s="108"/>
      <c r="AV31" s="108"/>
      <c r="AW31" s="108"/>
      <c r="AX31" s="108"/>
      <c r="AY31" s="108"/>
      <c r="AZ31" s="108"/>
      <c r="BA31" s="108"/>
      <c r="BB31" s="108"/>
      <c r="BC31" s="108"/>
      <c r="BD31" s="108"/>
      <c r="BE31" s="108"/>
      <c r="BF31" s="108"/>
      <c r="BG31" s="108"/>
      <c r="BH31" s="108"/>
      <c r="BI31" s="108"/>
      <c r="BJ31" s="108"/>
      <c r="BK31" s="108"/>
      <c r="BL31" s="108"/>
      <c r="BM31" s="108"/>
      <c r="BN31" s="108"/>
      <c r="BO31" s="108"/>
      <c r="BP31" s="108"/>
      <c r="BQ31" s="108"/>
      <c r="BR31" s="108"/>
      <c r="BS31" s="108"/>
      <c r="BT31" s="108"/>
      <c r="BU31" s="108"/>
      <c r="BV31" s="108"/>
      <c r="BW31" s="108"/>
      <c r="BX31" s="108"/>
      <c r="BY31" s="108"/>
      <c r="BZ31" s="108"/>
      <c r="CA31" s="108"/>
      <c r="CB31" s="108"/>
      <c r="CC31" s="108"/>
      <c r="CD31" s="108"/>
      <c r="CE31" s="108"/>
      <c r="CF31" s="108"/>
      <c r="CG31" s="108"/>
      <c r="CH31" s="108"/>
      <c r="CI31" s="108"/>
      <c r="CJ31" s="108"/>
      <c r="CK31" s="108"/>
      <c r="CL31" s="108"/>
      <c r="CM31" s="108"/>
      <c r="CN31" s="108"/>
      <c r="CO31" s="108"/>
      <c r="CP31" s="108"/>
      <c r="CQ31" s="108"/>
      <c r="CR31" s="108"/>
      <c r="CS31" s="108"/>
      <c r="CT31" s="108"/>
      <c r="CU31" s="108"/>
      <c r="CV31" s="108"/>
      <c r="CW31" s="108"/>
      <c r="CX31" s="108"/>
      <c r="CY31" s="108"/>
      <c r="CZ31" s="108"/>
      <c r="DA31" s="108"/>
      <c r="DB31" s="108"/>
      <c r="DC31" s="108"/>
      <c r="DD31" s="108"/>
      <c r="DE31" s="108"/>
      <c r="DF31" s="108"/>
      <c r="DG31" s="108"/>
      <c r="DH31" s="108"/>
      <c r="DI31" s="108"/>
      <c r="DJ31" s="108"/>
      <c r="DK31" s="108"/>
      <c r="DL31" s="108"/>
      <c r="DM31" s="108"/>
      <c r="DN31" s="108"/>
      <c r="DO31" s="108"/>
      <c r="DP31" s="108"/>
      <c r="DQ31" s="108"/>
      <c r="DR31" s="108"/>
      <c r="DS31" s="108"/>
      <c r="DT31" s="108"/>
      <c r="DU31" s="108"/>
      <c r="DV31" s="108"/>
      <c r="DW31" s="108"/>
      <c r="DX31" s="108"/>
      <c r="DY31" s="108"/>
      <c r="DZ31" s="108"/>
      <c r="EA31" s="108"/>
      <c r="EB31" s="108"/>
      <c r="EC31" s="108"/>
      <c r="ED31" s="108"/>
      <c r="EE31" s="108"/>
      <c r="EF31" s="108"/>
      <c r="EG31" s="108"/>
      <c r="EH31" s="108"/>
      <c r="EI31" s="108"/>
      <c r="EJ31" s="108"/>
      <c r="EK31" s="108"/>
      <c r="EL31" s="108"/>
      <c r="EM31" s="108"/>
      <c r="EN31" s="108"/>
      <c r="EO31" s="108"/>
      <c r="EP31" s="108"/>
      <c r="EQ31" s="108"/>
      <c r="ER31" s="108"/>
      <c r="ES31" s="108"/>
      <c r="ET31" s="108"/>
      <c r="EU31" s="108"/>
      <c r="EV31" s="108"/>
      <c r="EW31" s="108"/>
      <c r="EX31" s="108"/>
      <c r="EY31" s="108"/>
      <c r="EZ31" s="108"/>
      <c r="FA31" s="108"/>
      <c r="FB31" s="108"/>
      <c r="FC31" s="108"/>
      <c r="FD31" s="108"/>
      <c r="FE31" s="108"/>
      <c r="FF31" s="108"/>
      <c r="FG31" s="108"/>
      <c r="FH31" s="108"/>
      <c r="FI31" s="108"/>
      <c r="FJ31" s="108"/>
      <c r="FK31" s="108"/>
      <c r="FL31" s="108"/>
      <c r="FM31" s="108"/>
      <c r="FN31" s="108"/>
      <c r="FO31" s="108"/>
      <c r="FP31" s="108"/>
      <c r="FQ31" s="108"/>
      <c r="FR31" s="108"/>
      <c r="FS31" s="108"/>
      <c r="FT31" s="108"/>
      <c r="FU31" s="108"/>
      <c r="FV31" s="108"/>
      <c r="FW31" s="108"/>
      <c r="FX31" s="108"/>
      <c r="FY31" s="108"/>
      <c r="FZ31" s="108"/>
      <c r="GA31" s="108"/>
      <c r="GB31" s="108"/>
      <c r="GC31" s="108"/>
      <c r="GD31" s="108"/>
      <c r="GE31" s="108"/>
      <c r="GF31" s="108"/>
      <c r="GG31" s="108"/>
      <c r="GH31" s="108"/>
      <c r="GI31" s="108"/>
      <c r="GJ31" s="108"/>
      <c r="GK31" s="108"/>
      <c r="GL31" s="108"/>
      <c r="GM31" s="108"/>
      <c r="GN31" s="108"/>
      <c r="GO31" s="108"/>
      <c r="GP31" s="108"/>
      <c r="GQ31" s="108"/>
      <c r="GR31" s="108"/>
      <c r="GS31" s="108"/>
      <c r="GT31" s="108"/>
      <c r="GU31" s="108"/>
      <c r="GV31" s="108"/>
      <c r="GW31" s="108"/>
      <c r="GX31" s="108"/>
      <c r="GY31" s="108"/>
      <c r="GZ31" s="108"/>
      <c r="HA31" s="108"/>
      <c r="HB31" s="108"/>
      <c r="HC31" s="108"/>
      <c r="HD31" s="108"/>
      <c r="HE31" s="108"/>
      <c r="HF31" s="108"/>
      <c r="HG31" s="108"/>
      <c r="HH31" s="108"/>
      <c r="HI31" s="108"/>
      <c r="HJ31" s="108"/>
      <c r="HK31" s="108"/>
      <c r="HL31" s="108"/>
      <c r="HM31" s="108"/>
      <c r="HN31" s="108"/>
      <c r="HO31" s="108"/>
      <c r="HP31" s="108"/>
      <c r="HQ31" s="108"/>
      <c r="HR31" s="108"/>
      <c r="HS31" s="108"/>
      <c r="HT31" s="108"/>
      <c r="HU31" s="108"/>
      <c r="HV31" s="108"/>
      <c r="HW31" s="108"/>
      <c r="HX31" s="108"/>
      <c r="HY31" s="108"/>
      <c r="HZ31" s="108"/>
      <c r="IA31" s="108"/>
      <c r="IB31" s="108"/>
      <c r="IC31" s="108"/>
      <c r="ID31" s="108"/>
      <c r="IE31" s="108"/>
      <c r="IF31" s="108"/>
      <c r="IG31" s="108"/>
      <c r="IH31" s="108"/>
      <c r="II31" s="108"/>
      <c r="IJ31" s="108"/>
      <c r="IK31" s="108"/>
      <c r="IL31" s="108"/>
      <c r="IM31" s="108"/>
      <c r="IN31" s="108"/>
      <c r="IO31" s="108"/>
      <c r="IP31" s="108"/>
      <c r="IQ31" s="108"/>
      <c r="IR31" s="108"/>
      <c r="IS31" s="108"/>
      <c r="IT31" s="108"/>
      <c r="IU31" s="108"/>
      <c r="IV31" s="108"/>
      <c r="IW31" s="108"/>
    </row>
    <row r="32" spans="1:257" ht="15" thickBot="1" x14ac:dyDescent="0.35">
      <c r="A32" s="158"/>
      <c r="B32" s="113" t="str">
        <f>'Sensitivity analysis'!B191</f>
        <v>Motor impairment among infants with hypoglycaemia</v>
      </c>
      <c r="C32" s="170">
        <f>'Sensitivity analysis'!G191</f>
        <v>35672.417421928956</v>
      </c>
      <c r="D32" s="171">
        <f>'Sensitivity analysis'!H191</f>
        <v>36644.453046781513</v>
      </c>
      <c r="E32" s="172">
        <f t="shared" si="0"/>
        <v>972.03562485255679</v>
      </c>
      <c r="F32" s="158"/>
      <c r="G32" s="158"/>
      <c r="H32" s="158"/>
      <c r="I32" s="173" t="s">
        <v>799</v>
      </c>
      <c r="J32" s="170">
        <v>36321.95541198815</v>
      </c>
      <c r="K32" s="175">
        <v>35994.915056722319</v>
      </c>
      <c r="L32" s="172">
        <v>327.04035526583175</v>
      </c>
      <c r="M32" s="158"/>
      <c r="N32" s="158"/>
      <c r="O32" s="108"/>
      <c r="P32" s="108"/>
      <c r="Q32" s="108"/>
      <c r="R32" s="108"/>
      <c r="S32" s="108"/>
      <c r="T32" s="108"/>
      <c r="U32" s="108"/>
      <c r="V32" s="108"/>
      <c r="W32" s="108"/>
      <c r="X32" s="108"/>
      <c r="Y32" s="108"/>
      <c r="Z32" s="108"/>
      <c r="AA32" s="108"/>
      <c r="AB32" s="108"/>
      <c r="AC32" s="108"/>
      <c r="AD32" s="108"/>
      <c r="AE32" s="108"/>
      <c r="AF32" s="108"/>
      <c r="AG32" s="108"/>
      <c r="AH32" s="108"/>
      <c r="AI32" s="108"/>
      <c r="AJ32" s="108"/>
      <c r="AK32" s="108"/>
      <c r="AL32" s="108"/>
      <c r="AM32" s="108"/>
      <c r="AN32" s="108"/>
      <c r="AO32" s="108"/>
      <c r="AP32" s="108"/>
      <c r="AQ32" s="108"/>
      <c r="AR32" s="108"/>
      <c r="AS32" s="108"/>
      <c r="AT32" s="108"/>
      <c r="AU32" s="108"/>
      <c r="AV32" s="108"/>
      <c r="AW32" s="108"/>
      <c r="AX32" s="108"/>
      <c r="AY32" s="108"/>
      <c r="AZ32" s="108"/>
      <c r="BA32" s="108"/>
      <c r="BB32" s="108"/>
      <c r="BC32" s="108"/>
      <c r="BD32" s="108"/>
      <c r="BE32" s="108"/>
      <c r="BF32" s="108"/>
      <c r="BG32" s="108"/>
      <c r="BH32" s="108"/>
      <c r="BI32" s="108"/>
      <c r="BJ32" s="108"/>
      <c r="BK32" s="108"/>
      <c r="BL32" s="108"/>
      <c r="BM32" s="108"/>
      <c r="BN32" s="108"/>
      <c r="BO32" s="108"/>
      <c r="BP32" s="108"/>
      <c r="BQ32" s="108"/>
      <c r="BR32" s="108"/>
      <c r="BS32" s="108"/>
      <c r="BT32" s="108"/>
      <c r="BU32" s="108"/>
      <c r="BV32" s="108"/>
      <c r="BW32" s="108"/>
      <c r="BX32" s="108"/>
      <c r="BY32" s="108"/>
      <c r="BZ32" s="108"/>
      <c r="CA32" s="108"/>
      <c r="CB32" s="108"/>
      <c r="CC32" s="108"/>
      <c r="CD32" s="108"/>
      <c r="CE32" s="108"/>
      <c r="CF32" s="108"/>
      <c r="CG32" s="108"/>
      <c r="CH32" s="108"/>
      <c r="CI32" s="108"/>
      <c r="CJ32" s="108"/>
      <c r="CK32" s="108"/>
      <c r="CL32" s="108"/>
      <c r="CM32" s="108"/>
      <c r="CN32" s="108"/>
      <c r="CO32" s="108"/>
      <c r="CP32" s="108"/>
      <c r="CQ32" s="108"/>
      <c r="CR32" s="108"/>
      <c r="CS32" s="108"/>
      <c r="CT32" s="108"/>
      <c r="CU32" s="108"/>
      <c r="CV32" s="108"/>
      <c r="CW32" s="108"/>
      <c r="CX32" s="108"/>
      <c r="CY32" s="108"/>
      <c r="CZ32" s="108"/>
      <c r="DA32" s="108"/>
      <c r="DB32" s="108"/>
      <c r="DC32" s="108"/>
      <c r="DD32" s="108"/>
      <c r="DE32" s="108"/>
      <c r="DF32" s="108"/>
      <c r="DG32" s="108"/>
      <c r="DH32" s="108"/>
      <c r="DI32" s="108"/>
      <c r="DJ32" s="108"/>
      <c r="DK32" s="108"/>
      <c r="DL32" s="108"/>
      <c r="DM32" s="108"/>
      <c r="DN32" s="108"/>
      <c r="DO32" s="108"/>
      <c r="DP32" s="108"/>
      <c r="DQ32" s="108"/>
      <c r="DR32" s="108"/>
      <c r="DS32" s="108"/>
      <c r="DT32" s="108"/>
      <c r="DU32" s="108"/>
      <c r="DV32" s="108"/>
      <c r="DW32" s="108"/>
      <c r="DX32" s="108"/>
      <c r="DY32" s="108"/>
      <c r="DZ32" s="108"/>
      <c r="EA32" s="108"/>
      <c r="EB32" s="108"/>
      <c r="EC32" s="108"/>
      <c r="ED32" s="108"/>
      <c r="EE32" s="108"/>
      <c r="EF32" s="108"/>
      <c r="EG32" s="108"/>
      <c r="EH32" s="108"/>
      <c r="EI32" s="108"/>
      <c r="EJ32" s="108"/>
      <c r="EK32" s="108"/>
      <c r="EL32" s="108"/>
      <c r="EM32" s="108"/>
      <c r="EN32" s="108"/>
      <c r="EO32" s="108"/>
      <c r="EP32" s="108"/>
      <c r="EQ32" s="108"/>
      <c r="ER32" s="108"/>
      <c r="ES32" s="108"/>
      <c r="ET32" s="108"/>
      <c r="EU32" s="108"/>
      <c r="EV32" s="108"/>
      <c r="EW32" s="108"/>
      <c r="EX32" s="108"/>
      <c r="EY32" s="108"/>
      <c r="EZ32" s="108"/>
      <c r="FA32" s="108"/>
      <c r="FB32" s="108"/>
      <c r="FC32" s="108"/>
      <c r="FD32" s="108"/>
      <c r="FE32" s="108"/>
      <c r="FF32" s="108"/>
      <c r="FG32" s="108"/>
      <c r="FH32" s="108"/>
      <c r="FI32" s="108"/>
      <c r="FJ32" s="108"/>
      <c r="FK32" s="108"/>
      <c r="FL32" s="108"/>
      <c r="FM32" s="108"/>
      <c r="FN32" s="108"/>
      <c r="FO32" s="108"/>
      <c r="FP32" s="108"/>
      <c r="FQ32" s="108"/>
      <c r="FR32" s="108"/>
      <c r="FS32" s="108"/>
      <c r="FT32" s="108"/>
      <c r="FU32" s="108"/>
      <c r="FV32" s="108"/>
      <c r="FW32" s="108"/>
      <c r="FX32" s="108"/>
      <c r="FY32" s="108"/>
      <c r="FZ32" s="108"/>
      <c r="GA32" s="108"/>
      <c r="GB32" s="108"/>
      <c r="GC32" s="108"/>
      <c r="GD32" s="108"/>
      <c r="GE32" s="108"/>
      <c r="GF32" s="108"/>
      <c r="GG32" s="108"/>
      <c r="GH32" s="108"/>
      <c r="GI32" s="108"/>
      <c r="GJ32" s="108"/>
      <c r="GK32" s="108"/>
      <c r="GL32" s="108"/>
      <c r="GM32" s="108"/>
      <c r="GN32" s="108"/>
      <c r="GO32" s="108"/>
      <c r="GP32" s="108"/>
      <c r="GQ32" s="108"/>
      <c r="GR32" s="108"/>
      <c r="GS32" s="108"/>
      <c r="GT32" s="108"/>
      <c r="GU32" s="108"/>
      <c r="GV32" s="108"/>
      <c r="GW32" s="108"/>
      <c r="GX32" s="108"/>
      <c r="GY32" s="108"/>
      <c r="GZ32" s="108"/>
      <c r="HA32" s="108"/>
      <c r="HB32" s="108"/>
      <c r="HC32" s="108"/>
      <c r="HD32" s="108"/>
      <c r="HE32" s="108"/>
      <c r="HF32" s="108"/>
      <c r="HG32" s="108"/>
      <c r="HH32" s="108"/>
      <c r="HI32" s="108"/>
      <c r="HJ32" s="108"/>
      <c r="HK32" s="108"/>
      <c r="HL32" s="108"/>
      <c r="HM32" s="108"/>
      <c r="HN32" s="108"/>
      <c r="HO32" s="108"/>
      <c r="HP32" s="108"/>
      <c r="HQ32" s="108"/>
      <c r="HR32" s="108"/>
      <c r="HS32" s="108"/>
      <c r="HT32" s="108"/>
      <c r="HU32" s="108"/>
      <c r="HV32" s="108"/>
      <c r="HW32" s="108"/>
      <c r="HX32" s="108"/>
      <c r="HY32" s="108"/>
      <c r="HZ32" s="108"/>
      <c r="IA32" s="108"/>
      <c r="IB32" s="108"/>
      <c r="IC32" s="108"/>
      <c r="ID32" s="108"/>
      <c r="IE32" s="108"/>
      <c r="IF32" s="108"/>
      <c r="IG32" s="108"/>
      <c r="IH32" s="108"/>
      <c r="II32" s="108"/>
      <c r="IJ32" s="108"/>
      <c r="IK32" s="108"/>
      <c r="IL32" s="108"/>
      <c r="IM32" s="108"/>
      <c r="IN32" s="108"/>
      <c r="IO32" s="108"/>
      <c r="IP32" s="108"/>
      <c r="IQ32" s="108"/>
      <c r="IR32" s="108"/>
      <c r="IS32" s="108"/>
      <c r="IT32" s="108"/>
      <c r="IU32" s="108"/>
      <c r="IV32" s="108"/>
      <c r="IW32" s="108"/>
    </row>
    <row r="33" spans="1:257" ht="15" thickBot="1" x14ac:dyDescent="0.35">
      <c r="A33" s="158"/>
      <c r="B33" s="113" t="str">
        <f>'Sensitivity analysis'!B192</f>
        <v>Motor impairment among infants without hypoglycaemia</v>
      </c>
      <c r="C33" s="170">
        <f>'Sensitivity analysis'!G192</f>
        <v>36531.577270489644</v>
      </c>
      <c r="D33" s="171">
        <f>'Sensitivity analysis'!H192</f>
        <v>35810.169333963211</v>
      </c>
      <c r="E33" s="172">
        <f t="shared" si="0"/>
        <v>721.40793652643333</v>
      </c>
      <c r="F33" s="158"/>
      <c r="G33" s="158"/>
      <c r="H33" s="158"/>
      <c r="I33" s="173" t="s">
        <v>802</v>
      </c>
      <c r="J33" s="170">
        <v>35998.487963994427</v>
      </c>
      <c r="K33" s="175">
        <v>36318.382504716006</v>
      </c>
      <c r="L33" s="172">
        <v>319.89454072157969</v>
      </c>
      <c r="M33" s="158"/>
      <c r="N33" s="158"/>
      <c r="O33" s="108"/>
      <c r="P33" s="108"/>
      <c r="Q33" s="108"/>
      <c r="R33" s="108"/>
      <c r="S33" s="108"/>
      <c r="T33" s="108"/>
      <c r="U33" s="108"/>
      <c r="V33" s="108"/>
      <c r="W33" s="108"/>
      <c r="X33" s="108"/>
      <c r="Y33" s="108"/>
      <c r="Z33" s="108"/>
      <c r="AA33" s="108"/>
      <c r="AB33" s="108"/>
      <c r="AC33" s="108"/>
      <c r="AD33" s="108"/>
      <c r="AE33" s="108"/>
      <c r="AF33" s="108"/>
      <c r="AG33" s="108"/>
      <c r="AH33" s="108"/>
      <c r="AI33" s="108"/>
      <c r="AJ33" s="108"/>
      <c r="AK33" s="108"/>
      <c r="AL33" s="108"/>
      <c r="AM33" s="108"/>
      <c r="AN33" s="108"/>
      <c r="AO33" s="108"/>
      <c r="AP33" s="108"/>
      <c r="AQ33" s="108"/>
      <c r="AR33" s="108"/>
      <c r="AS33" s="108"/>
      <c r="AT33" s="108"/>
      <c r="AU33" s="108"/>
      <c r="AV33" s="108"/>
      <c r="AW33" s="108"/>
      <c r="AX33" s="108"/>
      <c r="AY33" s="108"/>
      <c r="AZ33" s="108"/>
      <c r="BA33" s="108"/>
      <c r="BB33" s="108"/>
      <c r="BC33" s="108"/>
      <c r="BD33" s="108"/>
      <c r="BE33" s="108"/>
      <c r="BF33" s="108"/>
      <c r="BG33" s="108"/>
      <c r="BH33" s="108"/>
      <c r="BI33" s="108"/>
      <c r="BJ33" s="108"/>
      <c r="BK33" s="108"/>
      <c r="BL33" s="108"/>
      <c r="BM33" s="108"/>
      <c r="BN33" s="108"/>
      <c r="BO33" s="108"/>
      <c r="BP33" s="108"/>
      <c r="BQ33" s="108"/>
      <c r="BR33" s="108"/>
      <c r="BS33" s="108"/>
      <c r="BT33" s="108"/>
      <c r="BU33" s="108"/>
      <c r="BV33" s="108"/>
      <c r="BW33" s="108"/>
      <c r="BX33" s="108"/>
      <c r="BY33" s="108"/>
      <c r="BZ33" s="108"/>
      <c r="CA33" s="108"/>
      <c r="CB33" s="108"/>
      <c r="CC33" s="108"/>
      <c r="CD33" s="108"/>
      <c r="CE33" s="108"/>
      <c r="CF33" s="108"/>
      <c r="CG33" s="108"/>
      <c r="CH33" s="108"/>
      <c r="CI33" s="108"/>
      <c r="CJ33" s="108"/>
      <c r="CK33" s="108"/>
      <c r="CL33" s="108"/>
      <c r="CM33" s="108"/>
      <c r="CN33" s="108"/>
      <c r="CO33" s="108"/>
      <c r="CP33" s="108"/>
      <c r="CQ33" s="108"/>
      <c r="CR33" s="108"/>
      <c r="CS33" s="108"/>
      <c r="CT33" s="108"/>
      <c r="CU33" s="108"/>
      <c r="CV33" s="108"/>
      <c r="CW33" s="108"/>
      <c r="CX33" s="108"/>
      <c r="CY33" s="108"/>
      <c r="CZ33" s="108"/>
      <c r="DA33" s="108"/>
      <c r="DB33" s="108"/>
      <c r="DC33" s="108"/>
      <c r="DD33" s="108"/>
      <c r="DE33" s="108"/>
      <c r="DF33" s="108"/>
      <c r="DG33" s="108"/>
      <c r="DH33" s="108"/>
      <c r="DI33" s="108"/>
      <c r="DJ33" s="108"/>
      <c r="DK33" s="108"/>
      <c r="DL33" s="108"/>
      <c r="DM33" s="108"/>
      <c r="DN33" s="108"/>
      <c r="DO33" s="108"/>
      <c r="DP33" s="108"/>
      <c r="DQ33" s="108"/>
      <c r="DR33" s="108"/>
      <c r="DS33" s="108"/>
      <c r="DT33" s="108"/>
      <c r="DU33" s="108"/>
      <c r="DV33" s="108"/>
      <c r="DW33" s="108"/>
      <c r="DX33" s="108"/>
      <c r="DY33" s="108"/>
      <c r="DZ33" s="108"/>
      <c r="EA33" s="108"/>
      <c r="EB33" s="108"/>
      <c r="EC33" s="108"/>
      <c r="ED33" s="108"/>
      <c r="EE33" s="108"/>
      <c r="EF33" s="108"/>
      <c r="EG33" s="108"/>
      <c r="EH33" s="108"/>
      <c r="EI33" s="108"/>
      <c r="EJ33" s="108"/>
      <c r="EK33" s="108"/>
      <c r="EL33" s="108"/>
      <c r="EM33" s="108"/>
      <c r="EN33" s="108"/>
      <c r="EO33" s="108"/>
      <c r="EP33" s="108"/>
      <c r="EQ33" s="108"/>
      <c r="ER33" s="108"/>
      <c r="ES33" s="108"/>
      <c r="ET33" s="108"/>
      <c r="EU33" s="108"/>
      <c r="EV33" s="108"/>
      <c r="EW33" s="108"/>
      <c r="EX33" s="108"/>
      <c r="EY33" s="108"/>
      <c r="EZ33" s="108"/>
      <c r="FA33" s="108"/>
      <c r="FB33" s="108"/>
      <c r="FC33" s="108"/>
      <c r="FD33" s="108"/>
      <c r="FE33" s="108"/>
      <c r="FF33" s="108"/>
      <c r="FG33" s="108"/>
      <c r="FH33" s="108"/>
      <c r="FI33" s="108"/>
      <c r="FJ33" s="108"/>
      <c r="FK33" s="108"/>
      <c r="FL33" s="108"/>
      <c r="FM33" s="108"/>
      <c r="FN33" s="108"/>
      <c r="FO33" s="108"/>
      <c r="FP33" s="108"/>
      <c r="FQ33" s="108"/>
      <c r="FR33" s="108"/>
      <c r="FS33" s="108"/>
      <c r="FT33" s="108"/>
      <c r="FU33" s="108"/>
      <c r="FV33" s="108"/>
      <c r="FW33" s="108"/>
      <c r="FX33" s="108"/>
      <c r="FY33" s="108"/>
      <c r="FZ33" s="108"/>
      <c r="GA33" s="108"/>
      <c r="GB33" s="108"/>
      <c r="GC33" s="108"/>
      <c r="GD33" s="108"/>
      <c r="GE33" s="108"/>
      <c r="GF33" s="108"/>
      <c r="GG33" s="108"/>
      <c r="GH33" s="108"/>
      <c r="GI33" s="108"/>
      <c r="GJ33" s="108"/>
      <c r="GK33" s="108"/>
      <c r="GL33" s="108"/>
      <c r="GM33" s="108"/>
      <c r="GN33" s="108"/>
      <c r="GO33" s="108"/>
      <c r="GP33" s="108"/>
      <c r="GQ33" s="108"/>
      <c r="GR33" s="108"/>
      <c r="GS33" s="108"/>
      <c r="GT33" s="108"/>
      <c r="GU33" s="108"/>
      <c r="GV33" s="108"/>
      <c r="GW33" s="108"/>
      <c r="GX33" s="108"/>
      <c r="GY33" s="108"/>
      <c r="GZ33" s="108"/>
      <c r="HA33" s="108"/>
      <c r="HB33" s="108"/>
      <c r="HC33" s="108"/>
      <c r="HD33" s="108"/>
      <c r="HE33" s="108"/>
      <c r="HF33" s="108"/>
      <c r="HG33" s="108"/>
      <c r="HH33" s="108"/>
      <c r="HI33" s="108"/>
      <c r="HJ33" s="108"/>
      <c r="HK33" s="108"/>
      <c r="HL33" s="108"/>
      <c r="HM33" s="108"/>
      <c r="HN33" s="108"/>
      <c r="HO33" s="108"/>
      <c r="HP33" s="108"/>
      <c r="HQ33" s="108"/>
      <c r="HR33" s="108"/>
      <c r="HS33" s="108"/>
      <c r="HT33" s="108"/>
      <c r="HU33" s="108"/>
      <c r="HV33" s="108"/>
      <c r="HW33" s="108"/>
      <c r="HX33" s="108"/>
      <c r="HY33" s="108"/>
      <c r="HZ33" s="108"/>
      <c r="IA33" s="108"/>
      <c r="IB33" s="108"/>
      <c r="IC33" s="108"/>
      <c r="ID33" s="108"/>
      <c r="IE33" s="108"/>
      <c r="IF33" s="108"/>
      <c r="IG33" s="108"/>
      <c r="IH33" s="108"/>
      <c r="II33" s="108"/>
      <c r="IJ33" s="108"/>
      <c r="IK33" s="108"/>
      <c r="IL33" s="108"/>
      <c r="IM33" s="108"/>
      <c r="IN33" s="108"/>
      <c r="IO33" s="108"/>
      <c r="IP33" s="108"/>
      <c r="IQ33" s="108"/>
      <c r="IR33" s="108"/>
      <c r="IS33" s="108"/>
      <c r="IT33" s="108"/>
      <c r="IU33" s="108"/>
      <c r="IV33" s="108"/>
      <c r="IW33" s="108"/>
    </row>
    <row r="34" spans="1:257" ht="15" thickBot="1" x14ac:dyDescent="0.35">
      <c r="A34" s="158"/>
      <c r="B34" s="113" t="str">
        <f>'Sensitivity analysis'!B193</f>
        <v>Child support grant cost</v>
      </c>
      <c r="C34" s="170">
        <f>'Sensitivity analysis'!G193</f>
        <v>36189.084032202183</v>
      </c>
      <c r="D34" s="171">
        <f>'Sensitivity analysis'!H193</f>
        <v>36189.084032202183</v>
      </c>
      <c r="E34" s="172">
        <f t="shared" si="0"/>
        <v>0</v>
      </c>
      <c r="F34" s="158"/>
      <c r="G34" s="158"/>
      <c r="H34" s="158"/>
      <c r="I34" s="173" t="s">
        <v>824</v>
      </c>
      <c r="J34" s="170">
        <v>36220.431401545909</v>
      </c>
      <c r="K34" s="175">
        <v>36100.572144977312</v>
      </c>
      <c r="L34" s="172">
        <v>119.85925656859763</v>
      </c>
      <c r="M34" s="158"/>
      <c r="N34" s="158"/>
      <c r="O34" s="108"/>
      <c r="P34" s="108"/>
      <c r="Q34" s="108"/>
      <c r="R34" s="108"/>
      <c r="S34" s="108"/>
      <c r="T34" s="108"/>
      <c r="U34" s="108"/>
      <c r="V34" s="108"/>
      <c r="W34" s="108"/>
      <c r="X34" s="108"/>
      <c r="Y34" s="108"/>
      <c r="Z34" s="108"/>
      <c r="AA34" s="108"/>
      <c r="AB34" s="108"/>
      <c r="AC34" s="108"/>
      <c r="AD34" s="108"/>
      <c r="AE34" s="108"/>
      <c r="AF34" s="108"/>
      <c r="AG34" s="108"/>
      <c r="AH34" s="108"/>
      <c r="AI34" s="108"/>
      <c r="AJ34" s="108"/>
      <c r="AK34" s="108"/>
      <c r="AL34" s="108"/>
      <c r="AM34" s="108"/>
      <c r="AN34" s="108"/>
      <c r="AO34" s="108"/>
      <c r="AP34" s="108"/>
      <c r="AQ34" s="108"/>
      <c r="AR34" s="108"/>
      <c r="AS34" s="108"/>
      <c r="AT34" s="108"/>
      <c r="AU34" s="108"/>
      <c r="AV34" s="108"/>
      <c r="AW34" s="108"/>
      <c r="AX34" s="108"/>
      <c r="AY34" s="108"/>
      <c r="AZ34" s="108"/>
      <c r="BA34" s="108"/>
      <c r="BB34" s="108"/>
      <c r="BC34" s="108"/>
      <c r="BD34" s="108"/>
      <c r="BE34" s="108"/>
      <c r="BF34" s="108"/>
      <c r="BG34" s="108"/>
      <c r="BH34" s="108"/>
      <c r="BI34" s="108"/>
      <c r="BJ34" s="108"/>
      <c r="BK34" s="108"/>
      <c r="BL34" s="108"/>
      <c r="BM34" s="108"/>
      <c r="BN34" s="108"/>
      <c r="BO34" s="108"/>
      <c r="BP34" s="108"/>
      <c r="BQ34" s="108"/>
      <c r="BR34" s="108"/>
      <c r="BS34" s="108"/>
      <c r="BT34" s="108"/>
      <c r="BU34" s="108"/>
      <c r="BV34" s="108"/>
      <c r="BW34" s="108"/>
      <c r="BX34" s="108"/>
      <c r="BY34" s="108"/>
      <c r="BZ34" s="108"/>
      <c r="CA34" s="108"/>
      <c r="CB34" s="108"/>
      <c r="CC34" s="108"/>
      <c r="CD34" s="108"/>
      <c r="CE34" s="108"/>
      <c r="CF34" s="108"/>
      <c r="CG34" s="108"/>
      <c r="CH34" s="108"/>
      <c r="CI34" s="108"/>
      <c r="CJ34" s="108"/>
      <c r="CK34" s="108"/>
      <c r="CL34" s="108"/>
      <c r="CM34" s="108"/>
      <c r="CN34" s="108"/>
      <c r="CO34" s="108"/>
      <c r="CP34" s="108"/>
      <c r="CQ34" s="108"/>
      <c r="CR34" s="108"/>
      <c r="CS34" s="108"/>
      <c r="CT34" s="108"/>
      <c r="CU34" s="108"/>
      <c r="CV34" s="108"/>
      <c r="CW34" s="108"/>
      <c r="CX34" s="108"/>
      <c r="CY34" s="108"/>
      <c r="CZ34" s="108"/>
      <c r="DA34" s="108"/>
      <c r="DB34" s="108"/>
      <c r="DC34" s="108"/>
      <c r="DD34" s="108"/>
      <c r="DE34" s="108"/>
      <c r="DF34" s="108"/>
      <c r="DG34" s="108"/>
      <c r="DH34" s="108"/>
      <c r="DI34" s="108"/>
      <c r="DJ34" s="108"/>
      <c r="DK34" s="108"/>
      <c r="DL34" s="108"/>
      <c r="DM34" s="108"/>
      <c r="DN34" s="108"/>
      <c r="DO34" s="108"/>
      <c r="DP34" s="108"/>
      <c r="DQ34" s="108"/>
      <c r="DR34" s="108"/>
      <c r="DS34" s="108"/>
      <c r="DT34" s="108"/>
      <c r="DU34" s="108"/>
      <c r="DV34" s="108"/>
      <c r="DW34" s="108"/>
      <c r="DX34" s="108"/>
      <c r="DY34" s="108"/>
      <c r="DZ34" s="108"/>
      <c r="EA34" s="108"/>
      <c r="EB34" s="108"/>
      <c r="EC34" s="108"/>
      <c r="ED34" s="108"/>
      <c r="EE34" s="108"/>
      <c r="EF34" s="108"/>
      <c r="EG34" s="108"/>
      <c r="EH34" s="108"/>
      <c r="EI34" s="108"/>
      <c r="EJ34" s="108"/>
      <c r="EK34" s="108"/>
      <c r="EL34" s="108"/>
      <c r="EM34" s="108"/>
      <c r="EN34" s="108"/>
      <c r="EO34" s="108"/>
      <c r="EP34" s="108"/>
      <c r="EQ34" s="108"/>
      <c r="ER34" s="108"/>
      <c r="ES34" s="108"/>
      <c r="ET34" s="108"/>
      <c r="EU34" s="108"/>
      <c r="EV34" s="108"/>
      <c r="EW34" s="108"/>
      <c r="EX34" s="108"/>
      <c r="EY34" s="108"/>
      <c r="EZ34" s="108"/>
      <c r="FA34" s="108"/>
      <c r="FB34" s="108"/>
      <c r="FC34" s="108"/>
      <c r="FD34" s="108"/>
      <c r="FE34" s="108"/>
      <c r="FF34" s="108"/>
      <c r="FG34" s="108"/>
      <c r="FH34" s="108"/>
      <c r="FI34" s="108"/>
      <c r="FJ34" s="108"/>
      <c r="FK34" s="108"/>
      <c r="FL34" s="108"/>
      <c r="FM34" s="108"/>
      <c r="FN34" s="108"/>
      <c r="FO34" s="108"/>
      <c r="FP34" s="108"/>
      <c r="FQ34" s="108"/>
      <c r="FR34" s="108"/>
      <c r="FS34" s="108"/>
      <c r="FT34" s="108"/>
      <c r="FU34" s="108"/>
      <c r="FV34" s="108"/>
      <c r="FW34" s="108"/>
      <c r="FX34" s="108"/>
      <c r="FY34" s="108"/>
      <c r="FZ34" s="108"/>
      <c r="GA34" s="108"/>
      <c r="GB34" s="108"/>
      <c r="GC34" s="108"/>
      <c r="GD34" s="108"/>
      <c r="GE34" s="108"/>
      <c r="GF34" s="108"/>
      <c r="GG34" s="108"/>
      <c r="GH34" s="108"/>
      <c r="GI34" s="108"/>
      <c r="GJ34" s="108"/>
      <c r="GK34" s="108"/>
      <c r="GL34" s="108"/>
      <c r="GM34" s="108"/>
      <c r="GN34" s="108"/>
      <c r="GO34" s="108"/>
      <c r="GP34" s="108"/>
      <c r="GQ34" s="108"/>
      <c r="GR34" s="108"/>
      <c r="GS34" s="108"/>
      <c r="GT34" s="108"/>
      <c r="GU34" s="108"/>
      <c r="GV34" s="108"/>
      <c r="GW34" s="108"/>
      <c r="GX34" s="108"/>
      <c r="GY34" s="108"/>
      <c r="GZ34" s="108"/>
      <c r="HA34" s="108"/>
      <c r="HB34" s="108"/>
      <c r="HC34" s="108"/>
      <c r="HD34" s="108"/>
      <c r="HE34" s="108"/>
      <c r="HF34" s="108"/>
      <c r="HG34" s="108"/>
      <c r="HH34" s="108"/>
      <c r="HI34" s="108"/>
      <c r="HJ34" s="108"/>
      <c r="HK34" s="108"/>
      <c r="HL34" s="108"/>
      <c r="HM34" s="108"/>
      <c r="HN34" s="108"/>
      <c r="HO34" s="108"/>
      <c r="HP34" s="108"/>
      <c r="HQ34" s="108"/>
      <c r="HR34" s="108"/>
      <c r="HS34" s="108"/>
      <c r="HT34" s="108"/>
      <c r="HU34" s="108"/>
      <c r="HV34" s="108"/>
      <c r="HW34" s="108"/>
      <c r="HX34" s="108"/>
      <c r="HY34" s="108"/>
      <c r="HZ34" s="108"/>
      <c r="IA34" s="108"/>
      <c r="IB34" s="108"/>
      <c r="IC34" s="108"/>
      <c r="ID34" s="108"/>
      <c r="IE34" s="108"/>
      <c r="IF34" s="108"/>
      <c r="IG34" s="108"/>
      <c r="IH34" s="108"/>
      <c r="II34" s="108"/>
      <c r="IJ34" s="108"/>
      <c r="IK34" s="108"/>
      <c r="IL34" s="108"/>
      <c r="IM34" s="108"/>
      <c r="IN34" s="108"/>
      <c r="IO34" s="108"/>
      <c r="IP34" s="108"/>
      <c r="IQ34" s="108"/>
      <c r="IR34" s="108"/>
      <c r="IS34" s="108"/>
      <c r="IT34" s="108"/>
      <c r="IU34" s="108"/>
      <c r="IV34" s="108"/>
      <c r="IW34" s="108"/>
    </row>
    <row r="35" spans="1:257" ht="15" thickBot="1" x14ac:dyDescent="0.35">
      <c r="A35" s="158"/>
      <c r="B35" s="113" t="str">
        <f>'Sensitivity analysis'!B194</f>
        <v>Antenatal care cost</v>
      </c>
      <c r="C35" s="170">
        <f>'Sensitivity analysis'!G194</f>
        <v>36165.863127855235</v>
      </c>
      <c r="D35" s="171">
        <f>'Sensitivity analysis'!H194</f>
        <v>36151.502533755222</v>
      </c>
      <c r="E35" s="172">
        <f t="shared" si="0"/>
        <v>14.360594100013259</v>
      </c>
      <c r="F35" s="158"/>
      <c r="G35" s="158"/>
      <c r="H35" s="158"/>
      <c r="I35" s="173" t="s">
        <v>820</v>
      </c>
      <c r="J35" s="170">
        <v>36116.739177314506</v>
      </c>
      <c r="K35" s="175">
        <v>36200.131291395883</v>
      </c>
      <c r="L35" s="172">
        <v>83.392114081376349</v>
      </c>
      <c r="M35" s="158"/>
      <c r="N35" s="158"/>
      <c r="O35" s="108"/>
      <c r="P35" s="108"/>
      <c r="Q35" s="108"/>
      <c r="R35" s="108"/>
      <c r="S35" s="108"/>
      <c r="T35" s="108"/>
      <c r="U35" s="108"/>
      <c r="V35" s="108"/>
      <c r="W35" s="108"/>
      <c r="X35" s="108"/>
      <c r="Y35" s="108"/>
      <c r="Z35" s="108"/>
      <c r="AA35" s="108"/>
      <c r="AB35" s="108"/>
      <c r="AC35" s="108"/>
      <c r="AD35" s="108"/>
      <c r="AE35" s="108"/>
      <c r="AF35" s="108"/>
      <c r="AG35" s="108"/>
      <c r="AH35" s="108"/>
      <c r="AI35" s="108"/>
      <c r="AJ35" s="108"/>
      <c r="AK35" s="108"/>
      <c r="AL35" s="108"/>
      <c r="AM35" s="108"/>
      <c r="AN35" s="108"/>
      <c r="AO35" s="108"/>
      <c r="AP35" s="108"/>
      <c r="AQ35" s="108"/>
      <c r="AR35" s="108"/>
      <c r="AS35" s="108"/>
      <c r="AT35" s="108"/>
      <c r="AU35" s="108"/>
      <c r="AV35" s="108"/>
      <c r="AW35" s="108"/>
      <c r="AX35" s="108"/>
      <c r="AY35" s="108"/>
      <c r="AZ35" s="108"/>
      <c r="BA35" s="108"/>
      <c r="BB35" s="108"/>
      <c r="BC35" s="108"/>
      <c r="BD35" s="108"/>
      <c r="BE35" s="108"/>
      <c r="BF35" s="108"/>
      <c r="BG35" s="108"/>
      <c r="BH35" s="108"/>
      <c r="BI35" s="108"/>
      <c r="BJ35" s="108"/>
      <c r="BK35" s="108"/>
      <c r="BL35" s="108"/>
      <c r="BM35" s="108"/>
      <c r="BN35" s="108"/>
      <c r="BO35" s="108"/>
      <c r="BP35" s="108"/>
      <c r="BQ35" s="108"/>
      <c r="BR35" s="108"/>
      <c r="BS35" s="108"/>
      <c r="BT35" s="108"/>
      <c r="BU35" s="108"/>
      <c r="BV35" s="108"/>
      <c r="BW35" s="108"/>
      <c r="BX35" s="108"/>
      <c r="BY35" s="108"/>
      <c r="BZ35" s="108"/>
      <c r="CA35" s="108"/>
      <c r="CB35" s="108"/>
      <c r="CC35" s="108"/>
      <c r="CD35" s="108"/>
      <c r="CE35" s="108"/>
      <c r="CF35" s="108"/>
      <c r="CG35" s="108"/>
      <c r="CH35" s="108"/>
      <c r="CI35" s="108"/>
      <c r="CJ35" s="108"/>
      <c r="CK35" s="108"/>
      <c r="CL35" s="108"/>
      <c r="CM35" s="108"/>
      <c r="CN35" s="108"/>
      <c r="CO35" s="108"/>
      <c r="CP35" s="108"/>
      <c r="CQ35" s="108"/>
      <c r="CR35" s="108"/>
      <c r="CS35" s="108"/>
      <c r="CT35" s="108"/>
      <c r="CU35" s="108"/>
      <c r="CV35" s="108"/>
      <c r="CW35" s="108"/>
      <c r="CX35" s="108"/>
      <c r="CY35" s="108"/>
      <c r="CZ35" s="108"/>
      <c r="DA35" s="108"/>
      <c r="DB35" s="108"/>
      <c r="DC35" s="108"/>
      <c r="DD35" s="108"/>
      <c r="DE35" s="108"/>
      <c r="DF35" s="108"/>
      <c r="DG35" s="108"/>
      <c r="DH35" s="108"/>
      <c r="DI35" s="108"/>
      <c r="DJ35" s="108"/>
      <c r="DK35" s="108"/>
      <c r="DL35" s="108"/>
      <c r="DM35" s="108"/>
      <c r="DN35" s="108"/>
      <c r="DO35" s="108"/>
      <c r="DP35" s="108"/>
      <c r="DQ35" s="108"/>
      <c r="DR35" s="108"/>
      <c r="DS35" s="108"/>
      <c r="DT35" s="108"/>
      <c r="DU35" s="108"/>
      <c r="DV35" s="108"/>
      <c r="DW35" s="108"/>
      <c r="DX35" s="108"/>
      <c r="DY35" s="108"/>
      <c r="DZ35" s="108"/>
      <c r="EA35" s="108"/>
      <c r="EB35" s="108"/>
      <c r="EC35" s="108"/>
      <c r="ED35" s="108"/>
      <c r="EE35" s="108"/>
      <c r="EF35" s="108"/>
      <c r="EG35" s="108"/>
      <c r="EH35" s="108"/>
      <c r="EI35" s="108"/>
      <c r="EJ35" s="108"/>
      <c r="EK35" s="108"/>
      <c r="EL35" s="108"/>
      <c r="EM35" s="108"/>
      <c r="EN35" s="108"/>
      <c r="EO35" s="108"/>
      <c r="EP35" s="108"/>
      <c r="EQ35" s="108"/>
      <c r="ER35" s="108"/>
      <c r="ES35" s="108"/>
      <c r="ET35" s="108"/>
      <c r="EU35" s="108"/>
      <c r="EV35" s="108"/>
      <c r="EW35" s="108"/>
      <c r="EX35" s="108"/>
      <c r="EY35" s="108"/>
      <c r="EZ35" s="108"/>
      <c r="FA35" s="108"/>
      <c r="FB35" s="108"/>
      <c r="FC35" s="108"/>
      <c r="FD35" s="108"/>
      <c r="FE35" s="108"/>
      <c r="FF35" s="108"/>
      <c r="FG35" s="108"/>
      <c r="FH35" s="108"/>
      <c r="FI35" s="108"/>
      <c r="FJ35" s="108"/>
      <c r="FK35" s="108"/>
      <c r="FL35" s="108"/>
      <c r="FM35" s="108"/>
      <c r="FN35" s="108"/>
      <c r="FO35" s="108"/>
      <c r="FP35" s="108"/>
      <c r="FQ35" s="108"/>
      <c r="FR35" s="108"/>
      <c r="FS35" s="108"/>
      <c r="FT35" s="108"/>
      <c r="FU35" s="108"/>
      <c r="FV35" s="108"/>
      <c r="FW35" s="108"/>
      <c r="FX35" s="108"/>
      <c r="FY35" s="108"/>
      <c r="FZ35" s="108"/>
      <c r="GA35" s="108"/>
      <c r="GB35" s="108"/>
      <c r="GC35" s="108"/>
      <c r="GD35" s="108"/>
      <c r="GE35" s="108"/>
      <c r="GF35" s="108"/>
      <c r="GG35" s="108"/>
      <c r="GH35" s="108"/>
      <c r="GI35" s="108"/>
      <c r="GJ35" s="108"/>
      <c r="GK35" s="108"/>
      <c r="GL35" s="108"/>
      <c r="GM35" s="108"/>
      <c r="GN35" s="108"/>
      <c r="GO35" s="108"/>
      <c r="GP35" s="108"/>
      <c r="GQ35" s="108"/>
      <c r="GR35" s="108"/>
      <c r="GS35" s="108"/>
      <c r="GT35" s="108"/>
      <c r="GU35" s="108"/>
      <c r="GV35" s="108"/>
      <c r="GW35" s="108"/>
      <c r="GX35" s="108"/>
      <c r="GY35" s="108"/>
      <c r="GZ35" s="108"/>
      <c r="HA35" s="108"/>
      <c r="HB35" s="108"/>
      <c r="HC35" s="108"/>
      <c r="HD35" s="108"/>
      <c r="HE35" s="108"/>
      <c r="HF35" s="108"/>
      <c r="HG35" s="108"/>
      <c r="HH35" s="108"/>
      <c r="HI35" s="108"/>
      <c r="HJ35" s="108"/>
      <c r="HK35" s="108"/>
      <c r="HL35" s="108"/>
      <c r="HM35" s="108"/>
      <c r="HN35" s="108"/>
      <c r="HO35" s="108"/>
      <c r="HP35" s="108"/>
      <c r="HQ35" s="108"/>
      <c r="HR35" s="108"/>
      <c r="HS35" s="108"/>
      <c r="HT35" s="108"/>
      <c r="HU35" s="108"/>
      <c r="HV35" s="108"/>
      <c r="HW35" s="108"/>
      <c r="HX35" s="108"/>
      <c r="HY35" s="108"/>
      <c r="HZ35" s="108"/>
      <c r="IA35" s="108"/>
      <c r="IB35" s="108"/>
      <c r="IC35" s="108"/>
      <c r="ID35" s="108"/>
      <c r="IE35" s="108"/>
      <c r="IF35" s="108"/>
      <c r="IG35" s="108"/>
      <c r="IH35" s="108"/>
      <c r="II35" s="108"/>
      <c r="IJ35" s="108"/>
      <c r="IK35" s="108"/>
      <c r="IL35" s="108"/>
      <c r="IM35" s="108"/>
      <c r="IN35" s="108"/>
      <c r="IO35" s="108"/>
      <c r="IP35" s="108"/>
      <c r="IQ35" s="108"/>
      <c r="IR35" s="108"/>
      <c r="IS35" s="108"/>
      <c r="IT35" s="108"/>
      <c r="IU35" s="108"/>
      <c r="IV35" s="108"/>
      <c r="IW35" s="108"/>
    </row>
    <row r="36" spans="1:257" ht="15" thickBot="1" x14ac:dyDescent="0.35">
      <c r="A36" s="158"/>
      <c r="B36" s="113" t="str">
        <f>'Sensitivity analysis'!B195</f>
        <v>Preterm birth cost</v>
      </c>
      <c r="C36" s="170">
        <f>'Sensitivity analysis'!G195</f>
        <v>36146.632820487997</v>
      </c>
      <c r="D36" s="171">
        <f>'Sensitivity analysis'!H195</f>
        <v>36169.45082063126</v>
      </c>
      <c r="E36" s="172">
        <f t="shared" si="0"/>
        <v>22.818000143262907</v>
      </c>
      <c r="F36" s="158"/>
      <c r="G36" s="158"/>
      <c r="H36" s="158"/>
      <c r="I36" s="173" t="s">
        <v>801</v>
      </c>
      <c r="J36" s="170">
        <v>36119.097566976518</v>
      </c>
      <c r="K36" s="175">
        <v>36197.772901733959</v>
      </c>
      <c r="L36" s="172">
        <v>78.675334757441306</v>
      </c>
      <c r="M36" s="158"/>
      <c r="N36" s="158"/>
      <c r="O36" s="108"/>
      <c r="P36" s="108"/>
      <c r="Q36" s="108"/>
      <c r="R36" s="108"/>
      <c r="S36" s="108"/>
      <c r="T36" s="108"/>
      <c r="U36" s="108"/>
      <c r="V36" s="108"/>
      <c r="W36" s="108"/>
      <c r="X36" s="108"/>
      <c r="Y36" s="108"/>
      <c r="Z36" s="108"/>
      <c r="AA36" s="108"/>
      <c r="AB36" s="108"/>
      <c r="AC36" s="108"/>
      <c r="AD36" s="108"/>
      <c r="AE36" s="108"/>
      <c r="AF36" s="108"/>
      <c r="AG36" s="108"/>
      <c r="AH36" s="108"/>
      <c r="AI36" s="108"/>
      <c r="AJ36" s="108"/>
      <c r="AK36" s="108"/>
      <c r="AL36" s="108"/>
      <c r="AM36" s="108"/>
      <c r="AN36" s="108"/>
      <c r="AO36" s="108"/>
      <c r="AP36" s="108"/>
      <c r="AQ36" s="108"/>
      <c r="AR36" s="108"/>
      <c r="AS36" s="108"/>
      <c r="AT36" s="108"/>
      <c r="AU36" s="108"/>
      <c r="AV36" s="108"/>
      <c r="AW36" s="108"/>
      <c r="AX36" s="108"/>
      <c r="AY36" s="108"/>
      <c r="AZ36" s="108"/>
      <c r="BA36" s="108"/>
      <c r="BB36" s="108"/>
      <c r="BC36" s="108"/>
      <c r="BD36" s="108"/>
      <c r="BE36" s="108"/>
      <c r="BF36" s="108"/>
      <c r="BG36" s="108"/>
      <c r="BH36" s="108"/>
      <c r="BI36" s="108"/>
      <c r="BJ36" s="108"/>
      <c r="BK36" s="108"/>
      <c r="BL36" s="108"/>
      <c r="BM36" s="108"/>
      <c r="BN36" s="108"/>
      <c r="BO36" s="108"/>
      <c r="BP36" s="108"/>
      <c r="BQ36" s="108"/>
      <c r="BR36" s="108"/>
      <c r="BS36" s="108"/>
      <c r="BT36" s="108"/>
      <c r="BU36" s="108"/>
      <c r="BV36" s="108"/>
      <c r="BW36" s="108"/>
      <c r="BX36" s="108"/>
      <c r="BY36" s="108"/>
      <c r="BZ36" s="108"/>
      <c r="CA36" s="108"/>
      <c r="CB36" s="108"/>
      <c r="CC36" s="108"/>
      <c r="CD36" s="108"/>
      <c r="CE36" s="108"/>
      <c r="CF36" s="108"/>
      <c r="CG36" s="108"/>
      <c r="CH36" s="108"/>
      <c r="CI36" s="108"/>
      <c r="CJ36" s="108"/>
      <c r="CK36" s="108"/>
      <c r="CL36" s="108"/>
      <c r="CM36" s="108"/>
      <c r="CN36" s="108"/>
      <c r="CO36" s="108"/>
      <c r="CP36" s="108"/>
      <c r="CQ36" s="108"/>
      <c r="CR36" s="108"/>
      <c r="CS36" s="108"/>
      <c r="CT36" s="108"/>
      <c r="CU36" s="108"/>
      <c r="CV36" s="108"/>
      <c r="CW36" s="108"/>
      <c r="CX36" s="108"/>
      <c r="CY36" s="108"/>
      <c r="CZ36" s="108"/>
      <c r="DA36" s="108"/>
      <c r="DB36" s="108"/>
      <c r="DC36" s="108"/>
      <c r="DD36" s="108"/>
      <c r="DE36" s="108"/>
      <c r="DF36" s="108"/>
      <c r="DG36" s="108"/>
      <c r="DH36" s="108"/>
      <c r="DI36" s="108"/>
      <c r="DJ36" s="108"/>
      <c r="DK36" s="108"/>
      <c r="DL36" s="108"/>
      <c r="DM36" s="108"/>
      <c r="DN36" s="108"/>
      <c r="DO36" s="108"/>
      <c r="DP36" s="108"/>
      <c r="DQ36" s="108"/>
      <c r="DR36" s="108"/>
      <c r="DS36" s="108"/>
      <c r="DT36" s="108"/>
      <c r="DU36" s="108"/>
      <c r="DV36" s="108"/>
      <c r="DW36" s="108"/>
      <c r="DX36" s="108"/>
      <c r="DY36" s="108"/>
      <c r="DZ36" s="108"/>
      <c r="EA36" s="108"/>
      <c r="EB36" s="108"/>
      <c r="EC36" s="108"/>
      <c r="ED36" s="108"/>
      <c r="EE36" s="108"/>
      <c r="EF36" s="108"/>
      <c r="EG36" s="108"/>
      <c r="EH36" s="108"/>
      <c r="EI36" s="108"/>
      <c r="EJ36" s="108"/>
      <c r="EK36" s="108"/>
      <c r="EL36" s="108"/>
      <c r="EM36" s="108"/>
      <c r="EN36" s="108"/>
      <c r="EO36" s="108"/>
      <c r="EP36" s="108"/>
      <c r="EQ36" s="108"/>
      <c r="ER36" s="108"/>
      <c r="ES36" s="108"/>
      <c r="ET36" s="108"/>
      <c r="EU36" s="108"/>
      <c r="EV36" s="108"/>
      <c r="EW36" s="108"/>
      <c r="EX36" s="108"/>
      <c r="EY36" s="108"/>
      <c r="EZ36" s="108"/>
      <c r="FA36" s="108"/>
      <c r="FB36" s="108"/>
      <c r="FC36" s="108"/>
      <c r="FD36" s="108"/>
      <c r="FE36" s="108"/>
      <c r="FF36" s="108"/>
      <c r="FG36" s="108"/>
      <c r="FH36" s="108"/>
      <c r="FI36" s="108"/>
      <c r="FJ36" s="108"/>
      <c r="FK36" s="108"/>
      <c r="FL36" s="108"/>
      <c r="FM36" s="108"/>
      <c r="FN36" s="108"/>
      <c r="FO36" s="108"/>
      <c r="FP36" s="108"/>
      <c r="FQ36" s="108"/>
      <c r="FR36" s="108"/>
      <c r="FS36" s="108"/>
      <c r="FT36" s="108"/>
      <c r="FU36" s="108"/>
      <c r="FV36" s="108"/>
      <c r="FW36" s="108"/>
      <c r="FX36" s="108"/>
      <c r="FY36" s="108"/>
      <c r="FZ36" s="108"/>
      <c r="GA36" s="108"/>
      <c r="GB36" s="108"/>
      <c r="GC36" s="108"/>
      <c r="GD36" s="108"/>
      <c r="GE36" s="108"/>
      <c r="GF36" s="108"/>
      <c r="GG36" s="108"/>
      <c r="GH36" s="108"/>
      <c r="GI36" s="108"/>
      <c r="GJ36" s="108"/>
      <c r="GK36" s="108"/>
      <c r="GL36" s="108"/>
      <c r="GM36" s="108"/>
      <c r="GN36" s="108"/>
      <c r="GO36" s="108"/>
      <c r="GP36" s="108"/>
      <c r="GQ36" s="108"/>
      <c r="GR36" s="108"/>
      <c r="GS36" s="108"/>
      <c r="GT36" s="108"/>
      <c r="GU36" s="108"/>
      <c r="GV36" s="108"/>
      <c r="GW36" s="108"/>
      <c r="GX36" s="108"/>
      <c r="GY36" s="108"/>
      <c r="GZ36" s="108"/>
      <c r="HA36" s="108"/>
      <c r="HB36" s="108"/>
      <c r="HC36" s="108"/>
      <c r="HD36" s="108"/>
      <c r="HE36" s="108"/>
      <c r="HF36" s="108"/>
      <c r="HG36" s="108"/>
      <c r="HH36" s="108"/>
      <c r="HI36" s="108"/>
      <c r="HJ36" s="108"/>
      <c r="HK36" s="108"/>
      <c r="HL36" s="108"/>
      <c r="HM36" s="108"/>
      <c r="HN36" s="108"/>
      <c r="HO36" s="108"/>
      <c r="HP36" s="108"/>
      <c r="HQ36" s="108"/>
      <c r="HR36" s="108"/>
      <c r="HS36" s="108"/>
      <c r="HT36" s="108"/>
      <c r="HU36" s="108"/>
      <c r="HV36" s="108"/>
      <c r="HW36" s="108"/>
      <c r="HX36" s="108"/>
      <c r="HY36" s="108"/>
      <c r="HZ36" s="108"/>
      <c r="IA36" s="108"/>
      <c r="IB36" s="108"/>
      <c r="IC36" s="108"/>
      <c r="ID36" s="108"/>
      <c r="IE36" s="108"/>
      <c r="IF36" s="108"/>
      <c r="IG36" s="108"/>
      <c r="IH36" s="108"/>
      <c r="II36" s="108"/>
      <c r="IJ36" s="108"/>
      <c r="IK36" s="108"/>
      <c r="IL36" s="108"/>
      <c r="IM36" s="108"/>
      <c r="IN36" s="108"/>
      <c r="IO36" s="108"/>
      <c r="IP36" s="108"/>
      <c r="IQ36" s="108"/>
      <c r="IR36" s="108"/>
      <c r="IS36" s="108"/>
      <c r="IT36" s="108"/>
      <c r="IU36" s="108"/>
      <c r="IV36" s="108"/>
      <c r="IW36" s="108"/>
    </row>
    <row r="37" spans="1:257" ht="15" thickBot="1" x14ac:dyDescent="0.35">
      <c r="A37" s="158"/>
      <c r="B37" s="113" t="str">
        <f>'Sensitivity analysis'!B196</f>
        <v>LBW cost</v>
      </c>
      <c r="C37" s="170">
        <f>'Sensitivity analysis'!G196</f>
        <v>16759.549132432574</v>
      </c>
      <c r="D37" s="171">
        <f>'Sensitivity analysis'!H196</f>
        <v>40734.787653307838</v>
      </c>
      <c r="E37" s="172">
        <f t="shared" si="0"/>
        <v>23975.238520875264</v>
      </c>
      <c r="F37" s="158"/>
      <c r="G37" s="158"/>
      <c r="H37" s="158"/>
      <c r="I37" s="173" t="s">
        <v>795</v>
      </c>
      <c r="J37" s="170">
        <v>36124.6332152873</v>
      </c>
      <c r="K37" s="175">
        <v>36189.983785485369</v>
      </c>
      <c r="L37" s="172">
        <v>65.350570198068453</v>
      </c>
      <c r="M37" s="158"/>
      <c r="N37" s="158"/>
      <c r="O37" s="108"/>
      <c r="P37" s="108"/>
      <c r="Q37" s="108"/>
      <c r="R37" s="108"/>
      <c r="S37" s="108"/>
      <c r="T37" s="108"/>
      <c r="U37" s="108"/>
      <c r="V37" s="108"/>
      <c r="W37" s="108"/>
      <c r="X37" s="108"/>
      <c r="Y37" s="108"/>
      <c r="Z37" s="108"/>
      <c r="AA37" s="108"/>
      <c r="AB37" s="108"/>
      <c r="AC37" s="108"/>
      <c r="AD37" s="108"/>
      <c r="AE37" s="108"/>
      <c r="AF37" s="108"/>
      <c r="AG37" s="108"/>
      <c r="AH37" s="108"/>
      <c r="AI37" s="108"/>
      <c r="AJ37" s="108"/>
      <c r="AK37" s="108"/>
      <c r="AL37" s="108"/>
      <c r="AM37" s="108"/>
      <c r="AN37" s="108"/>
      <c r="AO37" s="108"/>
      <c r="AP37" s="108"/>
      <c r="AQ37" s="108"/>
      <c r="AR37" s="108"/>
      <c r="AS37" s="108"/>
      <c r="AT37" s="108"/>
      <c r="AU37" s="108"/>
      <c r="AV37" s="108"/>
      <c r="AW37" s="108"/>
      <c r="AX37" s="108"/>
      <c r="AY37" s="108"/>
      <c r="AZ37" s="108"/>
      <c r="BA37" s="108"/>
      <c r="BB37" s="108"/>
      <c r="BC37" s="108"/>
      <c r="BD37" s="108"/>
      <c r="BE37" s="108"/>
      <c r="BF37" s="108"/>
      <c r="BG37" s="108"/>
      <c r="BH37" s="108"/>
      <c r="BI37" s="108"/>
      <c r="BJ37" s="108"/>
      <c r="BK37" s="108"/>
      <c r="BL37" s="108"/>
      <c r="BM37" s="108"/>
      <c r="BN37" s="108"/>
      <c r="BO37" s="108"/>
      <c r="BP37" s="108"/>
      <c r="BQ37" s="108"/>
      <c r="BR37" s="108"/>
      <c r="BS37" s="108"/>
      <c r="BT37" s="108"/>
      <c r="BU37" s="108"/>
      <c r="BV37" s="108"/>
      <c r="BW37" s="108"/>
      <c r="BX37" s="108"/>
      <c r="BY37" s="108"/>
      <c r="BZ37" s="108"/>
      <c r="CA37" s="108"/>
      <c r="CB37" s="108"/>
      <c r="CC37" s="108"/>
      <c r="CD37" s="108"/>
      <c r="CE37" s="108"/>
      <c r="CF37" s="108"/>
      <c r="CG37" s="108"/>
      <c r="CH37" s="108"/>
      <c r="CI37" s="108"/>
      <c r="CJ37" s="108"/>
      <c r="CK37" s="108"/>
      <c r="CL37" s="108"/>
      <c r="CM37" s="108"/>
      <c r="CN37" s="108"/>
      <c r="CO37" s="108"/>
      <c r="CP37" s="108"/>
      <c r="CQ37" s="108"/>
      <c r="CR37" s="108"/>
      <c r="CS37" s="108"/>
      <c r="CT37" s="108"/>
      <c r="CU37" s="108"/>
      <c r="CV37" s="108"/>
      <c r="CW37" s="108"/>
      <c r="CX37" s="108"/>
      <c r="CY37" s="108"/>
      <c r="CZ37" s="108"/>
      <c r="DA37" s="108"/>
      <c r="DB37" s="108"/>
      <c r="DC37" s="108"/>
      <c r="DD37" s="108"/>
      <c r="DE37" s="108"/>
      <c r="DF37" s="108"/>
      <c r="DG37" s="108"/>
      <c r="DH37" s="108"/>
      <c r="DI37" s="108"/>
      <c r="DJ37" s="108"/>
      <c r="DK37" s="108"/>
      <c r="DL37" s="108"/>
      <c r="DM37" s="108"/>
      <c r="DN37" s="108"/>
      <c r="DO37" s="108"/>
      <c r="DP37" s="108"/>
      <c r="DQ37" s="108"/>
      <c r="DR37" s="108"/>
      <c r="DS37" s="108"/>
      <c r="DT37" s="108"/>
      <c r="DU37" s="108"/>
      <c r="DV37" s="108"/>
      <c r="DW37" s="108"/>
      <c r="DX37" s="108"/>
      <c r="DY37" s="108"/>
      <c r="DZ37" s="108"/>
      <c r="EA37" s="108"/>
      <c r="EB37" s="108"/>
      <c r="EC37" s="108"/>
      <c r="ED37" s="108"/>
      <c r="EE37" s="108"/>
      <c r="EF37" s="108"/>
      <c r="EG37" s="108"/>
      <c r="EH37" s="108"/>
      <c r="EI37" s="108"/>
      <c r="EJ37" s="108"/>
      <c r="EK37" s="108"/>
      <c r="EL37" s="108"/>
      <c r="EM37" s="108"/>
      <c r="EN37" s="108"/>
      <c r="EO37" s="108"/>
      <c r="EP37" s="108"/>
      <c r="EQ37" s="108"/>
      <c r="ER37" s="108"/>
      <c r="ES37" s="108"/>
      <c r="ET37" s="108"/>
      <c r="EU37" s="108"/>
      <c r="EV37" s="108"/>
      <c r="EW37" s="108"/>
      <c r="EX37" s="108"/>
      <c r="EY37" s="108"/>
      <c r="EZ37" s="108"/>
      <c r="FA37" s="108"/>
      <c r="FB37" s="108"/>
      <c r="FC37" s="108"/>
      <c r="FD37" s="108"/>
      <c r="FE37" s="108"/>
      <c r="FF37" s="108"/>
      <c r="FG37" s="108"/>
      <c r="FH37" s="108"/>
      <c r="FI37" s="108"/>
      <c r="FJ37" s="108"/>
      <c r="FK37" s="108"/>
      <c r="FL37" s="108"/>
      <c r="FM37" s="108"/>
      <c r="FN37" s="108"/>
      <c r="FO37" s="108"/>
      <c r="FP37" s="108"/>
      <c r="FQ37" s="108"/>
      <c r="FR37" s="108"/>
      <c r="FS37" s="108"/>
      <c r="FT37" s="108"/>
      <c r="FU37" s="108"/>
      <c r="FV37" s="108"/>
      <c r="FW37" s="108"/>
      <c r="FX37" s="108"/>
      <c r="FY37" s="108"/>
      <c r="FZ37" s="108"/>
      <c r="GA37" s="108"/>
      <c r="GB37" s="108"/>
      <c r="GC37" s="108"/>
      <c r="GD37" s="108"/>
      <c r="GE37" s="108"/>
      <c r="GF37" s="108"/>
      <c r="GG37" s="108"/>
      <c r="GH37" s="108"/>
      <c r="GI37" s="108"/>
      <c r="GJ37" s="108"/>
      <c r="GK37" s="108"/>
      <c r="GL37" s="108"/>
      <c r="GM37" s="108"/>
      <c r="GN37" s="108"/>
      <c r="GO37" s="108"/>
      <c r="GP37" s="108"/>
      <c r="GQ37" s="108"/>
      <c r="GR37" s="108"/>
      <c r="GS37" s="108"/>
      <c r="GT37" s="108"/>
      <c r="GU37" s="108"/>
      <c r="GV37" s="108"/>
      <c r="GW37" s="108"/>
      <c r="GX37" s="108"/>
      <c r="GY37" s="108"/>
      <c r="GZ37" s="108"/>
      <c r="HA37" s="108"/>
      <c r="HB37" s="108"/>
      <c r="HC37" s="108"/>
      <c r="HD37" s="108"/>
      <c r="HE37" s="108"/>
      <c r="HF37" s="108"/>
      <c r="HG37" s="108"/>
      <c r="HH37" s="108"/>
      <c r="HI37" s="108"/>
      <c r="HJ37" s="108"/>
      <c r="HK37" s="108"/>
      <c r="HL37" s="108"/>
      <c r="HM37" s="108"/>
      <c r="HN37" s="108"/>
      <c r="HO37" s="108"/>
      <c r="HP37" s="108"/>
      <c r="HQ37" s="108"/>
      <c r="HR37" s="108"/>
      <c r="HS37" s="108"/>
      <c r="HT37" s="108"/>
      <c r="HU37" s="108"/>
      <c r="HV37" s="108"/>
      <c r="HW37" s="108"/>
      <c r="HX37" s="108"/>
      <c r="HY37" s="108"/>
      <c r="HZ37" s="108"/>
      <c r="IA37" s="108"/>
      <c r="IB37" s="108"/>
      <c r="IC37" s="108"/>
      <c r="ID37" s="108"/>
      <c r="IE37" s="108"/>
      <c r="IF37" s="108"/>
      <c r="IG37" s="108"/>
      <c r="IH37" s="108"/>
      <c r="II37" s="108"/>
      <c r="IJ37" s="108"/>
      <c r="IK37" s="108"/>
      <c r="IL37" s="108"/>
      <c r="IM37" s="108"/>
      <c r="IN37" s="108"/>
      <c r="IO37" s="108"/>
      <c r="IP37" s="108"/>
      <c r="IQ37" s="108"/>
      <c r="IR37" s="108"/>
      <c r="IS37" s="108"/>
      <c r="IT37" s="108"/>
      <c r="IU37" s="108"/>
      <c r="IV37" s="108"/>
      <c r="IW37" s="108"/>
    </row>
    <row r="38" spans="1:257" ht="15" thickBot="1" x14ac:dyDescent="0.35">
      <c r="A38" s="158"/>
      <c r="B38" s="113" t="str">
        <f>'Sensitivity analysis'!B197</f>
        <v>Normal birth weight cost</v>
      </c>
      <c r="C38" s="170">
        <f>'Sensitivity analysis'!G197</f>
        <v>36121.325029489322</v>
      </c>
      <c r="D38" s="171">
        <f>'Sensitivity analysis'!H197</f>
        <v>35730.48737432684</v>
      </c>
      <c r="E38" s="172">
        <f t="shared" si="0"/>
        <v>390.83765516248241</v>
      </c>
      <c r="F38" s="158"/>
      <c r="G38" s="158"/>
      <c r="H38" s="158"/>
      <c r="I38" s="173" t="s">
        <v>801</v>
      </c>
      <c r="J38" s="170">
        <v>36143.256553236766</v>
      </c>
      <c r="K38" s="175">
        <v>36172.602003399166</v>
      </c>
      <c r="L38" s="172">
        <v>29.345450162400084</v>
      </c>
      <c r="M38" s="158"/>
      <c r="N38" s="158"/>
      <c r="O38" s="108"/>
      <c r="P38" s="108"/>
      <c r="Q38" s="108"/>
      <c r="R38" s="108"/>
      <c r="S38" s="108"/>
      <c r="T38" s="108"/>
      <c r="U38" s="108"/>
      <c r="V38" s="108"/>
      <c r="W38" s="108"/>
      <c r="X38" s="108"/>
      <c r="Y38" s="108"/>
      <c r="Z38" s="108"/>
      <c r="AA38" s="108"/>
      <c r="AB38" s="108"/>
      <c r="AC38" s="108"/>
      <c r="AD38" s="108"/>
      <c r="AE38" s="108"/>
      <c r="AF38" s="108"/>
      <c r="AG38" s="108"/>
      <c r="AH38" s="108"/>
      <c r="AI38" s="108"/>
      <c r="AJ38" s="108"/>
      <c r="AK38" s="108"/>
      <c r="AL38" s="108"/>
      <c r="AM38" s="108"/>
      <c r="AN38" s="108"/>
      <c r="AO38" s="108"/>
      <c r="AP38" s="108"/>
      <c r="AQ38" s="108"/>
      <c r="AR38" s="108"/>
      <c r="AS38" s="108"/>
      <c r="AT38" s="108"/>
      <c r="AU38" s="108"/>
      <c r="AV38" s="108"/>
      <c r="AW38" s="108"/>
      <c r="AX38" s="108"/>
      <c r="AY38" s="108"/>
      <c r="AZ38" s="108"/>
      <c r="BA38" s="108"/>
      <c r="BB38" s="108"/>
      <c r="BC38" s="108"/>
      <c r="BD38" s="108"/>
      <c r="BE38" s="108"/>
      <c r="BF38" s="108"/>
      <c r="BG38" s="108"/>
      <c r="BH38" s="108"/>
      <c r="BI38" s="108"/>
      <c r="BJ38" s="108"/>
      <c r="BK38" s="108"/>
      <c r="BL38" s="108"/>
      <c r="BM38" s="108"/>
      <c r="BN38" s="108"/>
      <c r="BO38" s="108"/>
      <c r="BP38" s="108"/>
      <c r="BQ38" s="108"/>
      <c r="BR38" s="108"/>
      <c r="BS38" s="108"/>
      <c r="BT38" s="108"/>
      <c r="BU38" s="108"/>
      <c r="BV38" s="108"/>
      <c r="BW38" s="108"/>
      <c r="BX38" s="108"/>
      <c r="BY38" s="108"/>
      <c r="BZ38" s="108"/>
      <c r="CA38" s="108"/>
      <c r="CB38" s="108"/>
      <c r="CC38" s="108"/>
      <c r="CD38" s="108"/>
      <c r="CE38" s="108"/>
      <c r="CF38" s="108"/>
      <c r="CG38" s="108"/>
      <c r="CH38" s="108"/>
      <c r="CI38" s="108"/>
      <c r="CJ38" s="108"/>
      <c r="CK38" s="108"/>
      <c r="CL38" s="108"/>
      <c r="CM38" s="108"/>
      <c r="CN38" s="108"/>
      <c r="CO38" s="108"/>
      <c r="CP38" s="108"/>
      <c r="CQ38" s="108"/>
      <c r="CR38" s="108"/>
      <c r="CS38" s="108"/>
      <c r="CT38" s="108"/>
      <c r="CU38" s="108"/>
      <c r="CV38" s="108"/>
      <c r="CW38" s="108"/>
      <c r="CX38" s="108"/>
      <c r="CY38" s="108"/>
      <c r="CZ38" s="108"/>
      <c r="DA38" s="108"/>
      <c r="DB38" s="108"/>
      <c r="DC38" s="108"/>
      <c r="DD38" s="108"/>
      <c r="DE38" s="108"/>
      <c r="DF38" s="108"/>
      <c r="DG38" s="108"/>
      <c r="DH38" s="108"/>
      <c r="DI38" s="108"/>
      <c r="DJ38" s="108"/>
      <c r="DK38" s="108"/>
      <c r="DL38" s="108"/>
      <c r="DM38" s="108"/>
      <c r="DN38" s="108"/>
      <c r="DO38" s="108"/>
      <c r="DP38" s="108"/>
      <c r="DQ38" s="108"/>
      <c r="DR38" s="108"/>
      <c r="DS38" s="108"/>
      <c r="DT38" s="108"/>
      <c r="DU38" s="108"/>
      <c r="DV38" s="108"/>
      <c r="DW38" s="108"/>
      <c r="DX38" s="108"/>
      <c r="DY38" s="108"/>
      <c r="DZ38" s="108"/>
      <c r="EA38" s="108"/>
      <c r="EB38" s="108"/>
      <c r="EC38" s="108"/>
      <c r="ED38" s="108"/>
      <c r="EE38" s="108"/>
      <c r="EF38" s="108"/>
      <c r="EG38" s="108"/>
      <c r="EH38" s="108"/>
      <c r="EI38" s="108"/>
      <c r="EJ38" s="108"/>
      <c r="EK38" s="108"/>
      <c r="EL38" s="108"/>
      <c r="EM38" s="108"/>
      <c r="EN38" s="108"/>
      <c r="EO38" s="108"/>
      <c r="EP38" s="108"/>
      <c r="EQ38" s="108"/>
      <c r="ER38" s="108"/>
      <c r="ES38" s="108"/>
      <c r="ET38" s="108"/>
      <c r="EU38" s="108"/>
      <c r="EV38" s="108"/>
      <c r="EW38" s="108"/>
      <c r="EX38" s="108"/>
      <c r="EY38" s="108"/>
      <c r="EZ38" s="108"/>
      <c r="FA38" s="108"/>
      <c r="FB38" s="108"/>
      <c r="FC38" s="108"/>
      <c r="FD38" s="108"/>
      <c r="FE38" s="108"/>
      <c r="FF38" s="108"/>
      <c r="FG38" s="108"/>
      <c r="FH38" s="108"/>
      <c r="FI38" s="108"/>
      <c r="FJ38" s="108"/>
      <c r="FK38" s="108"/>
      <c r="FL38" s="108"/>
      <c r="FM38" s="108"/>
      <c r="FN38" s="108"/>
      <c r="FO38" s="108"/>
      <c r="FP38" s="108"/>
      <c r="FQ38" s="108"/>
      <c r="FR38" s="108"/>
      <c r="FS38" s="108"/>
      <c r="FT38" s="108"/>
      <c r="FU38" s="108"/>
      <c r="FV38" s="108"/>
      <c r="FW38" s="108"/>
      <c r="FX38" s="108"/>
      <c r="FY38" s="108"/>
      <c r="FZ38" s="108"/>
      <c r="GA38" s="108"/>
      <c r="GB38" s="108"/>
      <c r="GC38" s="108"/>
      <c r="GD38" s="108"/>
      <c r="GE38" s="108"/>
      <c r="GF38" s="108"/>
      <c r="GG38" s="108"/>
      <c r="GH38" s="108"/>
      <c r="GI38" s="108"/>
      <c r="GJ38" s="108"/>
      <c r="GK38" s="108"/>
      <c r="GL38" s="108"/>
      <c r="GM38" s="108"/>
      <c r="GN38" s="108"/>
      <c r="GO38" s="108"/>
      <c r="GP38" s="108"/>
      <c r="GQ38" s="108"/>
      <c r="GR38" s="108"/>
      <c r="GS38" s="108"/>
      <c r="GT38" s="108"/>
      <c r="GU38" s="108"/>
      <c r="GV38" s="108"/>
      <c r="GW38" s="108"/>
      <c r="GX38" s="108"/>
      <c r="GY38" s="108"/>
      <c r="GZ38" s="108"/>
      <c r="HA38" s="108"/>
      <c r="HB38" s="108"/>
      <c r="HC38" s="108"/>
      <c r="HD38" s="108"/>
      <c r="HE38" s="108"/>
      <c r="HF38" s="108"/>
      <c r="HG38" s="108"/>
      <c r="HH38" s="108"/>
      <c r="HI38" s="108"/>
      <c r="HJ38" s="108"/>
      <c r="HK38" s="108"/>
      <c r="HL38" s="108"/>
      <c r="HM38" s="108"/>
      <c r="HN38" s="108"/>
      <c r="HO38" s="108"/>
      <c r="HP38" s="108"/>
      <c r="HQ38" s="108"/>
      <c r="HR38" s="108"/>
      <c r="HS38" s="108"/>
      <c r="HT38" s="108"/>
      <c r="HU38" s="108"/>
      <c r="HV38" s="108"/>
      <c r="HW38" s="108"/>
      <c r="HX38" s="108"/>
      <c r="HY38" s="108"/>
      <c r="HZ38" s="108"/>
      <c r="IA38" s="108"/>
      <c r="IB38" s="108"/>
      <c r="IC38" s="108"/>
      <c r="ID38" s="108"/>
      <c r="IE38" s="108"/>
      <c r="IF38" s="108"/>
      <c r="IG38" s="108"/>
      <c r="IH38" s="108"/>
      <c r="II38" s="108"/>
      <c r="IJ38" s="108"/>
      <c r="IK38" s="108"/>
      <c r="IL38" s="108"/>
      <c r="IM38" s="108"/>
      <c r="IN38" s="108"/>
      <c r="IO38" s="108"/>
      <c r="IP38" s="108"/>
      <c r="IQ38" s="108"/>
      <c r="IR38" s="108"/>
      <c r="IS38" s="108"/>
      <c r="IT38" s="108"/>
      <c r="IU38" s="108"/>
      <c r="IV38" s="108"/>
      <c r="IW38" s="108"/>
    </row>
    <row r="39" spans="1:257" ht="15" thickBot="1" x14ac:dyDescent="0.35">
      <c r="A39" s="158"/>
      <c r="B39" s="113" t="str">
        <f>'Sensitivity analysis'!B198</f>
        <v>Stillbirth cost</v>
      </c>
      <c r="C39" s="170">
        <f>'Sensitivity analysis'!G198</f>
        <v>36153.460357023549</v>
      </c>
      <c r="D39" s="171">
        <f>'Sensitivity analysis'!H198</f>
        <v>36163.410111686957</v>
      </c>
      <c r="E39" s="172">
        <f t="shared" si="0"/>
        <v>9.9497546634083847</v>
      </c>
      <c r="F39" s="158"/>
      <c r="G39" s="158"/>
      <c r="H39" s="158"/>
      <c r="I39" s="173" t="s">
        <v>823</v>
      </c>
      <c r="J39" s="170">
        <v>36144.23286475947</v>
      </c>
      <c r="K39" s="175">
        <v>36171.690779311321</v>
      </c>
      <c r="L39" s="172">
        <v>27.45791455185099</v>
      </c>
      <c r="M39" s="158"/>
      <c r="N39" s="158"/>
      <c r="O39" s="108"/>
      <c r="P39" s="108"/>
      <c r="Q39" s="108"/>
      <c r="R39" s="108"/>
      <c r="S39" s="108"/>
      <c r="T39" s="108"/>
      <c r="U39" s="108"/>
      <c r="V39" s="108"/>
      <c r="W39" s="108"/>
      <c r="X39" s="108"/>
      <c r="Y39" s="108"/>
      <c r="Z39" s="108"/>
      <c r="AA39" s="108"/>
      <c r="AB39" s="108"/>
      <c r="AC39" s="108"/>
      <c r="AD39" s="108"/>
      <c r="AE39" s="108"/>
      <c r="AF39" s="108"/>
      <c r="AG39" s="108"/>
      <c r="AH39" s="108"/>
      <c r="AI39" s="108"/>
      <c r="AJ39" s="108"/>
      <c r="AK39" s="108"/>
      <c r="AL39" s="108"/>
      <c r="AM39" s="108"/>
      <c r="AN39" s="108"/>
      <c r="AO39" s="108"/>
      <c r="AP39" s="108"/>
      <c r="AQ39" s="108"/>
      <c r="AR39" s="108"/>
      <c r="AS39" s="108"/>
      <c r="AT39" s="108"/>
      <c r="AU39" s="108"/>
      <c r="AV39" s="108"/>
      <c r="AW39" s="108"/>
      <c r="AX39" s="108"/>
      <c r="AY39" s="108"/>
      <c r="AZ39" s="108"/>
      <c r="BA39" s="108"/>
      <c r="BB39" s="108"/>
      <c r="BC39" s="108"/>
      <c r="BD39" s="108"/>
      <c r="BE39" s="108"/>
      <c r="BF39" s="108"/>
      <c r="BG39" s="108"/>
      <c r="BH39" s="108"/>
      <c r="BI39" s="108"/>
      <c r="BJ39" s="108"/>
      <c r="BK39" s="108"/>
      <c r="BL39" s="108"/>
      <c r="BM39" s="108"/>
      <c r="BN39" s="108"/>
      <c r="BO39" s="108"/>
      <c r="BP39" s="108"/>
      <c r="BQ39" s="108"/>
      <c r="BR39" s="108"/>
      <c r="BS39" s="108"/>
      <c r="BT39" s="108"/>
      <c r="BU39" s="108"/>
      <c r="BV39" s="108"/>
      <c r="BW39" s="108"/>
      <c r="BX39" s="108"/>
      <c r="BY39" s="108"/>
      <c r="BZ39" s="108"/>
      <c r="CA39" s="108"/>
      <c r="CB39" s="108"/>
      <c r="CC39" s="108"/>
      <c r="CD39" s="108"/>
      <c r="CE39" s="108"/>
      <c r="CF39" s="108"/>
      <c r="CG39" s="108"/>
      <c r="CH39" s="108"/>
      <c r="CI39" s="108"/>
      <c r="CJ39" s="108"/>
      <c r="CK39" s="108"/>
      <c r="CL39" s="108"/>
      <c r="CM39" s="108"/>
      <c r="CN39" s="108"/>
      <c r="CO39" s="108"/>
      <c r="CP39" s="108"/>
      <c r="CQ39" s="108"/>
      <c r="CR39" s="108"/>
      <c r="CS39" s="108"/>
      <c r="CT39" s="108"/>
      <c r="CU39" s="108"/>
      <c r="CV39" s="108"/>
      <c r="CW39" s="108"/>
      <c r="CX39" s="108"/>
      <c r="CY39" s="108"/>
      <c r="CZ39" s="108"/>
      <c r="DA39" s="108"/>
      <c r="DB39" s="108"/>
      <c r="DC39" s="108"/>
      <c r="DD39" s="108"/>
      <c r="DE39" s="108"/>
      <c r="DF39" s="108"/>
      <c r="DG39" s="108"/>
      <c r="DH39" s="108"/>
      <c r="DI39" s="108"/>
      <c r="DJ39" s="108"/>
      <c r="DK39" s="108"/>
      <c r="DL39" s="108"/>
      <c r="DM39" s="108"/>
      <c r="DN39" s="108"/>
      <c r="DO39" s="108"/>
      <c r="DP39" s="108"/>
      <c r="DQ39" s="108"/>
      <c r="DR39" s="108"/>
      <c r="DS39" s="108"/>
      <c r="DT39" s="108"/>
      <c r="DU39" s="108"/>
      <c r="DV39" s="108"/>
      <c r="DW39" s="108"/>
      <c r="DX39" s="108"/>
      <c r="DY39" s="108"/>
      <c r="DZ39" s="108"/>
      <c r="EA39" s="108"/>
      <c r="EB39" s="108"/>
      <c r="EC39" s="108"/>
      <c r="ED39" s="108"/>
      <c r="EE39" s="108"/>
      <c r="EF39" s="108"/>
      <c r="EG39" s="108"/>
      <c r="EH39" s="108"/>
      <c r="EI39" s="108"/>
      <c r="EJ39" s="108"/>
      <c r="EK39" s="108"/>
      <c r="EL39" s="108"/>
      <c r="EM39" s="108"/>
      <c r="EN39" s="108"/>
      <c r="EO39" s="108"/>
      <c r="EP39" s="108"/>
      <c r="EQ39" s="108"/>
      <c r="ER39" s="108"/>
      <c r="ES39" s="108"/>
      <c r="ET39" s="108"/>
      <c r="EU39" s="108"/>
      <c r="EV39" s="108"/>
      <c r="EW39" s="108"/>
      <c r="EX39" s="108"/>
      <c r="EY39" s="108"/>
      <c r="EZ39" s="108"/>
      <c r="FA39" s="108"/>
      <c r="FB39" s="108"/>
      <c r="FC39" s="108"/>
      <c r="FD39" s="108"/>
      <c r="FE39" s="108"/>
      <c r="FF39" s="108"/>
      <c r="FG39" s="108"/>
      <c r="FH39" s="108"/>
      <c r="FI39" s="108"/>
      <c r="FJ39" s="108"/>
      <c r="FK39" s="108"/>
      <c r="FL39" s="108"/>
      <c r="FM39" s="108"/>
      <c r="FN39" s="108"/>
      <c r="FO39" s="108"/>
      <c r="FP39" s="108"/>
      <c r="FQ39" s="108"/>
      <c r="FR39" s="108"/>
      <c r="FS39" s="108"/>
      <c r="FT39" s="108"/>
      <c r="FU39" s="108"/>
      <c r="FV39" s="108"/>
      <c r="FW39" s="108"/>
      <c r="FX39" s="108"/>
      <c r="FY39" s="108"/>
      <c r="FZ39" s="108"/>
      <c r="GA39" s="108"/>
      <c r="GB39" s="108"/>
      <c r="GC39" s="108"/>
      <c r="GD39" s="108"/>
      <c r="GE39" s="108"/>
      <c r="GF39" s="108"/>
      <c r="GG39" s="108"/>
      <c r="GH39" s="108"/>
      <c r="GI39" s="108"/>
      <c r="GJ39" s="108"/>
      <c r="GK39" s="108"/>
      <c r="GL39" s="108"/>
      <c r="GM39" s="108"/>
      <c r="GN39" s="108"/>
      <c r="GO39" s="108"/>
      <c r="GP39" s="108"/>
      <c r="GQ39" s="108"/>
      <c r="GR39" s="108"/>
      <c r="GS39" s="108"/>
      <c r="GT39" s="108"/>
      <c r="GU39" s="108"/>
      <c r="GV39" s="108"/>
      <c r="GW39" s="108"/>
      <c r="GX39" s="108"/>
      <c r="GY39" s="108"/>
      <c r="GZ39" s="108"/>
      <c r="HA39" s="108"/>
      <c r="HB39" s="108"/>
      <c r="HC39" s="108"/>
      <c r="HD39" s="108"/>
      <c r="HE39" s="108"/>
      <c r="HF39" s="108"/>
      <c r="HG39" s="108"/>
      <c r="HH39" s="108"/>
      <c r="HI39" s="108"/>
      <c r="HJ39" s="108"/>
      <c r="HK39" s="108"/>
      <c r="HL39" s="108"/>
      <c r="HM39" s="108"/>
      <c r="HN39" s="108"/>
      <c r="HO39" s="108"/>
      <c r="HP39" s="108"/>
      <c r="HQ39" s="108"/>
      <c r="HR39" s="108"/>
      <c r="HS39" s="108"/>
      <c r="HT39" s="108"/>
      <c r="HU39" s="108"/>
      <c r="HV39" s="108"/>
      <c r="HW39" s="108"/>
      <c r="HX39" s="108"/>
      <c r="HY39" s="108"/>
      <c r="HZ39" s="108"/>
      <c r="IA39" s="108"/>
      <c r="IB39" s="108"/>
      <c r="IC39" s="108"/>
      <c r="ID39" s="108"/>
      <c r="IE39" s="108"/>
      <c r="IF39" s="108"/>
      <c r="IG39" s="108"/>
      <c r="IH39" s="108"/>
      <c r="II39" s="108"/>
      <c r="IJ39" s="108"/>
      <c r="IK39" s="108"/>
      <c r="IL39" s="108"/>
      <c r="IM39" s="108"/>
      <c r="IN39" s="108"/>
      <c r="IO39" s="108"/>
      <c r="IP39" s="108"/>
      <c r="IQ39" s="108"/>
      <c r="IR39" s="108"/>
      <c r="IS39" s="108"/>
      <c r="IT39" s="108"/>
      <c r="IU39" s="108"/>
      <c r="IV39" s="108"/>
      <c r="IW39" s="108"/>
    </row>
    <row r="40" spans="1:257" ht="15" thickBot="1" x14ac:dyDescent="0.35">
      <c r="A40" s="158"/>
      <c r="B40" s="113" t="str">
        <f>'Sensitivity analysis'!B199</f>
        <v>RDS cost</v>
      </c>
      <c r="C40" s="170">
        <f>'Sensitivity analysis'!G199</f>
        <v>35899.8241088918</v>
      </c>
      <c r="D40" s="171">
        <f>'Sensitivity analysis'!H199</f>
        <v>36399.805618121012</v>
      </c>
      <c r="E40" s="172">
        <f t="shared" si="0"/>
        <v>499.98150922921195</v>
      </c>
      <c r="F40" s="158"/>
      <c r="G40" s="158"/>
      <c r="H40" s="158"/>
      <c r="I40" s="173" t="s">
        <v>815</v>
      </c>
      <c r="J40" s="170">
        <v>36146.632820487997</v>
      </c>
      <c r="K40" s="175">
        <v>36169.45082063126</v>
      </c>
      <c r="L40" s="172">
        <v>22.818000143262907</v>
      </c>
      <c r="M40" s="158"/>
      <c r="N40" s="158"/>
      <c r="O40" s="108"/>
      <c r="P40" s="108"/>
      <c r="Q40" s="108"/>
      <c r="R40" s="108"/>
      <c r="S40" s="108"/>
      <c r="T40" s="108"/>
      <c r="U40" s="108"/>
      <c r="V40" s="108"/>
      <c r="W40" s="108"/>
      <c r="X40" s="108"/>
      <c r="Y40" s="108"/>
      <c r="Z40" s="108"/>
      <c r="AA40" s="108"/>
      <c r="AB40" s="108"/>
      <c r="AC40" s="108"/>
      <c r="AD40" s="108"/>
      <c r="AE40" s="108"/>
      <c r="AF40" s="108"/>
      <c r="AG40" s="108"/>
      <c r="AH40" s="108"/>
      <c r="AI40" s="108"/>
      <c r="AJ40" s="108"/>
      <c r="AK40" s="108"/>
      <c r="AL40" s="108"/>
      <c r="AM40" s="108"/>
      <c r="AN40" s="108"/>
      <c r="AO40" s="108"/>
      <c r="AP40" s="108"/>
      <c r="AQ40" s="108"/>
      <c r="AR40" s="108"/>
      <c r="AS40" s="108"/>
      <c r="AT40" s="108"/>
      <c r="AU40" s="108"/>
      <c r="AV40" s="108"/>
      <c r="AW40" s="108"/>
      <c r="AX40" s="108"/>
      <c r="AY40" s="108"/>
      <c r="AZ40" s="108"/>
      <c r="BA40" s="108"/>
      <c r="BB40" s="108"/>
      <c r="BC40" s="108"/>
      <c r="BD40" s="108"/>
      <c r="BE40" s="108"/>
      <c r="BF40" s="108"/>
      <c r="BG40" s="108"/>
      <c r="BH40" s="108"/>
      <c r="BI40" s="108"/>
      <c r="BJ40" s="108"/>
      <c r="BK40" s="108"/>
      <c r="BL40" s="108"/>
      <c r="BM40" s="108"/>
      <c r="BN40" s="108"/>
      <c r="BO40" s="108"/>
      <c r="BP40" s="108"/>
      <c r="BQ40" s="108"/>
      <c r="BR40" s="108"/>
      <c r="BS40" s="108"/>
      <c r="BT40" s="108"/>
      <c r="BU40" s="108"/>
      <c r="BV40" s="108"/>
      <c r="BW40" s="108"/>
      <c r="BX40" s="108"/>
      <c r="BY40" s="108"/>
      <c r="BZ40" s="108"/>
      <c r="CA40" s="108"/>
      <c r="CB40" s="108"/>
      <c r="CC40" s="108"/>
      <c r="CD40" s="108"/>
      <c r="CE40" s="108"/>
      <c r="CF40" s="108"/>
      <c r="CG40" s="108"/>
      <c r="CH40" s="108"/>
      <c r="CI40" s="108"/>
      <c r="CJ40" s="108"/>
      <c r="CK40" s="108"/>
      <c r="CL40" s="108"/>
      <c r="CM40" s="108"/>
      <c r="CN40" s="108"/>
      <c r="CO40" s="108"/>
      <c r="CP40" s="108"/>
      <c r="CQ40" s="108"/>
      <c r="CR40" s="108"/>
      <c r="CS40" s="108"/>
      <c r="CT40" s="108"/>
      <c r="CU40" s="108"/>
      <c r="CV40" s="108"/>
      <c r="CW40" s="108"/>
      <c r="CX40" s="108"/>
      <c r="CY40" s="108"/>
      <c r="CZ40" s="108"/>
      <c r="DA40" s="108"/>
      <c r="DB40" s="108"/>
      <c r="DC40" s="108"/>
      <c r="DD40" s="108"/>
      <c r="DE40" s="108"/>
      <c r="DF40" s="108"/>
      <c r="DG40" s="108"/>
      <c r="DH40" s="108"/>
      <c r="DI40" s="108"/>
      <c r="DJ40" s="108"/>
      <c r="DK40" s="108"/>
      <c r="DL40" s="108"/>
      <c r="DM40" s="108"/>
      <c r="DN40" s="108"/>
      <c r="DO40" s="108"/>
      <c r="DP40" s="108"/>
      <c r="DQ40" s="108"/>
      <c r="DR40" s="108"/>
      <c r="DS40" s="108"/>
      <c r="DT40" s="108"/>
      <c r="DU40" s="108"/>
      <c r="DV40" s="108"/>
      <c r="DW40" s="108"/>
      <c r="DX40" s="108"/>
      <c r="DY40" s="108"/>
      <c r="DZ40" s="108"/>
      <c r="EA40" s="108"/>
      <c r="EB40" s="108"/>
      <c r="EC40" s="108"/>
      <c r="ED40" s="108"/>
      <c r="EE40" s="108"/>
      <c r="EF40" s="108"/>
      <c r="EG40" s="108"/>
      <c r="EH40" s="108"/>
      <c r="EI40" s="108"/>
      <c r="EJ40" s="108"/>
      <c r="EK40" s="108"/>
      <c r="EL40" s="108"/>
      <c r="EM40" s="108"/>
      <c r="EN40" s="108"/>
      <c r="EO40" s="108"/>
      <c r="EP40" s="108"/>
      <c r="EQ40" s="108"/>
      <c r="ER40" s="108"/>
      <c r="ES40" s="108"/>
      <c r="ET40" s="108"/>
      <c r="EU40" s="108"/>
      <c r="EV40" s="108"/>
      <c r="EW40" s="108"/>
      <c r="EX40" s="108"/>
      <c r="EY40" s="108"/>
      <c r="EZ40" s="108"/>
      <c r="FA40" s="108"/>
      <c r="FB40" s="108"/>
      <c r="FC40" s="108"/>
      <c r="FD40" s="108"/>
      <c r="FE40" s="108"/>
      <c r="FF40" s="108"/>
      <c r="FG40" s="108"/>
      <c r="FH40" s="108"/>
      <c r="FI40" s="108"/>
      <c r="FJ40" s="108"/>
      <c r="FK40" s="108"/>
      <c r="FL40" s="108"/>
      <c r="FM40" s="108"/>
      <c r="FN40" s="108"/>
      <c r="FO40" s="108"/>
      <c r="FP40" s="108"/>
      <c r="FQ40" s="108"/>
      <c r="FR40" s="108"/>
      <c r="FS40" s="108"/>
      <c r="FT40" s="108"/>
      <c r="FU40" s="108"/>
      <c r="FV40" s="108"/>
      <c r="FW40" s="108"/>
      <c r="FX40" s="108"/>
      <c r="FY40" s="108"/>
      <c r="FZ40" s="108"/>
      <c r="GA40" s="108"/>
      <c r="GB40" s="108"/>
      <c r="GC40" s="108"/>
      <c r="GD40" s="108"/>
      <c r="GE40" s="108"/>
      <c r="GF40" s="108"/>
      <c r="GG40" s="108"/>
      <c r="GH40" s="108"/>
      <c r="GI40" s="108"/>
      <c r="GJ40" s="108"/>
      <c r="GK40" s="108"/>
      <c r="GL40" s="108"/>
      <c r="GM40" s="108"/>
      <c r="GN40" s="108"/>
      <c r="GO40" s="108"/>
      <c r="GP40" s="108"/>
      <c r="GQ40" s="108"/>
      <c r="GR40" s="108"/>
      <c r="GS40" s="108"/>
      <c r="GT40" s="108"/>
      <c r="GU40" s="108"/>
      <c r="GV40" s="108"/>
      <c r="GW40" s="108"/>
      <c r="GX40" s="108"/>
      <c r="GY40" s="108"/>
      <c r="GZ40" s="108"/>
      <c r="HA40" s="108"/>
      <c r="HB40" s="108"/>
      <c r="HC40" s="108"/>
      <c r="HD40" s="108"/>
      <c r="HE40" s="108"/>
      <c r="HF40" s="108"/>
      <c r="HG40" s="108"/>
      <c r="HH40" s="108"/>
      <c r="HI40" s="108"/>
      <c r="HJ40" s="108"/>
      <c r="HK40" s="108"/>
      <c r="HL40" s="108"/>
      <c r="HM40" s="108"/>
      <c r="HN40" s="108"/>
      <c r="HO40" s="108"/>
      <c r="HP40" s="108"/>
      <c r="HQ40" s="108"/>
      <c r="HR40" s="108"/>
      <c r="HS40" s="108"/>
      <c r="HT40" s="108"/>
      <c r="HU40" s="108"/>
      <c r="HV40" s="108"/>
      <c r="HW40" s="108"/>
      <c r="HX40" s="108"/>
      <c r="HY40" s="108"/>
      <c r="HZ40" s="108"/>
      <c r="IA40" s="108"/>
      <c r="IB40" s="108"/>
      <c r="IC40" s="108"/>
      <c r="ID40" s="108"/>
      <c r="IE40" s="108"/>
      <c r="IF40" s="108"/>
      <c r="IG40" s="108"/>
      <c r="IH40" s="108"/>
      <c r="II40" s="108"/>
      <c r="IJ40" s="108"/>
      <c r="IK40" s="108"/>
      <c r="IL40" s="108"/>
      <c r="IM40" s="108"/>
      <c r="IN40" s="108"/>
      <c r="IO40" s="108"/>
      <c r="IP40" s="108"/>
      <c r="IQ40" s="108"/>
      <c r="IR40" s="108"/>
      <c r="IS40" s="108"/>
      <c r="IT40" s="108"/>
      <c r="IU40" s="108"/>
      <c r="IV40" s="108"/>
      <c r="IW40" s="108"/>
    </row>
    <row r="41" spans="1:257" ht="15" thickBot="1" x14ac:dyDescent="0.35">
      <c r="A41" s="158"/>
      <c r="B41" s="113" t="str">
        <f>'Sensitivity analysis'!B200</f>
        <v>Hypoglycaemia cost</v>
      </c>
      <c r="C41" s="170">
        <f>'Sensitivity analysis'!G200</f>
        <v>36116.739177314506</v>
      </c>
      <c r="D41" s="171">
        <f>'Sensitivity analysis'!H200</f>
        <v>36200.131291395883</v>
      </c>
      <c r="E41" s="172">
        <f t="shared" si="0"/>
        <v>83.392114081376349</v>
      </c>
      <c r="F41" s="158"/>
      <c r="G41" s="158"/>
      <c r="H41" s="158"/>
      <c r="I41" s="173" t="s">
        <v>814</v>
      </c>
      <c r="J41" s="170">
        <v>36165.863127855235</v>
      </c>
      <c r="K41" s="175">
        <v>36151.502533755222</v>
      </c>
      <c r="L41" s="172">
        <v>14.360594100013259</v>
      </c>
      <c r="M41" s="158"/>
      <c r="N41" s="158"/>
      <c r="O41" s="108"/>
      <c r="P41" s="108"/>
      <c r="Q41" s="108"/>
      <c r="R41" s="108"/>
      <c r="S41" s="108"/>
      <c r="T41" s="108"/>
      <c r="U41" s="108"/>
      <c r="V41" s="108"/>
      <c r="W41" s="108"/>
      <c r="X41" s="108"/>
      <c r="Y41" s="108"/>
      <c r="Z41" s="108"/>
      <c r="AA41" s="108"/>
      <c r="AB41" s="108"/>
      <c r="AC41" s="108"/>
      <c r="AD41" s="108"/>
      <c r="AE41" s="108"/>
      <c r="AF41" s="108"/>
      <c r="AG41" s="108"/>
      <c r="AH41" s="108"/>
      <c r="AI41" s="108"/>
      <c r="AJ41" s="108"/>
      <c r="AK41" s="108"/>
      <c r="AL41" s="108"/>
      <c r="AM41" s="108"/>
      <c r="AN41" s="108"/>
      <c r="AO41" s="108"/>
      <c r="AP41" s="108"/>
      <c r="AQ41" s="108"/>
      <c r="AR41" s="108"/>
      <c r="AS41" s="108"/>
      <c r="AT41" s="108"/>
      <c r="AU41" s="108"/>
      <c r="AV41" s="108"/>
      <c r="AW41" s="108"/>
      <c r="AX41" s="108"/>
      <c r="AY41" s="108"/>
      <c r="AZ41" s="108"/>
      <c r="BA41" s="108"/>
      <c r="BB41" s="108"/>
      <c r="BC41" s="108"/>
      <c r="BD41" s="108"/>
      <c r="BE41" s="108"/>
      <c r="BF41" s="108"/>
      <c r="BG41" s="108"/>
      <c r="BH41" s="108"/>
      <c r="BI41" s="108"/>
      <c r="BJ41" s="108"/>
      <c r="BK41" s="108"/>
      <c r="BL41" s="108"/>
      <c r="BM41" s="108"/>
      <c r="BN41" s="108"/>
      <c r="BO41" s="108"/>
      <c r="BP41" s="108"/>
      <c r="BQ41" s="108"/>
      <c r="BR41" s="108"/>
      <c r="BS41" s="108"/>
      <c r="BT41" s="108"/>
      <c r="BU41" s="108"/>
      <c r="BV41" s="108"/>
      <c r="BW41" s="108"/>
      <c r="BX41" s="108"/>
      <c r="BY41" s="108"/>
      <c r="BZ41" s="108"/>
      <c r="CA41" s="108"/>
      <c r="CB41" s="108"/>
      <c r="CC41" s="108"/>
      <c r="CD41" s="108"/>
      <c r="CE41" s="108"/>
      <c r="CF41" s="108"/>
      <c r="CG41" s="108"/>
      <c r="CH41" s="108"/>
      <c r="CI41" s="108"/>
      <c r="CJ41" s="108"/>
      <c r="CK41" s="108"/>
      <c r="CL41" s="108"/>
      <c r="CM41" s="108"/>
      <c r="CN41" s="108"/>
      <c r="CO41" s="108"/>
      <c r="CP41" s="108"/>
      <c r="CQ41" s="108"/>
      <c r="CR41" s="108"/>
      <c r="CS41" s="108"/>
      <c r="CT41" s="108"/>
      <c r="CU41" s="108"/>
      <c r="CV41" s="108"/>
      <c r="CW41" s="108"/>
      <c r="CX41" s="108"/>
      <c r="CY41" s="108"/>
      <c r="CZ41" s="108"/>
      <c r="DA41" s="108"/>
      <c r="DB41" s="108"/>
      <c r="DC41" s="108"/>
      <c r="DD41" s="108"/>
      <c r="DE41" s="108"/>
      <c r="DF41" s="108"/>
      <c r="DG41" s="108"/>
      <c r="DH41" s="108"/>
      <c r="DI41" s="108"/>
      <c r="DJ41" s="108"/>
      <c r="DK41" s="108"/>
      <c r="DL41" s="108"/>
      <c r="DM41" s="108"/>
      <c r="DN41" s="108"/>
      <c r="DO41" s="108"/>
      <c r="DP41" s="108"/>
      <c r="DQ41" s="108"/>
      <c r="DR41" s="108"/>
      <c r="DS41" s="108"/>
      <c r="DT41" s="108"/>
      <c r="DU41" s="108"/>
      <c r="DV41" s="108"/>
      <c r="DW41" s="108"/>
      <c r="DX41" s="108"/>
      <c r="DY41" s="108"/>
      <c r="DZ41" s="108"/>
      <c r="EA41" s="108"/>
      <c r="EB41" s="108"/>
      <c r="EC41" s="108"/>
      <c r="ED41" s="108"/>
      <c r="EE41" s="108"/>
      <c r="EF41" s="108"/>
      <c r="EG41" s="108"/>
      <c r="EH41" s="108"/>
      <c r="EI41" s="108"/>
      <c r="EJ41" s="108"/>
      <c r="EK41" s="108"/>
      <c r="EL41" s="108"/>
      <c r="EM41" s="108"/>
      <c r="EN41" s="108"/>
      <c r="EO41" s="108"/>
      <c r="EP41" s="108"/>
      <c r="EQ41" s="108"/>
      <c r="ER41" s="108"/>
      <c r="ES41" s="108"/>
      <c r="ET41" s="108"/>
      <c r="EU41" s="108"/>
      <c r="EV41" s="108"/>
      <c r="EW41" s="108"/>
      <c r="EX41" s="108"/>
      <c r="EY41" s="108"/>
      <c r="EZ41" s="108"/>
      <c r="FA41" s="108"/>
      <c r="FB41" s="108"/>
      <c r="FC41" s="108"/>
      <c r="FD41" s="108"/>
      <c r="FE41" s="108"/>
      <c r="FF41" s="108"/>
      <c r="FG41" s="108"/>
      <c r="FH41" s="108"/>
      <c r="FI41" s="108"/>
      <c r="FJ41" s="108"/>
      <c r="FK41" s="108"/>
      <c r="FL41" s="108"/>
      <c r="FM41" s="108"/>
      <c r="FN41" s="108"/>
      <c r="FO41" s="108"/>
      <c r="FP41" s="108"/>
      <c r="FQ41" s="108"/>
      <c r="FR41" s="108"/>
      <c r="FS41" s="108"/>
      <c r="FT41" s="108"/>
      <c r="FU41" s="108"/>
      <c r="FV41" s="108"/>
      <c r="FW41" s="108"/>
      <c r="FX41" s="108"/>
      <c r="FY41" s="108"/>
      <c r="FZ41" s="108"/>
      <c r="GA41" s="108"/>
      <c r="GB41" s="108"/>
      <c r="GC41" s="108"/>
      <c r="GD41" s="108"/>
      <c r="GE41" s="108"/>
      <c r="GF41" s="108"/>
      <c r="GG41" s="108"/>
      <c r="GH41" s="108"/>
      <c r="GI41" s="108"/>
      <c r="GJ41" s="108"/>
      <c r="GK41" s="108"/>
      <c r="GL41" s="108"/>
      <c r="GM41" s="108"/>
      <c r="GN41" s="108"/>
      <c r="GO41" s="108"/>
      <c r="GP41" s="108"/>
      <c r="GQ41" s="108"/>
      <c r="GR41" s="108"/>
      <c r="GS41" s="108"/>
      <c r="GT41" s="108"/>
      <c r="GU41" s="108"/>
      <c r="GV41" s="108"/>
      <c r="GW41" s="108"/>
      <c r="GX41" s="108"/>
      <c r="GY41" s="108"/>
      <c r="GZ41" s="108"/>
      <c r="HA41" s="108"/>
      <c r="HB41" s="108"/>
      <c r="HC41" s="108"/>
      <c r="HD41" s="108"/>
      <c r="HE41" s="108"/>
      <c r="HF41" s="108"/>
      <c r="HG41" s="108"/>
      <c r="HH41" s="108"/>
      <c r="HI41" s="108"/>
      <c r="HJ41" s="108"/>
      <c r="HK41" s="108"/>
      <c r="HL41" s="108"/>
      <c r="HM41" s="108"/>
      <c r="HN41" s="108"/>
      <c r="HO41" s="108"/>
      <c r="HP41" s="108"/>
      <c r="HQ41" s="108"/>
      <c r="HR41" s="108"/>
      <c r="HS41" s="108"/>
      <c r="HT41" s="108"/>
      <c r="HU41" s="108"/>
      <c r="HV41" s="108"/>
      <c r="HW41" s="108"/>
      <c r="HX41" s="108"/>
      <c r="HY41" s="108"/>
      <c r="HZ41" s="108"/>
      <c r="IA41" s="108"/>
      <c r="IB41" s="108"/>
      <c r="IC41" s="108"/>
      <c r="ID41" s="108"/>
      <c r="IE41" s="108"/>
      <c r="IF41" s="108"/>
      <c r="IG41" s="108"/>
      <c r="IH41" s="108"/>
      <c r="II41" s="108"/>
      <c r="IJ41" s="108"/>
      <c r="IK41" s="108"/>
      <c r="IL41" s="108"/>
      <c r="IM41" s="108"/>
      <c r="IN41" s="108"/>
      <c r="IO41" s="108"/>
      <c r="IP41" s="108"/>
      <c r="IQ41" s="108"/>
      <c r="IR41" s="108"/>
      <c r="IS41" s="108"/>
      <c r="IT41" s="108"/>
      <c r="IU41" s="108"/>
      <c r="IV41" s="108"/>
      <c r="IW41" s="108"/>
    </row>
    <row r="42" spans="1:257" ht="15" thickBot="1" x14ac:dyDescent="0.35">
      <c r="A42" s="158"/>
      <c r="B42" s="113" t="str">
        <f>'Sensitivity analysis'!B201</f>
        <v>Chronic lung disease cost</v>
      </c>
      <c r="C42" s="170">
        <f>'Sensitivity analysis'!G201</f>
        <v>35474.063487478867</v>
      </c>
      <c r="D42" s="171">
        <f>'Sensitivity analysis'!H201</f>
        <v>36797.182198106559</v>
      </c>
      <c r="E42" s="172">
        <f t="shared" si="0"/>
        <v>1323.1187106276921</v>
      </c>
      <c r="F42" s="158"/>
      <c r="G42" s="158"/>
      <c r="H42" s="158"/>
      <c r="I42" s="173" t="s">
        <v>818</v>
      </c>
      <c r="J42" s="174">
        <v>36153.460357023549</v>
      </c>
      <c r="K42" s="171">
        <v>36163.410111686957</v>
      </c>
      <c r="L42" s="172">
        <v>9.9497546634083847</v>
      </c>
      <c r="M42" s="158"/>
      <c r="N42" s="158"/>
      <c r="O42" s="108"/>
      <c r="P42" s="108"/>
      <c r="Q42" s="108"/>
      <c r="R42" s="108"/>
      <c r="S42" s="108"/>
      <c r="T42" s="108"/>
      <c r="U42" s="108"/>
      <c r="V42" s="108"/>
      <c r="W42" s="108"/>
      <c r="X42" s="108"/>
      <c r="Y42" s="108"/>
      <c r="Z42" s="108"/>
      <c r="AA42" s="108"/>
      <c r="AB42" s="108"/>
      <c r="AC42" s="108"/>
      <c r="AD42" s="108"/>
      <c r="AE42" s="108"/>
      <c r="AF42" s="108"/>
      <c r="AG42" s="108"/>
      <c r="AH42" s="108"/>
      <c r="AI42" s="108"/>
      <c r="AJ42" s="108"/>
      <c r="AK42" s="108"/>
      <c r="AL42" s="108"/>
      <c r="AM42" s="108"/>
      <c r="AN42" s="108"/>
      <c r="AO42" s="108"/>
      <c r="AP42" s="108"/>
      <c r="AQ42" s="108"/>
      <c r="AR42" s="108"/>
      <c r="AS42" s="108"/>
      <c r="AT42" s="108"/>
      <c r="AU42" s="108"/>
      <c r="AV42" s="108"/>
      <c r="AW42" s="108"/>
      <c r="AX42" s="108"/>
      <c r="AY42" s="108"/>
      <c r="AZ42" s="108"/>
      <c r="BA42" s="108"/>
      <c r="BB42" s="108"/>
      <c r="BC42" s="108"/>
      <c r="BD42" s="108"/>
      <c r="BE42" s="108"/>
      <c r="BF42" s="108"/>
      <c r="BG42" s="108"/>
      <c r="BH42" s="108"/>
      <c r="BI42" s="108"/>
      <c r="BJ42" s="108"/>
      <c r="BK42" s="108"/>
      <c r="BL42" s="108"/>
      <c r="BM42" s="108"/>
      <c r="BN42" s="108"/>
      <c r="BO42" s="108"/>
      <c r="BP42" s="108"/>
      <c r="BQ42" s="108"/>
      <c r="BR42" s="108"/>
      <c r="BS42" s="108"/>
      <c r="BT42" s="108"/>
      <c r="BU42" s="108"/>
      <c r="BV42" s="108"/>
      <c r="BW42" s="108"/>
      <c r="BX42" s="108"/>
      <c r="BY42" s="108"/>
      <c r="BZ42" s="108"/>
      <c r="CA42" s="108"/>
      <c r="CB42" s="108"/>
      <c r="CC42" s="108"/>
      <c r="CD42" s="108"/>
      <c r="CE42" s="108"/>
      <c r="CF42" s="108"/>
      <c r="CG42" s="108"/>
      <c r="CH42" s="108"/>
      <c r="CI42" s="108"/>
      <c r="CJ42" s="108"/>
      <c r="CK42" s="108"/>
      <c r="CL42" s="108"/>
      <c r="CM42" s="108"/>
      <c r="CN42" s="108"/>
      <c r="CO42" s="108"/>
      <c r="CP42" s="108"/>
      <c r="CQ42" s="108"/>
      <c r="CR42" s="108"/>
      <c r="CS42" s="108"/>
      <c r="CT42" s="108"/>
      <c r="CU42" s="108"/>
      <c r="CV42" s="108"/>
      <c r="CW42" s="108"/>
      <c r="CX42" s="108"/>
      <c r="CY42" s="108"/>
      <c r="CZ42" s="108"/>
      <c r="DA42" s="108"/>
      <c r="DB42" s="108"/>
      <c r="DC42" s="108"/>
      <c r="DD42" s="108"/>
      <c r="DE42" s="108"/>
      <c r="DF42" s="108"/>
      <c r="DG42" s="108"/>
      <c r="DH42" s="108"/>
      <c r="DI42" s="108"/>
      <c r="DJ42" s="108"/>
      <c r="DK42" s="108"/>
      <c r="DL42" s="108"/>
      <c r="DM42" s="108"/>
      <c r="DN42" s="108"/>
      <c r="DO42" s="108"/>
      <c r="DP42" s="108"/>
      <c r="DQ42" s="108"/>
      <c r="DR42" s="108"/>
      <c r="DS42" s="108"/>
      <c r="DT42" s="108"/>
      <c r="DU42" s="108"/>
      <c r="DV42" s="108"/>
      <c r="DW42" s="108"/>
      <c r="DX42" s="108"/>
      <c r="DY42" s="108"/>
      <c r="DZ42" s="108"/>
      <c r="EA42" s="108"/>
      <c r="EB42" s="108"/>
      <c r="EC42" s="108"/>
      <c r="ED42" s="108"/>
      <c r="EE42" s="108"/>
      <c r="EF42" s="108"/>
      <c r="EG42" s="108"/>
      <c r="EH42" s="108"/>
      <c r="EI42" s="108"/>
      <c r="EJ42" s="108"/>
      <c r="EK42" s="108"/>
      <c r="EL42" s="108"/>
      <c r="EM42" s="108"/>
      <c r="EN42" s="108"/>
      <c r="EO42" s="108"/>
      <c r="EP42" s="108"/>
      <c r="EQ42" s="108"/>
      <c r="ER42" s="108"/>
      <c r="ES42" s="108"/>
      <c r="ET42" s="108"/>
      <c r="EU42" s="108"/>
      <c r="EV42" s="108"/>
      <c r="EW42" s="108"/>
      <c r="EX42" s="108"/>
      <c r="EY42" s="108"/>
      <c r="EZ42" s="108"/>
      <c r="FA42" s="108"/>
      <c r="FB42" s="108"/>
      <c r="FC42" s="108"/>
      <c r="FD42" s="108"/>
      <c r="FE42" s="108"/>
      <c r="FF42" s="108"/>
      <c r="FG42" s="108"/>
      <c r="FH42" s="108"/>
      <c r="FI42" s="108"/>
      <c r="FJ42" s="108"/>
      <c r="FK42" s="108"/>
      <c r="FL42" s="108"/>
      <c r="FM42" s="108"/>
      <c r="FN42" s="108"/>
      <c r="FO42" s="108"/>
      <c r="FP42" s="108"/>
      <c r="FQ42" s="108"/>
      <c r="FR42" s="108"/>
      <c r="FS42" s="108"/>
      <c r="FT42" s="108"/>
      <c r="FU42" s="108"/>
      <c r="FV42" s="108"/>
      <c r="FW42" s="108"/>
      <c r="FX42" s="108"/>
      <c r="FY42" s="108"/>
      <c r="FZ42" s="108"/>
      <c r="GA42" s="108"/>
      <c r="GB42" s="108"/>
      <c r="GC42" s="108"/>
      <c r="GD42" s="108"/>
      <c r="GE42" s="108"/>
      <c r="GF42" s="108"/>
      <c r="GG42" s="108"/>
      <c r="GH42" s="108"/>
      <c r="GI42" s="108"/>
      <c r="GJ42" s="108"/>
      <c r="GK42" s="108"/>
      <c r="GL42" s="108"/>
      <c r="GM42" s="108"/>
      <c r="GN42" s="108"/>
      <c r="GO42" s="108"/>
      <c r="GP42" s="108"/>
      <c r="GQ42" s="108"/>
      <c r="GR42" s="108"/>
      <c r="GS42" s="108"/>
      <c r="GT42" s="108"/>
      <c r="GU42" s="108"/>
      <c r="GV42" s="108"/>
      <c r="GW42" s="108"/>
      <c r="GX42" s="108"/>
      <c r="GY42" s="108"/>
      <c r="GZ42" s="108"/>
      <c r="HA42" s="108"/>
      <c r="HB42" s="108"/>
      <c r="HC42" s="108"/>
      <c r="HD42" s="108"/>
      <c r="HE42" s="108"/>
      <c r="HF42" s="108"/>
      <c r="HG42" s="108"/>
      <c r="HH42" s="108"/>
      <c r="HI42" s="108"/>
      <c r="HJ42" s="108"/>
      <c r="HK42" s="108"/>
      <c r="HL42" s="108"/>
      <c r="HM42" s="108"/>
      <c r="HN42" s="108"/>
      <c r="HO42" s="108"/>
      <c r="HP42" s="108"/>
      <c r="HQ42" s="108"/>
      <c r="HR42" s="108"/>
      <c r="HS42" s="108"/>
      <c r="HT42" s="108"/>
      <c r="HU42" s="108"/>
      <c r="HV42" s="108"/>
      <c r="HW42" s="108"/>
      <c r="HX42" s="108"/>
      <c r="HY42" s="108"/>
      <c r="HZ42" s="108"/>
      <c r="IA42" s="108"/>
      <c r="IB42" s="108"/>
      <c r="IC42" s="108"/>
      <c r="ID42" s="108"/>
      <c r="IE42" s="108"/>
      <c r="IF42" s="108"/>
      <c r="IG42" s="108"/>
      <c r="IH42" s="108"/>
      <c r="II42" s="108"/>
      <c r="IJ42" s="108"/>
      <c r="IK42" s="108"/>
      <c r="IL42" s="108"/>
      <c r="IM42" s="108"/>
      <c r="IN42" s="108"/>
      <c r="IO42" s="108"/>
      <c r="IP42" s="108"/>
      <c r="IQ42" s="108"/>
      <c r="IR42" s="108"/>
      <c r="IS42" s="108"/>
      <c r="IT42" s="108"/>
      <c r="IU42" s="108"/>
      <c r="IV42" s="108"/>
      <c r="IW42" s="108"/>
    </row>
    <row r="43" spans="1:257" ht="15" thickBot="1" x14ac:dyDescent="0.35">
      <c r="A43" s="158"/>
      <c r="B43" s="113" t="str">
        <f>'Sensitivity analysis'!B202</f>
        <v>Motor impairment cost</v>
      </c>
      <c r="C43" s="170">
        <f>'Sensitivity analysis'!G202</f>
        <v>36157.796412951924</v>
      </c>
      <c r="D43" s="171">
        <f>'Sensitivity analysis'!H202</f>
        <v>36159.0314676649</v>
      </c>
      <c r="E43" s="172">
        <f t="shared" si="0"/>
        <v>1.2350547129753977</v>
      </c>
      <c r="F43" s="158"/>
      <c r="G43" s="158"/>
      <c r="H43" s="158"/>
      <c r="I43" s="173" t="s">
        <v>807</v>
      </c>
      <c r="J43" s="170">
        <v>36154.069349905738</v>
      </c>
      <c r="K43" s="175">
        <v>36163.916844830768</v>
      </c>
      <c r="L43" s="172">
        <v>9.8474949250303325</v>
      </c>
      <c r="M43" s="158"/>
      <c r="N43" s="158"/>
      <c r="O43" s="108"/>
      <c r="P43" s="108"/>
      <c r="Q43" s="108"/>
      <c r="R43" s="108"/>
      <c r="S43" s="108"/>
      <c r="T43" s="108"/>
      <c r="U43" s="108"/>
      <c r="V43" s="108"/>
      <c r="W43" s="108"/>
      <c r="X43" s="108"/>
      <c r="Y43" s="108"/>
      <c r="Z43" s="108"/>
      <c r="AA43" s="108"/>
      <c r="AB43" s="108"/>
      <c r="AC43" s="108"/>
      <c r="AD43" s="108"/>
      <c r="AE43" s="108"/>
      <c r="AF43" s="108"/>
      <c r="AG43" s="108"/>
      <c r="AH43" s="108"/>
      <c r="AI43" s="108"/>
      <c r="AJ43" s="108"/>
      <c r="AK43" s="108"/>
      <c r="AL43" s="108"/>
      <c r="AM43" s="108"/>
      <c r="AN43" s="108"/>
      <c r="AO43" s="108"/>
      <c r="AP43" s="108"/>
      <c r="AQ43" s="108"/>
      <c r="AR43" s="108"/>
      <c r="AS43" s="108"/>
      <c r="AT43" s="108"/>
      <c r="AU43" s="108"/>
      <c r="AV43" s="108"/>
      <c r="AW43" s="108"/>
      <c r="AX43" s="108"/>
      <c r="AY43" s="108"/>
      <c r="AZ43" s="108"/>
      <c r="BA43" s="108"/>
      <c r="BB43" s="108"/>
      <c r="BC43" s="108"/>
      <c r="BD43" s="108"/>
      <c r="BE43" s="108"/>
      <c r="BF43" s="108"/>
      <c r="BG43" s="108"/>
      <c r="BH43" s="108"/>
      <c r="BI43" s="108"/>
      <c r="BJ43" s="108"/>
      <c r="BK43" s="108"/>
      <c r="BL43" s="108"/>
      <c r="BM43" s="108"/>
      <c r="BN43" s="108"/>
      <c r="BO43" s="108"/>
      <c r="BP43" s="108"/>
      <c r="BQ43" s="108"/>
      <c r="BR43" s="108"/>
      <c r="BS43" s="108"/>
      <c r="BT43" s="108"/>
      <c r="BU43" s="108"/>
      <c r="BV43" s="108"/>
      <c r="BW43" s="108"/>
      <c r="BX43" s="108"/>
      <c r="BY43" s="108"/>
      <c r="BZ43" s="108"/>
      <c r="CA43" s="108"/>
      <c r="CB43" s="108"/>
      <c r="CC43" s="108"/>
      <c r="CD43" s="108"/>
      <c r="CE43" s="108"/>
      <c r="CF43" s="108"/>
      <c r="CG43" s="108"/>
      <c r="CH43" s="108"/>
      <c r="CI43" s="108"/>
      <c r="CJ43" s="108"/>
      <c r="CK43" s="108"/>
      <c r="CL43" s="108"/>
      <c r="CM43" s="108"/>
      <c r="CN43" s="108"/>
      <c r="CO43" s="108"/>
      <c r="CP43" s="108"/>
      <c r="CQ43" s="108"/>
      <c r="CR43" s="108"/>
      <c r="CS43" s="108"/>
      <c r="CT43" s="108"/>
      <c r="CU43" s="108"/>
      <c r="CV43" s="108"/>
      <c r="CW43" s="108"/>
      <c r="CX43" s="108"/>
      <c r="CY43" s="108"/>
      <c r="CZ43" s="108"/>
      <c r="DA43" s="108"/>
      <c r="DB43" s="108"/>
      <c r="DC43" s="108"/>
      <c r="DD43" s="108"/>
      <c r="DE43" s="108"/>
      <c r="DF43" s="108"/>
      <c r="DG43" s="108"/>
      <c r="DH43" s="108"/>
      <c r="DI43" s="108"/>
      <c r="DJ43" s="108"/>
      <c r="DK43" s="108"/>
      <c r="DL43" s="108"/>
      <c r="DM43" s="108"/>
      <c r="DN43" s="108"/>
      <c r="DO43" s="108"/>
      <c r="DP43" s="108"/>
      <c r="DQ43" s="108"/>
      <c r="DR43" s="108"/>
      <c r="DS43" s="108"/>
      <c r="DT43" s="108"/>
      <c r="DU43" s="108"/>
      <c r="DV43" s="108"/>
      <c r="DW43" s="108"/>
      <c r="DX43" s="108"/>
      <c r="DY43" s="108"/>
      <c r="DZ43" s="108"/>
      <c r="EA43" s="108"/>
      <c r="EB43" s="108"/>
      <c r="EC43" s="108"/>
      <c r="ED43" s="108"/>
      <c r="EE43" s="108"/>
      <c r="EF43" s="108"/>
      <c r="EG43" s="108"/>
      <c r="EH43" s="108"/>
      <c r="EI43" s="108"/>
      <c r="EJ43" s="108"/>
      <c r="EK43" s="108"/>
      <c r="EL43" s="108"/>
      <c r="EM43" s="108"/>
      <c r="EN43" s="108"/>
      <c r="EO43" s="108"/>
      <c r="EP43" s="108"/>
      <c r="EQ43" s="108"/>
      <c r="ER43" s="108"/>
      <c r="ES43" s="108"/>
      <c r="ET43" s="108"/>
      <c r="EU43" s="108"/>
      <c r="EV43" s="108"/>
      <c r="EW43" s="108"/>
      <c r="EX43" s="108"/>
      <c r="EY43" s="108"/>
      <c r="EZ43" s="108"/>
      <c r="FA43" s="108"/>
      <c r="FB43" s="108"/>
      <c r="FC43" s="108"/>
      <c r="FD43" s="108"/>
      <c r="FE43" s="108"/>
      <c r="FF43" s="108"/>
      <c r="FG43" s="108"/>
      <c r="FH43" s="108"/>
      <c r="FI43" s="108"/>
      <c r="FJ43" s="108"/>
      <c r="FK43" s="108"/>
      <c r="FL43" s="108"/>
      <c r="FM43" s="108"/>
      <c r="FN43" s="108"/>
      <c r="FO43" s="108"/>
      <c r="FP43" s="108"/>
      <c r="FQ43" s="108"/>
      <c r="FR43" s="108"/>
      <c r="FS43" s="108"/>
      <c r="FT43" s="108"/>
      <c r="FU43" s="108"/>
      <c r="FV43" s="108"/>
      <c r="FW43" s="108"/>
      <c r="FX43" s="108"/>
      <c r="FY43" s="108"/>
      <c r="FZ43" s="108"/>
      <c r="GA43" s="108"/>
      <c r="GB43" s="108"/>
      <c r="GC43" s="108"/>
      <c r="GD43" s="108"/>
      <c r="GE43" s="108"/>
      <c r="GF43" s="108"/>
      <c r="GG43" s="108"/>
      <c r="GH43" s="108"/>
      <c r="GI43" s="108"/>
      <c r="GJ43" s="108"/>
      <c r="GK43" s="108"/>
      <c r="GL43" s="108"/>
      <c r="GM43" s="108"/>
      <c r="GN43" s="108"/>
      <c r="GO43" s="108"/>
      <c r="GP43" s="108"/>
      <c r="GQ43" s="108"/>
      <c r="GR43" s="108"/>
      <c r="GS43" s="108"/>
      <c r="GT43" s="108"/>
      <c r="GU43" s="108"/>
      <c r="GV43" s="108"/>
      <c r="GW43" s="108"/>
      <c r="GX43" s="108"/>
      <c r="GY43" s="108"/>
      <c r="GZ43" s="108"/>
      <c r="HA43" s="108"/>
      <c r="HB43" s="108"/>
      <c r="HC43" s="108"/>
      <c r="HD43" s="108"/>
      <c r="HE43" s="108"/>
      <c r="HF43" s="108"/>
      <c r="HG43" s="108"/>
      <c r="HH43" s="108"/>
      <c r="HI43" s="108"/>
      <c r="HJ43" s="108"/>
      <c r="HK43" s="108"/>
      <c r="HL43" s="108"/>
      <c r="HM43" s="108"/>
      <c r="HN43" s="108"/>
      <c r="HO43" s="108"/>
      <c r="HP43" s="108"/>
      <c r="HQ43" s="108"/>
      <c r="HR43" s="108"/>
      <c r="HS43" s="108"/>
      <c r="HT43" s="108"/>
      <c r="HU43" s="108"/>
      <c r="HV43" s="108"/>
      <c r="HW43" s="108"/>
      <c r="HX43" s="108"/>
      <c r="HY43" s="108"/>
      <c r="HZ43" s="108"/>
      <c r="IA43" s="108"/>
      <c r="IB43" s="108"/>
      <c r="IC43" s="108"/>
      <c r="ID43" s="108"/>
      <c r="IE43" s="108"/>
      <c r="IF43" s="108"/>
      <c r="IG43" s="108"/>
      <c r="IH43" s="108"/>
      <c r="II43" s="108"/>
      <c r="IJ43" s="108"/>
      <c r="IK43" s="108"/>
      <c r="IL43" s="108"/>
      <c r="IM43" s="108"/>
      <c r="IN43" s="108"/>
      <c r="IO43" s="108"/>
      <c r="IP43" s="108"/>
      <c r="IQ43" s="108"/>
      <c r="IR43" s="108"/>
      <c r="IS43" s="108"/>
      <c r="IT43" s="108"/>
      <c r="IU43" s="108"/>
      <c r="IV43" s="108"/>
      <c r="IW43" s="108"/>
    </row>
    <row r="44" spans="1:257" ht="15" thickBot="1" x14ac:dyDescent="0.35">
      <c r="A44" s="158"/>
      <c r="B44" s="113" t="str">
        <f>'Sensitivity analysis'!B203</f>
        <v>Hospital follow-up cost</v>
      </c>
      <c r="C44" s="170">
        <f>'Sensitivity analysis'!G203</f>
        <v>36144.23286475947</v>
      </c>
      <c r="D44" s="171">
        <f>'Sensitivity analysis'!H203</f>
        <v>36171.690779311321</v>
      </c>
      <c r="E44" s="172">
        <f t="shared" si="0"/>
        <v>27.45791455185099</v>
      </c>
      <c r="F44" s="158"/>
      <c r="G44" s="158"/>
      <c r="H44" s="158"/>
      <c r="I44" s="173" t="s">
        <v>822</v>
      </c>
      <c r="J44" s="170">
        <v>36157.796412951924</v>
      </c>
      <c r="K44" s="175">
        <v>36159.0314676649</v>
      </c>
      <c r="L44" s="172">
        <v>1.2350547129753977</v>
      </c>
      <c r="M44" s="158"/>
      <c r="N44" s="158"/>
      <c r="O44" s="108"/>
      <c r="P44" s="108"/>
      <c r="Q44" s="108"/>
      <c r="R44" s="108"/>
      <c r="S44" s="108"/>
      <c r="T44" s="108"/>
      <c r="U44" s="108"/>
      <c r="V44" s="108"/>
      <c r="W44" s="108"/>
      <c r="X44" s="108"/>
      <c r="Y44" s="108"/>
      <c r="Z44" s="108"/>
      <c r="AA44" s="108"/>
      <c r="AB44" s="108"/>
      <c r="AC44" s="108"/>
      <c r="AD44" s="108"/>
      <c r="AE44" s="108"/>
      <c r="AF44" s="108"/>
      <c r="AG44" s="108"/>
      <c r="AH44" s="108"/>
      <c r="AI44" s="108"/>
      <c r="AJ44" s="108"/>
      <c r="AK44" s="108"/>
      <c r="AL44" s="108"/>
      <c r="AM44" s="108"/>
      <c r="AN44" s="108"/>
      <c r="AO44" s="108"/>
      <c r="AP44" s="108"/>
      <c r="AQ44" s="108"/>
      <c r="AR44" s="108"/>
      <c r="AS44" s="108"/>
      <c r="AT44" s="108"/>
      <c r="AU44" s="108"/>
      <c r="AV44" s="108"/>
      <c r="AW44" s="108"/>
      <c r="AX44" s="108"/>
      <c r="AY44" s="108"/>
      <c r="AZ44" s="108"/>
      <c r="BA44" s="108"/>
      <c r="BB44" s="108"/>
      <c r="BC44" s="108"/>
      <c r="BD44" s="108"/>
      <c r="BE44" s="108"/>
      <c r="BF44" s="108"/>
      <c r="BG44" s="108"/>
      <c r="BH44" s="108"/>
      <c r="BI44" s="108"/>
      <c r="BJ44" s="108"/>
      <c r="BK44" s="108"/>
      <c r="BL44" s="108"/>
      <c r="BM44" s="108"/>
      <c r="BN44" s="108"/>
      <c r="BO44" s="108"/>
      <c r="BP44" s="108"/>
      <c r="BQ44" s="108"/>
      <c r="BR44" s="108"/>
      <c r="BS44" s="108"/>
      <c r="BT44" s="108"/>
      <c r="BU44" s="108"/>
      <c r="BV44" s="108"/>
      <c r="BW44" s="108"/>
      <c r="BX44" s="108"/>
      <c r="BY44" s="108"/>
      <c r="BZ44" s="108"/>
      <c r="CA44" s="108"/>
      <c r="CB44" s="108"/>
      <c r="CC44" s="108"/>
      <c r="CD44" s="108"/>
      <c r="CE44" s="108"/>
      <c r="CF44" s="108"/>
      <c r="CG44" s="108"/>
      <c r="CH44" s="108"/>
      <c r="CI44" s="108"/>
      <c r="CJ44" s="108"/>
      <c r="CK44" s="108"/>
      <c r="CL44" s="108"/>
      <c r="CM44" s="108"/>
      <c r="CN44" s="108"/>
      <c r="CO44" s="108"/>
      <c r="CP44" s="108"/>
      <c r="CQ44" s="108"/>
      <c r="CR44" s="108"/>
      <c r="CS44" s="108"/>
      <c r="CT44" s="108"/>
      <c r="CU44" s="108"/>
      <c r="CV44" s="108"/>
      <c r="CW44" s="108"/>
      <c r="CX44" s="108"/>
      <c r="CY44" s="108"/>
      <c r="CZ44" s="108"/>
      <c r="DA44" s="108"/>
      <c r="DB44" s="108"/>
      <c r="DC44" s="108"/>
      <c r="DD44" s="108"/>
      <c r="DE44" s="108"/>
      <c r="DF44" s="108"/>
      <c r="DG44" s="108"/>
      <c r="DH44" s="108"/>
      <c r="DI44" s="108"/>
      <c r="DJ44" s="108"/>
      <c r="DK44" s="108"/>
      <c r="DL44" s="108"/>
      <c r="DM44" s="108"/>
      <c r="DN44" s="108"/>
      <c r="DO44" s="108"/>
      <c r="DP44" s="108"/>
      <c r="DQ44" s="108"/>
      <c r="DR44" s="108"/>
      <c r="DS44" s="108"/>
      <c r="DT44" s="108"/>
      <c r="DU44" s="108"/>
      <c r="DV44" s="108"/>
      <c r="DW44" s="108"/>
      <c r="DX44" s="108"/>
      <c r="DY44" s="108"/>
      <c r="DZ44" s="108"/>
      <c r="EA44" s="108"/>
      <c r="EB44" s="108"/>
      <c r="EC44" s="108"/>
      <c r="ED44" s="108"/>
      <c r="EE44" s="108"/>
      <c r="EF44" s="108"/>
      <c r="EG44" s="108"/>
      <c r="EH44" s="108"/>
      <c r="EI44" s="108"/>
      <c r="EJ44" s="108"/>
      <c r="EK44" s="108"/>
      <c r="EL44" s="108"/>
      <c r="EM44" s="108"/>
      <c r="EN44" s="108"/>
      <c r="EO44" s="108"/>
      <c r="EP44" s="108"/>
      <c r="EQ44" s="108"/>
      <c r="ER44" s="108"/>
      <c r="ES44" s="108"/>
      <c r="ET44" s="108"/>
      <c r="EU44" s="108"/>
      <c r="EV44" s="108"/>
      <c r="EW44" s="108"/>
      <c r="EX44" s="108"/>
      <c r="EY44" s="108"/>
      <c r="EZ44" s="108"/>
      <c r="FA44" s="108"/>
      <c r="FB44" s="108"/>
      <c r="FC44" s="108"/>
      <c r="FD44" s="108"/>
      <c r="FE44" s="108"/>
      <c r="FF44" s="108"/>
      <c r="FG44" s="108"/>
      <c r="FH44" s="108"/>
      <c r="FI44" s="108"/>
      <c r="FJ44" s="108"/>
      <c r="FK44" s="108"/>
      <c r="FL44" s="108"/>
      <c r="FM44" s="108"/>
      <c r="FN44" s="108"/>
      <c r="FO44" s="108"/>
      <c r="FP44" s="108"/>
      <c r="FQ44" s="108"/>
      <c r="FR44" s="108"/>
      <c r="FS44" s="108"/>
      <c r="FT44" s="108"/>
      <c r="FU44" s="108"/>
      <c r="FV44" s="108"/>
      <c r="FW44" s="108"/>
      <c r="FX44" s="108"/>
      <c r="FY44" s="108"/>
      <c r="FZ44" s="108"/>
      <c r="GA44" s="108"/>
      <c r="GB44" s="108"/>
      <c r="GC44" s="108"/>
      <c r="GD44" s="108"/>
      <c r="GE44" s="108"/>
      <c r="GF44" s="108"/>
      <c r="GG44" s="108"/>
      <c r="GH44" s="108"/>
      <c r="GI44" s="108"/>
      <c r="GJ44" s="108"/>
      <c r="GK44" s="108"/>
      <c r="GL44" s="108"/>
      <c r="GM44" s="108"/>
      <c r="GN44" s="108"/>
      <c r="GO44" s="108"/>
      <c r="GP44" s="108"/>
      <c r="GQ44" s="108"/>
      <c r="GR44" s="108"/>
      <c r="GS44" s="108"/>
      <c r="GT44" s="108"/>
      <c r="GU44" s="108"/>
      <c r="GV44" s="108"/>
      <c r="GW44" s="108"/>
      <c r="GX44" s="108"/>
      <c r="GY44" s="108"/>
      <c r="GZ44" s="108"/>
      <c r="HA44" s="108"/>
      <c r="HB44" s="108"/>
      <c r="HC44" s="108"/>
      <c r="HD44" s="108"/>
      <c r="HE44" s="108"/>
      <c r="HF44" s="108"/>
      <c r="HG44" s="108"/>
      <c r="HH44" s="108"/>
      <c r="HI44" s="108"/>
      <c r="HJ44" s="108"/>
      <c r="HK44" s="108"/>
      <c r="HL44" s="108"/>
      <c r="HM44" s="108"/>
      <c r="HN44" s="108"/>
      <c r="HO44" s="108"/>
      <c r="HP44" s="108"/>
      <c r="HQ44" s="108"/>
      <c r="HR44" s="108"/>
      <c r="HS44" s="108"/>
      <c r="HT44" s="108"/>
      <c r="HU44" s="108"/>
      <c r="HV44" s="108"/>
      <c r="HW44" s="108"/>
      <c r="HX44" s="108"/>
      <c r="HY44" s="108"/>
      <c r="HZ44" s="108"/>
      <c r="IA44" s="108"/>
      <c r="IB44" s="108"/>
      <c r="IC44" s="108"/>
      <c r="ID44" s="108"/>
      <c r="IE44" s="108"/>
      <c r="IF44" s="108"/>
      <c r="IG44" s="108"/>
      <c r="IH44" s="108"/>
      <c r="II44" s="108"/>
      <c r="IJ44" s="108"/>
      <c r="IK44" s="108"/>
      <c r="IL44" s="108"/>
      <c r="IM44" s="108"/>
      <c r="IN44" s="108"/>
      <c r="IO44" s="108"/>
      <c r="IP44" s="108"/>
      <c r="IQ44" s="108"/>
      <c r="IR44" s="108"/>
      <c r="IS44" s="108"/>
      <c r="IT44" s="108"/>
      <c r="IU44" s="108"/>
      <c r="IV44" s="108"/>
      <c r="IW44" s="108"/>
    </row>
    <row r="45" spans="1:257" x14ac:dyDescent="0.3">
      <c r="A45" s="158"/>
      <c r="B45" s="113" t="str">
        <f>'Sensitivity analysis'!B204</f>
        <v>Clinic follow-up cost</v>
      </c>
      <c r="C45" s="170">
        <f>'Sensitivity analysis'!G204</f>
        <v>36220.431401545909</v>
      </c>
      <c r="D45" s="171">
        <f>'Sensitivity analysis'!H204</f>
        <v>36100.572144977312</v>
      </c>
      <c r="E45" s="172">
        <f t="shared" si="0"/>
        <v>119.85925656859763</v>
      </c>
      <c r="F45" s="158"/>
      <c r="G45" s="158"/>
      <c r="H45" s="158"/>
      <c r="I45" s="176" t="s">
        <v>813</v>
      </c>
      <c r="J45" s="170">
        <v>36189.084032202183</v>
      </c>
      <c r="K45" s="171">
        <v>36189.084032202183</v>
      </c>
      <c r="L45" s="172">
        <v>0</v>
      </c>
      <c r="M45" s="158"/>
      <c r="N45" s="158"/>
      <c r="O45" s="108"/>
      <c r="P45" s="108"/>
      <c r="Q45" s="108"/>
      <c r="R45" s="108"/>
      <c r="S45" s="108"/>
      <c r="T45" s="108"/>
      <c r="U45" s="108"/>
      <c r="V45" s="108"/>
      <c r="W45" s="108"/>
      <c r="X45" s="108"/>
      <c r="Y45" s="108"/>
      <c r="Z45" s="108"/>
      <c r="AA45" s="108"/>
      <c r="AB45" s="108"/>
      <c r="AC45" s="108"/>
      <c r="AD45" s="108"/>
      <c r="AE45" s="108"/>
      <c r="AF45" s="108"/>
      <c r="AG45" s="108"/>
      <c r="AH45" s="108"/>
      <c r="AI45" s="108"/>
      <c r="AJ45" s="108"/>
      <c r="AK45" s="108"/>
      <c r="AL45" s="108"/>
      <c r="AM45" s="108"/>
      <c r="AN45" s="108"/>
      <c r="AO45" s="108"/>
      <c r="AP45" s="108"/>
      <c r="AQ45" s="108"/>
      <c r="AR45" s="108"/>
      <c r="AS45" s="108"/>
      <c r="AT45" s="108"/>
      <c r="AU45" s="108"/>
      <c r="AV45" s="108"/>
      <c r="AW45" s="108"/>
      <c r="AX45" s="108"/>
      <c r="AY45" s="108"/>
      <c r="AZ45" s="108"/>
      <c r="BA45" s="108"/>
      <c r="BB45" s="108"/>
      <c r="BC45" s="108"/>
      <c r="BD45" s="108"/>
      <c r="BE45" s="108"/>
      <c r="BF45" s="108"/>
      <c r="BG45" s="108"/>
      <c r="BH45" s="108"/>
      <c r="BI45" s="108"/>
      <c r="BJ45" s="108"/>
      <c r="BK45" s="108"/>
      <c r="BL45" s="108"/>
      <c r="BM45" s="108"/>
      <c r="BN45" s="108"/>
      <c r="BO45" s="108"/>
      <c r="BP45" s="108"/>
      <c r="BQ45" s="108"/>
      <c r="BR45" s="108"/>
      <c r="BS45" s="108"/>
      <c r="BT45" s="108"/>
      <c r="BU45" s="108"/>
      <c r="BV45" s="108"/>
      <c r="BW45" s="108"/>
      <c r="BX45" s="108"/>
      <c r="BY45" s="108"/>
      <c r="BZ45" s="108"/>
      <c r="CA45" s="108"/>
      <c r="CB45" s="108"/>
      <c r="CC45" s="108"/>
      <c r="CD45" s="108"/>
      <c r="CE45" s="108"/>
      <c r="CF45" s="108"/>
      <c r="CG45" s="108"/>
      <c r="CH45" s="108"/>
      <c r="CI45" s="108"/>
      <c r="CJ45" s="108"/>
      <c r="CK45" s="108"/>
      <c r="CL45" s="108"/>
      <c r="CM45" s="108"/>
      <c r="CN45" s="108"/>
      <c r="CO45" s="108"/>
      <c r="CP45" s="108"/>
      <c r="CQ45" s="108"/>
      <c r="CR45" s="108"/>
      <c r="CS45" s="108"/>
      <c r="CT45" s="108"/>
      <c r="CU45" s="108"/>
      <c r="CV45" s="108"/>
      <c r="CW45" s="108"/>
      <c r="CX45" s="108"/>
      <c r="CY45" s="108"/>
      <c r="CZ45" s="108"/>
      <c r="DA45" s="108"/>
      <c r="DB45" s="108"/>
      <c r="DC45" s="108"/>
      <c r="DD45" s="108"/>
      <c r="DE45" s="108"/>
      <c r="DF45" s="108"/>
      <c r="DG45" s="108"/>
      <c r="DH45" s="108"/>
      <c r="DI45" s="108"/>
      <c r="DJ45" s="108"/>
      <c r="DK45" s="108"/>
      <c r="DL45" s="108"/>
      <c r="DM45" s="108"/>
      <c r="DN45" s="108"/>
      <c r="DO45" s="108"/>
      <c r="DP45" s="108"/>
      <c r="DQ45" s="108"/>
      <c r="DR45" s="108"/>
      <c r="DS45" s="108"/>
      <c r="DT45" s="108"/>
      <c r="DU45" s="108"/>
      <c r="DV45" s="108"/>
      <c r="DW45" s="108"/>
      <c r="DX45" s="108"/>
      <c r="DY45" s="108"/>
      <c r="DZ45" s="108"/>
      <c r="EA45" s="108"/>
      <c r="EB45" s="108"/>
      <c r="EC45" s="108"/>
      <c r="ED45" s="108"/>
      <c r="EE45" s="108"/>
      <c r="EF45" s="108"/>
      <c r="EG45" s="108"/>
      <c r="EH45" s="108"/>
      <c r="EI45" s="108"/>
      <c r="EJ45" s="108"/>
      <c r="EK45" s="108"/>
      <c r="EL45" s="108"/>
      <c r="EM45" s="108"/>
      <c r="EN45" s="108"/>
      <c r="EO45" s="108"/>
      <c r="EP45" s="108"/>
      <c r="EQ45" s="108"/>
      <c r="ER45" s="108"/>
      <c r="ES45" s="108"/>
      <c r="ET45" s="108"/>
      <c r="EU45" s="108"/>
      <c r="EV45" s="108"/>
      <c r="EW45" s="108"/>
      <c r="EX45" s="108"/>
      <c r="EY45" s="108"/>
      <c r="EZ45" s="108"/>
      <c r="FA45" s="108"/>
      <c r="FB45" s="108"/>
      <c r="FC45" s="108"/>
      <c r="FD45" s="108"/>
      <c r="FE45" s="108"/>
      <c r="FF45" s="108"/>
      <c r="FG45" s="108"/>
      <c r="FH45" s="108"/>
      <c r="FI45" s="108"/>
      <c r="FJ45" s="108"/>
      <c r="FK45" s="108"/>
      <c r="FL45" s="108"/>
      <c r="FM45" s="108"/>
      <c r="FN45" s="108"/>
      <c r="FO45" s="108"/>
      <c r="FP45" s="108"/>
      <c r="FQ45" s="108"/>
      <c r="FR45" s="108"/>
      <c r="FS45" s="108"/>
      <c r="FT45" s="108"/>
      <c r="FU45" s="108"/>
      <c r="FV45" s="108"/>
      <c r="FW45" s="108"/>
      <c r="FX45" s="108"/>
      <c r="FY45" s="108"/>
      <c r="FZ45" s="108"/>
      <c r="GA45" s="108"/>
      <c r="GB45" s="108"/>
      <c r="GC45" s="108"/>
      <c r="GD45" s="108"/>
      <c r="GE45" s="108"/>
      <c r="GF45" s="108"/>
      <c r="GG45" s="108"/>
      <c r="GH45" s="108"/>
      <c r="GI45" s="108"/>
      <c r="GJ45" s="108"/>
      <c r="GK45" s="108"/>
      <c r="GL45" s="108"/>
      <c r="GM45" s="108"/>
      <c r="GN45" s="108"/>
      <c r="GO45" s="108"/>
      <c r="GP45" s="108"/>
      <c r="GQ45" s="108"/>
      <c r="GR45" s="108"/>
      <c r="GS45" s="108"/>
      <c r="GT45" s="108"/>
      <c r="GU45" s="108"/>
      <c r="GV45" s="108"/>
      <c r="GW45" s="108"/>
      <c r="GX45" s="108"/>
      <c r="GY45" s="108"/>
      <c r="GZ45" s="108"/>
      <c r="HA45" s="108"/>
      <c r="HB45" s="108"/>
      <c r="HC45" s="108"/>
      <c r="HD45" s="108"/>
      <c r="HE45" s="108"/>
      <c r="HF45" s="108"/>
      <c r="HG45" s="108"/>
      <c r="HH45" s="108"/>
      <c r="HI45" s="108"/>
      <c r="HJ45" s="108"/>
      <c r="HK45" s="108"/>
      <c r="HL45" s="108"/>
      <c r="HM45" s="108"/>
      <c r="HN45" s="108"/>
      <c r="HO45" s="108"/>
      <c r="HP45" s="108"/>
      <c r="HQ45" s="108"/>
      <c r="HR45" s="108"/>
      <c r="HS45" s="108"/>
      <c r="HT45" s="108"/>
      <c r="HU45" s="108"/>
      <c r="HV45" s="108"/>
      <c r="HW45" s="108"/>
      <c r="HX45" s="108"/>
      <c r="HY45" s="108"/>
      <c r="HZ45" s="108"/>
      <c r="IA45" s="108"/>
      <c r="IB45" s="108"/>
      <c r="IC45" s="108"/>
      <c r="ID45" s="108"/>
      <c r="IE45" s="108"/>
      <c r="IF45" s="108"/>
      <c r="IG45" s="108"/>
      <c r="IH45" s="108"/>
      <c r="II45" s="108"/>
      <c r="IJ45" s="108"/>
      <c r="IK45" s="108"/>
      <c r="IL45" s="108"/>
      <c r="IM45" s="108"/>
      <c r="IN45" s="108"/>
      <c r="IO45" s="108"/>
      <c r="IP45" s="108"/>
      <c r="IQ45" s="108"/>
      <c r="IR45" s="108"/>
      <c r="IS45" s="108"/>
      <c r="IT45" s="108"/>
      <c r="IU45" s="108"/>
      <c r="IV45" s="108"/>
      <c r="IW45" s="108"/>
    </row>
    <row r="46" spans="1:257" x14ac:dyDescent="0.3">
      <c r="A46" s="158"/>
      <c r="B46" s="158"/>
      <c r="C46" s="158"/>
      <c r="D46" s="158"/>
      <c r="E46" s="158"/>
      <c r="F46" s="158"/>
      <c r="G46" s="158"/>
      <c r="H46" s="158"/>
      <c r="I46" s="176"/>
      <c r="J46" s="170"/>
      <c r="K46" s="171"/>
      <c r="L46" s="172"/>
      <c r="M46" s="158"/>
      <c r="N46" s="158"/>
      <c r="O46" s="108"/>
      <c r="P46" s="108"/>
      <c r="Q46" s="108"/>
      <c r="R46" s="108"/>
      <c r="S46" s="108"/>
      <c r="T46" s="108"/>
      <c r="U46" s="108"/>
      <c r="V46" s="108"/>
      <c r="W46" s="108"/>
      <c r="X46" s="108"/>
      <c r="Y46" s="108"/>
      <c r="Z46" s="108"/>
      <c r="AA46" s="108"/>
      <c r="AB46" s="108"/>
      <c r="AC46" s="108"/>
      <c r="AD46" s="108"/>
      <c r="AE46" s="108"/>
      <c r="AF46" s="108"/>
      <c r="AG46" s="108"/>
      <c r="AH46" s="108"/>
      <c r="AI46" s="108"/>
      <c r="AJ46" s="108"/>
      <c r="AK46" s="108"/>
      <c r="AL46" s="108"/>
      <c r="AM46" s="108"/>
      <c r="AN46" s="108"/>
      <c r="AO46" s="108"/>
      <c r="AP46" s="108"/>
      <c r="AQ46" s="108"/>
      <c r="AR46" s="108"/>
      <c r="AS46" s="108"/>
      <c r="AT46" s="108"/>
      <c r="AU46" s="108"/>
      <c r="AV46" s="108"/>
      <c r="AW46" s="108"/>
      <c r="AX46" s="108"/>
      <c r="AY46" s="108"/>
      <c r="AZ46" s="108"/>
      <c r="BA46" s="108"/>
      <c r="BB46" s="108"/>
      <c r="BC46" s="108"/>
      <c r="BD46" s="108"/>
      <c r="BE46" s="108"/>
      <c r="BF46" s="108"/>
      <c r="BG46" s="108"/>
      <c r="BH46" s="108"/>
      <c r="BI46" s="108"/>
      <c r="BJ46" s="108"/>
      <c r="BK46" s="108"/>
      <c r="BL46" s="108"/>
      <c r="BM46" s="108"/>
      <c r="BN46" s="108"/>
      <c r="BO46" s="108"/>
      <c r="BP46" s="108"/>
      <c r="BQ46" s="108"/>
      <c r="BR46" s="108"/>
      <c r="BS46" s="108"/>
      <c r="BT46" s="108"/>
      <c r="BU46" s="108"/>
      <c r="BV46" s="108"/>
      <c r="BW46" s="108"/>
      <c r="BX46" s="108"/>
      <c r="BY46" s="108"/>
      <c r="BZ46" s="108"/>
      <c r="CA46" s="108"/>
      <c r="CB46" s="108"/>
      <c r="CC46" s="108"/>
      <c r="CD46" s="108"/>
      <c r="CE46" s="108"/>
      <c r="CF46" s="108"/>
      <c r="CG46" s="108"/>
      <c r="CH46" s="108"/>
      <c r="CI46" s="108"/>
      <c r="CJ46" s="108"/>
      <c r="CK46" s="108"/>
      <c r="CL46" s="108"/>
      <c r="CM46" s="108"/>
      <c r="CN46" s="108"/>
      <c r="CO46" s="108"/>
      <c r="CP46" s="108"/>
      <c r="CQ46" s="108"/>
      <c r="CR46" s="108"/>
      <c r="CS46" s="108"/>
      <c r="CT46" s="108"/>
      <c r="CU46" s="108"/>
      <c r="CV46" s="108"/>
      <c r="CW46" s="108"/>
      <c r="CX46" s="108"/>
      <c r="CY46" s="108"/>
      <c r="CZ46" s="108"/>
      <c r="DA46" s="108"/>
      <c r="DB46" s="108"/>
      <c r="DC46" s="108"/>
      <c r="DD46" s="108"/>
      <c r="DE46" s="108"/>
      <c r="DF46" s="108"/>
      <c r="DG46" s="108"/>
      <c r="DH46" s="108"/>
      <c r="DI46" s="108"/>
      <c r="DJ46" s="108"/>
      <c r="DK46" s="108"/>
      <c r="DL46" s="108"/>
      <c r="DM46" s="108"/>
      <c r="DN46" s="108"/>
      <c r="DO46" s="108"/>
      <c r="DP46" s="108"/>
      <c r="DQ46" s="108"/>
      <c r="DR46" s="108"/>
      <c r="DS46" s="108"/>
      <c r="DT46" s="108"/>
      <c r="DU46" s="108"/>
      <c r="DV46" s="108"/>
      <c r="DW46" s="108"/>
      <c r="DX46" s="108"/>
      <c r="DY46" s="108"/>
      <c r="DZ46" s="108"/>
      <c r="EA46" s="108"/>
      <c r="EB46" s="108"/>
      <c r="EC46" s="108"/>
      <c r="ED46" s="108"/>
      <c r="EE46" s="108"/>
      <c r="EF46" s="108"/>
      <c r="EG46" s="108"/>
      <c r="EH46" s="108"/>
      <c r="EI46" s="108"/>
      <c r="EJ46" s="108"/>
      <c r="EK46" s="108"/>
      <c r="EL46" s="108"/>
      <c r="EM46" s="108"/>
      <c r="EN46" s="108"/>
      <c r="EO46" s="108"/>
      <c r="EP46" s="108"/>
      <c r="EQ46" s="108"/>
      <c r="ER46" s="108"/>
      <c r="ES46" s="108"/>
      <c r="ET46" s="108"/>
      <c r="EU46" s="108"/>
      <c r="EV46" s="108"/>
      <c r="EW46" s="108"/>
      <c r="EX46" s="108"/>
      <c r="EY46" s="108"/>
      <c r="EZ46" s="108"/>
      <c r="FA46" s="108"/>
      <c r="FB46" s="108"/>
      <c r="FC46" s="108"/>
      <c r="FD46" s="108"/>
      <c r="FE46" s="108"/>
      <c r="FF46" s="108"/>
      <c r="FG46" s="108"/>
      <c r="FH46" s="108"/>
      <c r="FI46" s="108"/>
      <c r="FJ46" s="108"/>
      <c r="FK46" s="108"/>
      <c r="FL46" s="108"/>
      <c r="FM46" s="108"/>
      <c r="FN46" s="108"/>
      <c r="FO46" s="108"/>
      <c r="FP46" s="108"/>
      <c r="FQ46" s="108"/>
      <c r="FR46" s="108"/>
      <c r="FS46" s="108"/>
      <c r="FT46" s="108"/>
      <c r="FU46" s="108"/>
      <c r="FV46" s="108"/>
      <c r="FW46" s="108"/>
      <c r="FX46" s="108"/>
      <c r="FY46" s="108"/>
      <c r="FZ46" s="108"/>
      <c r="GA46" s="108"/>
      <c r="GB46" s="108"/>
      <c r="GC46" s="108"/>
      <c r="GD46" s="108"/>
      <c r="GE46" s="108"/>
      <c r="GF46" s="108"/>
      <c r="GG46" s="108"/>
      <c r="GH46" s="108"/>
      <c r="GI46" s="108"/>
      <c r="GJ46" s="108"/>
      <c r="GK46" s="108"/>
      <c r="GL46" s="108"/>
      <c r="GM46" s="108"/>
      <c r="GN46" s="108"/>
      <c r="GO46" s="108"/>
      <c r="GP46" s="108"/>
      <c r="GQ46" s="108"/>
      <c r="GR46" s="108"/>
      <c r="GS46" s="108"/>
      <c r="GT46" s="108"/>
      <c r="GU46" s="108"/>
      <c r="GV46" s="108"/>
      <c r="GW46" s="108"/>
      <c r="GX46" s="108"/>
      <c r="GY46" s="108"/>
      <c r="GZ46" s="108"/>
      <c r="HA46" s="108"/>
      <c r="HB46" s="108"/>
      <c r="HC46" s="108"/>
      <c r="HD46" s="108"/>
      <c r="HE46" s="108"/>
      <c r="HF46" s="108"/>
      <c r="HG46" s="108"/>
      <c r="HH46" s="108"/>
      <c r="HI46" s="108"/>
      <c r="HJ46" s="108"/>
      <c r="HK46" s="108"/>
      <c r="HL46" s="108"/>
      <c r="HM46" s="108"/>
      <c r="HN46" s="108"/>
      <c r="HO46" s="108"/>
      <c r="HP46" s="108"/>
      <c r="HQ46" s="108"/>
      <c r="HR46" s="108"/>
      <c r="HS46" s="108"/>
      <c r="HT46" s="108"/>
      <c r="HU46" s="108"/>
      <c r="HV46" s="108"/>
      <c r="HW46" s="108"/>
      <c r="HX46" s="108"/>
      <c r="HY46" s="108"/>
      <c r="HZ46" s="108"/>
      <c r="IA46" s="108"/>
      <c r="IB46" s="108"/>
      <c r="IC46" s="108"/>
      <c r="ID46" s="108"/>
      <c r="IE46" s="108"/>
      <c r="IF46" s="108"/>
      <c r="IG46" s="108"/>
      <c r="IH46" s="108"/>
      <c r="II46" s="108"/>
      <c r="IJ46" s="108"/>
      <c r="IK46" s="108"/>
      <c r="IL46" s="108"/>
      <c r="IM46" s="108"/>
      <c r="IN46" s="108"/>
      <c r="IO46" s="108"/>
      <c r="IP46" s="108"/>
      <c r="IQ46" s="108"/>
      <c r="IR46" s="108"/>
      <c r="IS46" s="108"/>
      <c r="IT46" s="108"/>
      <c r="IU46" s="108"/>
      <c r="IV46" s="108"/>
      <c r="IW46" s="108"/>
    </row>
    <row r="47" spans="1:257" x14ac:dyDescent="0.3">
      <c r="A47" s="158"/>
      <c r="B47" s="158"/>
      <c r="C47" s="158"/>
      <c r="D47" s="158"/>
      <c r="E47" s="158"/>
      <c r="F47" s="158"/>
      <c r="G47" s="158"/>
      <c r="H47" s="158"/>
      <c r="I47" s="176"/>
      <c r="J47" s="170"/>
      <c r="K47" s="171"/>
      <c r="L47" s="172"/>
      <c r="M47" s="158"/>
      <c r="N47" s="158"/>
      <c r="O47" s="108"/>
      <c r="P47" s="108"/>
      <c r="Q47" s="108"/>
      <c r="R47" s="108"/>
      <c r="S47" s="108"/>
      <c r="T47" s="108"/>
      <c r="U47" s="108"/>
      <c r="V47" s="108"/>
      <c r="W47" s="108"/>
      <c r="X47" s="108"/>
      <c r="Y47" s="108"/>
      <c r="Z47" s="108"/>
      <c r="AA47" s="108"/>
      <c r="AB47" s="108"/>
      <c r="AC47" s="108"/>
      <c r="AD47" s="108"/>
      <c r="AE47" s="108"/>
      <c r="AF47" s="108"/>
      <c r="AG47" s="108"/>
      <c r="AH47" s="108"/>
      <c r="AI47" s="108"/>
      <c r="AJ47" s="108"/>
      <c r="AK47" s="108"/>
      <c r="AL47" s="108"/>
      <c r="AM47" s="108"/>
      <c r="AN47" s="108"/>
      <c r="AO47" s="108"/>
      <c r="AP47" s="108"/>
      <c r="AQ47" s="108"/>
      <c r="AR47" s="108"/>
      <c r="AS47" s="108"/>
      <c r="AT47" s="108"/>
      <c r="AU47" s="108"/>
      <c r="AV47" s="108"/>
      <c r="AW47" s="108"/>
      <c r="AX47" s="108"/>
      <c r="AY47" s="108"/>
      <c r="AZ47" s="108"/>
      <c r="BA47" s="108"/>
      <c r="BB47" s="108"/>
      <c r="BC47" s="108"/>
      <c r="BD47" s="108"/>
      <c r="BE47" s="108"/>
      <c r="BF47" s="108"/>
      <c r="BG47" s="108"/>
      <c r="BH47" s="108"/>
      <c r="BI47" s="108"/>
      <c r="BJ47" s="108"/>
      <c r="BK47" s="108"/>
      <c r="BL47" s="108"/>
      <c r="BM47" s="108"/>
      <c r="BN47" s="108"/>
      <c r="BO47" s="108"/>
      <c r="BP47" s="108"/>
      <c r="BQ47" s="108"/>
      <c r="BR47" s="108"/>
      <c r="BS47" s="108"/>
      <c r="BT47" s="108"/>
      <c r="BU47" s="108"/>
      <c r="BV47" s="108"/>
      <c r="BW47" s="108"/>
      <c r="BX47" s="108"/>
      <c r="BY47" s="108"/>
      <c r="BZ47" s="108"/>
      <c r="CA47" s="108"/>
      <c r="CB47" s="108"/>
      <c r="CC47" s="108"/>
      <c r="CD47" s="108"/>
      <c r="CE47" s="108"/>
      <c r="CF47" s="108"/>
      <c r="CG47" s="108"/>
      <c r="CH47" s="108"/>
      <c r="CI47" s="108"/>
      <c r="CJ47" s="108"/>
      <c r="CK47" s="108"/>
      <c r="CL47" s="108"/>
      <c r="CM47" s="108"/>
      <c r="CN47" s="108"/>
      <c r="CO47" s="108"/>
      <c r="CP47" s="108"/>
      <c r="CQ47" s="108"/>
      <c r="CR47" s="108"/>
      <c r="CS47" s="108"/>
      <c r="CT47" s="108"/>
      <c r="CU47" s="108"/>
      <c r="CV47" s="108"/>
      <c r="CW47" s="108"/>
      <c r="CX47" s="108"/>
      <c r="CY47" s="108"/>
      <c r="CZ47" s="108"/>
      <c r="DA47" s="108"/>
      <c r="DB47" s="108"/>
      <c r="DC47" s="108"/>
      <c r="DD47" s="108"/>
      <c r="DE47" s="108"/>
      <c r="DF47" s="108"/>
      <c r="DG47" s="108"/>
      <c r="DH47" s="108"/>
      <c r="DI47" s="108"/>
      <c r="DJ47" s="108"/>
      <c r="DK47" s="108"/>
      <c r="DL47" s="108"/>
      <c r="DM47" s="108"/>
      <c r="DN47" s="108"/>
      <c r="DO47" s="108"/>
      <c r="DP47" s="108"/>
      <c r="DQ47" s="108"/>
      <c r="DR47" s="108"/>
      <c r="DS47" s="108"/>
      <c r="DT47" s="108"/>
      <c r="DU47" s="108"/>
      <c r="DV47" s="108"/>
      <c r="DW47" s="108"/>
      <c r="DX47" s="108"/>
      <c r="DY47" s="108"/>
      <c r="DZ47" s="108"/>
      <c r="EA47" s="108"/>
      <c r="EB47" s="108"/>
      <c r="EC47" s="108"/>
      <c r="ED47" s="108"/>
      <c r="EE47" s="108"/>
      <c r="EF47" s="108"/>
      <c r="EG47" s="108"/>
      <c r="EH47" s="108"/>
      <c r="EI47" s="108"/>
      <c r="EJ47" s="108"/>
      <c r="EK47" s="108"/>
      <c r="EL47" s="108"/>
      <c r="EM47" s="108"/>
      <c r="EN47" s="108"/>
      <c r="EO47" s="108"/>
      <c r="EP47" s="108"/>
      <c r="EQ47" s="108"/>
      <c r="ER47" s="108"/>
      <c r="ES47" s="108"/>
      <c r="ET47" s="108"/>
      <c r="EU47" s="108"/>
      <c r="EV47" s="108"/>
      <c r="EW47" s="108"/>
      <c r="EX47" s="108"/>
      <c r="EY47" s="108"/>
      <c r="EZ47" s="108"/>
      <c r="FA47" s="108"/>
      <c r="FB47" s="108"/>
      <c r="FC47" s="108"/>
      <c r="FD47" s="108"/>
      <c r="FE47" s="108"/>
      <c r="FF47" s="108"/>
      <c r="FG47" s="108"/>
      <c r="FH47" s="108"/>
      <c r="FI47" s="108"/>
      <c r="FJ47" s="108"/>
      <c r="FK47" s="108"/>
      <c r="FL47" s="108"/>
      <c r="FM47" s="108"/>
      <c r="FN47" s="108"/>
      <c r="FO47" s="108"/>
      <c r="FP47" s="108"/>
      <c r="FQ47" s="108"/>
      <c r="FR47" s="108"/>
      <c r="FS47" s="108"/>
      <c r="FT47" s="108"/>
      <c r="FU47" s="108"/>
      <c r="FV47" s="108"/>
      <c r="FW47" s="108"/>
      <c r="FX47" s="108"/>
      <c r="FY47" s="108"/>
      <c r="FZ47" s="108"/>
      <c r="GA47" s="108"/>
      <c r="GB47" s="108"/>
      <c r="GC47" s="108"/>
      <c r="GD47" s="108"/>
      <c r="GE47" s="108"/>
      <c r="GF47" s="108"/>
      <c r="GG47" s="108"/>
      <c r="GH47" s="108"/>
      <c r="GI47" s="108"/>
      <c r="GJ47" s="108"/>
      <c r="GK47" s="108"/>
      <c r="GL47" s="108"/>
      <c r="GM47" s="108"/>
      <c r="GN47" s="108"/>
      <c r="GO47" s="108"/>
      <c r="GP47" s="108"/>
      <c r="GQ47" s="108"/>
      <c r="GR47" s="108"/>
      <c r="GS47" s="108"/>
      <c r="GT47" s="108"/>
      <c r="GU47" s="108"/>
      <c r="GV47" s="108"/>
      <c r="GW47" s="108"/>
      <c r="GX47" s="108"/>
      <c r="GY47" s="108"/>
      <c r="GZ47" s="108"/>
      <c r="HA47" s="108"/>
      <c r="HB47" s="108"/>
      <c r="HC47" s="108"/>
      <c r="HD47" s="108"/>
      <c r="HE47" s="108"/>
      <c r="HF47" s="108"/>
      <c r="HG47" s="108"/>
      <c r="HH47" s="108"/>
      <c r="HI47" s="108"/>
      <c r="HJ47" s="108"/>
      <c r="HK47" s="108"/>
      <c r="HL47" s="108"/>
      <c r="HM47" s="108"/>
      <c r="HN47" s="108"/>
      <c r="HO47" s="108"/>
      <c r="HP47" s="108"/>
      <c r="HQ47" s="108"/>
      <c r="HR47" s="108"/>
      <c r="HS47" s="108"/>
      <c r="HT47" s="108"/>
      <c r="HU47" s="108"/>
      <c r="HV47" s="108"/>
      <c r="HW47" s="108"/>
      <c r="HX47" s="108"/>
      <c r="HY47" s="108"/>
      <c r="HZ47" s="108"/>
      <c r="IA47" s="108"/>
      <c r="IB47" s="108"/>
      <c r="IC47" s="108"/>
      <c r="ID47" s="108"/>
      <c r="IE47" s="108"/>
      <c r="IF47" s="108"/>
      <c r="IG47" s="108"/>
      <c r="IH47" s="108"/>
      <c r="II47" s="108"/>
      <c r="IJ47" s="108"/>
      <c r="IK47" s="108"/>
      <c r="IL47" s="108"/>
      <c r="IM47" s="108"/>
      <c r="IN47" s="108"/>
      <c r="IO47" s="108"/>
      <c r="IP47" s="108"/>
      <c r="IQ47" s="108"/>
      <c r="IR47" s="108"/>
      <c r="IS47" s="108"/>
      <c r="IT47" s="108"/>
      <c r="IU47" s="108"/>
      <c r="IV47" s="108"/>
      <c r="IW47" s="108"/>
    </row>
    <row r="48" spans="1:257" x14ac:dyDescent="0.3">
      <c r="A48" s="158"/>
      <c r="B48" s="158"/>
      <c r="C48" s="158"/>
      <c r="D48" s="158"/>
      <c r="E48" s="158"/>
      <c r="F48" s="158"/>
      <c r="G48" s="158"/>
      <c r="H48" s="158"/>
      <c r="I48" s="176"/>
      <c r="J48" s="170"/>
      <c r="K48" s="171"/>
      <c r="L48" s="172"/>
      <c r="M48" s="158"/>
      <c r="N48" s="158"/>
      <c r="O48" s="108"/>
      <c r="P48" s="108"/>
      <c r="Q48" s="108"/>
      <c r="R48" s="108"/>
      <c r="S48" s="108"/>
      <c r="T48" s="108"/>
      <c r="U48" s="108"/>
      <c r="V48" s="108"/>
      <c r="W48" s="108"/>
      <c r="X48" s="108"/>
      <c r="Y48" s="108"/>
      <c r="Z48" s="108"/>
      <c r="AA48" s="108"/>
      <c r="AB48" s="108"/>
      <c r="AC48" s="108"/>
      <c r="AD48" s="108"/>
      <c r="AE48" s="108"/>
      <c r="AF48" s="108"/>
      <c r="AG48" s="108"/>
      <c r="AH48" s="108"/>
      <c r="AI48" s="108"/>
      <c r="AJ48" s="108"/>
      <c r="AK48" s="108"/>
      <c r="AL48" s="108"/>
      <c r="AM48" s="108"/>
      <c r="AN48" s="108"/>
      <c r="AO48" s="108"/>
      <c r="AP48" s="108"/>
      <c r="AQ48" s="108"/>
      <c r="AR48" s="108"/>
      <c r="AS48" s="108"/>
      <c r="AT48" s="108"/>
      <c r="AU48" s="108"/>
      <c r="AV48" s="108"/>
      <c r="AW48" s="108"/>
      <c r="AX48" s="108"/>
      <c r="AY48" s="108"/>
      <c r="AZ48" s="108"/>
      <c r="BA48" s="108"/>
      <c r="BB48" s="108"/>
      <c r="BC48" s="108"/>
      <c r="BD48" s="108"/>
      <c r="BE48" s="108"/>
      <c r="BF48" s="108"/>
      <c r="BG48" s="108"/>
      <c r="BH48" s="108"/>
      <c r="BI48" s="108"/>
      <c r="BJ48" s="108"/>
      <c r="BK48" s="108"/>
      <c r="BL48" s="108"/>
      <c r="BM48" s="108"/>
      <c r="BN48" s="108"/>
      <c r="BO48" s="108"/>
      <c r="BP48" s="108"/>
      <c r="BQ48" s="108"/>
      <c r="BR48" s="108"/>
      <c r="BS48" s="108"/>
      <c r="BT48" s="108"/>
      <c r="BU48" s="108"/>
      <c r="BV48" s="108"/>
      <c r="BW48" s="108"/>
      <c r="BX48" s="108"/>
      <c r="BY48" s="108"/>
      <c r="BZ48" s="108"/>
      <c r="CA48" s="108"/>
      <c r="CB48" s="108"/>
      <c r="CC48" s="108"/>
      <c r="CD48" s="108"/>
      <c r="CE48" s="108"/>
      <c r="CF48" s="108"/>
      <c r="CG48" s="108"/>
      <c r="CH48" s="108"/>
      <c r="CI48" s="108"/>
      <c r="CJ48" s="108"/>
      <c r="CK48" s="108"/>
      <c r="CL48" s="108"/>
      <c r="CM48" s="108"/>
      <c r="CN48" s="108"/>
      <c r="CO48" s="108"/>
      <c r="CP48" s="108"/>
      <c r="CQ48" s="108"/>
      <c r="CR48" s="108"/>
      <c r="CS48" s="108"/>
      <c r="CT48" s="108"/>
      <c r="CU48" s="108"/>
      <c r="CV48" s="108"/>
      <c r="CW48" s="108"/>
      <c r="CX48" s="108"/>
      <c r="CY48" s="108"/>
      <c r="CZ48" s="108"/>
      <c r="DA48" s="108"/>
      <c r="DB48" s="108"/>
      <c r="DC48" s="108"/>
      <c r="DD48" s="108"/>
      <c r="DE48" s="108"/>
      <c r="DF48" s="108"/>
      <c r="DG48" s="108"/>
      <c r="DH48" s="108"/>
      <c r="DI48" s="108"/>
      <c r="DJ48" s="108"/>
      <c r="DK48" s="108"/>
      <c r="DL48" s="108"/>
      <c r="DM48" s="108"/>
      <c r="DN48" s="108"/>
      <c r="DO48" s="108"/>
      <c r="DP48" s="108"/>
      <c r="DQ48" s="108"/>
      <c r="DR48" s="108"/>
      <c r="DS48" s="108"/>
      <c r="DT48" s="108"/>
      <c r="DU48" s="108"/>
      <c r="DV48" s="108"/>
      <c r="DW48" s="108"/>
      <c r="DX48" s="108"/>
      <c r="DY48" s="108"/>
      <c r="DZ48" s="108"/>
      <c r="EA48" s="108"/>
      <c r="EB48" s="108"/>
      <c r="EC48" s="108"/>
      <c r="ED48" s="108"/>
      <c r="EE48" s="108"/>
      <c r="EF48" s="108"/>
      <c r="EG48" s="108"/>
      <c r="EH48" s="108"/>
      <c r="EI48" s="108"/>
      <c r="EJ48" s="108"/>
      <c r="EK48" s="108"/>
      <c r="EL48" s="108"/>
      <c r="EM48" s="108"/>
      <c r="EN48" s="108"/>
      <c r="EO48" s="108"/>
      <c r="EP48" s="108"/>
      <c r="EQ48" s="108"/>
      <c r="ER48" s="108"/>
      <c r="ES48" s="108"/>
      <c r="ET48" s="108"/>
      <c r="EU48" s="108"/>
      <c r="EV48" s="108"/>
      <c r="EW48" s="108"/>
      <c r="EX48" s="108"/>
      <c r="EY48" s="108"/>
      <c r="EZ48" s="108"/>
      <c r="FA48" s="108"/>
      <c r="FB48" s="108"/>
      <c r="FC48" s="108"/>
      <c r="FD48" s="108"/>
      <c r="FE48" s="108"/>
      <c r="FF48" s="108"/>
      <c r="FG48" s="108"/>
      <c r="FH48" s="108"/>
      <c r="FI48" s="108"/>
      <c r="FJ48" s="108"/>
      <c r="FK48" s="108"/>
      <c r="FL48" s="108"/>
      <c r="FM48" s="108"/>
      <c r="FN48" s="108"/>
      <c r="FO48" s="108"/>
      <c r="FP48" s="108"/>
      <c r="FQ48" s="108"/>
      <c r="FR48" s="108"/>
      <c r="FS48" s="108"/>
      <c r="FT48" s="108"/>
      <c r="FU48" s="108"/>
      <c r="FV48" s="108"/>
      <c r="FW48" s="108"/>
      <c r="FX48" s="108"/>
      <c r="FY48" s="108"/>
      <c r="FZ48" s="108"/>
      <c r="GA48" s="108"/>
      <c r="GB48" s="108"/>
      <c r="GC48" s="108"/>
      <c r="GD48" s="108"/>
      <c r="GE48" s="108"/>
      <c r="GF48" s="108"/>
      <c r="GG48" s="108"/>
      <c r="GH48" s="108"/>
      <c r="GI48" s="108"/>
      <c r="GJ48" s="108"/>
      <c r="GK48" s="108"/>
      <c r="GL48" s="108"/>
      <c r="GM48" s="108"/>
      <c r="GN48" s="108"/>
      <c r="GO48" s="108"/>
      <c r="GP48" s="108"/>
      <c r="GQ48" s="108"/>
      <c r="GR48" s="108"/>
      <c r="GS48" s="108"/>
      <c r="GT48" s="108"/>
      <c r="GU48" s="108"/>
      <c r="GV48" s="108"/>
      <c r="GW48" s="108"/>
      <c r="GX48" s="108"/>
      <c r="GY48" s="108"/>
      <c r="GZ48" s="108"/>
      <c r="HA48" s="108"/>
      <c r="HB48" s="108"/>
      <c r="HC48" s="108"/>
      <c r="HD48" s="108"/>
      <c r="HE48" s="108"/>
      <c r="HF48" s="108"/>
      <c r="HG48" s="108"/>
      <c r="HH48" s="108"/>
      <c r="HI48" s="108"/>
      <c r="HJ48" s="108"/>
      <c r="HK48" s="108"/>
      <c r="HL48" s="108"/>
      <c r="HM48" s="108"/>
      <c r="HN48" s="108"/>
      <c r="HO48" s="108"/>
      <c r="HP48" s="108"/>
      <c r="HQ48" s="108"/>
      <c r="HR48" s="108"/>
      <c r="HS48" s="108"/>
      <c r="HT48" s="108"/>
      <c r="HU48" s="108"/>
      <c r="HV48" s="108"/>
      <c r="HW48" s="108"/>
      <c r="HX48" s="108"/>
      <c r="HY48" s="108"/>
      <c r="HZ48" s="108"/>
      <c r="IA48" s="108"/>
      <c r="IB48" s="108"/>
      <c r="IC48" s="108"/>
      <c r="ID48" s="108"/>
      <c r="IE48" s="108"/>
      <c r="IF48" s="108"/>
      <c r="IG48" s="108"/>
      <c r="IH48" s="108"/>
      <c r="II48" s="108"/>
      <c r="IJ48" s="108"/>
      <c r="IK48" s="108"/>
      <c r="IL48" s="108"/>
      <c r="IM48" s="108"/>
      <c r="IN48" s="108"/>
      <c r="IO48" s="108"/>
      <c r="IP48" s="108"/>
      <c r="IQ48" s="108"/>
      <c r="IR48" s="108"/>
      <c r="IS48" s="108"/>
      <c r="IT48" s="108"/>
      <c r="IU48" s="108"/>
      <c r="IV48" s="108"/>
      <c r="IW48" s="108"/>
    </row>
    <row r="49" spans="1:257" x14ac:dyDescent="0.3">
      <c r="A49" s="158"/>
      <c r="B49" s="158"/>
      <c r="C49" s="158"/>
      <c r="D49" s="158"/>
      <c r="E49" s="158"/>
      <c r="F49" s="158"/>
      <c r="G49" s="158"/>
      <c r="H49" s="158"/>
      <c r="I49" s="176"/>
      <c r="J49" s="170"/>
      <c r="K49" s="171"/>
      <c r="L49" s="172"/>
      <c r="M49" s="158"/>
      <c r="N49" s="158"/>
      <c r="O49" s="108"/>
      <c r="P49" s="108"/>
      <c r="Q49" s="108"/>
      <c r="R49" s="108"/>
      <c r="S49" s="108"/>
      <c r="T49" s="108"/>
      <c r="U49" s="108"/>
      <c r="V49" s="108"/>
      <c r="W49" s="108"/>
      <c r="X49" s="108"/>
      <c r="Y49" s="108"/>
      <c r="Z49" s="108"/>
      <c r="AA49" s="108"/>
      <c r="AB49" s="108"/>
      <c r="AC49" s="108"/>
      <c r="AD49" s="108"/>
      <c r="AE49" s="108"/>
      <c r="AF49" s="108"/>
      <c r="AG49" s="108"/>
      <c r="AH49" s="108"/>
      <c r="AI49" s="108"/>
      <c r="AJ49" s="108"/>
      <c r="AK49" s="108"/>
      <c r="AL49" s="108"/>
      <c r="AM49" s="108"/>
      <c r="AN49" s="108"/>
      <c r="AO49" s="108"/>
      <c r="AP49" s="108"/>
      <c r="AQ49" s="108"/>
      <c r="AR49" s="108"/>
      <c r="AS49" s="108"/>
      <c r="AT49" s="108"/>
      <c r="AU49" s="108"/>
      <c r="AV49" s="108"/>
      <c r="AW49" s="108"/>
      <c r="AX49" s="108"/>
      <c r="AY49" s="108"/>
      <c r="AZ49" s="108"/>
      <c r="BA49" s="108"/>
      <c r="BB49" s="108"/>
      <c r="BC49" s="108"/>
      <c r="BD49" s="108"/>
      <c r="BE49" s="108"/>
      <c r="BF49" s="108"/>
      <c r="BG49" s="108"/>
      <c r="BH49" s="108"/>
      <c r="BI49" s="108"/>
      <c r="BJ49" s="108"/>
      <c r="BK49" s="108"/>
      <c r="BL49" s="108"/>
      <c r="BM49" s="108"/>
      <c r="BN49" s="108"/>
      <c r="BO49" s="108"/>
      <c r="BP49" s="108"/>
      <c r="BQ49" s="108"/>
      <c r="BR49" s="108"/>
      <c r="BS49" s="108"/>
      <c r="BT49" s="108"/>
      <c r="BU49" s="108"/>
      <c r="BV49" s="108"/>
      <c r="BW49" s="108"/>
      <c r="BX49" s="108"/>
      <c r="BY49" s="108"/>
      <c r="BZ49" s="108"/>
      <c r="CA49" s="108"/>
      <c r="CB49" s="108"/>
      <c r="CC49" s="108"/>
      <c r="CD49" s="108"/>
      <c r="CE49" s="108"/>
      <c r="CF49" s="108"/>
      <c r="CG49" s="108"/>
      <c r="CH49" s="108"/>
      <c r="CI49" s="108"/>
      <c r="CJ49" s="108"/>
      <c r="CK49" s="108"/>
      <c r="CL49" s="108"/>
      <c r="CM49" s="108"/>
      <c r="CN49" s="108"/>
      <c r="CO49" s="108"/>
      <c r="CP49" s="108"/>
      <c r="CQ49" s="108"/>
      <c r="CR49" s="108"/>
      <c r="CS49" s="108"/>
      <c r="CT49" s="108"/>
      <c r="CU49" s="108"/>
      <c r="CV49" s="108"/>
      <c r="CW49" s="108"/>
      <c r="CX49" s="108"/>
      <c r="CY49" s="108"/>
      <c r="CZ49" s="108"/>
      <c r="DA49" s="108"/>
      <c r="DB49" s="108"/>
      <c r="DC49" s="108"/>
      <c r="DD49" s="108"/>
      <c r="DE49" s="108"/>
      <c r="DF49" s="108"/>
      <c r="DG49" s="108"/>
      <c r="DH49" s="108"/>
      <c r="DI49" s="108"/>
      <c r="DJ49" s="108"/>
      <c r="DK49" s="108"/>
      <c r="DL49" s="108"/>
      <c r="DM49" s="108"/>
      <c r="DN49" s="108"/>
      <c r="DO49" s="108"/>
      <c r="DP49" s="108"/>
      <c r="DQ49" s="108"/>
      <c r="DR49" s="108"/>
      <c r="DS49" s="108"/>
      <c r="DT49" s="108"/>
      <c r="DU49" s="108"/>
      <c r="DV49" s="108"/>
      <c r="DW49" s="108"/>
      <c r="DX49" s="108"/>
      <c r="DY49" s="108"/>
      <c r="DZ49" s="108"/>
      <c r="EA49" s="108"/>
      <c r="EB49" s="108"/>
      <c r="EC49" s="108"/>
      <c r="ED49" s="108"/>
      <c r="EE49" s="108"/>
      <c r="EF49" s="108"/>
      <c r="EG49" s="108"/>
      <c r="EH49" s="108"/>
      <c r="EI49" s="108"/>
      <c r="EJ49" s="108"/>
      <c r="EK49" s="108"/>
      <c r="EL49" s="108"/>
      <c r="EM49" s="108"/>
      <c r="EN49" s="108"/>
      <c r="EO49" s="108"/>
      <c r="EP49" s="108"/>
      <c r="EQ49" s="108"/>
      <c r="ER49" s="108"/>
      <c r="ES49" s="108"/>
      <c r="ET49" s="108"/>
      <c r="EU49" s="108"/>
      <c r="EV49" s="108"/>
      <c r="EW49" s="108"/>
      <c r="EX49" s="108"/>
      <c r="EY49" s="108"/>
      <c r="EZ49" s="108"/>
      <c r="FA49" s="108"/>
      <c r="FB49" s="108"/>
      <c r="FC49" s="108"/>
      <c r="FD49" s="108"/>
      <c r="FE49" s="108"/>
      <c r="FF49" s="108"/>
      <c r="FG49" s="108"/>
      <c r="FH49" s="108"/>
      <c r="FI49" s="108"/>
      <c r="FJ49" s="108"/>
      <c r="FK49" s="108"/>
      <c r="FL49" s="108"/>
      <c r="FM49" s="108"/>
      <c r="FN49" s="108"/>
      <c r="FO49" s="108"/>
      <c r="FP49" s="108"/>
      <c r="FQ49" s="108"/>
      <c r="FR49" s="108"/>
      <c r="FS49" s="108"/>
      <c r="FT49" s="108"/>
      <c r="FU49" s="108"/>
      <c r="FV49" s="108"/>
      <c r="FW49" s="108"/>
      <c r="FX49" s="108"/>
      <c r="FY49" s="108"/>
      <c r="FZ49" s="108"/>
      <c r="GA49" s="108"/>
      <c r="GB49" s="108"/>
      <c r="GC49" s="108"/>
      <c r="GD49" s="108"/>
      <c r="GE49" s="108"/>
      <c r="GF49" s="108"/>
      <c r="GG49" s="108"/>
      <c r="GH49" s="108"/>
      <c r="GI49" s="108"/>
      <c r="GJ49" s="108"/>
      <c r="GK49" s="108"/>
      <c r="GL49" s="108"/>
      <c r="GM49" s="108"/>
      <c r="GN49" s="108"/>
      <c r="GO49" s="108"/>
      <c r="GP49" s="108"/>
      <c r="GQ49" s="108"/>
      <c r="GR49" s="108"/>
      <c r="GS49" s="108"/>
      <c r="GT49" s="108"/>
      <c r="GU49" s="108"/>
      <c r="GV49" s="108"/>
      <c r="GW49" s="108"/>
      <c r="GX49" s="108"/>
      <c r="GY49" s="108"/>
      <c r="GZ49" s="108"/>
      <c r="HA49" s="108"/>
      <c r="HB49" s="108"/>
      <c r="HC49" s="108"/>
      <c r="HD49" s="108"/>
      <c r="HE49" s="108"/>
      <c r="HF49" s="108"/>
      <c r="HG49" s="108"/>
      <c r="HH49" s="108"/>
      <c r="HI49" s="108"/>
      <c r="HJ49" s="108"/>
      <c r="HK49" s="108"/>
      <c r="HL49" s="108"/>
      <c r="HM49" s="108"/>
      <c r="HN49" s="108"/>
      <c r="HO49" s="108"/>
      <c r="HP49" s="108"/>
      <c r="HQ49" s="108"/>
      <c r="HR49" s="108"/>
      <c r="HS49" s="108"/>
      <c r="HT49" s="108"/>
      <c r="HU49" s="108"/>
      <c r="HV49" s="108"/>
      <c r="HW49" s="108"/>
      <c r="HX49" s="108"/>
      <c r="HY49" s="108"/>
      <c r="HZ49" s="108"/>
      <c r="IA49" s="108"/>
      <c r="IB49" s="108"/>
      <c r="IC49" s="108"/>
      <c r="ID49" s="108"/>
      <c r="IE49" s="108"/>
      <c r="IF49" s="108"/>
      <c r="IG49" s="108"/>
      <c r="IH49" s="108"/>
      <c r="II49" s="108"/>
      <c r="IJ49" s="108"/>
      <c r="IK49" s="108"/>
      <c r="IL49" s="108"/>
      <c r="IM49" s="108"/>
      <c r="IN49" s="108"/>
      <c r="IO49" s="108"/>
      <c r="IP49" s="108"/>
      <c r="IQ49" s="108"/>
      <c r="IR49" s="108"/>
      <c r="IS49" s="108"/>
      <c r="IT49" s="108"/>
      <c r="IU49" s="108"/>
      <c r="IV49" s="108"/>
      <c r="IW49" s="108"/>
    </row>
    <row r="50" spans="1:257" x14ac:dyDescent="0.3">
      <c r="A50" s="158"/>
      <c r="B50" s="158"/>
      <c r="C50" s="158"/>
      <c r="D50" s="158"/>
      <c r="E50" s="158"/>
      <c r="F50" s="158"/>
      <c r="G50" s="158"/>
      <c r="H50" s="158"/>
      <c r="I50" s="176"/>
      <c r="J50" s="170"/>
      <c r="K50" s="171"/>
      <c r="L50" s="172"/>
      <c r="M50" s="158"/>
      <c r="N50" s="158"/>
      <c r="O50" s="108"/>
      <c r="P50" s="108"/>
      <c r="Q50" s="108"/>
      <c r="R50" s="108"/>
      <c r="S50" s="108"/>
      <c r="T50" s="108"/>
      <c r="U50" s="108"/>
      <c r="V50" s="108"/>
      <c r="W50" s="108"/>
      <c r="X50" s="108"/>
      <c r="Y50" s="108"/>
      <c r="Z50" s="108"/>
      <c r="AA50" s="108"/>
      <c r="AB50" s="108"/>
      <c r="AC50" s="108"/>
      <c r="AD50" s="108"/>
      <c r="AE50" s="108"/>
      <c r="AF50" s="108"/>
      <c r="AG50" s="108"/>
      <c r="AH50" s="108"/>
      <c r="AI50" s="108"/>
      <c r="AJ50" s="108"/>
      <c r="AK50" s="108"/>
      <c r="AL50" s="108"/>
      <c r="AM50" s="108"/>
      <c r="AN50" s="108"/>
      <c r="AO50" s="108"/>
      <c r="AP50" s="108"/>
      <c r="AQ50" s="108"/>
      <c r="AR50" s="108"/>
      <c r="AS50" s="108"/>
      <c r="AT50" s="108"/>
      <c r="AU50" s="108"/>
      <c r="AV50" s="108"/>
      <c r="AW50" s="108"/>
      <c r="AX50" s="108"/>
      <c r="AY50" s="108"/>
      <c r="AZ50" s="108"/>
      <c r="BA50" s="108"/>
      <c r="BB50" s="108"/>
      <c r="BC50" s="108"/>
      <c r="BD50" s="108"/>
      <c r="BE50" s="108"/>
      <c r="BF50" s="108"/>
      <c r="BG50" s="108"/>
      <c r="BH50" s="108"/>
      <c r="BI50" s="108"/>
      <c r="BJ50" s="108"/>
      <c r="BK50" s="108"/>
      <c r="BL50" s="108"/>
      <c r="BM50" s="108"/>
      <c r="BN50" s="108"/>
      <c r="BO50" s="108"/>
      <c r="BP50" s="108"/>
      <c r="BQ50" s="108"/>
      <c r="BR50" s="108"/>
      <c r="BS50" s="108"/>
      <c r="BT50" s="108"/>
      <c r="BU50" s="108"/>
      <c r="BV50" s="108"/>
      <c r="BW50" s="108"/>
      <c r="BX50" s="108"/>
      <c r="BY50" s="108"/>
      <c r="BZ50" s="108"/>
      <c r="CA50" s="108"/>
      <c r="CB50" s="108"/>
      <c r="CC50" s="108"/>
      <c r="CD50" s="108"/>
      <c r="CE50" s="108"/>
      <c r="CF50" s="108"/>
      <c r="CG50" s="108"/>
      <c r="CH50" s="108"/>
      <c r="CI50" s="108"/>
      <c r="CJ50" s="108"/>
      <c r="CK50" s="108"/>
      <c r="CL50" s="108"/>
      <c r="CM50" s="108"/>
      <c r="CN50" s="108"/>
      <c r="CO50" s="108"/>
      <c r="CP50" s="108"/>
      <c r="CQ50" s="108"/>
      <c r="CR50" s="108"/>
      <c r="CS50" s="108"/>
      <c r="CT50" s="108"/>
      <c r="CU50" s="108"/>
      <c r="CV50" s="108"/>
      <c r="CW50" s="108"/>
      <c r="CX50" s="108"/>
      <c r="CY50" s="108"/>
      <c r="CZ50" s="108"/>
      <c r="DA50" s="108"/>
      <c r="DB50" s="108"/>
      <c r="DC50" s="108"/>
      <c r="DD50" s="108"/>
      <c r="DE50" s="108"/>
      <c r="DF50" s="108"/>
      <c r="DG50" s="108"/>
      <c r="DH50" s="108"/>
      <c r="DI50" s="108"/>
      <c r="DJ50" s="108"/>
      <c r="DK50" s="108"/>
      <c r="DL50" s="108"/>
      <c r="DM50" s="108"/>
      <c r="DN50" s="108"/>
      <c r="DO50" s="108"/>
      <c r="DP50" s="108"/>
      <c r="DQ50" s="108"/>
      <c r="DR50" s="108"/>
      <c r="DS50" s="108"/>
      <c r="DT50" s="108"/>
      <c r="DU50" s="108"/>
      <c r="DV50" s="108"/>
      <c r="DW50" s="108"/>
      <c r="DX50" s="108"/>
      <c r="DY50" s="108"/>
      <c r="DZ50" s="108"/>
      <c r="EA50" s="108"/>
      <c r="EB50" s="108"/>
      <c r="EC50" s="108"/>
      <c r="ED50" s="108"/>
      <c r="EE50" s="108"/>
      <c r="EF50" s="108"/>
      <c r="EG50" s="108"/>
      <c r="EH50" s="108"/>
      <c r="EI50" s="108"/>
      <c r="EJ50" s="108"/>
      <c r="EK50" s="108"/>
      <c r="EL50" s="108"/>
      <c r="EM50" s="108"/>
      <c r="EN50" s="108"/>
      <c r="EO50" s="108"/>
      <c r="EP50" s="108"/>
      <c r="EQ50" s="108"/>
      <c r="ER50" s="108"/>
      <c r="ES50" s="108"/>
      <c r="ET50" s="108"/>
      <c r="EU50" s="108"/>
      <c r="EV50" s="108"/>
      <c r="EW50" s="108"/>
      <c r="EX50" s="108"/>
      <c r="EY50" s="108"/>
      <c r="EZ50" s="108"/>
      <c r="FA50" s="108"/>
      <c r="FB50" s="108"/>
      <c r="FC50" s="108"/>
      <c r="FD50" s="108"/>
      <c r="FE50" s="108"/>
      <c r="FF50" s="108"/>
      <c r="FG50" s="108"/>
      <c r="FH50" s="108"/>
      <c r="FI50" s="108"/>
      <c r="FJ50" s="108"/>
      <c r="FK50" s="108"/>
      <c r="FL50" s="108"/>
      <c r="FM50" s="108"/>
      <c r="FN50" s="108"/>
      <c r="FO50" s="108"/>
      <c r="FP50" s="108"/>
      <c r="FQ50" s="108"/>
      <c r="FR50" s="108"/>
      <c r="FS50" s="108"/>
      <c r="FT50" s="108"/>
      <c r="FU50" s="108"/>
      <c r="FV50" s="108"/>
      <c r="FW50" s="108"/>
      <c r="FX50" s="108"/>
      <c r="FY50" s="108"/>
      <c r="FZ50" s="108"/>
      <c r="GA50" s="108"/>
      <c r="GB50" s="108"/>
      <c r="GC50" s="108"/>
      <c r="GD50" s="108"/>
      <c r="GE50" s="108"/>
      <c r="GF50" s="108"/>
      <c r="GG50" s="108"/>
      <c r="GH50" s="108"/>
      <c r="GI50" s="108"/>
      <c r="GJ50" s="108"/>
      <c r="GK50" s="108"/>
      <c r="GL50" s="108"/>
      <c r="GM50" s="108"/>
      <c r="GN50" s="108"/>
      <c r="GO50" s="108"/>
      <c r="GP50" s="108"/>
      <c r="GQ50" s="108"/>
      <c r="GR50" s="108"/>
      <c r="GS50" s="108"/>
      <c r="GT50" s="108"/>
      <c r="GU50" s="108"/>
      <c r="GV50" s="108"/>
      <c r="GW50" s="108"/>
      <c r="GX50" s="108"/>
      <c r="GY50" s="108"/>
      <c r="GZ50" s="108"/>
      <c r="HA50" s="108"/>
      <c r="HB50" s="108"/>
      <c r="HC50" s="108"/>
      <c r="HD50" s="108"/>
      <c r="HE50" s="108"/>
      <c r="HF50" s="108"/>
      <c r="HG50" s="108"/>
      <c r="HH50" s="108"/>
      <c r="HI50" s="108"/>
      <c r="HJ50" s="108"/>
      <c r="HK50" s="108"/>
      <c r="HL50" s="108"/>
      <c r="HM50" s="108"/>
      <c r="HN50" s="108"/>
      <c r="HO50" s="108"/>
      <c r="HP50" s="108"/>
      <c r="HQ50" s="108"/>
      <c r="HR50" s="108"/>
      <c r="HS50" s="108"/>
      <c r="HT50" s="108"/>
      <c r="HU50" s="108"/>
      <c r="HV50" s="108"/>
      <c r="HW50" s="108"/>
      <c r="HX50" s="108"/>
      <c r="HY50" s="108"/>
      <c r="HZ50" s="108"/>
      <c r="IA50" s="108"/>
      <c r="IB50" s="108"/>
      <c r="IC50" s="108"/>
      <c r="ID50" s="108"/>
      <c r="IE50" s="108"/>
      <c r="IF50" s="108"/>
      <c r="IG50" s="108"/>
      <c r="IH50" s="108"/>
      <c r="II50" s="108"/>
      <c r="IJ50" s="108"/>
      <c r="IK50" s="108"/>
      <c r="IL50" s="108"/>
      <c r="IM50" s="108"/>
      <c r="IN50" s="108"/>
      <c r="IO50" s="108"/>
      <c r="IP50" s="108"/>
      <c r="IQ50" s="108"/>
      <c r="IR50" s="108"/>
      <c r="IS50" s="108"/>
      <c r="IT50" s="108"/>
      <c r="IU50" s="108"/>
      <c r="IV50" s="108"/>
      <c r="IW50" s="108"/>
    </row>
    <row r="51" spans="1:257" x14ac:dyDescent="0.3">
      <c r="A51" s="158"/>
      <c r="B51" s="158"/>
      <c r="C51" s="158"/>
      <c r="D51" s="158"/>
      <c r="E51" s="158"/>
      <c r="F51" s="158"/>
      <c r="G51" s="158"/>
      <c r="H51" s="158"/>
      <c r="I51" s="176"/>
      <c r="J51" s="170"/>
      <c r="K51" s="171"/>
      <c r="L51" s="172"/>
      <c r="M51" s="158"/>
      <c r="N51" s="158"/>
      <c r="O51" s="108"/>
      <c r="P51" s="108"/>
      <c r="Q51" s="108"/>
      <c r="R51" s="108"/>
      <c r="S51" s="108"/>
      <c r="T51" s="108"/>
      <c r="U51" s="108"/>
      <c r="V51" s="108"/>
      <c r="W51" s="108"/>
      <c r="X51" s="108"/>
      <c r="Y51" s="108"/>
      <c r="Z51" s="108"/>
      <c r="AA51" s="108"/>
      <c r="AB51" s="108"/>
      <c r="AC51" s="108"/>
      <c r="AD51" s="108"/>
      <c r="AE51" s="108"/>
      <c r="AF51" s="108"/>
      <c r="AG51" s="108"/>
      <c r="AH51" s="108"/>
      <c r="AI51" s="108"/>
      <c r="AJ51" s="108"/>
      <c r="AK51" s="108"/>
      <c r="AL51" s="108"/>
      <c r="AM51" s="108"/>
      <c r="AN51" s="108"/>
      <c r="AO51" s="108"/>
      <c r="AP51" s="108"/>
      <c r="AQ51" s="108"/>
      <c r="AR51" s="108"/>
      <c r="AS51" s="108"/>
      <c r="AT51" s="108"/>
      <c r="AU51" s="108"/>
      <c r="AV51" s="108"/>
      <c r="AW51" s="108"/>
      <c r="AX51" s="108"/>
      <c r="AY51" s="108"/>
      <c r="AZ51" s="108"/>
      <c r="BA51" s="108"/>
      <c r="BB51" s="108"/>
      <c r="BC51" s="108"/>
      <c r="BD51" s="108"/>
      <c r="BE51" s="108"/>
      <c r="BF51" s="108"/>
      <c r="BG51" s="108"/>
      <c r="BH51" s="108"/>
      <c r="BI51" s="108"/>
      <c r="BJ51" s="108"/>
      <c r="BK51" s="108"/>
      <c r="BL51" s="108"/>
      <c r="BM51" s="108"/>
      <c r="BN51" s="108"/>
      <c r="BO51" s="108"/>
      <c r="BP51" s="108"/>
      <c r="BQ51" s="108"/>
      <c r="BR51" s="108"/>
      <c r="BS51" s="108"/>
      <c r="BT51" s="108"/>
      <c r="BU51" s="108"/>
      <c r="BV51" s="108"/>
      <c r="BW51" s="108"/>
      <c r="BX51" s="108"/>
      <c r="BY51" s="108"/>
      <c r="BZ51" s="108"/>
      <c r="CA51" s="108"/>
      <c r="CB51" s="108"/>
      <c r="CC51" s="108"/>
      <c r="CD51" s="108"/>
      <c r="CE51" s="108"/>
      <c r="CF51" s="108"/>
      <c r="CG51" s="108"/>
      <c r="CH51" s="108"/>
      <c r="CI51" s="108"/>
      <c r="CJ51" s="108"/>
      <c r="CK51" s="108"/>
      <c r="CL51" s="108"/>
      <c r="CM51" s="108"/>
      <c r="CN51" s="108"/>
      <c r="CO51" s="108"/>
      <c r="CP51" s="108"/>
      <c r="CQ51" s="108"/>
      <c r="CR51" s="108"/>
      <c r="CS51" s="108"/>
      <c r="CT51" s="108"/>
      <c r="CU51" s="108"/>
      <c r="CV51" s="108"/>
      <c r="CW51" s="108"/>
      <c r="CX51" s="108"/>
      <c r="CY51" s="108"/>
      <c r="CZ51" s="108"/>
      <c r="DA51" s="108"/>
      <c r="DB51" s="108"/>
      <c r="DC51" s="108"/>
      <c r="DD51" s="108"/>
      <c r="DE51" s="108"/>
      <c r="DF51" s="108"/>
      <c r="DG51" s="108"/>
      <c r="DH51" s="108"/>
      <c r="DI51" s="108"/>
      <c r="DJ51" s="108"/>
      <c r="DK51" s="108"/>
      <c r="DL51" s="108"/>
      <c r="DM51" s="108"/>
      <c r="DN51" s="108"/>
      <c r="DO51" s="108"/>
      <c r="DP51" s="108"/>
      <c r="DQ51" s="108"/>
      <c r="DR51" s="108"/>
      <c r="DS51" s="108"/>
      <c r="DT51" s="108"/>
      <c r="DU51" s="108"/>
      <c r="DV51" s="108"/>
      <c r="DW51" s="108"/>
      <c r="DX51" s="108"/>
      <c r="DY51" s="108"/>
      <c r="DZ51" s="108"/>
      <c r="EA51" s="108"/>
      <c r="EB51" s="108"/>
      <c r="EC51" s="108"/>
      <c r="ED51" s="108"/>
      <c r="EE51" s="108"/>
      <c r="EF51" s="108"/>
      <c r="EG51" s="108"/>
      <c r="EH51" s="108"/>
      <c r="EI51" s="108"/>
      <c r="EJ51" s="108"/>
      <c r="EK51" s="108"/>
      <c r="EL51" s="108"/>
      <c r="EM51" s="108"/>
      <c r="EN51" s="108"/>
      <c r="EO51" s="108"/>
      <c r="EP51" s="108"/>
      <c r="EQ51" s="108"/>
      <c r="ER51" s="108"/>
      <c r="ES51" s="108"/>
      <c r="ET51" s="108"/>
      <c r="EU51" s="108"/>
      <c r="EV51" s="108"/>
      <c r="EW51" s="108"/>
      <c r="EX51" s="108"/>
      <c r="EY51" s="108"/>
      <c r="EZ51" s="108"/>
      <c r="FA51" s="108"/>
      <c r="FB51" s="108"/>
      <c r="FC51" s="108"/>
      <c r="FD51" s="108"/>
      <c r="FE51" s="108"/>
      <c r="FF51" s="108"/>
      <c r="FG51" s="108"/>
      <c r="FH51" s="108"/>
      <c r="FI51" s="108"/>
      <c r="FJ51" s="108"/>
      <c r="FK51" s="108"/>
      <c r="FL51" s="108"/>
      <c r="FM51" s="108"/>
      <c r="FN51" s="108"/>
      <c r="FO51" s="108"/>
      <c r="FP51" s="108"/>
      <c r="FQ51" s="108"/>
      <c r="FR51" s="108"/>
      <c r="FS51" s="108"/>
      <c r="FT51" s="108"/>
      <c r="FU51" s="108"/>
      <c r="FV51" s="108"/>
      <c r="FW51" s="108"/>
      <c r="FX51" s="108"/>
      <c r="FY51" s="108"/>
      <c r="FZ51" s="108"/>
      <c r="GA51" s="108"/>
      <c r="GB51" s="108"/>
      <c r="GC51" s="108"/>
      <c r="GD51" s="108"/>
      <c r="GE51" s="108"/>
      <c r="GF51" s="108"/>
      <c r="GG51" s="108"/>
      <c r="GH51" s="108"/>
      <c r="GI51" s="108"/>
      <c r="GJ51" s="108"/>
      <c r="GK51" s="108"/>
      <c r="GL51" s="108"/>
      <c r="GM51" s="108"/>
      <c r="GN51" s="108"/>
      <c r="GO51" s="108"/>
      <c r="GP51" s="108"/>
      <c r="GQ51" s="108"/>
      <c r="GR51" s="108"/>
      <c r="GS51" s="108"/>
      <c r="GT51" s="108"/>
      <c r="GU51" s="108"/>
      <c r="GV51" s="108"/>
      <c r="GW51" s="108"/>
      <c r="GX51" s="108"/>
      <c r="GY51" s="108"/>
      <c r="GZ51" s="108"/>
      <c r="HA51" s="108"/>
      <c r="HB51" s="108"/>
      <c r="HC51" s="108"/>
      <c r="HD51" s="108"/>
      <c r="HE51" s="108"/>
      <c r="HF51" s="108"/>
      <c r="HG51" s="108"/>
      <c r="HH51" s="108"/>
      <c r="HI51" s="108"/>
      <c r="HJ51" s="108"/>
      <c r="HK51" s="108"/>
      <c r="HL51" s="108"/>
      <c r="HM51" s="108"/>
      <c r="HN51" s="108"/>
      <c r="HO51" s="108"/>
      <c r="HP51" s="108"/>
      <c r="HQ51" s="108"/>
      <c r="HR51" s="108"/>
      <c r="HS51" s="108"/>
      <c r="HT51" s="108"/>
      <c r="HU51" s="108"/>
      <c r="HV51" s="108"/>
      <c r="HW51" s="108"/>
      <c r="HX51" s="108"/>
      <c r="HY51" s="108"/>
      <c r="HZ51" s="108"/>
      <c r="IA51" s="108"/>
      <c r="IB51" s="108"/>
      <c r="IC51" s="108"/>
      <c r="ID51" s="108"/>
      <c r="IE51" s="108"/>
      <c r="IF51" s="108"/>
      <c r="IG51" s="108"/>
      <c r="IH51" s="108"/>
      <c r="II51" s="108"/>
      <c r="IJ51" s="108"/>
      <c r="IK51" s="108"/>
      <c r="IL51" s="108"/>
      <c r="IM51" s="108"/>
      <c r="IN51" s="108"/>
      <c r="IO51" s="108"/>
      <c r="IP51" s="108"/>
      <c r="IQ51" s="108"/>
      <c r="IR51" s="108"/>
      <c r="IS51" s="108"/>
      <c r="IT51" s="108"/>
      <c r="IU51" s="108"/>
      <c r="IV51" s="108"/>
      <c r="IW51" s="108"/>
    </row>
    <row r="52" spans="1:257" x14ac:dyDescent="0.3">
      <c r="A52" s="158"/>
      <c r="B52" s="158"/>
      <c r="C52" s="158"/>
      <c r="D52" s="158"/>
      <c r="E52" s="158"/>
      <c r="F52" s="158"/>
      <c r="G52" s="158"/>
      <c r="H52" s="158"/>
      <c r="I52" s="176"/>
      <c r="J52" s="170"/>
      <c r="K52" s="171"/>
      <c r="L52" s="172"/>
      <c r="M52" s="158"/>
      <c r="N52" s="158"/>
      <c r="O52" s="108"/>
      <c r="P52" s="108"/>
      <c r="Q52" s="108"/>
      <c r="R52" s="108"/>
      <c r="S52" s="108"/>
      <c r="T52" s="108"/>
      <c r="U52" s="108"/>
      <c r="V52" s="108"/>
      <c r="W52" s="108"/>
      <c r="X52" s="108"/>
      <c r="Y52" s="108"/>
      <c r="Z52" s="108"/>
      <c r="AA52" s="108"/>
      <c r="AB52" s="108"/>
      <c r="AC52" s="108"/>
      <c r="AD52" s="108"/>
      <c r="AE52" s="108"/>
      <c r="AF52" s="108"/>
      <c r="AG52" s="108"/>
      <c r="AH52" s="108"/>
      <c r="AI52" s="108"/>
      <c r="AJ52" s="108"/>
      <c r="AK52" s="108"/>
      <c r="AL52" s="108"/>
      <c r="AM52" s="108"/>
      <c r="AN52" s="108"/>
      <c r="AO52" s="108"/>
      <c r="AP52" s="108"/>
      <c r="AQ52" s="108"/>
      <c r="AR52" s="108"/>
      <c r="AS52" s="108"/>
      <c r="AT52" s="108"/>
      <c r="AU52" s="108"/>
      <c r="AV52" s="108"/>
      <c r="AW52" s="108"/>
      <c r="AX52" s="108"/>
      <c r="AY52" s="108"/>
      <c r="AZ52" s="108"/>
      <c r="BA52" s="108"/>
      <c r="BB52" s="108"/>
      <c r="BC52" s="108"/>
      <c r="BD52" s="108"/>
      <c r="BE52" s="108"/>
      <c r="BF52" s="108"/>
      <c r="BG52" s="108"/>
      <c r="BH52" s="108"/>
      <c r="BI52" s="108"/>
      <c r="BJ52" s="108"/>
      <c r="BK52" s="108"/>
      <c r="BL52" s="108"/>
      <c r="BM52" s="108"/>
      <c r="BN52" s="108"/>
      <c r="BO52" s="108"/>
      <c r="BP52" s="108"/>
      <c r="BQ52" s="108"/>
      <c r="BR52" s="108"/>
      <c r="BS52" s="108"/>
      <c r="BT52" s="108"/>
      <c r="BU52" s="108"/>
      <c r="BV52" s="108"/>
      <c r="BW52" s="108"/>
      <c r="BX52" s="108"/>
      <c r="BY52" s="108"/>
      <c r="BZ52" s="108"/>
      <c r="CA52" s="108"/>
      <c r="CB52" s="108"/>
      <c r="CC52" s="108"/>
      <c r="CD52" s="108"/>
      <c r="CE52" s="108"/>
      <c r="CF52" s="108"/>
      <c r="CG52" s="108"/>
      <c r="CH52" s="108"/>
      <c r="CI52" s="108"/>
      <c r="CJ52" s="108"/>
      <c r="CK52" s="108"/>
      <c r="CL52" s="108"/>
      <c r="CM52" s="108"/>
      <c r="CN52" s="108"/>
      <c r="CO52" s="108"/>
      <c r="CP52" s="108"/>
      <c r="CQ52" s="108"/>
      <c r="CR52" s="108"/>
      <c r="CS52" s="108"/>
      <c r="CT52" s="108"/>
      <c r="CU52" s="108"/>
      <c r="CV52" s="108"/>
      <c r="CW52" s="108"/>
      <c r="CX52" s="108"/>
      <c r="CY52" s="108"/>
      <c r="CZ52" s="108"/>
      <c r="DA52" s="108"/>
      <c r="DB52" s="108"/>
      <c r="DC52" s="108"/>
      <c r="DD52" s="108"/>
      <c r="DE52" s="108"/>
      <c r="DF52" s="108"/>
      <c r="DG52" s="108"/>
      <c r="DH52" s="108"/>
      <c r="DI52" s="108"/>
      <c r="DJ52" s="108"/>
      <c r="DK52" s="108"/>
      <c r="DL52" s="108"/>
      <c r="DM52" s="108"/>
      <c r="DN52" s="108"/>
      <c r="DO52" s="108"/>
      <c r="DP52" s="108"/>
      <c r="DQ52" s="108"/>
      <c r="DR52" s="108"/>
      <c r="DS52" s="108"/>
      <c r="DT52" s="108"/>
      <c r="DU52" s="108"/>
      <c r="DV52" s="108"/>
      <c r="DW52" s="108"/>
      <c r="DX52" s="108"/>
      <c r="DY52" s="108"/>
      <c r="DZ52" s="108"/>
      <c r="EA52" s="108"/>
      <c r="EB52" s="108"/>
      <c r="EC52" s="108"/>
      <c r="ED52" s="108"/>
      <c r="EE52" s="108"/>
      <c r="EF52" s="108"/>
      <c r="EG52" s="108"/>
      <c r="EH52" s="108"/>
      <c r="EI52" s="108"/>
      <c r="EJ52" s="108"/>
      <c r="EK52" s="108"/>
      <c r="EL52" s="108"/>
      <c r="EM52" s="108"/>
      <c r="EN52" s="108"/>
      <c r="EO52" s="108"/>
      <c r="EP52" s="108"/>
      <c r="EQ52" s="108"/>
      <c r="ER52" s="108"/>
      <c r="ES52" s="108"/>
      <c r="ET52" s="108"/>
      <c r="EU52" s="108"/>
      <c r="EV52" s="108"/>
      <c r="EW52" s="108"/>
      <c r="EX52" s="108"/>
      <c r="EY52" s="108"/>
      <c r="EZ52" s="108"/>
      <c r="FA52" s="108"/>
      <c r="FB52" s="108"/>
      <c r="FC52" s="108"/>
      <c r="FD52" s="108"/>
      <c r="FE52" s="108"/>
      <c r="FF52" s="108"/>
      <c r="FG52" s="108"/>
      <c r="FH52" s="108"/>
      <c r="FI52" s="108"/>
      <c r="FJ52" s="108"/>
      <c r="FK52" s="108"/>
      <c r="FL52" s="108"/>
      <c r="FM52" s="108"/>
      <c r="FN52" s="108"/>
      <c r="FO52" s="108"/>
      <c r="FP52" s="108"/>
      <c r="FQ52" s="108"/>
      <c r="FR52" s="108"/>
      <c r="FS52" s="108"/>
      <c r="FT52" s="108"/>
      <c r="FU52" s="108"/>
      <c r="FV52" s="108"/>
      <c r="FW52" s="108"/>
      <c r="FX52" s="108"/>
      <c r="FY52" s="108"/>
      <c r="FZ52" s="108"/>
      <c r="GA52" s="108"/>
      <c r="GB52" s="108"/>
      <c r="GC52" s="108"/>
      <c r="GD52" s="108"/>
      <c r="GE52" s="108"/>
      <c r="GF52" s="108"/>
      <c r="GG52" s="108"/>
      <c r="GH52" s="108"/>
      <c r="GI52" s="108"/>
      <c r="GJ52" s="108"/>
      <c r="GK52" s="108"/>
      <c r="GL52" s="108"/>
      <c r="GM52" s="108"/>
      <c r="GN52" s="108"/>
      <c r="GO52" s="108"/>
      <c r="GP52" s="108"/>
      <c r="GQ52" s="108"/>
      <c r="GR52" s="108"/>
      <c r="GS52" s="108"/>
      <c r="GT52" s="108"/>
      <c r="GU52" s="108"/>
      <c r="GV52" s="108"/>
      <c r="GW52" s="108"/>
      <c r="GX52" s="108"/>
      <c r="GY52" s="108"/>
      <c r="GZ52" s="108"/>
      <c r="HA52" s="108"/>
      <c r="HB52" s="108"/>
      <c r="HC52" s="108"/>
      <c r="HD52" s="108"/>
      <c r="HE52" s="108"/>
      <c r="HF52" s="108"/>
      <c r="HG52" s="108"/>
      <c r="HH52" s="108"/>
      <c r="HI52" s="108"/>
      <c r="HJ52" s="108"/>
      <c r="HK52" s="108"/>
      <c r="HL52" s="108"/>
      <c r="HM52" s="108"/>
      <c r="HN52" s="108"/>
      <c r="HO52" s="108"/>
      <c r="HP52" s="108"/>
      <c r="HQ52" s="108"/>
      <c r="HR52" s="108"/>
      <c r="HS52" s="108"/>
      <c r="HT52" s="108"/>
      <c r="HU52" s="108"/>
      <c r="HV52" s="108"/>
      <c r="HW52" s="108"/>
      <c r="HX52" s="108"/>
      <c r="HY52" s="108"/>
      <c r="HZ52" s="108"/>
      <c r="IA52" s="108"/>
      <c r="IB52" s="108"/>
      <c r="IC52" s="108"/>
      <c r="ID52" s="108"/>
      <c r="IE52" s="108"/>
      <c r="IF52" s="108"/>
      <c r="IG52" s="108"/>
      <c r="IH52" s="108"/>
      <c r="II52" s="108"/>
      <c r="IJ52" s="108"/>
      <c r="IK52" s="108"/>
      <c r="IL52" s="108"/>
      <c r="IM52" s="108"/>
      <c r="IN52" s="108"/>
      <c r="IO52" s="108"/>
      <c r="IP52" s="108"/>
      <c r="IQ52" s="108"/>
      <c r="IR52" s="108"/>
      <c r="IS52" s="108"/>
      <c r="IT52" s="108"/>
      <c r="IU52" s="108"/>
      <c r="IV52" s="108"/>
      <c r="IW52" s="108"/>
    </row>
    <row r="53" spans="1:257" x14ac:dyDescent="0.3">
      <c r="A53" s="158"/>
      <c r="B53" s="158"/>
      <c r="C53" s="158"/>
      <c r="D53" s="158"/>
      <c r="E53" s="158"/>
      <c r="F53" s="158"/>
      <c r="G53" s="158"/>
      <c r="H53" s="158"/>
      <c r="I53" s="158"/>
      <c r="J53" s="158"/>
      <c r="K53" s="158"/>
      <c r="L53" s="158"/>
      <c r="M53" s="158"/>
      <c r="N53" s="158"/>
      <c r="O53" s="108"/>
      <c r="P53" s="108"/>
      <c r="Q53" s="108"/>
      <c r="R53" s="108"/>
      <c r="S53" s="108"/>
      <c r="T53" s="108"/>
      <c r="U53" s="108"/>
      <c r="V53" s="108"/>
      <c r="W53" s="108"/>
      <c r="X53" s="108"/>
      <c r="Y53" s="108"/>
      <c r="Z53" s="108"/>
      <c r="AA53" s="108"/>
      <c r="AB53" s="108"/>
      <c r="AC53" s="108"/>
      <c r="AD53" s="108"/>
      <c r="AE53" s="108"/>
      <c r="AF53" s="108"/>
      <c r="AG53" s="108"/>
      <c r="AH53" s="108"/>
      <c r="AI53" s="108"/>
      <c r="AJ53" s="108"/>
      <c r="AK53" s="108"/>
      <c r="AL53" s="108"/>
      <c r="AM53" s="108"/>
      <c r="AN53" s="108"/>
      <c r="AO53" s="108"/>
      <c r="AP53" s="108"/>
      <c r="AQ53" s="108"/>
      <c r="AR53" s="108"/>
      <c r="AS53" s="108"/>
      <c r="AT53" s="108"/>
      <c r="AU53" s="108"/>
      <c r="AV53" s="108"/>
      <c r="AW53" s="108"/>
      <c r="AX53" s="108"/>
      <c r="AY53" s="108"/>
      <c r="AZ53" s="108"/>
      <c r="BA53" s="108"/>
      <c r="BB53" s="108"/>
      <c r="BC53" s="108"/>
      <c r="BD53" s="108"/>
      <c r="BE53" s="108"/>
      <c r="BF53" s="108"/>
      <c r="BG53" s="108"/>
      <c r="BH53" s="108"/>
      <c r="BI53" s="108"/>
      <c r="BJ53" s="108"/>
      <c r="BK53" s="108"/>
      <c r="BL53" s="108"/>
      <c r="BM53" s="108"/>
      <c r="BN53" s="108"/>
      <c r="BO53" s="108"/>
      <c r="BP53" s="108"/>
      <c r="BQ53" s="108"/>
      <c r="BR53" s="108"/>
      <c r="BS53" s="108"/>
      <c r="BT53" s="108"/>
      <c r="BU53" s="108"/>
      <c r="BV53" s="108"/>
      <c r="BW53" s="108"/>
      <c r="BX53" s="108"/>
      <c r="BY53" s="108"/>
      <c r="BZ53" s="108"/>
      <c r="CA53" s="108"/>
      <c r="CB53" s="108"/>
      <c r="CC53" s="108"/>
      <c r="CD53" s="108"/>
      <c r="CE53" s="108"/>
      <c r="CF53" s="108"/>
      <c r="CG53" s="108"/>
      <c r="CH53" s="108"/>
      <c r="CI53" s="108"/>
      <c r="CJ53" s="108"/>
      <c r="CK53" s="108"/>
      <c r="CL53" s="108"/>
      <c r="CM53" s="108"/>
      <c r="CN53" s="108"/>
      <c r="CO53" s="108"/>
      <c r="CP53" s="108"/>
      <c r="CQ53" s="108"/>
      <c r="CR53" s="108"/>
      <c r="CS53" s="108"/>
      <c r="CT53" s="108"/>
      <c r="CU53" s="108"/>
      <c r="CV53" s="108"/>
      <c r="CW53" s="108"/>
      <c r="CX53" s="108"/>
      <c r="CY53" s="108"/>
      <c r="CZ53" s="108"/>
      <c r="DA53" s="108"/>
      <c r="DB53" s="108"/>
      <c r="DC53" s="108"/>
      <c r="DD53" s="108"/>
      <c r="DE53" s="108"/>
      <c r="DF53" s="108"/>
      <c r="DG53" s="108"/>
      <c r="DH53" s="108"/>
      <c r="DI53" s="108"/>
      <c r="DJ53" s="108"/>
      <c r="DK53" s="108"/>
      <c r="DL53" s="108"/>
      <c r="DM53" s="108"/>
      <c r="DN53" s="108"/>
      <c r="DO53" s="108"/>
      <c r="DP53" s="108"/>
      <c r="DQ53" s="108"/>
      <c r="DR53" s="108"/>
      <c r="DS53" s="108"/>
      <c r="DT53" s="108"/>
      <c r="DU53" s="108"/>
      <c r="DV53" s="108"/>
      <c r="DW53" s="108"/>
      <c r="DX53" s="108"/>
      <c r="DY53" s="108"/>
      <c r="DZ53" s="108"/>
      <c r="EA53" s="108"/>
      <c r="EB53" s="108"/>
      <c r="EC53" s="108"/>
      <c r="ED53" s="108"/>
      <c r="EE53" s="108"/>
      <c r="EF53" s="108"/>
      <c r="EG53" s="108"/>
      <c r="EH53" s="108"/>
      <c r="EI53" s="108"/>
      <c r="EJ53" s="108"/>
      <c r="EK53" s="108"/>
      <c r="EL53" s="108"/>
      <c r="EM53" s="108"/>
      <c r="EN53" s="108"/>
      <c r="EO53" s="108"/>
      <c r="EP53" s="108"/>
      <c r="EQ53" s="108"/>
      <c r="ER53" s="108"/>
      <c r="ES53" s="108"/>
      <c r="ET53" s="108"/>
      <c r="EU53" s="108"/>
      <c r="EV53" s="108"/>
      <c r="EW53" s="108"/>
      <c r="EX53" s="108"/>
      <c r="EY53" s="108"/>
      <c r="EZ53" s="108"/>
      <c r="FA53" s="108"/>
      <c r="FB53" s="108"/>
      <c r="FC53" s="108"/>
      <c r="FD53" s="108"/>
      <c r="FE53" s="108"/>
      <c r="FF53" s="108"/>
      <c r="FG53" s="108"/>
      <c r="FH53" s="108"/>
      <c r="FI53" s="108"/>
      <c r="FJ53" s="108"/>
      <c r="FK53" s="108"/>
      <c r="FL53" s="108"/>
      <c r="FM53" s="108"/>
      <c r="FN53" s="108"/>
      <c r="FO53" s="108"/>
      <c r="FP53" s="108"/>
      <c r="FQ53" s="108"/>
      <c r="FR53" s="108"/>
      <c r="FS53" s="108"/>
      <c r="FT53" s="108"/>
      <c r="FU53" s="108"/>
      <c r="FV53" s="108"/>
      <c r="FW53" s="108"/>
      <c r="FX53" s="108"/>
      <c r="FY53" s="108"/>
      <c r="FZ53" s="108"/>
      <c r="GA53" s="108"/>
      <c r="GB53" s="108"/>
      <c r="GC53" s="108"/>
      <c r="GD53" s="108"/>
      <c r="GE53" s="108"/>
      <c r="GF53" s="108"/>
      <c r="GG53" s="108"/>
      <c r="GH53" s="108"/>
      <c r="GI53" s="108"/>
      <c r="GJ53" s="108"/>
      <c r="GK53" s="108"/>
      <c r="GL53" s="108"/>
      <c r="GM53" s="108"/>
      <c r="GN53" s="108"/>
      <c r="GO53" s="108"/>
      <c r="GP53" s="108"/>
      <c r="GQ53" s="108"/>
      <c r="GR53" s="108"/>
      <c r="GS53" s="108"/>
      <c r="GT53" s="108"/>
      <c r="GU53" s="108"/>
      <c r="GV53" s="108"/>
      <c r="GW53" s="108"/>
      <c r="GX53" s="108"/>
      <c r="GY53" s="108"/>
      <c r="GZ53" s="108"/>
      <c r="HA53" s="108"/>
      <c r="HB53" s="108"/>
      <c r="HC53" s="108"/>
      <c r="HD53" s="108"/>
      <c r="HE53" s="108"/>
      <c r="HF53" s="108"/>
      <c r="HG53" s="108"/>
      <c r="HH53" s="108"/>
      <c r="HI53" s="108"/>
      <c r="HJ53" s="108"/>
      <c r="HK53" s="108"/>
      <c r="HL53" s="108"/>
      <c r="HM53" s="108"/>
      <c r="HN53" s="108"/>
      <c r="HO53" s="108"/>
      <c r="HP53" s="108"/>
      <c r="HQ53" s="108"/>
      <c r="HR53" s="108"/>
      <c r="HS53" s="108"/>
      <c r="HT53" s="108"/>
      <c r="HU53" s="108"/>
      <c r="HV53" s="108"/>
      <c r="HW53" s="108"/>
      <c r="HX53" s="108"/>
      <c r="HY53" s="108"/>
      <c r="HZ53" s="108"/>
      <c r="IA53" s="108"/>
      <c r="IB53" s="108"/>
      <c r="IC53" s="108"/>
      <c r="ID53" s="108"/>
      <c r="IE53" s="108"/>
      <c r="IF53" s="108"/>
      <c r="IG53" s="108"/>
      <c r="IH53" s="108"/>
      <c r="II53" s="108"/>
      <c r="IJ53" s="108"/>
      <c r="IK53" s="108"/>
      <c r="IL53" s="108"/>
      <c r="IM53" s="108"/>
      <c r="IN53" s="108"/>
      <c r="IO53" s="108"/>
      <c r="IP53" s="108"/>
      <c r="IQ53" s="108"/>
      <c r="IR53" s="108"/>
      <c r="IS53" s="108"/>
      <c r="IT53" s="108"/>
      <c r="IU53" s="108"/>
      <c r="IV53" s="108"/>
      <c r="IW53" s="108"/>
    </row>
    <row r="54" spans="1:257" x14ac:dyDescent="0.3">
      <c r="A54" s="158"/>
      <c r="B54" s="158"/>
      <c r="C54" s="158"/>
      <c r="D54" s="158"/>
      <c r="E54" s="158"/>
      <c r="F54" s="158"/>
      <c r="G54" s="158"/>
      <c r="H54" s="158"/>
      <c r="I54" s="158"/>
      <c r="J54" s="158"/>
      <c r="K54" s="158"/>
      <c r="L54" s="158"/>
      <c r="M54" s="158"/>
      <c r="N54" s="158"/>
      <c r="O54" s="108"/>
      <c r="P54" s="108"/>
      <c r="Q54" s="108"/>
      <c r="R54" s="108"/>
      <c r="S54" s="108"/>
      <c r="T54" s="108"/>
      <c r="U54" s="108"/>
      <c r="V54" s="108"/>
      <c r="W54" s="108"/>
      <c r="X54" s="108"/>
      <c r="Y54" s="108"/>
      <c r="Z54" s="108"/>
      <c r="AA54" s="108"/>
      <c r="AB54" s="108"/>
      <c r="AC54" s="108"/>
      <c r="AD54" s="108"/>
      <c r="AE54" s="108"/>
      <c r="AF54" s="108"/>
      <c r="AG54" s="108"/>
      <c r="AH54" s="108"/>
      <c r="AI54" s="108"/>
      <c r="AJ54" s="108"/>
      <c r="AK54" s="108"/>
      <c r="AL54" s="108"/>
      <c r="AM54" s="108"/>
      <c r="AN54" s="108"/>
      <c r="AO54" s="108"/>
      <c r="AP54" s="108"/>
      <c r="AQ54" s="108"/>
      <c r="AR54" s="108"/>
      <c r="AS54" s="108"/>
      <c r="AT54" s="108"/>
      <c r="AU54" s="108"/>
      <c r="AV54" s="108"/>
      <c r="AW54" s="108"/>
      <c r="AX54" s="108"/>
      <c r="AY54" s="108"/>
      <c r="AZ54" s="108"/>
      <c r="BA54" s="108"/>
      <c r="BB54" s="108"/>
      <c r="BC54" s="108"/>
      <c r="BD54" s="108"/>
      <c r="BE54" s="108"/>
      <c r="BF54" s="108"/>
      <c r="BG54" s="108"/>
      <c r="BH54" s="108"/>
      <c r="BI54" s="108"/>
      <c r="BJ54" s="108"/>
      <c r="BK54" s="108"/>
      <c r="BL54" s="108"/>
      <c r="BM54" s="108"/>
      <c r="BN54" s="108"/>
      <c r="BO54" s="108"/>
      <c r="BP54" s="108"/>
      <c r="BQ54" s="108"/>
      <c r="BR54" s="108"/>
      <c r="BS54" s="108"/>
      <c r="BT54" s="108"/>
      <c r="BU54" s="108"/>
      <c r="BV54" s="108"/>
      <c r="BW54" s="108"/>
      <c r="BX54" s="108"/>
      <c r="BY54" s="108"/>
      <c r="BZ54" s="108"/>
      <c r="CA54" s="108"/>
      <c r="CB54" s="108"/>
      <c r="CC54" s="108"/>
      <c r="CD54" s="108"/>
      <c r="CE54" s="108"/>
      <c r="CF54" s="108"/>
      <c r="CG54" s="108"/>
      <c r="CH54" s="108"/>
      <c r="CI54" s="108"/>
      <c r="CJ54" s="108"/>
      <c r="CK54" s="108"/>
      <c r="CL54" s="108"/>
      <c r="CM54" s="108"/>
      <c r="CN54" s="108"/>
      <c r="CO54" s="108"/>
      <c r="CP54" s="108"/>
      <c r="CQ54" s="108"/>
      <c r="CR54" s="108"/>
      <c r="CS54" s="108"/>
      <c r="CT54" s="108"/>
      <c r="CU54" s="108"/>
      <c r="CV54" s="108"/>
      <c r="CW54" s="108"/>
      <c r="CX54" s="108"/>
      <c r="CY54" s="108"/>
      <c r="CZ54" s="108"/>
      <c r="DA54" s="108"/>
      <c r="DB54" s="108"/>
      <c r="DC54" s="108"/>
      <c r="DD54" s="108"/>
      <c r="DE54" s="108"/>
      <c r="DF54" s="108"/>
      <c r="DG54" s="108"/>
      <c r="DH54" s="108"/>
      <c r="DI54" s="108"/>
      <c r="DJ54" s="108"/>
      <c r="DK54" s="108"/>
      <c r="DL54" s="108"/>
      <c r="DM54" s="108"/>
      <c r="DN54" s="108"/>
      <c r="DO54" s="108"/>
      <c r="DP54" s="108"/>
      <c r="DQ54" s="108"/>
      <c r="DR54" s="108"/>
      <c r="DS54" s="108"/>
      <c r="DT54" s="108"/>
      <c r="DU54" s="108"/>
      <c r="DV54" s="108"/>
      <c r="DW54" s="108"/>
      <c r="DX54" s="108"/>
      <c r="DY54" s="108"/>
      <c r="DZ54" s="108"/>
      <c r="EA54" s="108"/>
      <c r="EB54" s="108"/>
      <c r="EC54" s="108"/>
      <c r="ED54" s="108"/>
      <c r="EE54" s="108"/>
      <c r="EF54" s="108"/>
      <c r="EG54" s="108"/>
      <c r="EH54" s="108"/>
      <c r="EI54" s="108"/>
      <c r="EJ54" s="108"/>
      <c r="EK54" s="108"/>
      <c r="EL54" s="108"/>
      <c r="EM54" s="108"/>
      <c r="EN54" s="108"/>
      <c r="EO54" s="108"/>
      <c r="EP54" s="108"/>
      <c r="EQ54" s="108"/>
      <c r="ER54" s="108"/>
      <c r="ES54" s="108"/>
      <c r="ET54" s="108"/>
      <c r="EU54" s="108"/>
      <c r="EV54" s="108"/>
      <c r="EW54" s="108"/>
      <c r="EX54" s="108"/>
      <c r="EY54" s="108"/>
      <c r="EZ54" s="108"/>
      <c r="FA54" s="108"/>
      <c r="FB54" s="108"/>
      <c r="FC54" s="108"/>
      <c r="FD54" s="108"/>
      <c r="FE54" s="108"/>
      <c r="FF54" s="108"/>
      <c r="FG54" s="108"/>
      <c r="FH54" s="108"/>
      <c r="FI54" s="108"/>
      <c r="FJ54" s="108"/>
      <c r="FK54" s="108"/>
      <c r="FL54" s="108"/>
      <c r="FM54" s="108"/>
      <c r="FN54" s="108"/>
      <c r="FO54" s="108"/>
      <c r="FP54" s="108"/>
      <c r="FQ54" s="108"/>
      <c r="FR54" s="108"/>
      <c r="FS54" s="108"/>
      <c r="FT54" s="108"/>
      <c r="FU54" s="108"/>
      <c r="FV54" s="108"/>
      <c r="FW54" s="108"/>
      <c r="FX54" s="108"/>
      <c r="FY54" s="108"/>
      <c r="FZ54" s="108"/>
      <c r="GA54" s="108"/>
      <c r="GB54" s="108"/>
      <c r="GC54" s="108"/>
      <c r="GD54" s="108"/>
      <c r="GE54" s="108"/>
      <c r="GF54" s="108"/>
      <c r="GG54" s="108"/>
      <c r="GH54" s="108"/>
      <c r="GI54" s="108"/>
      <c r="GJ54" s="108"/>
      <c r="GK54" s="108"/>
      <c r="GL54" s="108"/>
      <c r="GM54" s="108"/>
      <c r="GN54" s="108"/>
      <c r="GO54" s="108"/>
      <c r="GP54" s="108"/>
      <c r="GQ54" s="108"/>
      <c r="GR54" s="108"/>
      <c r="GS54" s="108"/>
      <c r="GT54" s="108"/>
      <c r="GU54" s="108"/>
      <c r="GV54" s="108"/>
      <c r="GW54" s="108"/>
      <c r="GX54" s="108"/>
      <c r="GY54" s="108"/>
      <c r="GZ54" s="108"/>
      <c r="HA54" s="108"/>
      <c r="HB54" s="108"/>
      <c r="HC54" s="108"/>
      <c r="HD54" s="108"/>
      <c r="HE54" s="108"/>
      <c r="HF54" s="108"/>
      <c r="HG54" s="108"/>
      <c r="HH54" s="108"/>
      <c r="HI54" s="108"/>
      <c r="HJ54" s="108"/>
      <c r="HK54" s="108"/>
      <c r="HL54" s="108"/>
      <c r="HM54" s="108"/>
      <c r="HN54" s="108"/>
      <c r="HO54" s="108"/>
      <c r="HP54" s="108"/>
      <c r="HQ54" s="108"/>
      <c r="HR54" s="108"/>
      <c r="HS54" s="108"/>
      <c r="HT54" s="108"/>
      <c r="HU54" s="108"/>
      <c r="HV54" s="108"/>
      <c r="HW54" s="108"/>
      <c r="HX54" s="108"/>
      <c r="HY54" s="108"/>
      <c r="HZ54" s="108"/>
      <c r="IA54" s="108"/>
      <c r="IB54" s="108"/>
      <c r="IC54" s="108"/>
      <c r="ID54" s="108"/>
      <c r="IE54" s="108"/>
      <c r="IF54" s="108"/>
      <c r="IG54" s="108"/>
      <c r="IH54" s="108"/>
      <c r="II54" s="108"/>
      <c r="IJ54" s="108"/>
      <c r="IK54" s="108"/>
      <c r="IL54" s="108"/>
      <c r="IM54" s="108"/>
      <c r="IN54" s="108"/>
      <c r="IO54" s="108"/>
      <c r="IP54" s="108"/>
      <c r="IQ54" s="108"/>
      <c r="IR54" s="108"/>
      <c r="IS54" s="108"/>
      <c r="IT54" s="108"/>
      <c r="IU54" s="108"/>
      <c r="IV54" s="108"/>
      <c r="IW54" s="108"/>
    </row>
    <row r="55" spans="1:257" x14ac:dyDescent="0.3">
      <c r="A55" s="158"/>
      <c r="B55" s="158"/>
      <c r="C55" s="158"/>
      <c r="D55" s="158"/>
      <c r="E55" s="158"/>
      <c r="F55" s="158"/>
      <c r="G55" s="158"/>
      <c r="H55" s="158"/>
      <c r="I55" s="158"/>
      <c r="J55" s="158"/>
      <c r="K55" s="158"/>
      <c r="L55" s="158"/>
      <c r="M55" s="158"/>
      <c r="N55" s="158"/>
      <c r="O55" s="108"/>
      <c r="P55" s="108"/>
      <c r="Q55" s="108"/>
      <c r="R55" s="108"/>
      <c r="S55" s="108"/>
      <c r="T55" s="108"/>
      <c r="U55" s="108"/>
      <c r="V55" s="108"/>
      <c r="W55" s="108"/>
      <c r="X55" s="108"/>
      <c r="Y55" s="108"/>
      <c r="Z55" s="108"/>
      <c r="AA55" s="108"/>
      <c r="AB55" s="108"/>
      <c r="AC55" s="108"/>
      <c r="AD55" s="108"/>
      <c r="AE55" s="108"/>
      <c r="AF55" s="108"/>
      <c r="AG55" s="108"/>
      <c r="AH55" s="108"/>
      <c r="AI55" s="108"/>
      <c r="AJ55" s="108"/>
      <c r="AK55" s="108"/>
      <c r="AL55" s="108"/>
      <c r="AM55" s="108"/>
      <c r="AN55" s="108"/>
      <c r="AO55" s="108"/>
      <c r="AP55" s="108"/>
      <c r="AQ55" s="108"/>
      <c r="AR55" s="108"/>
      <c r="AS55" s="108"/>
      <c r="AT55" s="108"/>
      <c r="AU55" s="108"/>
      <c r="AV55" s="108"/>
      <c r="AW55" s="108"/>
      <c r="AX55" s="108"/>
      <c r="AY55" s="108"/>
      <c r="AZ55" s="108"/>
      <c r="BA55" s="108"/>
      <c r="BB55" s="108"/>
      <c r="BC55" s="108"/>
      <c r="BD55" s="108"/>
      <c r="BE55" s="108"/>
      <c r="BF55" s="108"/>
      <c r="BG55" s="108"/>
      <c r="BH55" s="108"/>
      <c r="BI55" s="108"/>
      <c r="BJ55" s="108"/>
      <c r="BK55" s="108"/>
      <c r="BL55" s="108"/>
      <c r="BM55" s="108"/>
      <c r="BN55" s="108"/>
      <c r="BO55" s="108"/>
      <c r="BP55" s="108"/>
      <c r="BQ55" s="108"/>
      <c r="BR55" s="108"/>
      <c r="BS55" s="108"/>
      <c r="BT55" s="108"/>
      <c r="BU55" s="108"/>
      <c r="BV55" s="108"/>
      <c r="BW55" s="108"/>
      <c r="BX55" s="108"/>
      <c r="BY55" s="108"/>
      <c r="BZ55" s="108"/>
      <c r="CA55" s="108"/>
      <c r="CB55" s="108"/>
      <c r="CC55" s="108"/>
      <c r="CD55" s="108"/>
      <c r="CE55" s="108"/>
      <c r="CF55" s="108"/>
      <c r="CG55" s="108"/>
      <c r="CH55" s="108"/>
      <c r="CI55" s="108"/>
      <c r="CJ55" s="108"/>
      <c r="CK55" s="108"/>
      <c r="CL55" s="108"/>
      <c r="CM55" s="108"/>
      <c r="CN55" s="108"/>
      <c r="CO55" s="108"/>
      <c r="CP55" s="108"/>
      <c r="CQ55" s="108"/>
      <c r="CR55" s="108"/>
      <c r="CS55" s="108"/>
      <c r="CT55" s="108"/>
      <c r="CU55" s="108"/>
      <c r="CV55" s="108"/>
      <c r="CW55" s="108"/>
      <c r="CX55" s="108"/>
      <c r="CY55" s="108"/>
      <c r="CZ55" s="108"/>
      <c r="DA55" s="108"/>
      <c r="DB55" s="108"/>
      <c r="DC55" s="108"/>
      <c r="DD55" s="108"/>
      <c r="DE55" s="108"/>
      <c r="DF55" s="108"/>
      <c r="DG55" s="108"/>
      <c r="DH55" s="108"/>
      <c r="DI55" s="108"/>
      <c r="DJ55" s="108"/>
      <c r="DK55" s="108"/>
      <c r="DL55" s="108"/>
      <c r="DM55" s="108"/>
      <c r="DN55" s="108"/>
      <c r="DO55" s="108"/>
      <c r="DP55" s="108"/>
      <c r="DQ55" s="108"/>
      <c r="DR55" s="108"/>
      <c r="DS55" s="108"/>
      <c r="DT55" s="108"/>
      <c r="DU55" s="108"/>
      <c r="DV55" s="108"/>
      <c r="DW55" s="108"/>
      <c r="DX55" s="108"/>
      <c r="DY55" s="108"/>
      <c r="DZ55" s="108"/>
      <c r="EA55" s="108"/>
      <c r="EB55" s="108"/>
      <c r="EC55" s="108"/>
      <c r="ED55" s="108"/>
      <c r="EE55" s="108"/>
      <c r="EF55" s="108"/>
      <c r="EG55" s="108"/>
      <c r="EH55" s="108"/>
      <c r="EI55" s="108"/>
      <c r="EJ55" s="108"/>
      <c r="EK55" s="108"/>
      <c r="EL55" s="108"/>
      <c r="EM55" s="108"/>
      <c r="EN55" s="108"/>
      <c r="EO55" s="108"/>
      <c r="EP55" s="108"/>
      <c r="EQ55" s="108"/>
      <c r="ER55" s="108"/>
      <c r="ES55" s="108"/>
      <c r="ET55" s="108"/>
      <c r="EU55" s="108"/>
      <c r="EV55" s="108"/>
      <c r="EW55" s="108"/>
      <c r="EX55" s="108"/>
      <c r="EY55" s="108"/>
      <c r="EZ55" s="108"/>
      <c r="FA55" s="108"/>
      <c r="FB55" s="108"/>
      <c r="FC55" s="108"/>
      <c r="FD55" s="108"/>
      <c r="FE55" s="108"/>
      <c r="FF55" s="108"/>
      <c r="FG55" s="108"/>
      <c r="FH55" s="108"/>
      <c r="FI55" s="108"/>
      <c r="FJ55" s="108"/>
      <c r="FK55" s="108"/>
      <c r="FL55" s="108"/>
      <c r="FM55" s="108"/>
      <c r="FN55" s="108"/>
      <c r="FO55" s="108"/>
      <c r="FP55" s="108"/>
      <c r="FQ55" s="108"/>
      <c r="FR55" s="108"/>
      <c r="FS55" s="108"/>
      <c r="FT55" s="108"/>
      <c r="FU55" s="108"/>
      <c r="FV55" s="108"/>
      <c r="FW55" s="108"/>
      <c r="FX55" s="108"/>
      <c r="FY55" s="108"/>
      <c r="FZ55" s="108"/>
      <c r="GA55" s="108"/>
      <c r="GB55" s="108"/>
      <c r="GC55" s="108"/>
      <c r="GD55" s="108"/>
      <c r="GE55" s="108"/>
      <c r="GF55" s="108"/>
      <c r="GG55" s="108"/>
      <c r="GH55" s="108"/>
      <c r="GI55" s="108"/>
      <c r="GJ55" s="108"/>
      <c r="GK55" s="108"/>
      <c r="GL55" s="108"/>
      <c r="GM55" s="108"/>
      <c r="GN55" s="108"/>
      <c r="GO55" s="108"/>
      <c r="GP55" s="108"/>
      <c r="GQ55" s="108"/>
      <c r="GR55" s="108"/>
      <c r="GS55" s="108"/>
      <c r="GT55" s="108"/>
      <c r="GU55" s="108"/>
      <c r="GV55" s="108"/>
      <c r="GW55" s="108"/>
      <c r="GX55" s="108"/>
      <c r="GY55" s="108"/>
      <c r="GZ55" s="108"/>
      <c r="HA55" s="108"/>
      <c r="HB55" s="108"/>
      <c r="HC55" s="108"/>
      <c r="HD55" s="108"/>
      <c r="HE55" s="108"/>
      <c r="HF55" s="108"/>
      <c r="HG55" s="108"/>
      <c r="HH55" s="108"/>
      <c r="HI55" s="108"/>
      <c r="HJ55" s="108"/>
      <c r="HK55" s="108"/>
      <c r="HL55" s="108"/>
      <c r="HM55" s="108"/>
      <c r="HN55" s="108"/>
      <c r="HO55" s="108"/>
      <c r="HP55" s="108"/>
      <c r="HQ55" s="108"/>
      <c r="HR55" s="108"/>
      <c r="HS55" s="108"/>
      <c r="HT55" s="108"/>
      <c r="HU55" s="108"/>
      <c r="HV55" s="108"/>
      <c r="HW55" s="108"/>
      <c r="HX55" s="108"/>
      <c r="HY55" s="108"/>
      <c r="HZ55" s="108"/>
      <c r="IA55" s="108"/>
      <c r="IB55" s="108"/>
      <c r="IC55" s="108"/>
      <c r="ID55" s="108"/>
      <c r="IE55" s="108"/>
      <c r="IF55" s="108"/>
      <c r="IG55" s="108"/>
      <c r="IH55" s="108"/>
      <c r="II55" s="108"/>
      <c r="IJ55" s="108"/>
      <c r="IK55" s="108"/>
      <c r="IL55" s="108"/>
      <c r="IM55" s="108"/>
      <c r="IN55" s="108"/>
      <c r="IO55" s="108"/>
      <c r="IP55" s="108"/>
      <c r="IQ55" s="108"/>
      <c r="IR55" s="108"/>
      <c r="IS55" s="108"/>
      <c r="IT55" s="108"/>
      <c r="IU55" s="108"/>
      <c r="IV55" s="108"/>
      <c r="IW55" s="108"/>
    </row>
    <row r="56" spans="1:257" x14ac:dyDescent="0.3">
      <c r="A56" s="158"/>
      <c r="B56" s="158"/>
      <c r="C56" s="158"/>
      <c r="D56" s="158"/>
      <c r="E56" s="158"/>
      <c r="F56" s="158"/>
      <c r="G56" s="158"/>
      <c r="H56" s="158"/>
      <c r="I56" s="158"/>
      <c r="J56" s="158"/>
      <c r="K56" s="158"/>
      <c r="L56" s="158"/>
      <c r="M56" s="158"/>
      <c r="N56" s="158"/>
      <c r="O56" s="108"/>
      <c r="P56" s="108"/>
      <c r="Q56" s="108"/>
      <c r="R56" s="108"/>
      <c r="S56" s="108"/>
      <c r="T56" s="108"/>
      <c r="U56" s="108"/>
      <c r="V56" s="108"/>
      <c r="W56" s="108"/>
      <c r="X56" s="108"/>
      <c r="Y56" s="108"/>
      <c r="Z56" s="108"/>
      <c r="AA56" s="108"/>
      <c r="AB56" s="108"/>
      <c r="AC56" s="108"/>
      <c r="AD56" s="108"/>
      <c r="AE56" s="108"/>
      <c r="AF56" s="108"/>
      <c r="AG56" s="108"/>
      <c r="AH56" s="108"/>
      <c r="AI56" s="108"/>
      <c r="AJ56" s="108"/>
      <c r="AK56" s="108"/>
      <c r="AL56" s="108"/>
      <c r="AM56" s="108"/>
      <c r="AN56" s="108"/>
      <c r="AO56" s="108"/>
      <c r="AP56" s="108"/>
      <c r="AQ56" s="108"/>
      <c r="AR56" s="108"/>
      <c r="AS56" s="108"/>
      <c r="AT56" s="108"/>
      <c r="AU56" s="108"/>
      <c r="AV56" s="108"/>
      <c r="AW56" s="108"/>
      <c r="AX56" s="108"/>
      <c r="AY56" s="108"/>
      <c r="AZ56" s="108"/>
      <c r="BA56" s="108"/>
      <c r="BB56" s="108"/>
      <c r="BC56" s="108"/>
      <c r="BD56" s="108"/>
      <c r="BE56" s="108"/>
      <c r="BF56" s="108"/>
      <c r="BG56" s="108"/>
      <c r="BH56" s="108"/>
      <c r="BI56" s="108"/>
      <c r="BJ56" s="108"/>
      <c r="BK56" s="108"/>
      <c r="BL56" s="108"/>
      <c r="BM56" s="108"/>
      <c r="BN56" s="108"/>
      <c r="BO56" s="108"/>
      <c r="BP56" s="108"/>
      <c r="BQ56" s="108"/>
      <c r="BR56" s="108"/>
      <c r="BS56" s="108"/>
      <c r="BT56" s="108"/>
      <c r="BU56" s="108"/>
      <c r="BV56" s="108"/>
      <c r="BW56" s="108"/>
      <c r="BX56" s="108"/>
      <c r="BY56" s="108"/>
      <c r="BZ56" s="108"/>
      <c r="CA56" s="108"/>
      <c r="CB56" s="108"/>
      <c r="CC56" s="108"/>
      <c r="CD56" s="108"/>
      <c r="CE56" s="108"/>
      <c r="CF56" s="108"/>
      <c r="CG56" s="108"/>
      <c r="CH56" s="108"/>
      <c r="CI56" s="108"/>
      <c r="CJ56" s="108"/>
      <c r="CK56" s="108"/>
      <c r="CL56" s="108"/>
      <c r="CM56" s="108"/>
      <c r="CN56" s="108"/>
      <c r="CO56" s="108"/>
      <c r="CP56" s="108"/>
      <c r="CQ56" s="108"/>
      <c r="CR56" s="108"/>
      <c r="CS56" s="108"/>
      <c r="CT56" s="108"/>
      <c r="CU56" s="108"/>
      <c r="CV56" s="108"/>
      <c r="CW56" s="108"/>
      <c r="CX56" s="108"/>
      <c r="CY56" s="108"/>
      <c r="CZ56" s="108"/>
      <c r="DA56" s="108"/>
      <c r="DB56" s="108"/>
      <c r="DC56" s="108"/>
      <c r="DD56" s="108"/>
      <c r="DE56" s="108"/>
      <c r="DF56" s="108"/>
      <c r="DG56" s="108"/>
      <c r="DH56" s="108"/>
      <c r="DI56" s="108"/>
      <c r="DJ56" s="108"/>
      <c r="DK56" s="108"/>
      <c r="DL56" s="108"/>
      <c r="DM56" s="108"/>
      <c r="DN56" s="108"/>
      <c r="DO56" s="108"/>
      <c r="DP56" s="108"/>
      <c r="DQ56" s="108"/>
      <c r="DR56" s="108"/>
      <c r="DS56" s="108"/>
      <c r="DT56" s="108"/>
      <c r="DU56" s="108"/>
      <c r="DV56" s="108"/>
      <c r="DW56" s="108"/>
      <c r="DX56" s="108"/>
      <c r="DY56" s="108"/>
      <c r="DZ56" s="108"/>
      <c r="EA56" s="108"/>
      <c r="EB56" s="108"/>
      <c r="EC56" s="108"/>
      <c r="ED56" s="108"/>
      <c r="EE56" s="108"/>
      <c r="EF56" s="108"/>
      <c r="EG56" s="108"/>
      <c r="EH56" s="108"/>
      <c r="EI56" s="108"/>
      <c r="EJ56" s="108"/>
      <c r="EK56" s="108"/>
      <c r="EL56" s="108"/>
      <c r="EM56" s="108"/>
      <c r="EN56" s="108"/>
      <c r="EO56" s="108"/>
      <c r="EP56" s="108"/>
      <c r="EQ56" s="108"/>
      <c r="ER56" s="108"/>
      <c r="ES56" s="108"/>
      <c r="ET56" s="108"/>
      <c r="EU56" s="108"/>
      <c r="EV56" s="108"/>
      <c r="EW56" s="108"/>
      <c r="EX56" s="108"/>
      <c r="EY56" s="108"/>
      <c r="EZ56" s="108"/>
      <c r="FA56" s="108"/>
      <c r="FB56" s="108"/>
      <c r="FC56" s="108"/>
      <c r="FD56" s="108"/>
      <c r="FE56" s="108"/>
      <c r="FF56" s="108"/>
      <c r="FG56" s="108"/>
      <c r="FH56" s="108"/>
      <c r="FI56" s="108"/>
      <c r="FJ56" s="108"/>
      <c r="FK56" s="108"/>
      <c r="FL56" s="108"/>
      <c r="FM56" s="108"/>
      <c r="FN56" s="108"/>
      <c r="FO56" s="108"/>
      <c r="FP56" s="108"/>
      <c r="FQ56" s="108"/>
      <c r="FR56" s="108"/>
      <c r="FS56" s="108"/>
      <c r="FT56" s="108"/>
      <c r="FU56" s="108"/>
      <c r="FV56" s="108"/>
      <c r="FW56" s="108"/>
      <c r="FX56" s="108"/>
      <c r="FY56" s="108"/>
      <c r="FZ56" s="108"/>
      <c r="GA56" s="108"/>
      <c r="GB56" s="108"/>
      <c r="GC56" s="108"/>
      <c r="GD56" s="108"/>
      <c r="GE56" s="108"/>
      <c r="GF56" s="108"/>
      <c r="GG56" s="108"/>
      <c r="GH56" s="108"/>
      <c r="GI56" s="108"/>
      <c r="GJ56" s="108"/>
      <c r="GK56" s="108"/>
      <c r="GL56" s="108"/>
      <c r="GM56" s="108"/>
      <c r="GN56" s="108"/>
      <c r="GO56" s="108"/>
      <c r="GP56" s="108"/>
      <c r="GQ56" s="108"/>
      <c r="GR56" s="108"/>
      <c r="GS56" s="108"/>
      <c r="GT56" s="108"/>
      <c r="GU56" s="108"/>
      <c r="GV56" s="108"/>
      <c r="GW56" s="108"/>
      <c r="GX56" s="108"/>
      <c r="GY56" s="108"/>
      <c r="GZ56" s="108"/>
      <c r="HA56" s="108"/>
      <c r="HB56" s="108"/>
      <c r="HC56" s="108"/>
      <c r="HD56" s="108"/>
      <c r="HE56" s="108"/>
      <c r="HF56" s="108"/>
      <c r="HG56" s="108"/>
      <c r="HH56" s="108"/>
      <c r="HI56" s="108"/>
      <c r="HJ56" s="108"/>
      <c r="HK56" s="108"/>
      <c r="HL56" s="108"/>
      <c r="HM56" s="108"/>
      <c r="HN56" s="108"/>
      <c r="HO56" s="108"/>
      <c r="HP56" s="108"/>
      <c r="HQ56" s="108"/>
      <c r="HR56" s="108"/>
      <c r="HS56" s="108"/>
      <c r="HT56" s="108"/>
      <c r="HU56" s="108"/>
      <c r="HV56" s="108"/>
      <c r="HW56" s="108"/>
      <c r="HX56" s="108"/>
      <c r="HY56" s="108"/>
      <c r="HZ56" s="108"/>
      <c r="IA56" s="108"/>
      <c r="IB56" s="108"/>
      <c r="IC56" s="108"/>
      <c r="ID56" s="108"/>
      <c r="IE56" s="108"/>
      <c r="IF56" s="108"/>
      <c r="IG56" s="108"/>
      <c r="IH56" s="108"/>
      <c r="II56" s="108"/>
      <c r="IJ56" s="108"/>
      <c r="IK56" s="108"/>
      <c r="IL56" s="108"/>
      <c r="IM56" s="108"/>
      <c r="IN56" s="108"/>
      <c r="IO56" s="108"/>
      <c r="IP56" s="108"/>
      <c r="IQ56" s="108"/>
      <c r="IR56" s="108"/>
      <c r="IS56" s="108"/>
      <c r="IT56" s="108"/>
      <c r="IU56" s="108"/>
      <c r="IV56" s="108"/>
      <c r="IW56" s="108"/>
    </row>
    <row r="57" spans="1:257" x14ac:dyDescent="0.3">
      <c r="A57" s="158"/>
      <c r="B57" s="158"/>
      <c r="C57" s="158"/>
      <c r="D57" s="158"/>
      <c r="E57" s="158"/>
      <c r="F57" s="158"/>
      <c r="G57" s="158"/>
      <c r="H57" s="158"/>
      <c r="I57" s="158"/>
      <c r="J57" s="158"/>
      <c r="K57" s="158"/>
      <c r="L57" s="158"/>
      <c r="M57" s="158"/>
      <c r="N57" s="158"/>
      <c r="O57" s="108"/>
      <c r="P57" s="108"/>
      <c r="Q57" s="108"/>
      <c r="R57" s="108"/>
      <c r="S57" s="108"/>
      <c r="T57" s="108"/>
      <c r="U57" s="108"/>
      <c r="V57" s="108"/>
      <c r="W57" s="108"/>
      <c r="X57" s="108"/>
      <c r="Y57" s="108"/>
      <c r="Z57" s="108"/>
      <c r="AA57" s="108"/>
      <c r="AB57" s="108"/>
      <c r="AC57" s="108"/>
      <c r="AD57" s="108"/>
      <c r="AE57" s="108"/>
      <c r="AF57" s="108"/>
      <c r="AG57" s="108"/>
      <c r="AH57" s="108"/>
      <c r="AI57" s="108"/>
      <c r="AJ57" s="108"/>
      <c r="AK57" s="108"/>
      <c r="AL57" s="108"/>
      <c r="AM57" s="108"/>
      <c r="AN57" s="108"/>
      <c r="AO57" s="108"/>
      <c r="AP57" s="108"/>
      <c r="AQ57" s="108"/>
      <c r="AR57" s="108"/>
      <c r="AS57" s="108"/>
      <c r="AT57" s="108"/>
      <c r="AU57" s="108"/>
      <c r="AV57" s="108"/>
      <c r="AW57" s="108"/>
      <c r="AX57" s="108"/>
      <c r="AY57" s="108"/>
      <c r="AZ57" s="108"/>
      <c r="BA57" s="108"/>
      <c r="BB57" s="108"/>
      <c r="BC57" s="108"/>
      <c r="BD57" s="108"/>
      <c r="BE57" s="108"/>
      <c r="BF57" s="108"/>
      <c r="BG57" s="108"/>
      <c r="BH57" s="108"/>
      <c r="BI57" s="108"/>
      <c r="BJ57" s="108"/>
      <c r="BK57" s="108"/>
      <c r="BL57" s="108"/>
      <c r="BM57" s="108"/>
      <c r="BN57" s="108"/>
      <c r="BO57" s="108"/>
      <c r="BP57" s="108"/>
      <c r="BQ57" s="108"/>
      <c r="BR57" s="108"/>
      <c r="BS57" s="108"/>
      <c r="BT57" s="108"/>
      <c r="BU57" s="108"/>
      <c r="BV57" s="108"/>
      <c r="BW57" s="108"/>
      <c r="BX57" s="108"/>
      <c r="BY57" s="108"/>
      <c r="BZ57" s="108"/>
      <c r="CA57" s="108"/>
      <c r="CB57" s="108"/>
      <c r="CC57" s="108"/>
      <c r="CD57" s="108"/>
      <c r="CE57" s="108"/>
      <c r="CF57" s="108"/>
      <c r="CG57" s="108"/>
      <c r="CH57" s="108"/>
      <c r="CI57" s="108"/>
      <c r="CJ57" s="108"/>
      <c r="CK57" s="108"/>
      <c r="CL57" s="108"/>
      <c r="CM57" s="108"/>
      <c r="CN57" s="108"/>
      <c r="CO57" s="108"/>
      <c r="CP57" s="108"/>
      <c r="CQ57" s="108"/>
      <c r="CR57" s="108"/>
      <c r="CS57" s="108"/>
      <c r="CT57" s="108"/>
      <c r="CU57" s="108"/>
      <c r="CV57" s="108"/>
      <c r="CW57" s="108"/>
      <c r="CX57" s="108"/>
      <c r="CY57" s="108"/>
      <c r="CZ57" s="108"/>
      <c r="DA57" s="108"/>
      <c r="DB57" s="108"/>
      <c r="DC57" s="108"/>
      <c r="DD57" s="108"/>
      <c r="DE57" s="108"/>
      <c r="DF57" s="108"/>
      <c r="DG57" s="108"/>
      <c r="DH57" s="108"/>
      <c r="DI57" s="108"/>
      <c r="DJ57" s="108"/>
      <c r="DK57" s="108"/>
      <c r="DL57" s="108"/>
      <c r="DM57" s="108"/>
      <c r="DN57" s="108"/>
      <c r="DO57" s="108"/>
      <c r="DP57" s="108"/>
      <c r="DQ57" s="108"/>
      <c r="DR57" s="108"/>
      <c r="DS57" s="108"/>
      <c r="DT57" s="108"/>
      <c r="DU57" s="108"/>
      <c r="DV57" s="108"/>
      <c r="DW57" s="108"/>
      <c r="DX57" s="108"/>
      <c r="DY57" s="108"/>
      <c r="DZ57" s="108"/>
      <c r="EA57" s="108"/>
      <c r="EB57" s="108"/>
      <c r="EC57" s="108"/>
      <c r="ED57" s="108"/>
      <c r="EE57" s="108"/>
      <c r="EF57" s="108"/>
      <c r="EG57" s="108"/>
      <c r="EH57" s="108"/>
      <c r="EI57" s="108"/>
      <c r="EJ57" s="108"/>
      <c r="EK57" s="108"/>
      <c r="EL57" s="108"/>
      <c r="EM57" s="108"/>
      <c r="EN57" s="108"/>
      <c r="EO57" s="108"/>
      <c r="EP57" s="108"/>
      <c r="EQ57" s="108"/>
      <c r="ER57" s="108"/>
      <c r="ES57" s="108"/>
      <c r="ET57" s="108"/>
      <c r="EU57" s="108"/>
      <c r="EV57" s="108"/>
      <c r="EW57" s="108"/>
      <c r="EX57" s="108"/>
      <c r="EY57" s="108"/>
      <c r="EZ57" s="108"/>
      <c r="FA57" s="108"/>
      <c r="FB57" s="108"/>
      <c r="FC57" s="108"/>
      <c r="FD57" s="108"/>
      <c r="FE57" s="108"/>
      <c r="FF57" s="108"/>
      <c r="FG57" s="108"/>
      <c r="FH57" s="108"/>
      <c r="FI57" s="108"/>
      <c r="FJ57" s="108"/>
      <c r="FK57" s="108"/>
      <c r="FL57" s="108"/>
      <c r="FM57" s="108"/>
      <c r="FN57" s="108"/>
      <c r="FO57" s="108"/>
      <c r="FP57" s="108"/>
      <c r="FQ57" s="108"/>
      <c r="FR57" s="108"/>
      <c r="FS57" s="108"/>
      <c r="FT57" s="108"/>
      <c r="FU57" s="108"/>
      <c r="FV57" s="108"/>
      <c r="FW57" s="108"/>
      <c r="FX57" s="108"/>
      <c r="FY57" s="108"/>
      <c r="FZ57" s="108"/>
      <c r="GA57" s="108"/>
      <c r="GB57" s="108"/>
      <c r="GC57" s="108"/>
      <c r="GD57" s="108"/>
      <c r="GE57" s="108"/>
      <c r="GF57" s="108"/>
      <c r="GG57" s="108"/>
      <c r="GH57" s="108"/>
      <c r="GI57" s="108"/>
      <c r="GJ57" s="108"/>
      <c r="GK57" s="108"/>
      <c r="GL57" s="108"/>
      <c r="GM57" s="108"/>
      <c r="GN57" s="108"/>
      <c r="GO57" s="108"/>
      <c r="GP57" s="108"/>
      <c r="GQ57" s="108"/>
      <c r="GR57" s="108"/>
      <c r="GS57" s="108"/>
      <c r="GT57" s="108"/>
      <c r="GU57" s="108"/>
      <c r="GV57" s="108"/>
      <c r="GW57" s="108"/>
      <c r="GX57" s="108"/>
      <c r="GY57" s="108"/>
      <c r="GZ57" s="108"/>
      <c r="HA57" s="108"/>
      <c r="HB57" s="108"/>
      <c r="HC57" s="108"/>
      <c r="HD57" s="108"/>
      <c r="HE57" s="108"/>
      <c r="HF57" s="108"/>
      <c r="HG57" s="108"/>
      <c r="HH57" s="108"/>
      <c r="HI57" s="108"/>
      <c r="HJ57" s="108"/>
      <c r="HK57" s="108"/>
      <c r="HL57" s="108"/>
      <c r="HM57" s="108"/>
      <c r="HN57" s="108"/>
      <c r="HO57" s="108"/>
      <c r="HP57" s="108"/>
      <c r="HQ57" s="108"/>
      <c r="HR57" s="108"/>
      <c r="HS57" s="108"/>
      <c r="HT57" s="108"/>
      <c r="HU57" s="108"/>
      <c r="HV57" s="108"/>
      <c r="HW57" s="108"/>
      <c r="HX57" s="108"/>
      <c r="HY57" s="108"/>
      <c r="HZ57" s="108"/>
      <c r="IA57" s="108"/>
      <c r="IB57" s="108"/>
      <c r="IC57" s="108"/>
      <c r="ID57" s="108"/>
      <c r="IE57" s="108"/>
      <c r="IF57" s="108"/>
      <c r="IG57" s="108"/>
      <c r="IH57" s="108"/>
      <c r="II57" s="108"/>
      <c r="IJ57" s="108"/>
      <c r="IK57" s="108"/>
      <c r="IL57" s="108"/>
      <c r="IM57" s="108"/>
      <c r="IN57" s="108"/>
      <c r="IO57" s="108"/>
      <c r="IP57" s="108"/>
      <c r="IQ57" s="108"/>
      <c r="IR57" s="108"/>
      <c r="IS57" s="108"/>
      <c r="IT57" s="108"/>
      <c r="IU57" s="108"/>
      <c r="IV57" s="108"/>
      <c r="IW57" s="108"/>
    </row>
    <row r="58" spans="1:257" x14ac:dyDescent="0.3">
      <c r="A58" s="158"/>
      <c r="B58" s="158"/>
      <c r="C58" s="158"/>
      <c r="D58" s="158"/>
      <c r="E58" s="158"/>
      <c r="F58" s="158"/>
      <c r="G58" s="158"/>
      <c r="H58" s="158"/>
      <c r="I58" s="158"/>
      <c r="J58" s="158"/>
      <c r="K58" s="158"/>
      <c r="L58" s="158"/>
      <c r="M58" s="158"/>
      <c r="N58" s="158"/>
      <c r="O58" s="108"/>
      <c r="P58" s="108"/>
      <c r="Q58" s="108"/>
      <c r="R58" s="108"/>
      <c r="S58" s="108"/>
      <c r="T58" s="108"/>
      <c r="U58" s="108"/>
      <c r="V58" s="108"/>
      <c r="W58" s="108"/>
      <c r="X58" s="108"/>
      <c r="Y58" s="108"/>
      <c r="Z58" s="108"/>
      <c r="AA58" s="108"/>
      <c r="AB58" s="108"/>
      <c r="AC58" s="108"/>
      <c r="AD58" s="108"/>
      <c r="AE58" s="108"/>
      <c r="AF58" s="108"/>
      <c r="AG58" s="108"/>
      <c r="AH58" s="108"/>
      <c r="AI58" s="108"/>
      <c r="AJ58" s="108"/>
      <c r="AK58" s="108"/>
      <c r="AL58" s="108"/>
      <c r="AM58" s="108"/>
      <c r="AN58" s="108"/>
      <c r="AO58" s="108"/>
      <c r="AP58" s="108"/>
      <c r="AQ58" s="108"/>
      <c r="AR58" s="108"/>
      <c r="AS58" s="108"/>
      <c r="AT58" s="108"/>
      <c r="AU58" s="108"/>
      <c r="AV58" s="108"/>
      <c r="AW58" s="108"/>
      <c r="AX58" s="108"/>
      <c r="AY58" s="108"/>
      <c r="AZ58" s="108"/>
      <c r="BA58" s="108"/>
      <c r="BB58" s="108"/>
      <c r="BC58" s="108"/>
      <c r="BD58" s="108"/>
      <c r="BE58" s="108"/>
      <c r="BF58" s="108"/>
      <c r="BG58" s="108"/>
      <c r="BH58" s="108"/>
      <c r="BI58" s="108"/>
      <c r="BJ58" s="108"/>
      <c r="BK58" s="108"/>
      <c r="BL58" s="108"/>
      <c r="BM58" s="108"/>
      <c r="BN58" s="108"/>
      <c r="BO58" s="108"/>
      <c r="BP58" s="108"/>
      <c r="BQ58" s="108"/>
      <c r="BR58" s="108"/>
      <c r="BS58" s="108"/>
      <c r="BT58" s="108"/>
      <c r="BU58" s="108"/>
      <c r="BV58" s="108"/>
      <c r="BW58" s="108"/>
      <c r="BX58" s="108"/>
      <c r="BY58" s="108"/>
      <c r="BZ58" s="108"/>
      <c r="CA58" s="108"/>
      <c r="CB58" s="108"/>
      <c r="CC58" s="108"/>
      <c r="CD58" s="108"/>
      <c r="CE58" s="108"/>
      <c r="CF58" s="108"/>
      <c r="CG58" s="108"/>
      <c r="CH58" s="108"/>
      <c r="CI58" s="108"/>
      <c r="CJ58" s="108"/>
      <c r="CK58" s="108"/>
      <c r="CL58" s="108"/>
      <c r="CM58" s="108"/>
      <c r="CN58" s="108"/>
      <c r="CO58" s="108"/>
      <c r="CP58" s="108"/>
      <c r="CQ58" s="108"/>
      <c r="CR58" s="108"/>
      <c r="CS58" s="108"/>
      <c r="CT58" s="108"/>
      <c r="CU58" s="108"/>
      <c r="CV58" s="108"/>
      <c r="CW58" s="108"/>
      <c r="CX58" s="108"/>
      <c r="CY58" s="108"/>
      <c r="CZ58" s="108"/>
      <c r="DA58" s="108"/>
      <c r="DB58" s="108"/>
      <c r="DC58" s="108"/>
      <c r="DD58" s="108"/>
      <c r="DE58" s="108"/>
      <c r="DF58" s="108"/>
      <c r="DG58" s="108"/>
      <c r="DH58" s="108"/>
      <c r="DI58" s="108"/>
      <c r="DJ58" s="108"/>
      <c r="DK58" s="108"/>
      <c r="DL58" s="108"/>
      <c r="DM58" s="108"/>
      <c r="DN58" s="108"/>
      <c r="DO58" s="108"/>
      <c r="DP58" s="108"/>
      <c r="DQ58" s="108"/>
      <c r="DR58" s="108"/>
      <c r="DS58" s="108"/>
      <c r="DT58" s="108"/>
      <c r="DU58" s="108"/>
      <c r="DV58" s="108"/>
      <c r="DW58" s="108"/>
      <c r="DX58" s="108"/>
      <c r="DY58" s="108"/>
      <c r="DZ58" s="108"/>
      <c r="EA58" s="108"/>
      <c r="EB58" s="108"/>
      <c r="EC58" s="108"/>
      <c r="ED58" s="108"/>
      <c r="EE58" s="108"/>
      <c r="EF58" s="108"/>
      <c r="EG58" s="108"/>
      <c r="EH58" s="108"/>
      <c r="EI58" s="108"/>
      <c r="EJ58" s="108"/>
      <c r="EK58" s="108"/>
      <c r="EL58" s="108"/>
      <c r="EM58" s="108"/>
      <c r="EN58" s="108"/>
      <c r="EO58" s="108"/>
      <c r="EP58" s="108"/>
      <c r="EQ58" s="108"/>
      <c r="ER58" s="108"/>
      <c r="ES58" s="108"/>
      <c r="ET58" s="108"/>
      <c r="EU58" s="108"/>
      <c r="EV58" s="108"/>
      <c r="EW58" s="108"/>
      <c r="EX58" s="108"/>
      <c r="EY58" s="108"/>
      <c r="EZ58" s="108"/>
      <c r="FA58" s="108"/>
      <c r="FB58" s="108"/>
      <c r="FC58" s="108"/>
      <c r="FD58" s="108"/>
      <c r="FE58" s="108"/>
      <c r="FF58" s="108"/>
      <c r="FG58" s="108"/>
      <c r="FH58" s="108"/>
      <c r="FI58" s="108"/>
      <c r="FJ58" s="108"/>
      <c r="FK58" s="108"/>
      <c r="FL58" s="108"/>
      <c r="FM58" s="108"/>
      <c r="FN58" s="108"/>
      <c r="FO58" s="108"/>
      <c r="FP58" s="108"/>
      <c r="FQ58" s="108"/>
      <c r="FR58" s="108"/>
      <c r="FS58" s="108"/>
      <c r="FT58" s="108"/>
      <c r="FU58" s="108"/>
      <c r="FV58" s="108"/>
      <c r="FW58" s="108"/>
      <c r="FX58" s="108"/>
      <c r="FY58" s="108"/>
      <c r="FZ58" s="108"/>
      <c r="GA58" s="108"/>
      <c r="GB58" s="108"/>
      <c r="GC58" s="108"/>
      <c r="GD58" s="108"/>
      <c r="GE58" s="108"/>
      <c r="GF58" s="108"/>
      <c r="GG58" s="108"/>
      <c r="GH58" s="108"/>
      <c r="GI58" s="108"/>
      <c r="GJ58" s="108"/>
      <c r="GK58" s="108"/>
      <c r="GL58" s="108"/>
      <c r="GM58" s="108"/>
      <c r="GN58" s="108"/>
      <c r="GO58" s="108"/>
      <c r="GP58" s="108"/>
      <c r="GQ58" s="108"/>
      <c r="GR58" s="108"/>
      <c r="GS58" s="108"/>
      <c r="GT58" s="108"/>
      <c r="GU58" s="108"/>
      <c r="GV58" s="108"/>
      <c r="GW58" s="108"/>
      <c r="GX58" s="108"/>
      <c r="GY58" s="108"/>
      <c r="GZ58" s="108"/>
      <c r="HA58" s="108"/>
      <c r="HB58" s="108"/>
      <c r="HC58" s="108"/>
      <c r="HD58" s="108"/>
      <c r="HE58" s="108"/>
      <c r="HF58" s="108"/>
      <c r="HG58" s="108"/>
      <c r="HH58" s="108"/>
      <c r="HI58" s="108"/>
      <c r="HJ58" s="108"/>
      <c r="HK58" s="108"/>
      <c r="HL58" s="108"/>
      <c r="HM58" s="108"/>
      <c r="HN58" s="108"/>
      <c r="HO58" s="108"/>
      <c r="HP58" s="108"/>
      <c r="HQ58" s="108"/>
      <c r="HR58" s="108"/>
      <c r="HS58" s="108"/>
      <c r="HT58" s="108"/>
      <c r="HU58" s="108"/>
      <c r="HV58" s="108"/>
      <c r="HW58" s="108"/>
      <c r="HX58" s="108"/>
      <c r="HY58" s="108"/>
      <c r="HZ58" s="108"/>
      <c r="IA58" s="108"/>
      <c r="IB58" s="108"/>
      <c r="IC58" s="108"/>
      <c r="ID58" s="108"/>
      <c r="IE58" s="108"/>
      <c r="IF58" s="108"/>
      <c r="IG58" s="108"/>
      <c r="IH58" s="108"/>
      <c r="II58" s="108"/>
      <c r="IJ58" s="108"/>
      <c r="IK58" s="108"/>
      <c r="IL58" s="108"/>
      <c r="IM58" s="108"/>
      <c r="IN58" s="108"/>
      <c r="IO58" s="108"/>
      <c r="IP58" s="108"/>
      <c r="IQ58" s="108"/>
      <c r="IR58" s="108"/>
      <c r="IS58" s="108"/>
      <c r="IT58" s="108"/>
      <c r="IU58" s="108"/>
      <c r="IV58" s="108"/>
      <c r="IW58" s="108"/>
    </row>
    <row r="59" spans="1:257" x14ac:dyDescent="0.3">
      <c r="A59" s="158"/>
      <c r="B59" s="158"/>
      <c r="C59" s="158"/>
      <c r="D59" s="158"/>
      <c r="E59" s="158"/>
      <c r="F59" s="158"/>
      <c r="G59" s="158"/>
      <c r="H59" s="158"/>
      <c r="I59" s="158"/>
      <c r="J59" s="158"/>
      <c r="K59" s="158"/>
      <c r="L59" s="158"/>
      <c r="M59" s="158"/>
      <c r="N59" s="158"/>
      <c r="O59" s="108"/>
      <c r="P59" s="108"/>
      <c r="Q59" s="108"/>
      <c r="R59" s="108"/>
      <c r="S59" s="108"/>
      <c r="T59" s="108"/>
      <c r="U59" s="108"/>
      <c r="V59" s="108"/>
      <c r="W59" s="108"/>
      <c r="X59" s="108"/>
      <c r="Y59" s="108"/>
      <c r="Z59" s="108"/>
      <c r="AA59" s="108"/>
      <c r="AB59" s="108"/>
      <c r="AC59" s="108"/>
      <c r="AD59" s="108"/>
      <c r="AE59" s="108"/>
      <c r="AF59" s="108"/>
      <c r="AG59" s="108"/>
      <c r="AH59" s="108"/>
      <c r="AI59" s="108"/>
      <c r="AJ59" s="108"/>
      <c r="AK59" s="108"/>
      <c r="AL59" s="108"/>
      <c r="AM59" s="108"/>
      <c r="AN59" s="108"/>
      <c r="AO59" s="108"/>
      <c r="AP59" s="108"/>
      <c r="AQ59" s="108"/>
      <c r="AR59" s="108"/>
      <c r="AS59" s="108"/>
      <c r="AT59" s="108"/>
      <c r="AU59" s="108"/>
      <c r="AV59" s="108"/>
      <c r="AW59" s="108"/>
      <c r="AX59" s="108"/>
      <c r="AY59" s="108"/>
      <c r="AZ59" s="108"/>
      <c r="BA59" s="108"/>
      <c r="BB59" s="108"/>
      <c r="BC59" s="108"/>
      <c r="BD59" s="108"/>
      <c r="BE59" s="108"/>
      <c r="BF59" s="108"/>
      <c r="BG59" s="108"/>
      <c r="BH59" s="108"/>
      <c r="BI59" s="108"/>
      <c r="BJ59" s="108"/>
      <c r="BK59" s="108"/>
      <c r="BL59" s="108"/>
      <c r="BM59" s="108"/>
      <c r="BN59" s="108"/>
      <c r="BO59" s="108"/>
      <c r="BP59" s="108"/>
      <c r="BQ59" s="108"/>
      <c r="BR59" s="108"/>
      <c r="BS59" s="108"/>
      <c r="BT59" s="108"/>
      <c r="BU59" s="108"/>
      <c r="BV59" s="108"/>
      <c r="BW59" s="108"/>
      <c r="BX59" s="108"/>
      <c r="BY59" s="108"/>
      <c r="BZ59" s="108"/>
      <c r="CA59" s="108"/>
      <c r="CB59" s="108"/>
      <c r="CC59" s="108"/>
      <c r="CD59" s="108"/>
      <c r="CE59" s="108"/>
      <c r="CF59" s="108"/>
      <c r="CG59" s="108"/>
      <c r="CH59" s="108"/>
      <c r="CI59" s="108"/>
      <c r="CJ59" s="108"/>
      <c r="CK59" s="108"/>
      <c r="CL59" s="108"/>
      <c r="CM59" s="108"/>
      <c r="CN59" s="108"/>
      <c r="CO59" s="108"/>
      <c r="CP59" s="108"/>
      <c r="CQ59" s="108"/>
      <c r="CR59" s="108"/>
      <c r="CS59" s="108"/>
      <c r="CT59" s="108"/>
      <c r="CU59" s="108"/>
      <c r="CV59" s="108"/>
      <c r="CW59" s="108"/>
      <c r="CX59" s="108"/>
      <c r="CY59" s="108"/>
      <c r="CZ59" s="108"/>
      <c r="DA59" s="108"/>
      <c r="DB59" s="108"/>
      <c r="DC59" s="108"/>
      <c r="DD59" s="108"/>
      <c r="DE59" s="108"/>
      <c r="DF59" s="108"/>
      <c r="DG59" s="108"/>
      <c r="DH59" s="108"/>
      <c r="DI59" s="108"/>
      <c r="DJ59" s="108"/>
      <c r="DK59" s="108"/>
      <c r="DL59" s="108"/>
      <c r="DM59" s="108"/>
      <c r="DN59" s="108"/>
      <c r="DO59" s="108"/>
      <c r="DP59" s="108"/>
      <c r="DQ59" s="108"/>
      <c r="DR59" s="108"/>
      <c r="DS59" s="108"/>
      <c r="DT59" s="108"/>
      <c r="DU59" s="108"/>
      <c r="DV59" s="108"/>
      <c r="DW59" s="108"/>
      <c r="DX59" s="108"/>
      <c r="DY59" s="108"/>
      <c r="DZ59" s="108"/>
      <c r="EA59" s="108"/>
      <c r="EB59" s="108"/>
      <c r="EC59" s="108"/>
      <c r="ED59" s="108"/>
      <c r="EE59" s="108"/>
      <c r="EF59" s="108"/>
      <c r="EG59" s="108"/>
      <c r="EH59" s="108"/>
      <c r="EI59" s="108"/>
      <c r="EJ59" s="108"/>
      <c r="EK59" s="108"/>
      <c r="EL59" s="108"/>
      <c r="EM59" s="108"/>
      <c r="EN59" s="108"/>
      <c r="EO59" s="108"/>
      <c r="EP59" s="108"/>
      <c r="EQ59" s="108"/>
      <c r="ER59" s="108"/>
      <c r="ES59" s="108"/>
      <c r="ET59" s="108"/>
      <c r="EU59" s="108"/>
      <c r="EV59" s="108"/>
      <c r="EW59" s="108"/>
      <c r="EX59" s="108"/>
      <c r="EY59" s="108"/>
      <c r="EZ59" s="108"/>
      <c r="FA59" s="108"/>
      <c r="FB59" s="108"/>
      <c r="FC59" s="108"/>
      <c r="FD59" s="108"/>
      <c r="FE59" s="108"/>
      <c r="FF59" s="108"/>
      <c r="FG59" s="108"/>
      <c r="FH59" s="108"/>
      <c r="FI59" s="108"/>
      <c r="FJ59" s="108"/>
      <c r="FK59" s="108"/>
      <c r="FL59" s="108"/>
      <c r="FM59" s="108"/>
      <c r="FN59" s="108"/>
      <c r="FO59" s="108"/>
      <c r="FP59" s="108"/>
      <c r="FQ59" s="108"/>
      <c r="FR59" s="108"/>
      <c r="FS59" s="108"/>
      <c r="FT59" s="108"/>
      <c r="FU59" s="108"/>
      <c r="FV59" s="108"/>
      <c r="FW59" s="108"/>
      <c r="FX59" s="108"/>
      <c r="FY59" s="108"/>
      <c r="FZ59" s="108"/>
      <c r="GA59" s="108"/>
      <c r="GB59" s="108"/>
      <c r="GC59" s="108"/>
      <c r="GD59" s="108"/>
      <c r="GE59" s="108"/>
      <c r="GF59" s="108"/>
      <c r="GG59" s="108"/>
      <c r="GH59" s="108"/>
      <c r="GI59" s="108"/>
      <c r="GJ59" s="108"/>
      <c r="GK59" s="108"/>
      <c r="GL59" s="108"/>
      <c r="GM59" s="108"/>
      <c r="GN59" s="108"/>
      <c r="GO59" s="108"/>
      <c r="GP59" s="108"/>
      <c r="GQ59" s="108"/>
      <c r="GR59" s="108"/>
      <c r="GS59" s="108"/>
      <c r="GT59" s="108"/>
      <c r="GU59" s="108"/>
      <c r="GV59" s="108"/>
      <c r="GW59" s="108"/>
      <c r="GX59" s="108"/>
      <c r="GY59" s="108"/>
      <c r="GZ59" s="108"/>
      <c r="HA59" s="108"/>
      <c r="HB59" s="108"/>
      <c r="HC59" s="108"/>
      <c r="HD59" s="108"/>
      <c r="HE59" s="108"/>
      <c r="HF59" s="108"/>
      <c r="HG59" s="108"/>
      <c r="HH59" s="108"/>
      <c r="HI59" s="108"/>
      <c r="HJ59" s="108"/>
      <c r="HK59" s="108"/>
      <c r="HL59" s="108"/>
      <c r="HM59" s="108"/>
      <c r="HN59" s="108"/>
      <c r="HO59" s="108"/>
      <c r="HP59" s="108"/>
      <c r="HQ59" s="108"/>
      <c r="HR59" s="108"/>
      <c r="HS59" s="108"/>
      <c r="HT59" s="108"/>
      <c r="HU59" s="108"/>
      <c r="HV59" s="108"/>
      <c r="HW59" s="108"/>
      <c r="HX59" s="108"/>
      <c r="HY59" s="108"/>
      <c r="HZ59" s="108"/>
      <c r="IA59" s="108"/>
      <c r="IB59" s="108"/>
      <c r="IC59" s="108"/>
      <c r="ID59" s="108"/>
      <c r="IE59" s="108"/>
      <c r="IF59" s="108"/>
      <c r="IG59" s="108"/>
      <c r="IH59" s="108"/>
      <c r="II59" s="108"/>
      <c r="IJ59" s="108"/>
      <c r="IK59" s="108"/>
      <c r="IL59" s="108"/>
      <c r="IM59" s="108"/>
      <c r="IN59" s="108"/>
      <c r="IO59" s="108"/>
      <c r="IP59" s="108"/>
      <c r="IQ59" s="108"/>
      <c r="IR59" s="108"/>
      <c r="IS59" s="108"/>
      <c r="IT59" s="108"/>
      <c r="IU59" s="108"/>
      <c r="IV59" s="108"/>
      <c r="IW59" s="108"/>
    </row>
    <row r="60" spans="1:257" x14ac:dyDescent="0.3">
      <c r="A60" s="158"/>
      <c r="B60" s="158"/>
      <c r="C60" s="158"/>
      <c r="D60" s="158"/>
      <c r="E60" s="158"/>
      <c r="F60" s="158"/>
      <c r="G60" s="158"/>
      <c r="H60" s="158"/>
      <c r="I60" s="158"/>
      <c r="J60" s="158"/>
      <c r="K60" s="158"/>
      <c r="L60" s="158"/>
      <c r="M60" s="158"/>
      <c r="N60" s="158"/>
      <c r="O60" s="108"/>
      <c r="P60" s="108"/>
      <c r="Q60" s="108"/>
      <c r="R60" s="108"/>
      <c r="S60" s="108"/>
      <c r="T60" s="108"/>
      <c r="U60" s="108"/>
      <c r="V60" s="108"/>
      <c r="W60" s="108"/>
      <c r="X60" s="108"/>
      <c r="Y60" s="108"/>
      <c r="Z60" s="108"/>
      <c r="AA60" s="108"/>
      <c r="AB60" s="108"/>
      <c r="AC60" s="108"/>
      <c r="AD60" s="108"/>
      <c r="AE60" s="108"/>
      <c r="AF60" s="108"/>
      <c r="AG60" s="108"/>
      <c r="AH60" s="108"/>
      <c r="AI60" s="108"/>
      <c r="AJ60" s="108"/>
      <c r="AK60" s="108"/>
      <c r="AL60" s="108"/>
      <c r="AM60" s="108"/>
      <c r="AN60" s="108"/>
      <c r="AO60" s="108"/>
      <c r="AP60" s="108"/>
      <c r="AQ60" s="108"/>
      <c r="AR60" s="108"/>
      <c r="AS60" s="108"/>
      <c r="AT60" s="108"/>
      <c r="AU60" s="108"/>
      <c r="AV60" s="108"/>
      <c r="AW60" s="108"/>
      <c r="AX60" s="108"/>
      <c r="AY60" s="108"/>
      <c r="AZ60" s="108"/>
      <c r="BA60" s="108"/>
      <c r="BB60" s="108"/>
      <c r="BC60" s="108"/>
      <c r="BD60" s="108"/>
      <c r="BE60" s="108"/>
      <c r="BF60" s="108"/>
      <c r="BG60" s="108"/>
      <c r="BH60" s="108"/>
      <c r="BI60" s="108"/>
      <c r="BJ60" s="108"/>
      <c r="BK60" s="108"/>
      <c r="BL60" s="108"/>
      <c r="BM60" s="108"/>
      <c r="BN60" s="108"/>
      <c r="BO60" s="108"/>
      <c r="BP60" s="108"/>
      <c r="BQ60" s="108"/>
      <c r="BR60" s="108"/>
      <c r="BS60" s="108"/>
      <c r="BT60" s="108"/>
      <c r="BU60" s="108"/>
      <c r="BV60" s="108"/>
      <c r="BW60" s="108"/>
      <c r="BX60" s="108"/>
      <c r="BY60" s="108"/>
      <c r="BZ60" s="108"/>
      <c r="CA60" s="108"/>
      <c r="CB60" s="108"/>
      <c r="CC60" s="108"/>
      <c r="CD60" s="108"/>
      <c r="CE60" s="108"/>
      <c r="CF60" s="108"/>
      <c r="CG60" s="108"/>
      <c r="CH60" s="108"/>
      <c r="CI60" s="108"/>
      <c r="CJ60" s="108"/>
      <c r="CK60" s="108"/>
      <c r="CL60" s="108"/>
      <c r="CM60" s="108"/>
      <c r="CN60" s="108"/>
      <c r="CO60" s="108"/>
      <c r="CP60" s="108"/>
      <c r="CQ60" s="108"/>
      <c r="CR60" s="108"/>
      <c r="CS60" s="108"/>
      <c r="CT60" s="108"/>
      <c r="CU60" s="108"/>
      <c r="CV60" s="108"/>
      <c r="CW60" s="108"/>
      <c r="CX60" s="108"/>
      <c r="CY60" s="108"/>
      <c r="CZ60" s="108"/>
      <c r="DA60" s="108"/>
      <c r="DB60" s="108"/>
      <c r="DC60" s="108"/>
      <c r="DD60" s="108"/>
      <c r="DE60" s="108"/>
      <c r="DF60" s="108"/>
      <c r="DG60" s="108"/>
      <c r="DH60" s="108"/>
      <c r="DI60" s="108"/>
      <c r="DJ60" s="108"/>
      <c r="DK60" s="108"/>
      <c r="DL60" s="108"/>
      <c r="DM60" s="108"/>
      <c r="DN60" s="108"/>
      <c r="DO60" s="108"/>
      <c r="DP60" s="108"/>
      <c r="DQ60" s="108"/>
      <c r="DR60" s="108"/>
      <c r="DS60" s="108"/>
      <c r="DT60" s="108"/>
      <c r="DU60" s="108"/>
      <c r="DV60" s="108"/>
      <c r="DW60" s="108"/>
      <c r="DX60" s="108"/>
      <c r="DY60" s="108"/>
      <c r="DZ60" s="108"/>
      <c r="EA60" s="108"/>
      <c r="EB60" s="108"/>
      <c r="EC60" s="108"/>
      <c r="ED60" s="108"/>
      <c r="EE60" s="108"/>
      <c r="EF60" s="108"/>
      <c r="EG60" s="108"/>
      <c r="EH60" s="108"/>
      <c r="EI60" s="108"/>
      <c r="EJ60" s="108"/>
      <c r="EK60" s="108"/>
      <c r="EL60" s="108"/>
      <c r="EM60" s="108"/>
      <c r="EN60" s="108"/>
      <c r="EO60" s="108"/>
      <c r="EP60" s="108"/>
      <c r="EQ60" s="108"/>
      <c r="ER60" s="108"/>
      <c r="ES60" s="108"/>
      <c r="ET60" s="108"/>
      <c r="EU60" s="108"/>
      <c r="EV60" s="108"/>
      <c r="EW60" s="108"/>
      <c r="EX60" s="108"/>
      <c r="EY60" s="108"/>
      <c r="EZ60" s="108"/>
      <c r="FA60" s="108"/>
      <c r="FB60" s="108"/>
      <c r="FC60" s="108"/>
      <c r="FD60" s="108"/>
      <c r="FE60" s="108"/>
      <c r="FF60" s="108"/>
      <c r="FG60" s="108"/>
      <c r="FH60" s="108"/>
      <c r="FI60" s="108"/>
      <c r="FJ60" s="108"/>
      <c r="FK60" s="108"/>
      <c r="FL60" s="108"/>
      <c r="FM60" s="108"/>
      <c r="FN60" s="108"/>
      <c r="FO60" s="108"/>
      <c r="FP60" s="108"/>
      <c r="FQ60" s="108"/>
      <c r="FR60" s="108"/>
      <c r="FS60" s="108"/>
      <c r="FT60" s="108"/>
      <c r="FU60" s="108"/>
      <c r="FV60" s="108"/>
      <c r="FW60" s="108"/>
      <c r="FX60" s="108"/>
      <c r="FY60" s="108"/>
      <c r="FZ60" s="108"/>
      <c r="GA60" s="108"/>
      <c r="GB60" s="108"/>
      <c r="GC60" s="108"/>
      <c r="GD60" s="108"/>
      <c r="GE60" s="108"/>
      <c r="GF60" s="108"/>
      <c r="GG60" s="108"/>
      <c r="GH60" s="108"/>
      <c r="GI60" s="108"/>
      <c r="GJ60" s="108"/>
      <c r="GK60" s="108"/>
      <c r="GL60" s="108"/>
      <c r="GM60" s="108"/>
      <c r="GN60" s="108"/>
      <c r="GO60" s="108"/>
      <c r="GP60" s="108"/>
      <c r="GQ60" s="108"/>
      <c r="GR60" s="108"/>
      <c r="GS60" s="108"/>
      <c r="GT60" s="108"/>
      <c r="GU60" s="108"/>
      <c r="GV60" s="108"/>
      <c r="GW60" s="108"/>
      <c r="GX60" s="108"/>
      <c r="GY60" s="108"/>
      <c r="GZ60" s="108"/>
      <c r="HA60" s="108"/>
      <c r="HB60" s="108"/>
      <c r="HC60" s="108"/>
      <c r="HD60" s="108"/>
      <c r="HE60" s="108"/>
      <c r="HF60" s="108"/>
      <c r="HG60" s="108"/>
      <c r="HH60" s="108"/>
      <c r="HI60" s="108"/>
      <c r="HJ60" s="108"/>
      <c r="HK60" s="108"/>
      <c r="HL60" s="108"/>
      <c r="HM60" s="108"/>
      <c r="HN60" s="108"/>
      <c r="HO60" s="108"/>
      <c r="HP60" s="108"/>
      <c r="HQ60" s="108"/>
      <c r="HR60" s="108"/>
      <c r="HS60" s="108"/>
      <c r="HT60" s="108"/>
      <c r="HU60" s="108"/>
      <c r="HV60" s="108"/>
      <c r="HW60" s="108"/>
      <c r="HX60" s="108"/>
      <c r="HY60" s="108"/>
      <c r="HZ60" s="108"/>
      <c r="IA60" s="108"/>
      <c r="IB60" s="108"/>
      <c r="IC60" s="108"/>
      <c r="ID60" s="108"/>
      <c r="IE60" s="108"/>
      <c r="IF60" s="108"/>
      <c r="IG60" s="108"/>
      <c r="IH60" s="108"/>
      <c r="II60" s="108"/>
      <c r="IJ60" s="108"/>
      <c r="IK60" s="108"/>
      <c r="IL60" s="108"/>
      <c r="IM60" s="108"/>
      <c r="IN60" s="108"/>
      <c r="IO60" s="108"/>
      <c r="IP60" s="108"/>
      <c r="IQ60" s="108"/>
      <c r="IR60" s="108"/>
      <c r="IS60" s="108"/>
      <c r="IT60" s="108"/>
      <c r="IU60" s="108"/>
      <c r="IV60" s="108"/>
      <c r="IW60" s="108"/>
    </row>
    <row r="61" spans="1:257" x14ac:dyDescent="0.3">
      <c r="A61" s="158"/>
      <c r="B61" s="158"/>
      <c r="C61" s="158"/>
      <c r="D61" s="158"/>
      <c r="E61" s="158"/>
      <c r="F61" s="158"/>
      <c r="G61" s="158"/>
      <c r="H61" s="158"/>
      <c r="I61" s="158"/>
      <c r="J61" s="158"/>
      <c r="K61" s="158"/>
      <c r="L61" s="158"/>
      <c r="M61" s="158"/>
      <c r="N61" s="158"/>
      <c r="O61" s="108"/>
      <c r="P61" s="108"/>
      <c r="Q61" s="108"/>
      <c r="R61" s="108"/>
      <c r="S61" s="108"/>
      <c r="T61" s="108"/>
      <c r="U61" s="108"/>
      <c r="V61" s="108"/>
      <c r="W61" s="108"/>
      <c r="X61" s="108"/>
      <c r="Y61" s="108"/>
      <c r="Z61" s="108"/>
      <c r="AA61" s="108"/>
      <c r="AB61" s="108"/>
      <c r="AC61" s="108"/>
      <c r="AD61" s="108"/>
      <c r="AE61" s="108"/>
      <c r="AF61" s="108"/>
      <c r="AG61" s="108"/>
      <c r="AH61" s="108"/>
      <c r="AI61" s="108"/>
      <c r="AJ61" s="108"/>
      <c r="AK61" s="108"/>
      <c r="AL61" s="108"/>
      <c r="AM61" s="108"/>
      <c r="AN61" s="108"/>
      <c r="AO61" s="108"/>
      <c r="AP61" s="108"/>
      <c r="AQ61" s="108"/>
      <c r="AR61" s="108"/>
      <c r="AS61" s="108"/>
      <c r="AT61" s="108"/>
      <c r="AU61" s="108"/>
      <c r="AV61" s="108"/>
      <c r="AW61" s="108"/>
      <c r="AX61" s="108"/>
      <c r="AY61" s="108"/>
      <c r="AZ61" s="108"/>
      <c r="BA61" s="108"/>
      <c r="BB61" s="108"/>
      <c r="BC61" s="108"/>
      <c r="BD61" s="108"/>
      <c r="BE61" s="108"/>
      <c r="BF61" s="108"/>
      <c r="BG61" s="108"/>
      <c r="BH61" s="108"/>
      <c r="BI61" s="108"/>
      <c r="BJ61" s="108"/>
      <c r="BK61" s="108"/>
      <c r="BL61" s="108"/>
      <c r="BM61" s="108"/>
      <c r="BN61" s="108"/>
      <c r="BO61" s="108"/>
      <c r="BP61" s="108"/>
      <c r="BQ61" s="108"/>
      <c r="BR61" s="108"/>
      <c r="BS61" s="108"/>
      <c r="BT61" s="108"/>
      <c r="BU61" s="108"/>
      <c r="BV61" s="108"/>
      <c r="BW61" s="108"/>
      <c r="BX61" s="108"/>
      <c r="BY61" s="108"/>
      <c r="BZ61" s="108"/>
      <c r="CA61" s="108"/>
      <c r="CB61" s="108"/>
      <c r="CC61" s="108"/>
      <c r="CD61" s="108"/>
      <c r="CE61" s="108"/>
      <c r="CF61" s="108"/>
      <c r="CG61" s="108"/>
      <c r="CH61" s="108"/>
      <c r="CI61" s="108"/>
      <c r="CJ61" s="108"/>
      <c r="CK61" s="108"/>
      <c r="CL61" s="108"/>
      <c r="CM61" s="108"/>
      <c r="CN61" s="108"/>
      <c r="CO61" s="108"/>
      <c r="CP61" s="108"/>
      <c r="CQ61" s="108"/>
      <c r="CR61" s="108"/>
      <c r="CS61" s="108"/>
      <c r="CT61" s="108"/>
      <c r="CU61" s="108"/>
      <c r="CV61" s="108"/>
      <c r="CW61" s="108"/>
      <c r="CX61" s="108"/>
      <c r="CY61" s="108"/>
      <c r="CZ61" s="108"/>
      <c r="DA61" s="108"/>
      <c r="DB61" s="108"/>
      <c r="DC61" s="108"/>
      <c r="DD61" s="108"/>
      <c r="DE61" s="108"/>
      <c r="DF61" s="108"/>
      <c r="DG61" s="108"/>
      <c r="DH61" s="108"/>
      <c r="DI61" s="108"/>
      <c r="DJ61" s="108"/>
      <c r="DK61" s="108"/>
      <c r="DL61" s="108"/>
      <c r="DM61" s="108"/>
      <c r="DN61" s="108"/>
      <c r="DO61" s="108"/>
      <c r="DP61" s="108"/>
      <c r="DQ61" s="108"/>
      <c r="DR61" s="108"/>
      <c r="DS61" s="108"/>
      <c r="DT61" s="108"/>
      <c r="DU61" s="108"/>
      <c r="DV61" s="108"/>
      <c r="DW61" s="108"/>
      <c r="DX61" s="108"/>
      <c r="DY61" s="108"/>
      <c r="DZ61" s="108"/>
      <c r="EA61" s="108"/>
      <c r="EB61" s="108"/>
      <c r="EC61" s="108"/>
      <c r="ED61" s="108"/>
      <c r="EE61" s="108"/>
      <c r="EF61" s="108"/>
      <c r="EG61" s="108"/>
      <c r="EH61" s="108"/>
      <c r="EI61" s="108"/>
      <c r="EJ61" s="108"/>
      <c r="EK61" s="108"/>
      <c r="EL61" s="108"/>
      <c r="EM61" s="108"/>
      <c r="EN61" s="108"/>
      <c r="EO61" s="108"/>
      <c r="EP61" s="108"/>
      <c r="EQ61" s="108"/>
      <c r="ER61" s="108"/>
      <c r="ES61" s="108"/>
      <c r="ET61" s="108"/>
      <c r="EU61" s="108"/>
      <c r="EV61" s="108"/>
      <c r="EW61" s="108"/>
      <c r="EX61" s="108"/>
      <c r="EY61" s="108"/>
      <c r="EZ61" s="108"/>
      <c r="FA61" s="108"/>
      <c r="FB61" s="108"/>
      <c r="FC61" s="108"/>
      <c r="FD61" s="108"/>
      <c r="FE61" s="108"/>
      <c r="FF61" s="108"/>
      <c r="FG61" s="108"/>
      <c r="FH61" s="108"/>
      <c r="FI61" s="108"/>
      <c r="FJ61" s="108"/>
      <c r="FK61" s="108"/>
      <c r="FL61" s="108"/>
      <c r="FM61" s="108"/>
      <c r="FN61" s="108"/>
      <c r="FO61" s="108"/>
      <c r="FP61" s="108"/>
      <c r="FQ61" s="108"/>
      <c r="FR61" s="108"/>
      <c r="FS61" s="108"/>
      <c r="FT61" s="108"/>
      <c r="FU61" s="108"/>
      <c r="FV61" s="108"/>
      <c r="FW61" s="108"/>
      <c r="FX61" s="108"/>
      <c r="FY61" s="108"/>
      <c r="FZ61" s="108"/>
      <c r="GA61" s="108"/>
      <c r="GB61" s="108"/>
      <c r="GC61" s="108"/>
      <c r="GD61" s="108"/>
      <c r="GE61" s="108"/>
      <c r="GF61" s="108"/>
      <c r="GG61" s="108"/>
      <c r="GH61" s="108"/>
      <c r="GI61" s="108"/>
      <c r="GJ61" s="108"/>
      <c r="GK61" s="108"/>
      <c r="GL61" s="108"/>
      <c r="GM61" s="108"/>
      <c r="GN61" s="108"/>
      <c r="GO61" s="108"/>
      <c r="GP61" s="108"/>
      <c r="GQ61" s="108"/>
      <c r="GR61" s="108"/>
      <c r="GS61" s="108"/>
      <c r="GT61" s="108"/>
      <c r="GU61" s="108"/>
      <c r="GV61" s="108"/>
      <c r="GW61" s="108"/>
      <c r="GX61" s="108"/>
      <c r="GY61" s="108"/>
      <c r="GZ61" s="108"/>
      <c r="HA61" s="108"/>
      <c r="HB61" s="108"/>
      <c r="HC61" s="108"/>
      <c r="HD61" s="108"/>
      <c r="HE61" s="108"/>
      <c r="HF61" s="108"/>
      <c r="HG61" s="108"/>
      <c r="HH61" s="108"/>
      <c r="HI61" s="108"/>
      <c r="HJ61" s="108"/>
      <c r="HK61" s="108"/>
      <c r="HL61" s="108"/>
      <c r="HM61" s="108"/>
      <c r="HN61" s="108"/>
      <c r="HO61" s="108"/>
      <c r="HP61" s="108"/>
      <c r="HQ61" s="108"/>
      <c r="HR61" s="108"/>
      <c r="HS61" s="108"/>
      <c r="HT61" s="108"/>
      <c r="HU61" s="108"/>
      <c r="HV61" s="108"/>
      <c r="HW61" s="108"/>
      <c r="HX61" s="108"/>
      <c r="HY61" s="108"/>
      <c r="HZ61" s="108"/>
      <c r="IA61" s="108"/>
      <c r="IB61" s="108"/>
      <c r="IC61" s="108"/>
      <c r="ID61" s="108"/>
      <c r="IE61" s="108"/>
      <c r="IF61" s="108"/>
      <c r="IG61" s="108"/>
      <c r="IH61" s="108"/>
      <c r="II61" s="108"/>
      <c r="IJ61" s="108"/>
      <c r="IK61" s="108"/>
      <c r="IL61" s="108"/>
      <c r="IM61" s="108"/>
      <c r="IN61" s="108"/>
      <c r="IO61" s="108"/>
      <c r="IP61" s="108"/>
      <c r="IQ61" s="108"/>
      <c r="IR61" s="108"/>
      <c r="IS61" s="108"/>
      <c r="IT61" s="108"/>
      <c r="IU61" s="108"/>
      <c r="IV61" s="108"/>
      <c r="IW61" s="108"/>
    </row>
    <row r="62" spans="1:257" x14ac:dyDescent="0.3">
      <c r="A62" s="158"/>
      <c r="B62" s="158"/>
      <c r="C62" s="158"/>
      <c r="D62" s="158"/>
      <c r="E62" s="158"/>
      <c r="F62" s="158"/>
      <c r="G62" s="158"/>
      <c r="H62" s="158"/>
      <c r="I62" s="158"/>
      <c r="J62" s="158"/>
      <c r="K62" s="158"/>
      <c r="L62" s="158"/>
      <c r="M62" s="158"/>
      <c r="N62" s="158"/>
      <c r="O62" s="108"/>
      <c r="P62" s="108"/>
      <c r="Q62" s="108"/>
      <c r="R62" s="108"/>
      <c r="S62" s="108"/>
      <c r="T62" s="108"/>
      <c r="U62" s="108"/>
      <c r="V62" s="108"/>
      <c r="W62" s="108"/>
      <c r="X62" s="108"/>
      <c r="Y62" s="108"/>
      <c r="Z62" s="108"/>
      <c r="AA62" s="108"/>
      <c r="AB62" s="108"/>
      <c r="AC62" s="108"/>
      <c r="AD62" s="108"/>
      <c r="AE62" s="108"/>
      <c r="AF62" s="108"/>
      <c r="AG62" s="108"/>
      <c r="AH62" s="108"/>
      <c r="AI62" s="108"/>
      <c r="AJ62" s="108"/>
      <c r="AK62" s="108"/>
      <c r="AL62" s="108"/>
      <c r="AM62" s="108"/>
      <c r="AN62" s="108"/>
      <c r="AO62" s="108"/>
      <c r="AP62" s="108"/>
      <c r="AQ62" s="108"/>
      <c r="AR62" s="108"/>
      <c r="AS62" s="108"/>
      <c r="AT62" s="108"/>
      <c r="AU62" s="108"/>
      <c r="AV62" s="108"/>
      <c r="AW62" s="108"/>
      <c r="AX62" s="108"/>
      <c r="AY62" s="108"/>
      <c r="AZ62" s="108"/>
      <c r="BA62" s="108"/>
      <c r="BB62" s="108"/>
      <c r="BC62" s="108"/>
      <c r="BD62" s="108"/>
      <c r="BE62" s="108"/>
      <c r="BF62" s="108"/>
      <c r="BG62" s="108"/>
      <c r="BH62" s="108"/>
      <c r="BI62" s="108"/>
      <c r="BJ62" s="108"/>
      <c r="BK62" s="108"/>
      <c r="BL62" s="108"/>
      <c r="BM62" s="108"/>
      <c r="BN62" s="108"/>
      <c r="BO62" s="108"/>
      <c r="BP62" s="108"/>
      <c r="BQ62" s="108"/>
      <c r="BR62" s="108"/>
      <c r="BS62" s="108"/>
      <c r="BT62" s="108"/>
      <c r="BU62" s="108"/>
      <c r="BV62" s="108"/>
      <c r="BW62" s="108"/>
      <c r="BX62" s="108"/>
      <c r="BY62" s="108"/>
      <c r="BZ62" s="108"/>
      <c r="CA62" s="108"/>
      <c r="CB62" s="108"/>
      <c r="CC62" s="108"/>
      <c r="CD62" s="108"/>
      <c r="CE62" s="108"/>
      <c r="CF62" s="108"/>
      <c r="CG62" s="108"/>
      <c r="CH62" s="108"/>
      <c r="CI62" s="108"/>
      <c r="CJ62" s="108"/>
      <c r="CK62" s="108"/>
      <c r="CL62" s="108"/>
      <c r="CM62" s="108"/>
      <c r="CN62" s="108"/>
      <c r="CO62" s="108"/>
      <c r="CP62" s="108"/>
      <c r="CQ62" s="108"/>
      <c r="CR62" s="108"/>
      <c r="CS62" s="108"/>
      <c r="CT62" s="108"/>
      <c r="CU62" s="108"/>
      <c r="CV62" s="108"/>
      <c r="CW62" s="108"/>
      <c r="CX62" s="108"/>
      <c r="CY62" s="108"/>
      <c r="CZ62" s="108"/>
      <c r="DA62" s="108"/>
      <c r="DB62" s="108"/>
      <c r="DC62" s="108"/>
      <c r="DD62" s="108"/>
      <c r="DE62" s="108"/>
      <c r="DF62" s="108"/>
      <c r="DG62" s="108"/>
      <c r="DH62" s="108"/>
      <c r="DI62" s="108"/>
      <c r="DJ62" s="108"/>
      <c r="DK62" s="108"/>
      <c r="DL62" s="108"/>
      <c r="DM62" s="108"/>
      <c r="DN62" s="108"/>
      <c r="DO62" s="108"/>
      <c r="DP62" s="108"/>
      <c r="DQ62" s="108"/>
      <c r="DR62" s="108"/>
      <c r="DS62" s="108"/>
      <c r="DT62" s="108"/>
      <c r="DU62" s="108"/>
      <c r="DV62" s="108"/>
      <c r="DW62" s="108"/>
      <c r="DX62" s="108"/>
      <c r="DY62" s="108"/>
      <c r="DZ62" s="108"/>
      <c r="EA62" s="108"/>
      <c r="EB62" s="108"/>
      <c r="EC62" s="108"/>
      <c r="ED62" s="108"/>
      <c r="EE62" s="108"/>
      <c r="EF62" s="108"/>
      <c r="EG62" s="108"/>
      <c r="EH62" s="108"/>
      <c r="EI62" s="108"/>
      <c r="EJ62" s="108"/>
      <c r="EK62" s="108"/>
      <c r="EL62" s="108"/>
      <c r="EM62" s="108"/>
      <c r="EN62" s="108"/>
      <c r="EO62" s="108"/>
      <c r="EP62" s="108"/>
      <c r="EQ62" s="108"/>
      <c r="ER62" s="108"/>
      <c r="ES62" s="108"/>
      <c r="ET62" s="108"/>
      <c r="EU62" s="108"/>
      <c r="EV62" s="108"/>
      <c r="EW62" s="108"/>
      <c r="EX62" s="108"/>
      <c r="EY62" s="108"/>
      <c r="EZ62" s="108"/>
      <c r="FA62" s="108"/>
      <c r="FB62" s="108"/>
      <c r="FC62" s="108"/>
      <c r="FD62" s="108"/>
      <c r="FE62" s="108"/>
      <c r="FF62" s="108"/>
      <c r="FG62" s="108"/>
      <c r="FH62" s="108"/>
      <c r="FI62" s="108"/>
      <c r="FJ62" s="108"/>
      <c r="FK62" s="108"/>
      <c r="FL62" s="108"/>
      <c r="FM62" s="108"/>
      <c r="FN62" s="108"/>
      <c r="FO62" s="108"/>
      <c r="FP62" s="108"/>
      <c r="FQ62" s="108"/>
      <c r="FR62" s="108"/>
      <c r="FS62" s="108"/>
      <c r="FT62" s="108"/>
      <c r="FU62" s="108"/>
      <c r="FV62" s="108"/>
      <c r="FW62" s="108"/>
      <c r="FX62" s="108"/>
      <c r="FY62" s="108"/>
      <c r="FZ62" s="108"/>
      <c r="GA62" s="108"/>
      <c r="GB62" s="108"/>
      <c r="GC62" s="108"/>
      <c r="GD62" s="108"/>
      <c r="GE62" s="108"/>
      <c r="GF62" s="108"/>
      <c r="GG62" s="108"/>
      <c r="GH62" s="108"/>
      <c r="GI62" s="108"/>
      <c r="GJ62" s="108"/>
      <c r="GK62" s="108"/>
      <c r="GL62" s="108"/>
      <c r="GM62" s="108"/>
      <c r="GN62" s="108"/>
      <c r="GO62" s="108"/>
      <c r="GP62" s="108"/>
      <c r="GQ62" s="108"/>
      <c r="GR62" s="108"/>
      <c r="GS62" s="108"/>
      <c r="GT62" s="108"/>
      <c r="GU62" s="108"/>
      <c r="GV62" s="108"/>
      <c r="GW62" s="108"/>
      <c r="GX62" s="108"/>
      <c r="GY62" s="108"/>
      <c r="GZ62" s="108"/>
      <c r="HA62" s="108"/>
      <c r="HB62" s="108"/>
      <c r="HC62" s="108"/>
      <c r="HD62" s="108"/>
      <c r="HE62" s="108"/>
      <c r="HF62" s="108"/>
      <c r="HG62" s="108"/>
      <c r="HH62" s="108"/>
      <c r="HI62" s="108"/>
      <c r="HJ62" s="108"/>
      <c r="HK62" s="108"/>
      <c r="HL62" s="108"/>
      <c r="HM62" s="108"/>
      <c r="HN62" s="108"/>
      <c r="HO62" s="108"/>
      <c r="HP62" s="108"/>
      <c r="HQ62" s="108"/>
      <c r="HR62" s="108"/>
      <c r="HS62" s="108"/>
      <c r="HT62" s="108"/>
      <c r="HU62" s="108"/>
      <c r="HV62" s="108"/>
      <c r="HW62" s="108"/>
      <c r="HX62" s="108"/>
      <c r="HY62" s="108"/>
      <c r="HZ62" s="108"/>
      <c r="IA62" s="108"/>
      <c r="IB62" s="108"/>
      <c r="IC62" s="108"/>
      <c r="ID62" s="108"/>
      <c r="IE62" s="108"/>
      <c r="IF62" s="108"/>
      <c r="IG62" s="108"/>
      <c r="IH62" s="108"/>
      <c r="II62" s="108"/>
      <c r="IJ62" s="108"/>
      <c r="IK62" s="108"/>
      <c r="IL62" s="108"/>
      <c r="IM62" s="108"/>
      <c r="IN62" s="108"/>
      <c r="IO62" s="108"/>
      <c r="IP62" s="108"/>
      <c r="IQ62" s="108"/>
      <c r="IR62" s="108"/>
      <c r="IS62" s="108"/>
      <c r="IT62" s="108"/>
      <c r="IU62" s="108"/>
      <c r="IV62" s="108"/>
      <c r="IW62" s="108"/>
    </row>
    <row r="63" spans="1:257" x14ac:dyDescent="0.3">
      <c r="A63" s="158"/>
      <c r="B63" s="158"/>
      <c r="C63" s="158"/>
      <c r="D63" s="158"/>
      <c r="E63" s="158"/>
      <c r="F63" s="158"/>
      <c r="G63" s="158"/>
      <c r="H63" s="158"/>
      <c r="I63" s="158"/>
      <c r="J63" s="158"/>
      <c r="K63" s="158"/>
      <c r="L63" s="158"/>
      <c r="M63" s="158"/>
      <c r="N63" s="158"/>
      <c r="O63" s="108"/>
      <c r="P63" s="108"/>
      <c r="Q63" s="108"/>
      <c r="R63" s="108"/>
      <c r="S63" s="108"/>
      <c r="T63" s="108"/>
      <c r="U63" s="108"/>
      <c r="V63" s="108"/>
      <c r="W63" s="108"/>
      <c r="X63" s="108"/>
      <c r="Y63" s="108"/>
      <c r="Z63" s="108"/>
      <c r="AA63" s="108"/>
      <c r="AB63" s="108"/>
      <c r="AC63" s="108"/>
      <c r="AD63" s="108"/>
      <c r="AE63" s="108"/>
      <c r="AF63" s="108"/>
      <c r="AG63" s="108"/>
      <c r="AH63" s="108"/>
      <c r="AI63" s="108"/>
      <c r="AJ63" s="108"/>
      <c r="AK63" s="108"/>
      <c r="AL63" s="108"/>
      <c r="AM63" s="108"/>
      <c r="AN63" s="108"/>
      <c r="AO63" s="108"/>
      <c r="AP63" s="108"/>
      <c r="AQ63" s="108"/>
      <c r="AR63" s="108"/>
      <c r="AS63" s="108"/>
      <c r="AT63" s="108"/>
      <c r="AU63" s="108"/>
      <c r="AV63" s="108"/>
      <c r="AW63" s="108"/>
      <c r="AX63" s="108"/>
      <c r="AY63" s="108"/>
      <c r="AZ63" s="108"/>
      <c r="BA63" s="108"/>
      <c r="BB63" s="108"/>
      <c r="BC63" s="108"/>
      <c r="BD63" s="108"/>
      <c r="BE63" s="108"/>
      <c r="BF63" s="108"/>
      <c r="BG63" s="108"/>
      <c r="BH63" s="108"/>
      <c r="BI63" s="108"/>
      <c r="BJ63" s="108"/>
      <c r="BK63" s="108"/>
      <c r="BL63" s="108"/>
      <c r="BM63" s="108"/>
      <c r="BN63" s="108"/>
      <c r="BO63" s="108"/>
      <c r="BP63" s="108"/>
      <c r="BQ63" s="108"/>
      <c r="BR63" s="108"/>
      <c r="BS63" s="108"/>
      <c r="BT63" s="108"/>
      <c r="BU63" s="108"/>
      <c r="BV63" s="108"/>
      <c r="BW63" s="108"/>
      <c r="BX63" s="108"/>
      <c r="BY63" s="108"/>
      <c r="BZ63" s="108"/>
      <c r="CA63" s="108"/>
      <c r="CB63" s="108"/>
      <c r="CC63" s="108"/>
      <c r="CD63" s="108"/>
      <c r="CE63" s="108"/>
      <c r="CF63" s="108"/>
      <c r="CG63" s="108"/>
      <c r="CH63" s="108"/>
      <c r="CI63" s="108"/>
      <c r="CJ63" s="108"/>
      <c r="CK63" s="108"/>
      <c r="CL63" s="108"/>
      <c r="CM63" s="108"/>
      <c r="CN63" s="108"/>
      <c r="CO63" s="108"/>
      <c r="CP63" s="108"/>
      <c r="CQ63" s="108"/>
      <c r="CR63" s="108"/>
      <c r="CS63" s="108"/>
      <c r="CT63" s="108"/>
      <c r="CU63" s="108"/>
      <c r="CV63" s="108"/>
      <c r="CW63" s="108"/>
      <c r="CX63" s="108"/>
      <c r="CY63" s="108"/>
      <c r="CZ63" s="108"/>
      <c r="DA63" s="108"/>
      <c r="DB63" s="108"/>
      <c r="DC63" s="108"/>
      <c r="DD63" s="108"/>
      <c r="DE63" s="108"/>
      <c r="DF63" s="108"/>
      <c r="DG63" s="108"/>
      <c r="DH63" s="108"/>
      <c r="DI63" s="108"/>
      <c r="DJ63" s="108"/>
      <c r="DK63" s="108"/>
      <c r="DL63" s="108"/>
      <c r="DM63" s="108"/>
      <c r="DN63" s="108"/>
      <c r="DO63" s="108"/>
      <c r="DP63" s="108"/>
      <c r="DQ63" s="108"/>
      <c r="DR63" s="108"/>
      <c r="DS63" s="108"/>
      <c r="DT63" s="108"/>
      <c r="DU63" s="108"/>
      <c r="DV63" s="108"/>
      <c r="DW63" s="108"/>
      <c r="DX63" s="108"/>
      <c r="DY63" s="108"/>
      <c r="DZ63" s="108"/>
      <c r="EA63" s="108"/>
      <c r="EB63" s="108"/>
      <c r="EC63" s="108"/>
      <c r="ED63" s="108"/>
      <c r="EE63" s="108"/>
      <c r="EF63" s="108"/>
      <c r="EG63" s="108"/>
      <c r="EH63" s="108"/>
      <c r="EI63" s="108"/>
      <c r="EJ63" s="108"/>
      <c r="EK63" s="108"/>
      <c r="EL63" s="108"/>
      <c r="EM63" s="108"/>
      <c r="EN63" s="108"/>
      <c r="EO63" s="108"/>
      <c r="EP63" s="108"/>
      <c r="EQ63" s="108"/>
      <c r="ER63" s="108"/>
      <c r="ES63" s="108"/>
      <c r="ET63" s="108"/>
      <c r="EU63" s="108"/>
      <c r="EV63" s="108"/>
      <c r="EW63" s="108"/>
      <c r="EX63" s="108"/>
      <c r="EY63" s="108"/>
      <c r="EZ63" s="108"/>
      <c r="FA63" s="108"/>
      <c r="FB63" s="108"/>
      <c r="FC63" s="108"/>
      <c r="FD63" s="108"/>
      <c r="FE63" s="108"/>
      <c r="FF63" s="108"/>
      <c r="FG63" s="108"/>
      <c r="FH63" s="108"/>
      <c r="FI63" s="108"/>
      <c r="FJ63" s="108"/>
      <c r="FK63" s="108"/>
      <c r="FL63" s="108"/>
      <c r="FM63" s="108"/>
      <c r="FN63" s="108"/>
      <c r="FO63" s="108"/>
      <c r="FP63" s="108"/>
      <c r="FQ63" s="108"/>
      <c r="FR63" s="108"/>
      <c r="FS63" s="108"/>
      <c r="FT63" s="108"/>
      <c r="FU63" s="108"/>
      <c r="FV63" s="108"/>
      <c r="FW63" s="108"/>
      <c r="FX63" s="108"/>
      <c r="FY63" s="108"/>
      <c r="FZ63" s="108"/>
      <c r="GA63" s="108"/>
      <c r="GB63" s="108"/>
      <c r="GC63" s="108"/>
      <c r="GD63" s="108"/>
      <c r="GE63" s="108"/>
      <c r="GF63" s="108"/>
      <c r="GG63" s="108"/>
      <c r="GH63" s="108"/>
      <c r="GI63" s="108"/>
      <c r="GJ63" s="108"/>
      <c r="GK63" s="108"/>
      <c r="GL63" s="108"/>
      <c r="GM63" s="108"/>
      <c r="GN63" s="108"/>
      <c r="GO63" s="108"/>
      <c r="GP63" s="108"/>
      <c r="GQ63" s="108"/>
      <c r="GR63" s="108"/>
      <c r="GS63" s="108"/>
      <c r="GT63" s="108"/>
      <c r="GU63" s="108"/>
      <c r="GV63" s="108"/>
      <c r="GW63" s="108"/>
      <c r="GX63" s="108"/>
      <c r="GY63" s="108"/>
      <c r="GZ63" s="108"/>
      <c r="HA63" s="108"/>
      <c r="HB63" s="108"/>
      <c r="HC63" s="108"/>
      <c r="HD63" s="108"/>
      <c r="HE63" s="108"/>
      <c r="HF63" s="108"/>
      <c r="HG63" s="108"/>
      <c r="HH63" s="108"/>
      <c r="HI63" s="108"/>
      <c r="HJ63" s="108"/>
      <c r="HK63" s="108"/>
      <c r="HL63" s="108"/>
      <c r="HM63" s="108"/>
      <c r="HN63" s="108"/>
      <c r="HO63" s="108"/>
      <c r="HP63" s="108"/>
      <c r="HQ63" s="108"/>
      <c r="HR63" s="108"/>
      <c r="HS63" s="108"/>
      <c r="HT63" s="108"/>
      <c r="HU63" s="108"/>
      <c r="HV63" s="108"/>
      <c r="HW63" s="108"/>
      <c r="HX63" s="108"/>
      <c r="HY63" s="108"/>
      <c r="HZ63" s="108"/>
      <c r="IA63" s="108"/>
      <c r="IB63" s="108"/>
      <c r="IC63" s="108"/>
      <c r="ID63" s="108"/>
      <c r="IE63" s="108"/>
      <c r="IF63" s="108"/>
      <c r="IG63" s="108"/>
      <c r="IH63" s="108"/>
      <c r="II63" s="108"/>
      <c r="IJ63" s="108"/>
      <c r="IK63" s="108"/>
      <c r="IL63" s="108"/>
      <c r="IM63" s="108"/>
      <c r="IN63" s="108"/>
      <c r="IO63" s="108"/>
      <c r="IP63" s="108"/>
      <c r="IQ63" s="108"/>
      <c r="IR63" s="108"/>
      <c r="IS63" s="108"/>
      <c r="IT63" s="108"/>
      <c r="IU63" s="108"/>
      <c r="IV63" s="108"/>
      <c r="IW63" s="108"/>
    </row>
    <row r="64" spans="1:257" x14ac:dyDescent="0.3">
      <c r="A64" s="158"/>
      <c r="B64" s="158"/>
      <c r="C64" s="158"/>
      <c r="D64" s="158"/>
      <c r="E64" s="158"/>
      <c r="F64" s="158"/>
      <c r="G64" s="158"/>
      <c r="H64" s="158"/>
      <c r="I64" s="158"/>
      <c r="J64" s="158"/>
      <c r="K64" s="158"/>
      <c r="L64" s="158"/>
      <c r="M64" s="158"/>
      <c r="N64" s="158"/>
      <c r="O64" s="108"/>
      <c r="P64" s="108"/>
      <c r="Q64" s="108"/>
      <c r="R64" s="108"/>
      <c r="S64" s="108"/>
      <c r="T64" s="108"/>
      <c r="U64" s="108"/>
      <c r="V64" s="108"/>
      <c r="W64" s="108"/>
      <c r="X64" s="108"/>
      <c r="Y64" s="108"/>
      <c r="Z64" s="108"/>
      <c r="AA64" s="108"/>
      <c r="AB64" s="108"/>
      <c r="AC64" s="108"/>
      <c r="AD64" s="108"/>
      <c r="AE64" s="108"/>
      <c r="AF64" s="108"/>
      <c r="AG64" s="108"/>
      <c r="AH64" s="108"/>
      <c r="AI64" s="108"/>
      <c r="AJ64" s="108"/>
      <c r="AK64" s="108"/>
      <c r="AL64" s="108"/>
      <c r="AM64" s="108"/>
      <c r="AN64" s="108"/>
      <c r="AO64" s="108"/>
      <c r="AP64" s="108"/>
      <c r="AQ64" s="108"/>
      <c r="AR64" s="108"/>
      <c r="AS64" s="108"/>
      <c r="AT64" s="108"/>
      <c r="AU64" s="108"/>
      <c r="AV64" s="108"/>
      <c r="AW64" s="108"/>
      <c r="AX64" s="108"/>
      <c r="AY64" s="108"/>
      <c r="AZ64" s="108"/>
      <c r="BA64" s="108"/>
      <c r="BB64" s="108"/>
      <c r="BC64" s="108"/>
      <c r="BD64" s="108"/>
      <c r="BE64" s="108"/>
      <c r="BF64" s="108"/>
      <c r="BG64" s="108"/>
      <c r="BH64" s="108"/>
      <c r="BI64" s="108"/>
      <c r="BJ64" s="108"/>
      <c r="BK64" s="108"/>
      <c r="BL64" s="108"/>
      <c r="BM64" s="108"/>
      <c r="BN64" s="108"/>
      <c r="BO64" s="108"/>
      <c r="BP64" s="108"/>
      <c r="BQ64" s="108"/>
      <c r="BR64" s="108"/>
      <c r="BS64" s="108"/>
      <c r="BT64" s="108"/>
      <c r="BU64" s="108"/>
      <c r="BV64" s="108"/>
      <c r="BW64" s="108"/>
      <c r="BX64" s="108"/>
      <c r="BY64" s="108"/>
      <c r="BZ64" s="108"/>
      <c r="CA64" s="108"/>
      <c r="CB64" s="108"/>
      <c r="CC64" s="108"/>
      <c r="CD64" s="108"/>
      <c r="CE64" s="108"/>
      <c r="CF64" s="108"/>
      <c r="CG64" s="108"/>
      <c r="CH64" s="108"/>
      <c r="CI64" s="108"/>
      <c r="CJ64" s="108"/>
      <c r="CK64" s="108"/>
      <c r="CL64" s="108"/>
      <c r="CM64" s="108"/>
      <c r="CN64" s="108"/>
      <c r="CO64" s="108"/>
      <c r="CP64" s="108"/>
      <c r="CQ64" s="108"/>
      <c r="CR64" s="108"/>
      <c r="CS64" s="108"/>
      <c r="CT64" s="108"/>
      <c r="CU64" s="108"/>
      <c r="CV64" s="108"/>
      <c r="CW64" s="108"/>
      <c r="CX64" s="108"/>
      <c r="CY64" s="108"/>
      <c r="CZ64" s="108"/>
      <c r="DA64" s="108"/>
      <c r="DB64" s="108"/>
      <c r="DC64" s="108"/>
      <c r="DD64" s="108"/>
      <c r="DE64" s="108"/>
      <c r="DF64" s="108"/>
      <c r="DG64" s="108"/>
      <c r="DH64" s="108"/>
      <c r="DI64" s="108"/>
      <c r="DJ64" s="108"/>
      <c r="DK64" s="108"/>
      <c r="DL64" s="108"/>
      <c r="DM64" s="108"/>
      <c r="DN64" s="108"/>
      <c r="DO64" s="108"/>
      <c r="DP64" s="108"/>
      <c r="DQ64" s="108"/>
      <c r="DR64" s="108"/>
      <c r="DS64" s="108"/>
      <c r="DT64" s="108"/>
      <c r="DU64" s="108"/>
      <c r="DV64" s="108"/>
      <c r="DW64" s="108"/>
      <c r="DX64" s="108"/>
      <c r="DY64" s="108"/>
      <c r="DZ64" s="108"/>
      <c r="EA64" s="108"/>
      <c r="EB64" s="108"/>
      <c r="EC64" s="108"/>
      <c r="ED64" s="108"/>
      <c r="EE64" s="108"/>
      <c r="EF64" s="108"/>
      <c r="EG64" s="108"/>
      <c r="EH64" s="108"/>
      <c r="EI64" s="108"/>
      <c r="EJ64" s="108"/>
      <c r="EK64" s="108"/>
      <c r="EL64" s="108"/>
      <c r="EM64" s="108"/>
      <c r="EN64" s="108"/>
      <c r="EO64" s="108"/>
      <c r="EP64" s="108"/>
      <c r="EQ64" s="108"/>
      <c r="ER64" s="108"/>
      <c r="ES64" s="108"/>
      <c r="ET64" s="108"/>
      <c r="EU64" s="108"/>
      <c r="EV64" s="108"/>
      <c r="EW64" s="108"/>
      <c r="EX64" s="108"/>
      <c r="EY64" s="108"/>
      <c r="EZ64" s="108"/>
      <c r="FA64" s="108"/>
      <c r="FB64" s="108"/>
      <c r="FC64" s="108"/>
      <c r="FD64" s="108"/>
      <c r="FE64" s="108"/>
      <c r="FF64" s="108"/>
      <c r="FG64" s="108"/>
      <c r="FH64" s="108"/>
      <c r="FI64" s="108"/>
      <c r="FJ64" s="108"/>
      <c r="FK64" s="108"/>
      <c r="FL64" s="108"/>
      <c r="FM64" s="108"/>
      <c r="FN64" s="108"/>
      <c r="FO64" s="108"/>
      <c r="FP64" s="108"/>
      <c r="FQ64" s="108"/>
      <c r="FR64" s="108"/>
      <c r="FS64" s="108"/>
      <c r="FT64" s="108"/>
      <c r="FU64" s="108"/>
      <c r="FV64" s="108"/>
      <c r="FW64" s="108"/>
      <c r="FX64" s="108"/>
      <c r="FY64" s="108"/>
      <c r="FZ64" s="108"/>
      <c r="GA64" s="108"/>
      <c r="GB64" s="108"/>
      <c r="GC64" s="108"/>
      <c r="GD64" s="108"/>
      <c r="GE64" s="108"/>
      <c r="GF64" s="108"/>
      <c r="GG64" s="108"/>
      <c r="GH64" s="108"/>
      <c r="GI64" s="108"/>
      <c r="GJ64" s="108"/>
      <c r="GK64" s="108"/>
      <c r="GL64" s="108"/>
      <c r="GM64" s="108"/>
      <c r="GN64" s="108"/>
      <c r="GO64" s="108"/>
      <c r="GP64" s="108"/>
      <c r="GQ64" s="108"/>
      <c r="GR64" s="108"/>
      <c r="GS64" s="108"/>
      <c r="GT64" s="108"/>
      <c r="GU64" s="108"/>
      <c r="GV64" s="108"/>
      <c r="GW64" s="108"/>
      <c r="GX64" s="108"/>
      <c r="GY64" s="108"/>
      <c r="GZ64" s="108"/>
      <c r="HA64" s="108"/>
      <c r="HB64" s="108"/>
      <c r="HC64" s="108"/>
      <c r="HD64" s="108"/>
      <c r="HE64" s="108"/>
      <c r="HF64" s="108"/>
      <c r="HG64" s="108"/>
      <c r="HH64" s="108"/>
      <c r="HI64" s="108"/>
      <c r="HJ64" s="108"/>
      <c r="HK64" s="108"/>
      <c r="HL64" s="108"/>
      <c r="HM64" s="108"/>
      <c r="HN64" s="108"/>
      <c r="HO64" s="108"/>
      <c r="HP64" s="108"/>
      <c r="HQ64" s="108"/>
      <c r="HR64" s="108"/>
      <c r="HS64" s="108"/>
      <c r="HT64" s="108"/>
      <c r="HU64" s="108"/>
      <c r="HV64" s="108"/>
      <c r="HW64" s="108"/>
      <c r="HX64" s="108"/>
      <c r="HY64" s="108"/>
      <c r="HZ64" s="108"/>
      <c r="IA64" s="108"/>
      <c r="IB64" s="108"/>
      <c r="IC64" s="108"/>
      <c r="ID64" s="108"/>
      <c r="IE64" s="108"/>
      <c r="IF64" s="108"/>
      <c r="IG64" s="108"/>
      <c r="IH64" s="108"/>
      <c r="II64" s="108"/>
      <c r="IJ64" s="108"/>
      <c r="IK64" s="108"/>
      <c r="IL64" s="108"/>
      <c r="IM64" s="108"/>
      <c r="IN64" s="108"/>
      <c r="IO64" s="108"/>
      <c r="IP64" s="108"/>
      <c r="IQ64" s="108"/>
      <c r="IR64" s="108"/>
      <c r="IS64" s="108"/>
      <c r="IT64" s="108"/>
      <c r="IU64" s="108"/>
      <c r="IV64" s="108"/>
      <c r="IW64" s="108"/>
    </row>
    <row r="65" spans="1:257" x14ac:dyDescent="0.3">
      <c r="A65" s="158"/>
      <c r="B65" s="158"/>
      <c r="C65" s="158"/>
      <c r="D65" s="158"/>
      <c r="E65" s="158"/>
      <c r="F65" s="158"/>
      <c r="G65" s="158"/>
      <c r="H65" s="158"/>
      <c r="I65" s="158"/>
      <c r="J65" s="158"/>
      <c r="K65" s="158"/>
      <c r="L65" s="158"/>
      <c r="M65" s="158"/>
      <c r="N65" s="158"/>
      <c r="O65" s="108"/>
      <c r="P65" s="108"/>
      <c r="Q65" s="108"/>
      <c r="R65" s="108"/>
      <c r="S65" s="108"/>
      <c r="T65" s="108"/>
      <c r="U65" s="108"/>
      <c r="V65" s="108"/>
      <c r="W65" s="108"/>
      <c r="X65" s="108"/>
      <c r="Y65" s="108"/>
      <c r="Z65" s="108"/>
      <c r="AA65" s="108"/>
      <c r="AB65" s="108"/>
      <c r="AC65" s="108"/>
      <c r="AD65" s="108"/>
      <c r="AE65" s="108"/>
      <c r="AF65" s="108"/>
      <c r="AG65" s="108"/>
      <c r="AH65" s="108"/>
      <c r="AI65" s="108"/>
      <c r="AJ65" s="108"/>
      <c r="AK65" s="108"/>
      <c r="AL65" s="108"/>
      <c r="AM65" s="108"/>
      <c r="AN65" s="108"/>
      <c r="AO65" s="108"/>
      <c r="AP65" s="108"/>
      <c r="AQ65" s="108"/>
      <c r="AR65" s="108"/>
      <c r="AS65" s="108"/>
      <c r="AT65" s="108"/>
      <c r="AU65" s="108"/>
      <c r="AV65" s="108"/>
      <c r="AW65" s="108"/>
      <c r="AX65" s="108"/>
      <c r="AY65" s="108"/>
      <c r="AZ65" s="108"/>
      <c r="BA65" s="108"/>
      <c r="BB65" s="108"/>
      <c r="BC65" s="108"/>
      <c r="BD65" s="108"/>
      <c r="BE65" s="108"/>
      <c r="BF65" s="108"/>
      <c r="BG65" s="108"/>
      <c r="BH65" s="108"/>
      <c r="BI65" s="108"/>
      <c r="BJ65" s="108"/>
      <c r="BK65" s="108"/>
      <c r="BL65" s="108"/>
      <c r="BM65" s="108"/>
      <c r="BN65" s="108"/>
      <c r="BO65" s="108"/>
      <c r="BP65" s="108"/>
      <c r="BQ65" s="108"/>
      <c r="BR65" s="108"/>
      <c r="BS65" s="108"/>
      <c r="BT65" s="108"/>
      <c r="BU65" s="108"/>
      <c r="BV65" s="108"/>
      <c r="BW65" s="108"/>
      <c r="BX65" s="108"/>
      <c r="BY65" s="108"/>
      <c r="BZ65" s="108"/>
      <c r="CA65" s="108"/>
      <c r="CB65" s="108"/>
      <c r="CC65" s="108"/>
      <c r="CD65" s="108"/>
      <c r="CE65" s="108"/>
      <c r="CF65" s="108"/>
      <c r="CG65" s="108"/>
      <c r="CH65" s="108"/>
      <c r="CI65" s="108"/>
      <c r="CJ65" s="108"/>
      <c r="CK65" s="108"/>
      <c r="CL65" s="108"/>
      <c r="CM65" s="108"/>
      <c r="CN65" s="108"/>
      <c r="CO65" s="108"/>
      <c r="CP65" s="108"/>
      <c r="CQ65" s="108"/>
      <c r="CR65" s="108"/>
      <c r="CS65" s="108"/>
      <c r="CT65" s="108"/>
      <c r="CU65" s="108"/>
      <c r="CV65" s="108"/>
      <c r="CW65" s="108"/>
      <c r="CX65" s="108"/>
      <c r="CY65" s="108"/>
      <c r="CZ65" s="108"/>
      <c r="DA65" s="108"/>
      <c r="DB65" s="108"/>
      <c r="DC65" s="108"/>
      <c r="DD65" s="108"/>
      <c r="DE65" s="108"/>
      <c r="DF65" s="108"/>
      <c r="DG65" s="108"/>
      <c r="DH65" s="108"/>
      <c r="DI65" s="108"/>
      <c r="DJ65" s="108"/>
      <c r="DK65" s="108"/>
      <c r="DL65" s="108"/>
      <c r="DM65" s="108"/>
      <c r="DN65" s="108"/>
      <c r="DO65" s="108"/>
      <c r="DP65" s="108"/>
      <c r="DQ65" s="108"/>
      <c r="DR65" s="108"/>
      <c r="DS65" s="108"/>
      <c r="DT65" s="108"/>
      <c r="DU65" s="108"/>
      <c r="DV65" s="108"/>
      <c r="DW65" s="108"/>
      <c r="DX65" s="108"/>
      <c r="DY65" s="108"/>
      <c r="DZ65" s="108"/>
      <c r="EA65" s="108"/>
      <c r="EB65" s="108"/>
      <c r="EC65" s="108"/>
      <c r="ED65" s="108"/>
      <c r="EE65" s="108"/>
      <c r="EF65" s="108"/>
      <c r="EG65" s="108"/>
      <c r="EH65" s="108"/>
      <c r="EI65" s="108"/>
      <c r="EJ65" s="108"/>
      <c r="EK65" s="108"/>
      <c r="EL65" s="108"/>
      <c r="EM65" s="108"/>
      <c r="EN65" s="108"/>
      <c r="EO65" s="108"/>
      <c r="EP65" s="108"/>
      <c r="EQ65" s="108"/>
      <c r="ER65" s="108"/>
      <c r="ES65" s="108"/>
      <c r="ET65" s="108"/>
      <c r="EU65" s="108"/>
      <c r="EV65" s="108"/>
      <c r="EW65" s="108"/>
      <c r="EX65" s="108"/>
      <c r="EY65" s="108"/>
      <c r="EZ65" s="108"/>
      <c r="FA65" s="108"/>
      <c r="FB65" s="108"/>
      <c r="FC65" s="108"/>
      <c r="FD65" s="108"/>
      <c r="FE65" s="108"/>
      <c r="FF65" s="108"/>
      <c r="FG65" s="108"/>
      <c r="FH65" s="108"/>
      <c r="FI65" s="108"/>
      <c r="FJ65" s="108"/>
      <c r="FK65" s="108"/>
      <c r="FL65" s="108"/>
      <c r="FM65" s="108"/>
      <c r="FN65" s="108"/>
      <c r="FO65" s="108"/>
      <c r="FP65" s="108"/>
      <c r="FQ65" s="108"/>
      <c r="FR65" s="108"/>
      <c r="FS65" s="108"/>
      <c r="FT65" s="108"/>
      <c r="FU65" s="108"/>
      <c r="FV65" s="108"/>
      <c r="FW65" s="108"/>
      <c r="FX65" s="108"/>
      <c r="FY65" s="108"/>
      <c r="FZ65" s="108"/>
      <c r="GA65" s="108"/>
      <c r="GB65" s="108"/>
      <c r="GC65" s="108"/>
      <c r="GD65" s="108"/>
      <c r="GE65" s="108"/>
      <c r="GF65" s="108"/>
      <c r="GG65" s="108"/>
      <c r="GH65" s="108"/>
      <c r="GI65" s="108"/>
      <c r="GJ65" s="108"/>
      <c r="GK65" s="108"/>
      <c r="GL65" s="108"/>
      <c r="GM65" s="108"/>
      <c r="GN65" s="108"/>
      <c r="GO65" s="108"/>
      <c r="GP65" s="108"/>
      <c r="GQ65" s="108"/>
      <c r="GR65" s="108"/>
      <c r="GS65" s="108"/>
      <c r="GT65" s="108"/>
      <c r="GU65" s="108"/>
      <c r="GV65" s="108"/>
      <c r="GW65" s="108"/>
      <c r="GX65" s="108"/>
      <c r="GY65" s="108"/>
      <c r="GZ65" s="108"/>
      <c r="HA65" s="108"/>
      <c r="HB65" s="108"/>
      <c r="HC65" s="108"/>
      <c r="HD65" s="108"/>
      <c r="HE65" s="108"/>
      <c r="HF65" s="108"/>
      <c r="HG65" s="108"/>
      <c r="HH65" s="108"/>
      <c r="HI65" s="108"/>
      <c r="HJ65" s="108"/>
      <c r="HK65" s="108"/>
      <c r="HL65" s="108"/>
      <c r="HM65" s="108"/>
      <c r="HN65" s="108"/>
      <c r="HO65" s="108"/>
      <c r="HP65" s="108"/>
      <c r="HQ65" s="108"/>
      <c r="HR65" s="108"/>
      <c r="HS65" s="108"/>
      <c r="HT65" s="108"/>
      <c r="HU65" s="108"/>
      <c r="HV65" s="108"/>
      <c r="HW65" s="108"/>
      <c r="HX65" s="108"/>
      <c r="HY65" s="108"/>
      <c r="HZ65" s="108"/>
      <c r="IA65" s="108"/>
      <c r="IB65" s="108"/>
      <c r="IC65" s="108"/>
      <c r="ID65" s="108"/>
      <c r="IE65" s="108"/>
      <c r="IF65" s="108"/>
      <c r="IG65" s="108"/>
      <c r="IH65" s="108"/>
      <c r="II65" s="108"/>
      <c r="IJ65" s="108"/>
      <c r="IK65" s="108"/>
      <c r="IL65" s="108"/>
      <c r="IM65" s="108"/>
      <c r="IN65" s="108"/>
      <c r="IO65" s="108"/>
      <c r="IP65" s="108"/>
      <c r="IQ65" s="108"/>
      <c r="IR65" s="108"/>
      <c r="IS65" s="108"/>
      <c r="IT65" s="108"/>
      <c r="IU65" s="108"/>
      <c r="IV65" s="108"/>
      <c r="IW65" s="108"/>
    </row>
    <row r="66" spans="1:257" x14ac:dyDescent="0.3">
      <c r="A66" s="158"/>
      <c r="B66" s="158"/>
      <c r="C66" s="158"/>
      <c r="D66" s="158"/>
      <c r="E66" s="158"/>
      <c r="F66" s="158"/>
      <c r="G66" s="158"/>
      <c r="H66" s="158"/>
      <c r="I66" s="158"/>
      <c r="J66" s="158"/>
      <c r="K66" s="158"/>
      <c r="L66" s="158"/>
      <c r="M66" s="158"/>
      <c r="N66" s="158"/>
      <c r="O66" s="108"/>
      <c r="P66" s="108"/>
      <c r="Q66" s="108"/>
      <c r="R66" s="108"/>
      <c r="S66" s="108"/>
      <c r="T66" s="108"/>
      <c r="U66" s="108"/>
      <c r="V66" s="108"/>
      <c r="W66" s="108"/>
      <c r="X66" s="108"/>
      <c r="Y66" s="108"/>
      <c r="Z66" s="108"/>
      <c r="AA66" s="108"/>
      <c r="AB66" s="108"/>
      <c r="AC66" s="108"/>
      <c r="AD66" s="108"/>
      <c r="AE66" s="108"/>
      <c r="AF66" s="108"/>
      <c r="AG66" s="108"/>
      <c r="AH66" s="108"/>
      <c r="AI66" s="108"/>
      <c r="AJ66" s="108"/>
      <c r="AK66" s="108"/>
      <c r="AL66" s="108"/>
      <c r="AM66" s="108"/>
      <c r="AN66" s="108"/>
      <c r="AO66" s="108"/>
      <c r="AP66" s="108"/>
      <c r="AQ66" s="108"/>
      <c r="AR66" s="108"/>
      <c r="AS66" s="108"/>
      <c r="AT66" s="108"/>
      <c r="AU66" s="108"/>
      <c r="AV66" s="108"/>
      <c r="AW66" s="108"/>
      <c r="AX66" s="108"/>
      <c r="AY66" s="108"/>
      <c r="AZ66" s="108"/>
      <c r="BA66" s="108"/>
      <c r="BB66" s="108"/>
      <c r="BC66" s="108"/>
      <c r="BD66" s="108"/>
      <c r="BE66" s="108"/>
      <c r="BF66" s="108"/>
      <c r="BG66" s="108"/>
      <c r="BH66" s="108"/>
      <c r="BI66" s="108"/>
      <c r="BJ66" s="108"/>
      <c r="BK66" s="108"/>
      <c r="BL66" s="108"/>
      <c r="BM66" s="108"/>
      <c r="BN66" s="108"/>
      <c r="BO66" s="108"/>
      <c r="BP66" s="108"/>
      <c r="BQ66" s="108"/>
      <c r="BR66" s="108"/>
      <c r="BS66" s="108"/>
      <c r="BT66" s="108"/>
      <c r="BU66" s="108"/>
      <c r="BV66" s="108"/>
      <c r="BW66" s="108"/>
      <c r="BX66" s="108"/>
      <c r="BY66" s="108"/>
      <c r="BZ66" s="108"/>
      <c r="CA66" s="108"/>
      <c r="CB66" s="108"/>
      <c r="CC66" s="108"/>
      <c r="CD66" s="108"/>
      <c r="CE66" s="108"/>
      <c r="CF66" s="108"/>
      <c r="CG66" s="108"/>
      <c r="CH66" s="108"/>
      <c r="CI66" s="108"/>
      <c r="CJ66" s="108"/>
      <c r="CK66" s="108"/>
      <c r="CL66" s="108"/>
      <c r="CM66" s="108"/>
      <c r="CN66" s="108"/>
      <c r="CO66" s="108"/>
      <c r="CP66" s="108"/>
      <c r="CQ66" s="108"/>
      <c r="CR66" s="108"/>
      <c r="CS66" s="108"/>
      <c r="CT66" s="108"/>
      <c r="CU66" s="108"/>
      <c r="CV66" s="108"/>
      <c r="CW66" s="108"/>
      <c r="CX66" s="108"/>
      <c r="CY66" s="108"/>
      <c r="CZ66" s="108"/>
      <c r="DA66" s="108"/>
      <c r="DB66" s="108"/>
      <c r="DC66" s="108"/>
      <c r="DD66" s="108"/>
      <c r="DE66" s="108"/>
      <c r="DF66" s="108"/>
      <c r="DG66" s="108"/>
      <c r="DH66" s="108"/>
      <c r="DI66" s="108"/>
      <c r="DJ66" s="108"/>
      <c r="DK66" s="108"/>
      <c r="DL66" s="108"/>
      <c r="DM66" s="108"/>
      <c r="DN66" s="108"/>
      <c r="DO66" s="108"/>
      <c r="DP66" s="108"/>
      <c r="DQ66" s="108"/>
      <c r="DR66" s="108"/>
      <c r="DS66" s="108"/>
      <c r="DT66" s="108"/>
      <c r="DU66" s="108"/>
      <c r="DV66" s="108"/>
      <c r="DW66" s="108"/>
      <c r="DX66" s="108"/>
      <c r="DY66" s="108"/>
      <c r="DZ66" s="108"/>
      <c r="EA66" s="108"/>
      <c r="EB66" s="108"/>
      <c r="EC66" s="108"/>
      <c r="ED66" s="108"/>
      <c r="EE66" s="108"/>
      <c r="EF66" s="108"/>
      <c r="EG66" s="108"/>
      <c r="EH66" s="108"/>
      <c r="EI66" s="108"/>
      <c r="EJ66" s="108"/>
      <c r="EK66" s="108"/>
      <c r="EL66" s="108"/>
      <c r="EM66" s="108"/>
      <c r="EN66" s="108"/>
      <c r="EO66" s="108"/>
      <c r="EP66" s="108"/>
      <c r="EQ66" s="108"/>
      <c r="ER66" s="108"/>
      <c r="ES66" s="108"/>
      <c r="ET66" s="108"/>
      <c r="EU66" s="108"/>
      <c r="EV66" s="108"/>
      <c r="EW66" s="108"/>
      <c r="EX66" s="108"/>
      <c r="EY66" s="108"/>
      <c r="EZ66" s="108"/>
      <c r="FA66" s="108"/>
      <c r="FB66" s="108"/>
      <c r="FC66" s="108"/>
      <c r="FD66" s="108"/>
      <c r="FE66" s="108"/>
      <c r="FF66" s="108"/>
      <c r="FG66" s="108"/>
      <c r="FH66" s="108"/>
      <c r="FI66" s="108"/>
      <c r="FJ66" s="108"/>
      <c r="FK66" s="108"/>
      <c r="FL66" s="108"/>
      <c r="FM66" s="108"/>
      <c r="FN66" s="108"/>
      <c r="FO66" s="108"/>
      <c r="FP66" s="108"/>
      <c r="FQ66" s="108"/>
      <c r="FR66" s="108"/>
      <c r="FS66" s="108"/>
      <c r="FT66" s="108"/>
      <c r="FU66" s="108"/>
      <c r="FV66" s="108"/>
      <c r="FW66" s="108"/>
      <c r="FX66" s="108"/>
      <c r="FY66" s="108"/>
      <c r="FZ66" s="108"/>
      <c r="GA66" s="108"/>
      <c r="GB66" s="108"/>
      <c r="GC66" s="108"/>
      <c r="GD66" s="108"/>
      <c r="GE66" s="108"/>
      <c r="GF66" s="108"/>
      <c r="GG66" s="108"/>
      <c r="GH66" s="108"/>
      <c r="GI66" s="108"/>
      <c r="GJ66" s="108"/>
      <c r="GK66" s="108"/>
      <c r="GL66" s="108"/>
      <c r="GM66" s="108"/>
      <c r="GN66" s="108"/>
      <c r="GO66" s="108"/>
      <c r="GP66" s="108"/>
      <c r="GQ66" s="108"/>
      <c r="GR66" s="108"/>
      <c r="GS66" s="108"/>
      <c r="GT66" s="108"/>
      <c r="GU66" s="108"/>
      <c r="GV66" s="108"/>
      <c r="GW66" s="108"/>
      <c r="GX66" s="108"/>
      <c r="GY66" s="108"/>
      <c r="GZ66" s="108"/>
      <c r="HA66" s="108"/>
      <c r="HB66" s="108"/>
      <c r="HC66" s="108"/>
      <c r="HD66" s="108"/>
      <c r="HE66" s="108"/>
      <c r="HF66" s="108"/>
      <c r="HG66" s="108"/>
      <c r="HH66" s="108"/>
      <c r="HI66" s="108"/>
      <c r="HJ66" s="108"/>
      <c r="HK66" s="108"/>
      <c r="HL66" s="108"/>
      <c r="HM66" s="108"/>
      <c r="HN66" s="108"/>
      <c r="HO66" s="108"/>
      <c r="HP66" s="108"/>
      <c r="HQ66" s="108"/>
      <c r="HR66" s="108"/>
      <c r="HS66" s="108"/>
      <c r="HT66" s="108"/>
      <c r="HU66" s="108"/>
      <c r="HV66" s="108"/>
      <c r="HW66" s="108"/>
      <c r="HX66" s="108"/>
      <c r="HY66" s="108"/>
      <c r="HZ66" s="108"/>
      <c r="IA66" s="108"/>
      <c r="IB66" s="108"/>
      <c r="IC66" s="108"/>
      <c r="ID66" s="108"/>
      <c r="IE66" s="108"/>
      <c r="IF66" s="108"/>
      <c r="IG66" s="108"/>
      <c r="IH66" s="108"/>
      <c r="II66" s="108"/>
      <c r="IJ66" s="108"/>
      <c r="IK66" s="108"/>
      <c r="IL66" s="108"/>
      <c r="IM66" s="108"/>
      <c r="IN66" s="108"/>
      <c r="IO66" s="108"/>
      <c r="IP66" s="108"/>
      <c r="IQ66" s="108"/>
      <c r="IR66" s="108"/>
      <c r="IS66" s="108"/>
      <c r="IT66" s="108"/>
      <c r="IU66" s="108"/>
      <c r="IV66" s="108"/>
      <c r="IW66" s="108"/>
    </row>
    <row r="67" spans="1:257" x14ac:dyDescent="0.3">
      <c r="A67" s="158"/>
      <c r="B67" s="158"/>
      <c r="C67" s="158"/>
      <c r="D67" s="158"/>
      <c r="E67" s="158"/>
      <c r="F67" s="158"/>
      <c r="G67" s="158"/>
      <c r="H67" s="158"/>
      <c r="I67" s="158"/>
      <c r="J67" s="158"/>
      <c r="K67" s="158"/>
      <c r="L67" s="158"/>
      <c r="M67" s="158"/>
      <c r="N67" s="158"/>
      <c r="O67" s="108"/>
      <c r="P67" s="108"/>
      <c r="Q67" s="108"/>
      <c r="R67" s="108"/>
      <c r="S67" s="108"/>
      <c r="T67" s="108"/>
      <c r="U67" s="108"/>
      <c r="V67" s="108"/>
      <c r="W67" s="108"/>
      <c r="X67" s="108"/>
      <c r="Y67" s="108"/>
      <c r="Z67" s="108"/>
      <c r="AA67" s="108"/>
      <c r="AB67" s="108"/>
      <c r="AC67" s="108"/>
      <c r="AD67" s="108"/>
      <c r="AE67" s="108"/>
      <c r="AF67" s="108"/>
      <c r="AG67" s="108"/>
      <c r="AH67" s="108"/>
      <c r="AI67" s="108"/>
      <c r="AJ67" s="108"/>
      <c r="AK67" s="108"/>
      <c r="AL67" s="108"/>
      <c r="AM67" s="108"/>
      <c r="AN67" s="108"/>
      <c r="AO67" s="108"/>
      <c r="AP67" s="108"/>
      <c r="AQ67" s="108"/>
      <c r="AR67" s="108"/>
      <c r="AS67" s="108"/>
      <c r="AT67" s="108"/>
      <c r="AU67" s="108"/>
      <c r="AV67" s="108"/>
      <c r="AW67" s="108"/>
      <c r="AX67" s="108"/>
      <c r="AY67" s="108"/>
      <c r="AZ67" s="108"/>
      <c r="BA67" s="108"/>
      <c r="BB67" s="108"/>
      <c r="BC67" s="108"/>
      <c r="BD67" s="108"/>
      <c r="BE67" s="108"/>
      <c r="BF67" s="108"/>
      <c r="BG67" s="108"/>
      <c r="BH67" s="108"/>
      <c r="BI67" s="108"/>
      <c r="BJ67" s="108"/>
      <c r="BK67" s="108"/>
      <c r="BL67" s="108"/>
      <c r="BM67" s="108"/>
      <c r="BN67" s="108"/>
      <c r="BO67" s="108"/>
      <c r="BP67" s="108"/>
      <c r="BQ67" s="108"/>
      <c r="BR67" s="108"/>
      <c r="BS67" s="108"/>
      <c r="BT67" s="108"/>
      <c r="BU67" s="108"/>
      <c r="BV67" s="108"/>
      <c r="BW67" s="108"/>
      <c r="BX67" s="108"/>
      <c r="BY67" s="108"/>
      <c r="BZ67" s="108"/>
      <c r="CA67" s="108"/>
      <c r="CB67" s="108"/>
      <c r="CC67" s="108"/>
      <c r="CD67" s="108"/>
      <c r="CE67" s="108"/>
      <c r="CF67" s="108"/>
      <c r="CG67" s="108"/>
      <c r="CH67" s="108"/>
      <c r="CI67" s="108"/>
      <c r="CJ67" s="108"/>
      <c r="CK67" s="108"/>
      <c r="CL67" s="108"/>
      <c r="CM67" s="108"/>
      <c r="CN67" s="108"/>
      <c r="CO67" s="108"/>
      <c r="CP67" s="108"/>
      <c r="CQ67" s="108"/>
      <c r="CR67" s="108"/>
      <c r="CS67" s="108"/>
      <c r="CT67" s="108"/>
      <c r="CU67" s="108"/>
      <c r="CV67" s="108"/>
      <c r="CW67" s="108"/>
      <c r="CX67" s="108"/>
      <c r="CY67" s="108"/>
      <c r="CZ67" s="108"/>
      <c r="DA67" s="108"/>
      <c r="DB67" s="108"/>
      <c r="DC67" s="108"/>
      <c r="DD67" s="108"/>
      <c r="DE67" s="108"/>
      <c r="DF67" s="108"/>
      <c r="DG67" s="108"/>
      <c r="DH67" s="108"/>
      <c r="DI67" s="108"/>
      <c r="DJ67" s="108"/>
      <c r="DK67" s="108"/>
      <c r="DL67" s="108"/>
      <c r="DM67" s="108"/>
      <c r="DN67" s="108"/>
      <c r="DO67" s="108"/>
      <c r="DP67" s="108"/>
      <c r="DQ67" s="108"/>
      <c r="DR67" s="108"/>
      <c r="DS67" s="108"/>
      <c r="DT67" s="108"/>
      <c r="DU67" s="108"/>
      <c r="DV67" s="108"/>
      <c r="DW67" s="108"/>
      <c r="DX67" s="108"/>
      <c r="DY67" s="108"/>
      <c r="DZ67" s="108"/>
      <c r="EA67" s="108"/>
      <c r="EB67" s="108"/>
      <c r="EC67" s="108"/>
      <c r="ED67" s="108"/>
      <c r="EE67" s="108"/>
      <c r="EF67" s="108"/>
      <c r="EG67" s="108"/>
      <c r="EH67" s="108"/>
      <c r="EI67" s="108"/>
      <c r="EJ67" s="108"/>
      <c r="EK67" s="108"/>
      <c r="EL67" s="108"/>
      <c r="EM67" s="108"/>
      <c r="EN67" s="108"/>
      <c r="EO67" s="108"/>
      <c r="EP67" s="108"/>
      <c r="EQ67" s="108"/>
      <c r="ER67" s="108"/>
      <c r="ES67" s="108"/>
      <c r="ET67" s="108"/>
      <c r="EU67" s="108"/>
      <c r="EV67" s="108"/>
      <c r="EW67" s="108"/>
      <c r="EX67" s="108"/>
      <c r="EY67" s="108"/>
      <c r="EZ67" s="108"/>
      <c r="FA67" s="108"/>
      <c r="FB67" s="108"/>
      <c r="FC67" s="108"/>
      <c r="FD67" s="108"/>
      <c r="FE67" s="108"/>
      <c r="FF67" s="108"/>
      <c r="FG67" s="108"/>
      <c r="FH67" s="108"/>
      <c r="FI67" s="108"/>
      <c r="FJ67" s="108"/>
      <c r="FK67" s="108"/>
      <c r="FL67" s="108"/>
      <c r="FM67" s="108"/>
      <c r="FN67" s="108"/>
      <c r="FO67" s="108"/>
      <c r="FP67" s="108"/>
      <c r="FQ67" s="108"/>
      <c r="FR67" s="108"/>
      <c r="FS67" s="108"/>
      <c r="FT67" s="108"/>
      <c r="FU67" s="108"/>
      <c r="FV67" s="108"/>
      <c r="FW67" s="108"/>
      <c r="FX67" s="108"/>
      <c r="FY67" s="108"/>
      <c r="FZ67" s="108"/>
      <c r="GA67" s="108"/>
      <c r="GB67" s="108"/>
      <c r="GC67" s="108"/>
      <c r="GD67" s="108"/>
      <c r="GE67" s="108"/>
      <c r="GF67" s="108"/>
      <c r="GG67" s="108"/>
      <c r="GH67" s="108"/>
      <c r="GI67" s="108"/>
      <c r="GJ67" s="108"/>
      <c r="GK67" s="108"/>
      <c r="GL67" s="108"/>
      <c r="GM67" s="108"/>
      <c r="GN67" s="108"/>
      <c r="GO67" s="108"/>
      <c r="GP67" s="108"/>
      <c r="GQ67" s="108"/>
      <c r="GR67" s="108"/>
      <c r="GS67" s="108"/>
      <c r="GT67" s="108"/>
      <c r="GU67" s="108"/>
      <c r="GV67" s="108"/>
      <c r="GW67" s="108"/>
      <c r="GX67" s="108"/>
      <c r="GY67" s="108"/>
      <c r="GZ67" s="108"/>
      <c r="HA67" s="108"/>
      <c r="HB67" s="108"/>
      <c r="HC67" s="108"/>
      <c r="HD67" s="108"/>
      <c r="HE67" s="108"/>
      <c r="HF67" s="108"/>
      <c r="HG67" s="108"/>
      <c r="HH67" s="108"/>
      <c r="HI67" s="108"/>
      <c r="HJ67" s="108"/>
      <c r="HK67" s="108"/>
      <c r="HL67" s="108"/>
      <c r="HM67" s="108"/>
      <c r="HN67" s="108"/>
      <c r="HO67" s="108"/>
      <c r="HP67" s="108"/>
      <c r="HQ67" s="108"/>
      <c r="HR67" s="108"/>
      <c r="HS67" s="108"/>
      <c r="HT67" s="108"/>
      <c r="HU67" s="108"/>
      <c r="HV67" s="108"/>
      <c r="HW67" s="108"/>
      <c r="HX67" s="108"/>
      <c r="HY67" s="108"/>
      <c r="HZ67" s="108"/>
      <c r="IA67" s="108"/>
      <c r="IB67" s="108"/>
      <c r="IC67" s="108"/>
      <c r="ID67" s="108"/>
      <c r="IE67" s="108"/>
      <c r="IF67" s="108"/>
      <c r="IG67" s="108"/>
      <c r="IH67" s="108"/>
      <c r="II67" s="108"/>
      <c r="IJ67" s="108"/>
      <c r="IK67" s="108"/>
      <c r="IL67" s="108"/>
      <c r="IM67" s="108"/>
      <c r="IN67" s="108"/>
      <c r="IO67" s="108"/>
      <c r="IP67" s="108"/>
      <c r="IQ67" s="108"/>
      <c r="IR67" s="108"/>
      <c r="IS67" s="108"/>
      <c r="IT67" s="108"/>
      <c r="IU67" s="108"/>
      <c r="IV67" s="108"/>
      <c r="IW67" s="108"/>
    </row>
    <row r="68" spans="1:257" x14ac:dyDescent="0.3">
      <c r="A68" s="158"/>
      <c r="B68" s="158"/>
      <c r="C68" s="158"/>
      <c r="D68" s="158"/>
      <c r="E68" s="158"/>
      <c r="F68" s="158"/>
      <c r="G68" s="158"/>
      <c r="H68" s="158"/>
      <c r="I68" s="158"/>
      <c r="J68" s="158"/>
      <c r="K68" s="158"/>
      <c r="L68" s="158"/>
      <c r="M68" s="158"/>
      <c r="N68" s="158"/>
      <c r="O68" s="108"/>
      <c r="P68" s="108"/>
      <c r="Q68" s="108"/>
      <c r="R68" s="108"/>
      <c r="S68" s="108"/>
      <c r="T68" s="108"/>
      <c r="U68" s="108"/>
      <c r="V68" s="108"/>
      <c r="W68" s="108"/>
      <c r="X68" s="108"/>
      <c r="Y68" s="108"/>
      <c r="Z68" s="108"/>
      <c r="AA68" s="108"/>
      <c r="AB68" s="108"/>
      <c r="AC68" s="108"/>
      <c r="AD68" s="108"/>
      <c r="AE68" s="108"/>
      <c r="AF68" s="108"/>
      <c r="AG68" s="108"/>
      <c r="AH68" s="108"/>
      <c r="AI68" s="108"/>
      <c r="AJ68" s="108"/>
      <c r="AK68" s="108"/>
      <c r="AL68" s="108"/>
      <c r="AM68" s="108"/>
      <c r="AN68" s="108"/>
      <c r="AO68" s="108"/>
      <c r="AP68" s="108"/>
      <c r="AQ68" s="108"/>
      <c r="AR68" s="108"/>
      <c r="AS68" s="108"/>
      <c r="AT68" s="108"/>
      <c r="AU68" s="108"/>
      <c r="AV68" s="108"/>
      <c r="AW68" s="108"/>
      <c r="AX68" s="108"/>
      <c r="AY68" s="108"/>
      <c r="AZ68" s="108"/>
      <c r="BA68" s="108"/>
      <c r="BB68" s="108"/>
      <c r="BC68" s="108"/>
      <c r="BD68" s="108"/>
      <c r="BE68" s="108"/>
      <c r="BF68" s="108"/>
      <c r="BG68" s="108"/>
      <c r="BH68" s="108"/>
      <c r="BI68" s="108"/>
      <c r="BJ68" s="108"/>
      <c r="BK68" s="108"/>
      <c r="BL68" s="108"/>
      <c r="BM68" s="108"/>
      <c r="BN68" s="108"/>
      <c r="BO68" s="108"/>
      <c r="BP68" s="108"/>
      <c r="BQ68" s="108"/>
      <c r="BR68" s="108"/>
      <c r="BS68" s="108"/>
      <c r="BT68" s="108"/>
      <c r="BU68" s="108"/>
      <c r="BV68" s="108"/>
      <c r="BW68" s="108"/>
      <c r="BX68" s="108"/>
      <c r="BY68" s="108"/>
      <c r="BZ68" s="108"/>
      <c r="CA68" s="108"/>
      <c r="CB68" s="108"/>
      <c r="CC68" s="108"/>
      <c r="CD68" s="108"/>
      <c r="CE68" s="108"/>
      <c r="CF68" s="108"/>
      <c r="CG68" s="108"/>
      <c r="CH68" s="108"/>
      <c r="CI68" s="108"/>
      <c r="CJ68" s="108"/>
      <c r="CK68" s="108"/>
      <c r="CL68" s="108"/>
      <c r="CM68" s="108"/>
      <c r="CN68" s="108"/>
      <c r="CO68" s="108"/>
      <c r="CP68" s="108"/>
      <c r="CQ68" s="108"/>
      <c r="CR68" s="108"/>
      <c r="CS68" s="108"/>
      <c r="CT68" s="108"/>
      <c r="CU68" s="108"/>
      <c r="CV68" s="108"/>
      <c r="CW68" s="108"/>
      <c r="CX68" s="108"/>
      <c r="CY68" s="108"/>
      <c r="CZ68" s="108"/>
      <c r="DA68" s="108"/>
      <c r="DB68" s="108"/>
      <c r="DC68" s="108"/>
      <c r="DD68" s="108"/>
      <c r="DE68" s="108"/>
      <c r="DF68" s="108"/>
      <c r="DG68" s="108"/>
      <c r="DH68" s="108"/>
      <c r="DI68" s="108"/>
      <c r="DJ68" s="108"/>
      <c r="DK68" s="108"/>
      <c r="DL68" s="108"/>
      <c r="DM68" s="108"/>
      <c r="DN68" s="108"/>
      <c r="DO68" s="108"/>
      <c r="DP68" s="108"/>
      <c r="DQ68" s="108"/>
      <c r="DR68" s="108"/>
      <c r="DS68" s="108"/>
      <c r="DT68" s="108"/>
      <c r="DU68" s="108"/>
      <c r="DV68" s="108"/>
      <c r="DW68" s="108"/>
      <c r="DX68" s="108"/>
      <c r="DY68" s="108"/>
      <c r="DZ68" s="108"/>
      <c r="EA68" s="108"/>
      <c r="EB68" s="108"/>
      <c r="EC68" s="108"/>
      <c r="ED68" s="108"/>
      <c r="EE68" s="108"/>
      <c r="EF68" s="108"/>
      <c r="EG68" s="108"/>
      <c r="EH68" s="108"/>
      <c r="EI68" s="108"/>
      <c r="EJ68" s="108"/>
      <c r="EK68" s="108"/>
      <c r="EL68" s="108"/>
      <c r="EM68" s="108"/>
      <c r="EN68" s="108"/>
      <c r="EO68" s="108"/>
      <c r="EP68" s="108"/>
      <c r="EQ68" s="108"/>
      <c r="ER68" s="108"/>
      <c r="ES68" s="108"/>
      <c r="ET68" s="108"/>
      <c r="EU68" s="108"/>
      <c r="EV68" s="108"/>
      <c r="EW68" s="108"/>
      <c r="EX68" s="108"/>
      <c r="EY68" s="108"/>
      <c r="EZ68" s="108"/>
      <c r="FA68" s="108"/>
      <c r="FB68" s="108"/>
      <c r="FC68" s="108"/>
      <c r="FD68" s="108"/>
      <c r="FE68" s="108"/>
      <c r="FF68" s="108"/>
      <c r="FG68" s="108"/>
      <c r="FH68" s="108"/>
      <c r="FI68" s="108"/>
      <c r="FJ68" s="108"/>
      <c r="FK68" s="108"/>
      <c r="FL68" s="108"/>
      <c r="FM68" s="108"/>
      <c r="FN68" s="108"/>
      <c r="FO68" s="108"/>
      <c r="FP68" s="108"/>
      <c r="FQ68" s="108"/>
      <c r="FR68" s="108"/>
      <c r="FS68" s="108"/>
      <c r="FT68" s="108"/>
      <c r="FU68" s="108"/>
      <c r="FV68" s="108"/>
      <c r="FW68" s="108"/>
      <c r="FX68" s="108"/>
      <c r="FY68" s="108"/>
      <c r="FZ68" s="108"/>
      <c r="GA68" s="108"/>
      <c r="GB68" s="108"/>
      <c r="GC68" s="108"/>
      <c r="GD68" s="108"/>
      <c r="GE68" s="108"/>
      <c r="GF68" s="108"/>
      <c r="GG68" s="108"/>
      <c r="GH68" s="108"/>
      <c r="GI68" s="108"/>
      <c r="GJ68" s="108"/>
      <c r="GK68" s="108"/>
      <c r="GL68" s="108"/>
      <c r="GM68" s="108"/>
      <c r="GN68" s="108"/>
      <c r="GO68" s="108"/>
      <c r="GP68" s="108"/>
      <c r="GQ68" s="108"/>
      <c r="GR68" s="108"/>
      <c r="GS68" s="108"/>
      <c r="GT68" s="108"/>
      <c r="GU68" s="108"/>
      <c r="GV68" s="108"/>
      <c r="GW68" s="108"/>
      <c r="GX68" s="108"/>
      <c r="GY68" s="108"/>
      <c r="GZ68" s="108"/>
      <c r="HA68" s="108"/>
      <c r="HB68" s="108"/>
      <c r="HC68" s="108"/>
      <c r="HD68" s="108"/>
      <c r="HE68" s="108"/>
      <c r="HF68" s="108"/>
      <c r="HG68" s="108"/>
      <c r="HH68" s="108"/>
      <c r="HI68" s="108"/>
      <c r="HJ68" s="108"/>
      <c r="HK68" s="108"/>
      <c r="HL68" s="108"/>
      <c r="HM68" s="108"/>
      <c r="HN68" s="108"/>
      <c r="HO68" s="108"/>
      <c r="HP68" s="108"/>
      <c r="HQ68" s="108"/>
      <c r="HR68" s="108"/>
      <c r="HS68" s="108"/>
      <c r="HT68" s="108"/>
      <c r="HU68" s="108"/>
      <c r="HV68" s="108"/>
      <c r="HW68" s="108"/>
      <c r="HX68" s="108"/>
      <c r="HY68" s="108"/>
      <c r="HZ68" s="108"/>
      <c r="IA68" s="108"/>
      <c r="IB68" s="108"/>
      <c r="IC68" s="108"/>
      <c r="ID68" s="108"/>
      <c r="IE68" s="108"/>
      <c r="IF68" s="108"/>
      <c r="IG68" s="108"/>
      <c r="IH68" s="108"/>
      <c r="II68" s="108"/>
      <c r="IJ68" s="108"/>
      <c r="IK68" s="108"/>
      <c r="IL68" s="108"/>
      <c r="IM68" s="108"/>
      <c r="IN68" s="108"/>
      <c r="IO68" s="108"/>
      <c r="IP68" s="108"/>
      <c r="IQ68" s="108"/>
      <c r="IR68" s="108"/>
      <c r="IS68" s="108"/>
      <c r="IT68" s="108"/>
      <c r="IU68" s="108"/>
      <c r="IV68" s="108"/>
      <c r="IW68" s="108"/>
    </row>
    <row r="69" spans="1:257" x14ac:dyDescent="0.3">
      <c r="A69" s="158"/>
      <c r="B69" s="158"/>
      <c r="C69" s="158"/>
      <c r="D69" s="158"/>
      <c r="E69" s="158"/>
      <c r="F69" s="158"/>
      <c r="G69" s="158"/>
      <c r="H69" s="158"/>
      <c r="I69" s="158"/>
      <c r="J69" s="158"/>
      <c r="K69" s="158"/>
      <c r="L69" s="158"/>
      <c r="M69" s="158"/>
      <c r="N69" s="158"/>
      <c r="O69" s="108"/>
      <c r="P69" s="108"/>
      <c r="Q69" s="108"/>
      <c r="R69" s="108"/>
      <c r="S69" s="108"/>
      <c r="T69" s="108"/>
      <c r="U69" s="108"/>
      <c r="V69" s="108"/>
      <c r="W69" s="108"/>
      <c r="X69" s="108"/>
      <c r="Y69" s="108"/>
      <c r="Z69" s="108"/>
      <c r="AA69" s="108"/>
      <c r="AB69" s="108"/>
      <c r="AC69" s="108"/>
      <c r="AD69" s="108"/>
      <c r="AE69" s="108"/>
      <c r="AF69" s="108"/>
      <c r="AG69" s="108"/>
      <c r="AH69" s="108"/>
      <c r="AI69" s="108"/>
      <c r="AJ69" s="108"/>
      <c r="AK69" s="108"/>
      <c r="AL69" s="108"/>
      <c r="AM69" s="108"/>
      <c r="AN69" s="108"/>
      <c r="AO69" s="108"/>
      <c r="AP69" s="108"/>
      <c r="AQ69" s="108"/>
      <c r="AR69" s="108"/>
      <c r="AS69" s="108"/>
      <c r="AT69" s="108"/>
      <c r="AU69" s="108"/>
      <c r="AV69" s="108"/>
      <c r="AW69" s="108"/>
      <c r="AX69" s="108"/>
      <c r="AY69" s="108"/>
      <c r="AZ69" s="108"/>
      <c r="BA69" s="108"/>
      <c r="BB69" s="108"/>
      <c r="BC69" s="108"/>
      <c r="BD69" s="108"/>
      <c r="BE69" s="108"/>
      <c r="BF69" s="108"/>
      <c r="BG69" s="108"/>
      <c r="BH69" s="108"/>
      <c r="BI69" s="108"/>
      <c r="BJ69" s="108"/>
      <c r="BK69" s="108"/>
      <c r="BL69" s="108"/>
      <c r="BM69" s="108"/>
      <c r="BN69" s="108"/>
      <c r="BO69" s="108"/>
      <c r="BP69" s="108"/>
      <c r="BQ69" s="108"/>
      <c r="BR69" s="108"/>
      <c r="BS69" s="108"/>
      <c r="BT69" s="108"/>
      <c r="BU69" s="108"/>
      <c r="BV69" s="108"/>
      <c r="BW69" s="108"/>
      <c r="BX69" s="108"/>
      <c r="BY69" s="108"/>
      <c r="BZ69" s="108"/>
      <c r="CA69" s="108"/>
      <c r="CB69" s="108"/>
      <c r="CC69" s="108"/>
      <c r="CD69" s="108"/>
      <c r="CE69" s="108"/>
      <c r="CF69" s="108"/>
      <c r="CG69" s="108"/>
      <c r="CH69" s="108"/>
      <c r="CI69" s="108"/>
      <c r="CJ69" s="108"/>
      <c r="CK69" s="108"/>
      <c r="CL69" s="108"/>
      <c r="CM69" s="108"/>
      <c r="CN69" s="108"/>
      <c r="CO69" s="108"/>
      <c r="CP69" s="108"/>
      <c r="CQ69" s="108"/>
      <c r="CR69" s="108"/>
      <c r="CS69" s="108"/>
      <c r="CT69" s="108"/>
      <c r="CU69" s="108"/>
      <c r="CV69" s="108"/>
      <c r="CW69" s="108"/>
      <c r="CX69" s="108"/>
      <c r="CY69" s="108"/>
      <c r="CZ69" s="108"/>
      <c r="DA69" s="108"/>
      <c r="DB69" s="108"/>
      <c r="DC69" s="108"/>
      <c r="DD69" s="108"/>
      <c r="DE69" s="108"/>
      <c r="DF69" s="108"/>
      <c r="DG69" s="108"/>
      <c r="DH69" s="108"/>
      <c r="DI69" s="108"/>
      <c r="DJ69" s="108"/>
      <c r="DK69" s="108"/>
      <c r="DL69" s="108"/>
      <c r="DM69" s="108"/>
      <c r="DN69" s="108"/>
      <c r="DO69" s="108"/>
      <c r="DP69" s="108"/>
      <c r="DQ69" s="108"/>
      <c r="DR69" s="108"/>
      <c r="DS69" s="108"/>
      <c r="DT69" s="108"/>
      <c r="DU69" s="108"/>
      <c r="DV69" s="108"/>
      <c r="DW69" s="108"/>
      <c r="DX69" s="108"/>
      <c r="DY69" s="108"/>
      <c r="DZ69" s="108"/>
      <c r="EA69" s="108"/>
      <c r="EB69" s="108"/>
      <c r="EC69" s="108"/>
      <c r="ED69" s="108"/>
      <c r="EE69" s="108"/>
      <c r="EF69" s="108"/>
      <c r="EG69" s="108"/>
      <c r="EH69" s="108"/>
      <c r="EI69" s="108"/>
      <c r="EJ69" s="108"/>
      <c r="EK69" s="108"/>
      <c r="EL69" s="108"/>
      <c r="EM69" s="108"/>
      <c r="EN69" s="108"/>
      <c r="EO69" s="108"/>
      <c r="EP69" s="108"/>
      <c r="EQ69" s="108"/>
      <c r="ER69" s="108"/>
      <c r="ES69" s="108"/>
      <c r="ET69" s="108"/>
      <c r="EU69" s="108"/>
      <c r="EV69" s="108"/>
      <c r="EW69" s="108"/>
      <c r="EX69" s="108"/>
      <c r="EY69" s="108"/>
      <c r="EZ69" s="108"/>
      <c r="FA69" s="108"/>
      <c r="FB69" s="108"/>
      <c r="FC69" s="108"/>
      <c r="FD69" s="108"/>
      <c r="FE69" s="108"/>
      <c r="FF69" s="108"/>
      <c r="FG69" s="108"/>
      <c r="FH69" s="108"/>
      <c r="FI69" s="108"/>
      <c r="FJ69" s="108"/>
      <c r="FK69" s="108"/>
      <c r="FL69" s="108"/>
      <c r="FM69" s="108"/>
      <c r="FN69" s="108"/>
      <c r="FO69" s="108"/>
      <c r="FP69" s="108"/>
      <c r="FQ69" s="108"/>
      <c r="FR69" s="108"/>
      <c r="FS69" s="108"/>
      <c r="FT69" s="108"/>
      <c r="FU69" s="108"/>
      <c r="FV69" s="108"/>
      <c r="FW69" s="108"/>
      <c r="FX69" s="108"/>
      <c r="FY69" s="108"/>
      <c r="FZ69" s="108"/>
      <c r="GA69" s="108"/>
      <c r="GB69" s="108"/>
      <c r="GC69" s="108"/>
      <c r="GD69" s="108"/>
      <c r="GE69" s="108"/>
      <c r="GF69" s="108"/>
      <c r="GG69" s="108"/>
      <c r="GH69" s="108"/>
      <c r="GI69" s="108"/>
      <c r="GJ69" s="108"/>
      <c r="GK69" s="108"/>
      <c r="GL69" s="108"/>
      <c r="GM69" s="108"/>
      <c r="GN69" s="108"/>
      <c r="GO69" s="108"/>
      <c r="GP69" s="108"/>
      <c r="GQ69" s="108"/>
      <c r="GR69" s="108"/>
      <c r="GS69" s="108"/>
      <c r="GT69" s="108"/>
      <c r="GU69" s="108"/>
      <c r="GV69" s="108"/>
      <c r="GW69" s="108"/>
      <c r="GX69" s="108"/>
      <c r="GY69" s="108"/>
      <c r="GZ69" s="108"/>
      <c r="HA69" s="108"/>
      <c r="HB69" s="108"/>
      <c r="HC69" s="108"/>
      <c r="HD69" s="108"/>
      <c r="HE69" s="108"/>
      <c r="HF69" s="108"/>
      <c r="HG69" s="108"/>
      <c r="HH69" s="108"/>
      <c r="HI69" s="108"/>
      <c r="HJ69" s="108"/>
      <c r="HK69" s="108"/>
      <c r="HL69" s="108"/>
      <c r="HM69" s="108"/>
      <c r="HN69" s="108"/>
      <c r="HO69" s="108"/>
      <c r="HP69" s="108"/>
      <c r="HQ69" s="108"/>
      <c r="HR69" s="108"/>
      <c r="HS69" s="108"/>
      <c r="HT69" s="108"/>
      <c r="HU69" s="108"/>
      <c r="HV69" s="108"/>
      <c r="HW69" s="108"/>
      <c r="HX69" s="108"/>
      <c r="HY69" s="108"/>
      <c r="HZ69" s="108"/>
      <c r="IA69" s="108"/>
      <c r="IB69" s="108"/>
      <c r="IC69" s="108"/>
      <c r="ID69" s="108"/>
      <c r="IE69" s="108"/>
      <c r="IF69" s="108"/>
      <c r="IG69" s="108"/>
      <c r="IH69" s="108"/>
      <c r="II69" s="108"/>
      <c r="IJ69" s="108"/>
      <c r="IK69" s="108"/>
      <c r="IL69" s="108"/>
      <c r="IM69" s="108"/>
      <c r="IN69" s="108"/>
      <c r="IO69" s="108"/>
      <c r="IP69" s="108"/>
      <c r="IQ69" s="108"/>
      <c r="IR69" s="108"/>
      <c r="IS69" s="108"/>
      <c r="IT69" s="108"/>
      <c r="IU69" s="108"/>
      <c r="IV69" s="108"/>
      <c r="IW69" s="108"/>
    </row>
    <row r="70" spans="1:257" x14ac:dyDescent="0.3">
      <c r="A70" s="158"/>
      <c r="B70" s="158"/>
      <c r="C70" s="158"/>
      <c r="D70" s="158"/>
      <c r="E70" s="158"/>
      <c r="F70" s="158"/>
      <c r="G70" s="158"/>
      <c r="H70" s="158"/>
      <c r="I70" s="158"/>
      <c r="J70" s="158"/>
      <c r="K70" s="158"/>
      <c r="L70" s="158"/>
      <c r="M70" s="158"/>
      <c r="N70" s="158"/>
      <c r="O70" s="108"/>
      <c r="P70" s="108"/>
      <c r="Q70" s="108"/>
      <c r="R70" s="108"/>
      <c r="S70" s="108"/>
      <c r="T70" s="108"/>
      <c r="U70" s="108"/>
      <c r="V70" s="108"/>
      <c r="W70" s="108"/>
      <c r="X70" s="108"/>
      <c r="Y70" s="108"/>
      <c r="Z70" s="108"/>
      <c r="AA70" s="108"/>
      <c r="AB70" s="108"/>
      <c r="AC70" s="108"/>
      <c r="AD70" s="108"/>
      <c r="AE70" s="108"/>
      <c r="AF70" s="108"/>
      <c r="AG70" s="108"/>
      <c r="AH70" s="108"/>
      <c r="AI70" s="108"/>
      <c r="AJ70" s="108"/>
      <c r="AK70" s="108"/>
      <c r="AL70" s="108"/>
      <c r="AM70" s="108"/>
      <c r="AN70" s="108"/>
      <c r="AO70" s="108"/>
      <c r="AP70" s="108"/>
      <c r="AQ70" s="108"/>
      <c r="AR70" s="108"/>
      <c r="AS70" s="108"/>
      <c r="AT70" s="108"/>
      <c r="AU70" s="108"/>
      <c r="AV70" s="108"/>
      <c r="AW70" s="108"/>
      <c r="AX70" s="108"/>
      <c r="AY70" s="108"/>
      <c r="AZ70" s="108"/>
      <c r="BA70" s="108"/>
      <c r="BB70" s="108"/>
      <c r="BC70" s="108"/>
      <c r="BD70" s="108"/>
      <c r="BE70" s="108"/>
      <c r="BF70" s="108"/>
      <c r="BG70" s="108"/>
      <c r="BH70" s="108"/>
      <c r="BI70" s="108"/>
      <c r="BJ70" s="108"/>
      <c r="BK70" s="108"/>
      <c r="BL70" s="108"/>
      <c r="BM70" s="108"/>
      <c r="BN70" s="108"/>
      <c r="BO70" s="108"/>
      <c r="BP70" s="108"/>
      <c r="BQ70" s="108"/>
      <c r="BR70" s="108"/>
      <c r="BS70" s="108"/>
      <c r="BT70" s="108"/>
      <c r="BU70" s="108"/>
      <c r="BV70" s="108"/>
      <c r="BW70" s="108"/>
      <c r="BX70" s="108"/>
      <c r="BY70" s="108"/>
      <c r="BZ70" s="108"/>
      <c r="CA70" s="108"/>
      <c r="CB70" s="108"/>
      <c r="CC70" s="108"/>
      <c r="CD70" s="108"/>
      <c r="CE70" s="108"/>
      <c r="CF70" s="108"/>
      <c r="CG70" s="108"/>
      <c r="CH70" s="108"/>
      <c r="CI70" s="108"/>
      <c r="CJ70" s="108"/>
      <c r="CK70" s="108"/>
      <c r="CL70" s="108"/>
      <c r="CM70" s="108"/>
      <c r="CN70" s="108"/>
      <c r="CO70" s="108"/>
      <c r="CP70" s="108"/>
      <c r="CQ70" s="108"/>
      <c r="CR70" s="108"/>
      <c r="CS70" s="108"/>
      <c r="CT70" s="108"/>
      <c r="CU70" s="108"/>
      <c r="CV70" s="108"/>
      <c r="CW70" s="108"/>
      <c r="CX70" s="108"/>
      <c r="CY70" s="108"/>
      <c r="CZ70" s="108"/>
      <c r="DA70" s="108"/>
      <c r="DB70" s="108"/>
      <c r="DC70" s="108"/>
      <c r="DD70" s="108"/>
      <c r="DE70" s="108"/>
      <c r="DF70" s="108"/>
      <c r="DG70" s="108"/>
      <c r="DH70" s="108"/>
      <c r="DI70" s="108"/>
      <c r="DJ70" s="108"/>
      <c r="DK70" s="108"/>
      <c r="DL70" s="108"/>
      <c r="DM70" s="108"/>
      <c r="DN70" s="108"/>
      <c r="DO70" s="108"/>
      <c r="DP70" s="108"/>
      <c r="DQ70" s="108"/>
      <c r="DR70" s="108"/>
      <c r="DS70" s="108"/>
      <c r="DT70" s="108"/>
      <c r="DU70" s="108"/>
      <c r="DV70" s="108"/>
      <c r="DW70" s="108"/>
      <c r="DX70" s="108"/>
      <c r="DY70" s="108"/>
      <c r="DZ70" s="108"/>
      <c r="EA70" s="108"/>
      <c r="EB70" s="108"/>
      <c r="EC70" s="108"/>
      <c r="ED70" s="108"/>
      <c r="EE70" s="108"/>
      <c r="EF70" s="108"/>
      <c r="EG70" s="108"/>
      <c r="EH70" s="108"/>
      <c r="EI70" s="108"/>
      <c r="EJ70" s="108"/>
      <c r="EK70" s="108"/>
      <c r="EL70" s="108"/>
      <c r="EM70" s="108"/>
      <c r="EN70" s="108"/>
      <c r="EO70" s="108"/>
      <c r="EP70" s="108"/>
      <c r="EQ70" s="108"/>
      <c r="ER70" s="108"/>
      <c r="ES70" s="108"/>
      <c r="ET70" s="108"/>
      <c r="EU70" s="108"/>
      <c r="EV70" s="108"/>
      <c r="EW70" s="108"/>
      <c r="EX70" s="108"/>
      <c r="EY70" s="108"/>
      <c r="EZ70" s="108"/>
      <c r="FA70" s="108"/>
      <c r="FB70" s="108"/>
      <c r="FC70" s="108"/>
      <c r="FD70" s="108"/>
      <c r="FE70" s="108"/>
      <c r="FF70" s="108"/>
      <c r="FG70" s="108"/>
      <c r="FH70" s="108"/>
      <c r="FI70" s="108"/>
      <c r="FJ70" s="108"/>
      <c r="FK70" s="108"/>
      <c r="FL70" s="108"/>
      <c r="FM70" s="108"/>
      <c r="FN70" s="108"/>
      <c r="FO70" s="108"/>
      <c r="FP70" s="108"/>
      <c r="FQ70" s="108"/>
      <c r="FR70" s="108"/>
      <c r="FS70" s="108"/>
      <c r="FT70" s="108"/>
      <c r="FU70" s="108"/>
      <c r="FV70" s="108"/>
      <c r="FW70" s="108"/>
      <c r="FX70" s="108"/>
      <c r="FY70" s="108"/>
      <c r="FZ70" s="108"/>
      <c r="GA70" s="108"/>
      <c r="GB70" s="108"/>
      <c r="GC70" s="108"/>
      <c r="GD70" s="108"/>
      <c r="GE70" s="108"/>
      <c r="GF70" s="108"/>
      <c r="GG70" s="108"/>
      <c r="GH70" s="108"/>
      <c r="GI70" s="108"/>
      <c r="GJ70" s="108"/>
      <c r="GK70" s="108"/>
      <c r="GL70" s="108"/>
      <c r="GM70" s="108"/>
      <c r="GN70" s="108"/>
      <c r="GO70" s="108"/>
      <c r="GP70" s="108"/>
      <c r="GQ70" s="108"/>
      <c r="GR70" s="108"/>
      <c r="GS70" s="108"/>
      <c r="GT70" s="108"/>
      <c r="GU70" s="108"/>
      <c r="GV70" s="108"/>
      <c r="GW70" s="108"/>
      <c r="GX70" s="108"/>
      <c r="GY70" s="108"/>
      <c r="GZ70" s="108"/>
      <c r="HA70" s="108"/>
      <c r="HB70" s="108"/>
      <c r="HC70" s="108"/>
      <c r="HD70" s="108"/>
      <c r="HE70" s="108"/>
      <c r="HF70" s="108"/>
      <c r="HG70" s="108"/>
      <c r="HH70" s="108"/>
      <c r="HI70" s="108"/>
      <c r="HJ70" s="108"/>
      <c r="HK70" s="108"/>
      <c r="HL70" s="108"/>
      <c r="HM70" s="108"/>
      <c r="HN70" s="108"/>
      <c r="HO70" s="108"/>
      <c r="HP70" s="108"/>
      <c r="HQ70" s="108"/>
      <c r="HR70" s="108"/>
      <c r="HS70" s="108"/>
      <c r="HT70" s="108"/>
      <c r="HU70" s="108"/>
      <c r="HV70" s="108"/>
      <c r="HW70" s="108"/>
      <c r="HX70" s="108"/>
      <c r="HY70" s="108"/>
      <c r="HZ70" s="108"/>
      <c r="IA70" s="108"/>
      <c r="IB70" s="108"/>
      <c r="IC70" s="108"/>
      <c r="ID70" s="108"/>
      <c r="IE70" s="108"/>
      <c r="IF70" s="108"/>
      <c r="IG70" s="108"/>
      <c r="IH70" s="108"/>
      <c r="II70" s="108"/>
      <c r="IJ70" s="108"/>
      <c r="IK70" s="108"/>
      <c r="IL70" s="108"/>
      <c r="IM70" s="108"/>
      <c r="IN70" s="108"/>
      <c r="IO70" s="108"/>
      <c r="IP70" s="108"/>
      <c r="IQ70" s="108"/>
      <c r="IR70" s="108"/>
      <c r="IS70" s="108"/>
      <c r="IT70" s="108"/>
      <c r="IU70" s="108"/>
      <c r="IV70" s="108"/>
      <c r="IW70" s="108"/>
    </row>
    <row r="71" spans="1:257" x14ac:dyDescent="0.3">
      <c r="A71" s="158"/>
      <c r="B71" s="158"/>
      <c r="C71" s="158"/>
      <c r="D71" s="158"/>
      <c r="E71" s="158"/>
      <c r="F71" s="158"/>
      <c r="G71" s="158"/>
      <c r="H71" s="158"/>
      <c r="I71" s="158"/>
      <c r="J71" s="158"/>
      <c r="K71" s="158"/>
      <c r="L71" s="158"/>
      <c r="M71" s="158"/>
      <c r="N71" s="158"/>
      <c r="O71" s="108"/>
      <c r="P71" s="108"/>
      <c r="Q71" s="108"/>
      <c r="R71" s="108"/>
      <c r="S71" s="108"/>
      <c r="T71" s="108"/>
      <c r="U71" s="108"/>
      <c r="V71" s="108"/>
      <c r="W71" s="108"/>
      <c r="X71" s="108"/>
      <c r="Y71" s="108"/>
      <c r="Z71" s="108"/>
      <c r="AA71" s="108"/>
      <c r="AB71" s="108"/>
      <c r="AC71" s="108"/>
      <c r="AD71" s="108"/>
      <c r="AE71" s="108"/>
      <c r="AF71" s="108"/>
      <c r="AG71" s="108"/>
      <c r="AH71" s="108"/>
      <c r="AI71" s="108"/>
      <c r="AJ71" s="108"/>
      <c r="AK71" s="108"/>
      <c r="AL71" s="108"/>
      <c r="AM71" s="108"/>
      <c r="AN71" s="108"/>
      <c r="AO71" s="108"/>
      <c r="AP71" s="108"/>
      <c r="AQ71" s="108"/>
      <c r="AR71" s="108"/>
      <c r="AS71" s="108"/>
      <c r="AT71" s="108"/>
      <c r="AU71" s="108"/>
      <c r="AV71" s="108"/>
      <c r="AW71" s="108"/>
      <c r="AX71" s="108"/>
      <c r="AY71" s="108"/>
      <c r="AZ71" s="108"/>
      <c r="BA71" s="108"/>
      <c r="BB71" s="108"/>
      <c r="BC71" s="108"/>
      <c r="BD71" s="108"/>
      <c r="BE71" s="108"/>
      <c r="BF71" s="108"/>
      <c r="BG71" s="108"/>
      <c r="BH71" s="108"/>
      <c r="BI71" s="108"/>
      <c r="BJ71" s="108"/>
      <c r="BK71" s="108"/>
      <c r="BL71" s="108"/>
      <c r="BM71" s="108"/>
      <c r="BN71" s="108"/>
      <c r="BO71" s="108"/>
      <c r="BP71" s="108"/>
      <c r="BQ71" s="108"/>
      <c r="BR71" s="108"/>
      <c r="BS71" s="108"/>
      <c r="BT71" s="108"/>
      <c r="BU71" s="108"/>
      <c r="BV71" s="108"/>
      <c r="BW71" s="108"/>
      <c r="BX71" s="108"/>
      <c r="BY71" s="108"/>
      <c r="BZ71" s="108"/>
      <c r="CA71" s="108"/>
      <c r="CB71" s="108"/>
      <c r="CC71" s="108"/>
      <c r="CD71" s="108"/>
      <c r="CE71" s="108"/>
      <c r="CF71" s="108"/>
      <c r="CG71" s="108"/>
      <c r="CH71" s="108"/>
      <c r="CI71" s="108"/>
      <c r="CJ71" s="108"/>
      <c r="CK71" s="108"/>
      <c r="CL71" s="108"/>
      <c r="CM71" s="108"/>
      <c r="CN71" s="108"/>
      <c r="CO71" s="108"/>
      <c r="CP71" s="108"/>
      <c r="CQ71" s="108"/>
      <c r="CR71" s="108"/>
      <c r="CS71" s="108"/>
      <c r="CT71" s="108"/>
      <c r="CU71" s="108"/>
      <c r="CV71" s="108"/>
      <c r="CW71" s="108"/>
      <c r="CX71" s="108"/>
      <c r="CY71" s="108"/>
      <c r="CZ71" s="108"/>
      <c r="DA71" s="108"/>
      <c r="DB71" s="108"/>
      <c r="DC71" s="108"/>
      <c r="DD71" s="108"/>
      <c r="DE71" s="108"/>
      <c r="DF71" s="108"/>
      <c r="DG71" s="108"/>
      <c r="DH71" s="108"/>
      <c r="DI71" s="108"/>
      <c r="DJ71" s="108"/>
      <c r="DK71" s="108"/>
      <c r="DL71" s="108"/>
      <c r="DM71" s="108"/>
      <c r="DN71" s="108"/>
      <c r="DO71" s="108"/>
      <c r="DP71" s="108"/>
      <c r="DQ71" s="108"/>
      <c r="DR71" s="108"/>
      <c r="DS71" s="108"/>
      <c r="DT71" s="108"/>
      <c r="DU71" s="108"/>
      <c r="DV71" s="108"/>
      <c r="DW71" s="108"/>
      <c r="DX71" s="108"/>
      <c r="DY71" s="108"/>
      <c r="DZ71" s="108"/>
      <c r="EA71" s="108"/>
      <c r="EB71" s="108"/>
      <c r="EC71" s="108"/>
      <c r="ED71" s="108"/>
      <c r="EE71" s="108"/>
      <c r="EF71" s="108"/>
      <c r="EG71" s="108"/>
      <c r="EH71" s="108"/>
      <c r="EI71" s="108"/>
      <c r="EJ71" s="108"/>
      <c r="EK71" s="108"/>
      <c r="EL71" s="108"/>
      <c r="EM71" s="108"/>
      <c r="EN71" s="108"/>
      <c r="EO71" s="108"/>
      <c r="EP71" s="108"/>
      <c r="EQ71" s="108"/>
      <c r="ER71" s="108"/>
      <c r="ES71" s="108"/>
      <c r="ET71" s="108"/>
      <c r="EU71" s="108"/>
      <c r="EV71" s="108"/>
      <c r="EW71" s="108"/>
      <c r="EX71" s="108"/>
      <c r="EY71" s="108"/>
      <c r="EZ71" s="108"/>
      <c r="FA71" s="108"/>
      <c r="FB71" s="108"/>
      <c r="FC71" s="108"/>
      <c r="FD71" s="108"/>
      <c r="FE71" s="108"/>
      <c r="FF71" s="108"/>
      <c r="FG71" s="108"/>
      <c r="FH71" s="108"/>
      <c r="FI71" s="108"/>
      <c r="FJ71" s="108"/>
      <c r="FK71" s="108"/>
      <c r="FL71" s="108"/>
      <c r="FM71" s="108"/>
      <c r="FN71" s="108"/>
      <c r="FO71" s="108"/>
      <c r="FP71" s="108"/>
      <c r="FQ71" s="108"/>
      <c r="FR71" s="108"/>
      <c r="FS71" s="108"/>
      <c r="FT71" s="108"/>
      <c r="FU71" s="108"/>
      <c r="FV71" s="108"/>
      <c r="FW71" s="108"/>
      <c r="FX71" s="108"/>
      <c r="FY71" s="108"/>
      <c r="FZ71" s="108"/>
      <c r="GA71" s="108"/>
      <c r="GB71" s="108"/>
      <c r="GC71" s="108"/>
      <c r="GD71" s="108"/>
      <c r="GE71" s="108"/>
      <c r="GF71" s="108"/>
      <c r="GG71" s="108"/>
      <c r="GH71" s="108"/>
      <c r="GI71" s="108"/>
      <c r="GJ71" s="108"/>
      <c r="GK71" s="108"/>
      <c r="GL71" s="108"/>
      <c r="GM71" s="108"/>
      <c r="GN71" s="108"/>
      <c r="GO71" s="108"/>
      <c r="GP71" s="108"/>
      <c r="GQ71" s="108"/>
      <c r="GR71" s="108"/>
      <c r="GS71" s="108"/>
      <c r="GT71" s="108"/>
      <c r="GU71" s="108"/>
      <c r="GV71" s="108"/>
      <c r="GW71" s="108"/>
      <c r="GX71" s="108"/>
      <c r="GY71" s="108"/>
      <c r="GZ71" s="108"/>
      <c r="HA71" s="108"/>
      <c r="HB71" s="108"/>
      <c r="HC71" s="108"/>
      <c r="HD71" s="108"/>
      <c r="HE71" s="108"/>
      <c r="HF71" s="108"/>
      <c r="HG71" s="108"/>
      <c r="HH71" s="108"/>
      <c r="HI71" s="108"/>
      <c r="HJ71" s="108"/>
      <c r="HK71" s="108"/>
      <c r="HL71" s="108"/>
      <c r="HM71" s="108"/>
      <c r="HN71" s="108"/>
      <c r="HO71" s="108"/>
      <c r="HP71" s="108"/>
      <c r="HQ71" s="108"/>
      <c r="HR71" s="108"/>
      <c r="HS71" s="108"/>
      <c r="HT71" s="108"/>
      <c r="HU71" s="108"/>
      <c r="HV71" s="108"/>
      <c r="HW71" s="108"/>
      <c r="HX71" s="108"/>
      <c r="HY71" s="108"/>
      <c r="HZ71" s="108"/>
      <c r="IA71" s="108"/>
      <c r="IB71" s="108"/>
      <c r="IC71" s="108"/>
      <c r="ID71" s="108"/>
      <c r="IE71" s="108"/>
      <c r="IF71" s="108"/>
      <c r="IG71" s="108"/>
      <c r="IH71" s="108"/>
      <c r="II71" s="108"/>
      <c r="IJ71" s="108"/>
      <c r="IK71" s="108"/>
      <c r="IL71" s="108"/>
      <c r="IM71" s="108"/>
      <c r="IN71" s="108"/>
      <c r="IO71" s="108"/>
      <c r="IP71" s="108"/>
      <c r="IQ71" s="108"/>
      <c r="IR71" s="108"/>
      <c r="IS71" s="108"/>
      <c r="IT71" s="108"/>
      <c r="IU71" s="108"/>
      <c r="IV71" s="108"/>
      <c r="IW71" s="108"/>
    </row>
    <row r="72" spans="1:257" x14ac:dyDescent="0.3">
      <c r="A72" s="158"/>
      <c r="B72" s="158"/>
      <c r="C72" s="158"/>
      <c r="D72" s="158"/>
      <c r="E72" s="158"/>
      <c r="F72" s="158"/>
      <c r="G72" s="158"/>
      <c r="H72" s="158"/>
      <c r="I72" s="158"/>
      <c r="J72" s="158"/>
      <c r="K72" s="158"/>
      <c r="L72" s="158"/>
      <c r="M72" s="158"/>
      <c r="N72" s="158"/>
      <c r="O72" s="108"/>
      <c r="P72" s="108"/>
      <c r="Q72" s="108"/>
      <c r="R72" s="108"/>
      <c r="S72" s="108"/>
      <c r="T72" s="108"/>
      <c r="U72" s="108"/>
      <c r="V72" s="108"/>
      <c r="W72" s="108"/>
      <c r="X72" s="108"/>
      <c r="Y72" s="108"/>
      <c r="Z72" s="108"/>
      <c r="AA72" s="108"/>
      <c r="AB72" s="108"/>
      <c r="AC72" s="108"/>
      <c r="AD72" s="108"/>
      <c r="AE72" s="108"/>
      <c r="AF72" s="108"/>
      <c r="AG72" s="108"/>
      <c r="AH72" s="108"/>
      <c r="AI72" s="108"/>
      <c r="AJ72" s="108"/>
      <c r="AK72" s="108"/>
      <c r="AL72" s="108"/>
      <c r="AM72" s="108"/>
      <c r="AN72" s="108"/>
      <c r="AO72" s="108"/>
      <c r="AP72" s="108"/>
      <c r="AQ72" s="108"/>
      <c r="AR72" s="108"/>
      <c r="AS72" s="108"/>
      <c r="AT72" s="108"/>
      <c r="AU72" s="108"/>
      <c r="AV72" s="108"/>
      <c r="AW72" s="108"/>
      <c r="AX72" s="108"/>
      <c r="AY72" s="108"/>
      <c r="AZ72" s="108"/>
      <c r="BA72" s="108"/>
      <c r="BB72" s="108"/>
      <c r="BC72" s="108"/>
      <c r="BD72" s="108"/>
      <c r="BE72" s="108"/>
      <c r="BF72" s="108"/>
      <c r="BG72" s="108"/>
      <c r="BH72" s="108"/>
      <c r="BI72" s="108"/>
      <c r="BJ72" s="108"/>
      <c r="BK72" s="108"/>
      <c r="BL72" s="108"/>
      <c r="BM72" s="108"/>
      <c r="BN72" s="108"/>
      <c r="BO72" s="108"/>
      <c r="BP72" s="108"/>
      <c r="BQ72" s="108"/>
      <c r="BR72" s="108"/>
      <c r="BS72" s="108"/>
      <c r="BT72" s="108"/>
      <c r="BU72" s="108"/>
      <c r="BV72" s="108"/>
      <c r="BW72" s="108"/>
      <c r="BX72" s="108"/>
      <c r="BY72" s="108"/>
      <c r="BZ72" s="108"/>
      <c r="CA72" s="108"/>
      <c r="CB72" s="108"/>
      <c r="CC72" s="108"/>
      <c r="CD72" s="108"/>
      <c r="CE72" s="108"/>
      <c r="CF72" s="108"/>
      <c r="CG72" s="108"/>
      <c r="CH72" s="108"/>
      <c r="CI72" s="108"/>
      <c r="CJ72" s="108"/>
      <c r="CK72" s="108"/>
      <c r="CL72" s="108"/>
      <c r="CM72" s="108"/>
      <c r="CN72" s="108"/>
      <c r="CO72" s="108"/>
      <c r="CP72" s="108"/>
      <c r="CQ72" s="108"/>
      <c r="CR72" s="108"/>
      <c r="CS72" s="108"/>
      <c r="CT72" s="108"/>
      <c r="CU72" s="108"/>
      <c r="CV72" s="108"/>
      <c r="CW72" s="108"/>
      <c r="CX72" s="108"/>
      <c r="CY72" s="108"/>
      <c r="CZ72" s="108"/>
      <c r="DA72" s="108"/>
      <c r="DB72" s="108"/>
      <c r="DC72" s="108"/>
      <c r="DD72" s="108"/>
      <c r="DE72" s="108"/>
      <c r="DF72" s="108"/>
      <c r="DG72" s="108"/>
      <c r="DH72" s="108"/>
      <c r="DI72" s="108"/>
      <c r="DJ72" s="108"/>
      <c r="DK72" s="108"/>
      <c r="DL72" s="108"/>
      <c r="DM72" s="108"/>
      <c r="DN72" s="108"/>
      <c r="DO72" s="108"/>
      <c r="DP72" s="108"/>
      <c r="DQ72" s="108"/>
      <c r="DR72" s="108"/>
      <c r="DS72" s="108"/>
      <c r="DT72" s="108"/>
      <c r="DU72" s="108"/>
      <c r="DV72" s="108"/>
      <c r="DW72" s="108"/>
      <c r="DX72" s="108"/>
      <c r="DY72" s="108"/>
      <c r="DZ72" s="108"/>
      <c r="EA72" s="108"/>
      <c r="EB72" s="108"/>
      <c r="EC72" s="108"/>
      <c r="ED72" s="108"/>
      <c r="EE72" s="108"/>
      <c r="EF72" s="108"/>
      <c r="EG72" s="108"/>
      <c r="EH72" s="108"/>
      <c r="EI72" s="108"/>
      <c r="EJ72" s="108"/>
      <c r="EK72" s="108"/>
      <c r="EL72" s="108"/>
      <c r="EM72" s="108"/>
      <c r="EN72" s="108"/>
      <c r="EO72" s="108"/>
      <c r="EP72" s="108"/>
      <c r="EQ72" s="108"/>
      <c r="ER72" s="108"/>
      <c r="ES72" s="108"/>
      <c r="ET72" s="108"/>
      <c r="EU72" s="108"/>
      <c r="EV72" s="108"/>
      <c r="EW72" s="108"/>
      <c r="EX72" s="108"/>
      <c r="EY72" s="108"/>
      <c r="EZ72" s="108"/>
      <c r="FA72" s="108"/>
      <c r="FB72" s="108"/>
      <c r="FC72" s="108"/>
      <c r="FD72" s="108"/>
      <c r="FE72" s="108"/>
      <c r="FF72" s="108"/>
      <c r="FG72" s="108"/>
      <c r="FH72" s="108"/>
      <c r="FI72" s="108"/>
      <c r="FJ72" s="108"/>
      <c r="FK72" s="108"/>
      <c r="FL72" s="108"/>
      <c r="FM72" s="108"/>
      <c r="FN72" s="108"/>
      <c r="FO72" s="108"/>
      <c r="FP72" s="108"/>
      <c r="FQ72" s="108"/>
      <c r="FR72" s="108"/>
      <c r="FS72" s="108"/>
      <c r="FT72" s="108"/>
      <c r="FU72" s="108"/>
      <c r="FV72" s="108"/>
      <c r="FW72" s="108"/>
      <c r="FX72" s="108"/>
      <c r="FY72" s="108"/>
      <c r="FZ72" s="108"/>
      <c r="GA72" s="108"/>
      <c r="GB72" s="108"/>
      <c r="GC72" s="108"/>
      <c r="GD72" s="108"/>
      <c r="GE72" s="108"/>
      <c r="GF72" s="108"/>
      <c r="GG72" s="108"/>
      <c r="GH72" s="108"/>
      <c r="GI72" s="108"/>
      <c r="GJ72" s="108"/>
      <c r="GK72" s="108"/>
      <c r="GL72" s="108"/>
      <c r="GM72" s="108"/>
      <c r="GN72" s="108"/>
      <c r="GO72" s="108"/>
      <c r="GP72" s="108"/>
      <c r="GQ72" s="108"/>
      <c r="GR72" s="108"/>
      <c r="GS72" s="108"/>
      <c r="GT72" s="108"/>
      <c r="GU72" s="108"/>
      <c r="GV72" s="108"/>
      <c r="GW72" s="108"/>
      <c r="GX72" s="108"/>
      <c r="GY72" s="108"/>
      <c r="GZ72" s="108"/>
      <c r="HA72" s="108"/>
      <c r="HB72" s="108"/>
      <c r="HC72" s="108"/>
      <c r="HD72" s="108"/>
      <c r="HE72" s="108"/>
      <c r="HF72" s="108"/>
      <c r="HG72" s="108"/>
      <c r="HH72" s="108"/>
      <c r="HI72" s="108"/>
      <c r="HJ72" s="108"/>
      <c r="HK72" s="108"/>
      <c r="HL72" s="108"/>
      <c r="HM72" s="108"/>
      <c r="HN72" s="108"/>
      <c r="HO72" s="108"/>
      <c r="HP72" s="108"/>
      <c r="HQ72" s="108"/>
      <c r="HR72" s="108"/>
      <c r="HS72" s="108"/>
      <c r="HT72" s="108"/>
      <c r="HU72" s="108"/>
      <c r="HV72" s="108"/>
      <c r="HW72" s="108"/>
      <c r="HX72" s="108"/>
      <c r="HY72" s="108"/>
      <c r="HZ72" s="108"/>
      <c r="IA72" s="108"/>
      <c r="IB72" s="108"/>
      <c r="IC72" s="108"/>
      <c r="ID72" s="108"/>
      <c r="IE72" s="108"/>
      <c r="IF72" s="108"/>
      <c r="IG72" s="108"/>
      <c r="IH72" s="108"/>
      <c r="II72" s="108"/>
      <c r="IJ72" s="108"/>
      <c r="IK72" s="108"/>
      <c r="IL72" s="108"/>
      <c r="IM72" s="108"/>
      <c r="IN72" s="108"/>
      <c r="IO72" s="108"/>
      <c r="IP72" s="108"/>
      <c r="IQ72" s="108"/>
      <c r="IR72" s="108"/>
      <c r="IS72" s="108"/>
      <c r="IT72" s="108"/>
      <c r="IU72" s="108"/>
      <c r="IV72" s="108"/>
      <c r="IW72" s="108"/>
    </row>
    <row r="73" spans="1:257" x14ac:dyDescent="0.3">
      <c r="A73" s="158"/>
      <c r="B73" s="158"/>
      <c r="C73" s="158"/>
      <c r="D73" s="158"/>
      <c r="E73" s="158"/>
      <c r="F73" s="158"/>
      <c r="G73" s="158"/>
      <c r="H73" s="158"/>
      <c r="I73" s="158"/>
      <c r="J73" s="158"/>
      <c r="K73" s="158"/>
      <c r="L73" s="158"/>
      <c r="M73" s="158"/>
      <c r="N73" s="158"/>
      <c r="O73" s="108"/>
      <c r="P73" s="108"/>
      <c r="Q73" s="108"/>
      <c r="R73" s="108"/>
      <c r="S73" s="108"/>
      <c r="T73" s="108"/>
      <c r="U73" s="108"/>
      <c r="V73" s="108"/>
      <c r="W73" s="108"/>
      <c r="X73" s="108"/>
      <c r="Y73" s="108"/>
      <c r="Z73" s="108"/>
      <c r="AA73" s="108"/>
      <c r="AB73" s="108"/>
      <c r="AC73" s="108"/>
      <c r="AD73" s="108"/>
      <c r="AE73" s="108"/>
      <c r="AF73" s="108"/>
      <c r="AG73" s="108"/>
      <c r="AH73" s="108"/>
      <c r="AI73" s="108"/>
      <c r="AJ73" s="108"/>
      <c r="AK73" s="108"/>
      <c r="AL73" s="108"/>
      <c r="AM73" s="108"/>
      <c r="AN73" s="108"/>
      <c r="AO73" s="108"/>
      <c r="AP73" s="108"/>
      <c r="AQ73" s="108"/>
      <c r="AR73" s="108"/>
      <c r="AS73" s="108"/>
      <c r="AT73" s="108"/>
      <c r="AU73" s="108"/>
      <c r="AV73" s="108"/>
      <c r="AW73" s="108"/>
      <c r="AX73" s="108"/>
      <c r="AY73" s="108"/>
      <c r="AZ73" s="108"/>
      <c r="BA73" s="108"/>
      <c r="BB73" s="108"/>
      <c r="BC73" s="108"/>
      <c r="BD73" s="108"/>
      <c r="BE73" s="108"/>
      <c r="BF73" s="108"/>
      <c r="BG73" s="108"/>
      <c r="BH73" s="108"/>
      <c r="BI73" s="108"/>
      <c r="BJ73" s="108"/>
      <c r="BK73" s="108"/>
      <c r="BL73" s="108"/>
      <c r="BM73" s="108"/>
      <c r="BN73" s="108"/>
      <c r="BO73" s="108"/>
      <c r="BP73" s="108"/>
      <c r="BQ73" s="108"/>
      <c r="BR73" s="108"/>
      <c r="BS73" s="108"/>
      <c r="BT73" s="108"/>
      <c r="BU73" s="108"/>
      <c r="BV73" s="108"/>
      <c r="BW73" s="108"/>
      <c r="BX73" s="108"/>
      <c r="BY73" s="108"/>
      <c r="BZ73" s="108"/>
      <c r="CA73" s="108"/>
      <c r="CB73" s="108"/>
      <c r="CC73" s="108"/>
      <c r="CD73" s="108"/>
      <c r="CE73" s="108"/>
      <c r="CF73" s="108"/>
      <c r="CG73" s="108"/>
      <c r="CH73" s="108"/>
      <c r="CI73" s="108"/>
      <c r="CJ73" s="108"/>
      <c r="CK73" s="108"/>
      <c r="CL73" s="108"/>
      <c r="CM73" s="108"/>
      <c r="CN73" s="108"/>
      <c r="CO73" s="108"/>
      <c r="CP73" s="108"/>
      <c r="CQ73" s="108"/>
      <c r="CR73" s="108"/>
      <c r="CS73" s="108"/>
      <c r="CT73" s="108"/>
      <c r="CU73" s="108"/>
      <c r="CV73" s="108"/>
      <c r="CW73" s="108"/>
      <c r="CX73" s="108"/>
      <c r="CY73" s="108"/>
      <c r="CZ73" s="108"/>
      <c r="DA73" s="108"/>
      <c r="DB73" s="108"/>
      <c r="DC73" s="108"/>
      <c r="DD73" s="108"/>
      <c r="DE73" s="108"/>
      <c r="DF73" s="108"/>
      <c r="DG73" s="108"/>
      <c r="DH73" s="108"/>
      <c r="DI73" s="108"/>
      <c r="DJ73" s="108"/>
      <c r="DK73" s="108"/>
      <c r="DL73" s="108"/>
      <c r="DM73" s="108"/>
      <c r="DN73" s="108"/>
      <c r="DO73" s="108"/>
      <c r="DP73" s="108"/>
      <c r="DQ73" s="108"/>
      <c r="DR73" s="108"/>
      <c r="DS73" s="108"/>
      <c r="DT73" s="108"/>
      <c r="DU73" s="108"/>
      <c r="DV73" s="108"/>
      <c r="DW73" s="108"/>
      <c r="DX73" s="108"/>
      <c r="DY73" s="108"/>
      <c r="DZ73" s="108"/>
      <c r="EA73" s="108"/>
      <c r="EB73" s="108"/>
      <c r="EC73" s="108"/>
      <c r="ED73" s="108"/>
      <c r="EE73" s="108"/>
      <c r="EF73" s="108"/>
      <c r="EG73" s="108"/>
      <c r="EH73" s="108"/>
      <c r="EI73" s="108"/>
      <c r="EJ73" s="108"/>
      <c r="EK73" s="108"/>
      <c r="EL73" s="108"/>
      <c r="EM73" s="108"/>
      <c r="EN73" s="108"/>
      <c r="EO73" s="108"/>
      <c r="EP73" s="108"/>
      <c r="EQ73" s="108"/>
      <c r="ER73" s="108"/>
      <c r="ES73" s="108"/>
      <c r="ET73" s="108"/>
      <c r="EU73" s="108"/>
      <c r="EV73" s="108"/>
      <c r="EW73" s="108"/>
      <c r="EX73" s="108"/>
      <c r="EY73" s="108"/>
      <c r="EZ73" s="108"/>
      <c r="FA73" s="108"/>
      <c r="FB73" s="108"/>
      <c r="FC73" s="108"/>
      <c r="FD73" s="108"/>
      <c r="FE73" s="108"/>
      <c r="FF73" s="108"/>
      <c r="FG73" s="108"/>
      <c r="FH73" s="108"/>
      <c r="FI73" s="108"/>
      <c r="FJ73" s="108"/>
      <c r="FK73" s="108"/>
      <c r="FL73" s="108"/>
      <c r="FM73" s="108"/>
      <c r="FN73" s="108"/>
      <c r="FO73" s="108"/>
      <c r="FP73" s="108"/>
      <c r="FQ73" s="108"/>
      <c r="FR73" s="108"/>
      <c r="FS73" s="108"/>
      <c r="FT73" s="108"/>
      <c r="FU73" s="108"/>
      <c r="FV73" s="108"/>
      <c r="FW73" s="108"/>
      <c r="FX73" s="108"/>
      <c r="FY73" s="108"/>
      <c r="FZ73" s="108"/>
      <c r="GA73" s="108"/>
      <c r="GB73" s="108"/>
      <c r="GC73" s="108"/>
      <c r="GD73" s="108"/>
      <c r="GE73" s="108"/>
      <c r="GF73" s="108"/>
      <c r="GG73" s="108"/>
      <c r="GH73" s="108"/>
      <c r="GI73" s="108"/>
      <c r="GJ73" s="108"/>
      <c r="GK73" s="108"/>
      <c r="GL73" s="108"/>
      <c r="GM73" s="108"/>
      <c r="GN73" s="108"/>
      <c r="GO73" s="108"/>
      <c r="GP73" s="108"/>
      <c r="GQ73" s="108"/>
      <c r="GR73" s="108"/>
      <c r="GS73" s="108"/>
      <c r="GT73" s="108"/>
      <c r="GU73" s="108"/>
      <c r="GV73" s="108"/>
      <c r="GW73" s="108"/>
      <c r="GX73" s="108"/>
      <c r="GY73" s="108"/>
      <c r="GZ73" s="108"/>
      <c r="HA73" s="108"/>
      <c r="HB73" s="108"/>
      <c r="HC73" s="108"/>
      <c r="HD73" s="108"/>
      <c r="HE73" s="108"/>
      <c r="HF73" s="108"/>
      <c r="HG73" s="108"/>
      <c r="HH73" s="108"/>
      <c r="HI73" s="108"/>
      <c r="HJ73" s="108"/>
      <c r="HK73" s="108"/>
      <c r="HL73" s="108"/>
      <c r="HM73" s="108"/>
      <c r="HN73" s="108"/>
      <c r="HO73" s="108"/>
      <c r="HP73" s="108"/>
      <c r="HQ73" s="108"/>
      <c r="HR73" s="108"/>
      <c r="HS73" s="108"/>
      <c r="HT73" s="108"/>
      <c r="HU73" s="108"/>
      <c r="HV73" s="108"/>
      <c r="HW73" s="108"/>
      <c r="HX73" s="108"/>
      <c r="HY73" s="108"/>
      <c r="HZ73" s="108"/>
      <c r="IA73" s="108"/>
      <c r="IB73" s="108"/>
      <c r="IC73" s="108"/>
      <c r="ID73" s="108"/>
      <c r="IE73" s="108"/>
      <c r="IF73" s="108"/>
      <c r="IG73" s="108"/>
      <c r="IH73" s="108"/>
      <c r="II73" s="108"/>
      <c r="IJ73" s="108"/>
      <c r="IK73" s="108"/>
      <c r="IL73" s="108"/>
      <c r="IM73" s="108"/>
      <c r="IN73" s="108"/>
      <c r="IO73" s="108"/>
      <c r="IP73" s="108"/>
      <c r="IQ73" s="108"/>
      <c r="IR73" s="108"/>
      <c r="IS73" s="108"/>
      <c r="IT73" s="108"/>
      <c r="IU73" s="108"/>
      <c r="IV73" s="108"/>
      <c r="IW73" s="108"/>
    </row>
    <row r="74" spans="1:257" x14ac:dyDescent="0.3">
      <c r="A74" s="158"/>
      <c r="B74" s="158"/>
      <c r="C74" s="158"/>
      <c r="D74" s="158"/>
      <c r="E74" s="158"/>
      <c r="F74" s="158"/>
      <c r="G74" s="158"/>
      <c r="H74" s="158"/>
      <c r="I74" s="158"/>
      <c r="J74" s="158"/>
      <c r="K74" s="158"/>
      <c r="L74" s="158"/>
      <c r="M74" s="158"/>
      <c r="N74" s="158"/>
      <c r="O74" s="108"/>
      <c r="P74" s="108"/>
      <c r="Q74" s="108"/>
      <c r="R74" s="108"/>
      <c r="S74" s="108"/>
      <c r="T74" s="108"/>
      <c r="U74" s="108"/>
      <c r="V74" s="108"/>
      <c r="W74" s="108"/>
      <c r="X74" s="108"/>
      <c r="Y74" s="108"/>
      <c r="Z74" s="108"/>
      <c r="AA74" s="108"/>
      <c r="AB74" s="108"/>
      <c r="AC74" s="108"/>
      <c r="AD74" s="108"/>
      <c r="AE74" s="108"/>
      <c r="AF74" s="108"/>
      <c r="AG74" s="108"/>
      <c r="AH74" s="108"/>
      <c r="AI74" s="108"/>
      <c r="AJ74" s="108"/>
      <c r="AK74" s="108"/>
      <c r="AL74" s="108"/>
      <c r="AM74" s="108"/>
      <c r="AN74" s="108"/>
      <c r="AO74" s="108"/>
      <c r="AP74" s="108"/>
      <c r="AQ74" s="108"/>
      <c r="AR74" s="108"/>
      <c r="AS74" s="108"/>
      <c r="AT74" s="108"/>
      <c r="AU74" s="108"/>
      <c r="AV74" s="108"/>
      <c r="AW74" s="108"/>
      <c r="AX74" s="108"/>
      <c r="AY74" s="108"/>
      <c r="AZ74" s="108"/>
      <c r="BA74" s="108"/>
      <c r="BB74" s="108"/>
      <c r="BC74" s="108"/>
      <c r="BD74" s="108"/>
      <c r="BE74" s="108"/>
      <c r="BF74" s="108"/>
      <c r="BG74" s="108"/>
      <c r="BH74" s="108"/>
      <c r="BI74" s="108"/>
      <c r="BJ74" s="108"/>
      <c r="BK74" s="108"/>
      <c r="BL74" s="108"/>
      <c r="BM74" s="108"/>
      <c r="BN74" s="108"/>
      <c r="BO74" s="108"/>
      <c r="BP74" s="108"/>
      <c r="BQ74" s="108"/>
      <c r="BR74" s="108"/>
      <c r="BS74" s="108"/>
      <c r="BT74" s="108"/>
      <c r="BU74" s="108"/>
      <c r="BV74" s="108"/>
      <c r="BW74" s="108"/>
      <c r="BX74" s="108"/>
      <c r="BY74" s="108"/>
      <c r="BZ74" s="108"/>
      <c r="CA74" s="108"/>
      <c r="CB74" s="108"/>
      <c r="CC74" s="108"/>
      <c r="CD74" s="108"/>
      <c r="CE74" s="108"/>
      <c r="CF74" s="108"/>
      <c r="CG74" s="108"/>
      <c r="CH74" s="108"/>
      <c r="CI74" s="108"/>
      <c r="CJ74" s="108"/>
      <c r="CK74" s="108"/>
      <c r="CL74" s="108"/>
      <c r="CM74" s="108"/>
      <c r="CN74" s="108"/>
      <c r="CO74" s="108"/>
      <c r="CP74" s="108"/>
      <c r="CQ74" s="108"/>
      <c r="CR74" s="108"/>
      <c r="CS74" s="108"/>
      <c r="CT74" s="108"/>
      <c r="CU74" s="108"/>
      <c r="CV74" s="108"/>
      <c r="CW74" s="108"/>
      <c r="CX74" s="108"/>
      <c r="CY74" s="108"/>
      <c r="CZ74" s="108"/>
      <c r="DA74" s="108"/>
      <c r="DB74" s="108"/>
      <c r="DC74" s="108"/>
      <c r="DD74" s="108"/>
      <c r="DE74" s="108"/>
      <c r="DF74" s="108"/>
      <c r="DG74" s="108"/>
      <c r="DH74" s="108"/>
      <c r="DI74" s="108"/>
      <c r="DJ74" s="108"/>
      <c r="DK74" s="108"/>
      <c r="DL74" s="108"/>
      <c r="DM74" s="108"/>
      <c r="DN74" s="108"/>
      <c r="DO74" s="108"/>
      <c r="DP74" s="108"/>
      <c r="DQ74" s="108"/>
      <c r="DR74" s="108"/>
      <c r="DS74" s="108"/>
      <c r="DT74" s="108"/>
      <c r="DU74" s="108"/>
      <c r="DV74" s="108"/>
      <c r="DW74" s="108"/>
      <c r="DX74" s="108"/>
      <c r="DY74" s="108"/>
      <c r="DZ74" s="108"/>
      <c r="EA74" s="108"/>
      <c r="EB74" s="108"/>
      <c r="EC74" s="108"/>
      <c r="ED74" s="108"/>
      <c r="EE74" s="108"/>
      <c r="EF74" s="108"/>
      <c r="EG74" s="108"/>
      <c r="EH74" s="108"/>
      <c r="EI74" s="108"/>
      <c r="EJ74" s="108"/>
      <c r="EK74" s="108"/>
      <c r="EL74" s="108"/>
      <c r="EM74" s="108"/>
      <c r="EN74" s="108"/>
      <c r="EO74" s="108"/>
      <c r="EP74" s="108"/>
      <c r="EQ74" s="108"/>
      <c r="ER74" s="108"/>
      <c r="ES74" s="108"/>
      <c r="ET74" s="108"/>
      <c r="EU74" s="108"/>
      <c r="EV74" s="108"/>
      <c r="EW74" s="108"/>
      <c r="EX74" s="108"/>
      <c r="EY74" s="108"/>
      <c r="EZ74" s="108"/>
      <c r="FA74" s="108"/>
      <c r="FB74" s="108"/>
      <c r="FC74" s="108"/>
      <c r="FD74" s="108"/>
      <c r="FE74" s="108"/>
      <c r="FF74" s="108"/>
      <c r="FG74" s="108"/>
      <c r="FH74" s="108"/>
      <c r="FI74" s="108"/>
      <c r="FJ74" s="108"/>
      <c r="FK74" s="108"/>
      <c r="FL74" s="108"/>
      <c r="FM74" s="108"/>
      <c r="FN74" s="108"/>
      <c r="FO74" s="108"/>
      <c r="FP74" s="108"/>
      <c r="FQ74" s="108"/>
      <c r="FR74" s="108"/>
      <c r="FS74" s="108"/>
      <c r="FT74" s="108"/>
      <c r="FU74" s="108"/>
      <c r="FV74" s="108"/>
      <c r="FW74" s="108"/>
      <c r="FX74" s="108"/>
      <c r="FY74" s="108"/>
      <c r="FZ74" s="108"/>
      <c r="GA74" s="108"/>
      <c r="GB74" s="108"/>
      <c r="GC74" s="108"/>
      <c r="GD74" s="108"/>
      <c r="GE74" s="108"/>
      <c r="GF74" s="108"/>
      <c r="GG74" s="108"/>
      <c r="GH74" s="108"/>
      <c r="GI74" s="108"/>
      <c r="GJ74" s="108"/>
      <c r="GK74" s="108"/>
      <c r="GL74" s="108"/>
      <c r="GM74" s="108"/>
      <c r="GN74" s="108"/>
      <c r="GO74" s="108"/>
      <c r="GP74" s="108"/>
      <c r="GQ74" s="108"/>
      <c r="GR74" s="108"/>
      <c r="GS74" s="108"/>
      <c r="GT74" s="108"/>
      <c r="GU74" s="108"/>
      <c r="GV74" s="108"/>
      <c r="GW74" s="108"/>
      <c r="GX74" s="108"/>
      <c r="GY74" s="108"/>
      <c r="GZ74" s="108"/>
      <c r="HA74" s="108"/>
      <c r="HB74" s="108"/>
      <c r="HC74" s="108"/>
      <c r="HD74" s="108"/>
      <c r="HE74" s="108"/>
      <c r="HF74" s="108"/>
      <c r="HG74" s="108"/>
      <c r="HH74" s="108"/>
      <c r="HI74" s="108"/>
      <c r="HJ74" s="108"/>
      <c r="HK74" s="108"/>
      <c r="HL74" s="108"/>
      <c r="HM74" s="108"/>
      <c r="HN74" s="108"/>
      <c r="HO74" s="108"/>
      <c r="HP74" s="108"/>
      <c r="HQ74" s="108"/>
      <c r="HR74" s="108"/>
      <c r="HS74" s="108"/>
      <c r="HT74" s="108"/>
      <c r="HU74" s="108"/>
      <c r="HV74" s="108"/>
      <c r="HW74" s="108"/>
      <c r="HX74" s="108"/>
      <c r="HY74" s="108"/>
      <c r="HZ74" s="108"/>
      <c r="IA74" s="108"/>
      <c r="IB74" s="108"/>
      <c r="IC74" s="108"/>
      <c r="ID74" s="108"/>
      <c r="IE74" s="108"/>
      <c r="IF74" s="108"/>
      <c r="IG74" s="108"/>
      <c r="IH74" s="108"/>
      <c r="II74" s="108"/>
      <c r="IJ74" s="108"/>
      <c r="IK74" s="108"/>
      <c r="IL74" s="108"/>
      <c r="IM74" s="108"/>
      <c r="IN74" s="108"/>
      <c r="IO74" s="108"/>
      <c r="IP74" s="108"/>
      <c r="IQ74" s="108"/>
      <c r="IR74" s="108"/>
      <c r="IS74" s="108"/>
      <c r="IT74" s="108"/>
      <c r="IU74" s="108"/>
      <c r="IV74" s="108"/>
      <c r="IW74" s="108"/>
    </row>
    <row r="75" spans="1:257" x14ac:dyDescent="0.3">
      <c r="A75" s="158"/>
      <c r="B75" s="158"/>
      <c r="C75" s="158"/>
      <c r="D75" s="158"/>
      <c r="E75" s="158"/>
      <c r="F75" s="158"/>
      <c r="G75" s="158"/>
      <c r="H75" s="158"/>
      <c r="I75" s="158"/>
      <c r="J75" s="158"/>
      <c r="K75" s="158"/>
      <c r="L75" s="158"/>
      <c r="M75" s="158"/>
      <c r="N75" s="158"/>
      <c r="O75" s="108"/>
      <c r="P75" s="108"/>
      <c r="Q75" s="108"/>
      <c r="R75" s="108"/>
      <c r="S75" s="108"/>
      <c r="T75" s="108"/>
      <c r="U75" s="108"/>
      <c r="V75" s="108"/>
      <c r="W75" s="108"/>
      <c r="X75" s="108"/>
      <c r="Y75" s="108"/>
      <c r="Z75" s="108"/>
      <c r="AA75" s="108"/>
      <c r="AB75" s="108"/>
      <c r="AC75" s="108"/>
      <c r="AD75" s="108"/>
      <c r="AE75" s="108"/>
      <c r="AF75" s="108"/>
      <c r="AG75" s="108"/>
      <c r="AH75" s="108"/>
      <c r="AI75" s="108"/>
      <c r="AJ75" s="108"/>
      <c r="AK75" s="108"/>
      <c r="AL75" s="108"/>
      <c r="AM75" s="108"/>
      <c r="AN75" s="108"/>
      <c r="AO75" s="108"/>
      <c r="AP75" s="108"/>
      <c r="AQ75" s="108"/>
      <c r="AR75" s="108"/>
      <c r="AS75" s="108"/>
      <c r="AT75" s="108"/>
      <c r="AU75" s="108"/>
      <c r="AV75" s="108"/>
      <c r="AW75" s="108"/>
      <c r="AX75" s="108"/>
      <c r="AY75" s="108"/>
      <c r="AZ75" s="108"/>
      <c r="BA75" s="108"/>
      <c r="BB75" s="108"/>
      <c r="BC75" s="108"/>
      <c r="BD75" s="108"/>
      <c r="BE75" s="108"/>
      <c r="BF75" s="108"/>
      <c r="BG75" s="108"/>
      <c r="BH75" s="108"/>
      <c r="BI75" s="108"/>
      <c r="BJ75" s="108"/>
      <c r="BK75" s="108"/>
      <c r="BL75" s="108"/>
      <c r="BM75" s="108"/>
      <c r="BN75" s="108"/>
      <c r="BO75" s="108"/>
      <c r="BP75" s="108"/>
      <c r="BQ75" s="108"/>
      <c r="BR75" s="108"/>
      <c r="BS75" s="108"/>
      <c r="BT75" s="108"/>
      <c r="BU75" s="108"/>
      <c r="BV75" s="108"/>
      <c r="BW75" s="108"/>
      <c r="BX75" s="108"/>
      <c r="BY75" s="108"/>
      <c r="BZ75" s="108"/>
      <c r="CA75" s="108"/>
      <c r="CB75" s="108"/>
      <c r="CC75" s="108"/>
      <c r="CD75" s="108"/>
      <c r="CE75" s="108"/>
      <c r="CF75" s="108"/>
      <c r="CG75" s="108"/>
      <c r="CH75" s="108"/>
      <c r="CI75" s="108"/>
      <c r="CJ75" s="108"/>
      <c r="CK75" s="108"/>
      <c r="CL75" s="108"/>
      <c r="CM75" s="108"/>
      <c r="CN75" s="108"/>
      <c r="CO75" s="108"/>
      <c r="CP75" s="108"/>
      <c r="CQ75" s="108"/>
      <c r="CR75" s="108"/>
      <c r="CS75" s="108"/>
      <c r="CT75" s="108"/>
      <c r="CU75" s="108"/>
      <c r="CV75" s="108"/>
      <c r="CW75" s="108"/>
      <c r="CX75" s="108"/>
      <c r="CY75" s="108"/>
      <c r="CZ75" s="108"/>
      <c r="DA75" s="108"/>
      <c r="DB75" s="108"/>
      <c r="DC75" s="108"/>
      <c r="DD75" s="108"/>
      <c r="DE75" s="108"/>
      <c r="DF75" s="108"/>
      <c r="DG75" s="108"/>
      <c r="DH75" s="108"/>
      <c r="DI75" s="108"/>
      <c r="DJ75" s="108"/>
      <c r="DK75" s="108"/>
      <c r="DL75" s="108"/>
      <c r="DM75" s="108"/>
      <c r="DN75" s="108"/>
      <c r="DO75" s="108"/>
      <c r="DP75" s="108"/>
      <c r="DQ75" s="108"/>
      <c r="DR75" s="108"/>
      <c r="DS75" s="108"/>
      <c r="DT75" s="108"/>
      <c r="DU75" s="108"/>
      <c r="DV75" s="108"/>
      <c r="DW75" s="108"/>
      <c r="DX75" s="108"/>
      <c r="DY75" s="108"/>
      <c r="DZ75" s="108"/>
      <c r="EA75" s="108"/>
      <c r="EB75" s="108"/>
      <c r="EC75" s="108"/>
      <c r="ED75" s="108"/>
      <c r="EE75" s="108"/>
      <c r="EF75" s="108"/>
      <c r="EG75" s="108"/>
      <c r="EH75" s="108"/>
      <c r="EI75" s="108"/>
      <c r="EJ75" s="108"/>
      <c r="EK75" s="108"/>
      <c r="EL75" s="108"/>
      <c r="EM75" s="108"/>
      <c r="EN75" s="108"/>
      <c r="EO75" s="108"/>
      <c r="EP75" s="108"/>
      <c r="EQ75" s="108"/>
      <c r="ER75" s="108"/>
      <c r="ES75" s="108"/>
      <c r="ET75" s="108"/>
      <c r="EU75" s="108"/>
      <c r="EV75" s="108"/>
      <c r="EW75" s="108"/>
      <c r="EX75" s="108"/>
      <c r="EY75" s="108"/>
      <c r="EZ75" s="108"/>
      <c r="FA75" s="108"/>
      <c r="FB75" s="108"/>
      <c r="FC75" s="108"/>
      <c r="FD75" s="108"/>
      <c r="FE75" s="108"/>
      <c r="FF75" s="108"/>
      <c r="FG75" s="108"/>
      <c r="FH75" s="108"/>
      <c r="FI75" s="108"/>
      <c r="FJ75" s="108"/>
      <c r="FK75" s="108"/>
      <c r="FL75" s="108"/>
      <c r="FM75" s="108"/>
      <c r="FN75" s="108"/>
      <c r="FO75" s="108"/>
      <c r="FP75" s="108"/>
      <c r="FQ75" s="108"/>
      <c r="FR75" s="108"/>
      <c r="FS75" s="108"/>
      <c r="FT75" s="108"/>
      <c r="FU75" s="108"/>
      <c r="FV75" s="108"/>
      <c r="FW75" s="108"/>
      <c r="FX75" s="108"/>
      <c r="FY75" s="108"/>
      <c r="FZ75" s="108"/>
      <c r="GA75" s="108"/>
      <c r="GB75" s="108"/>
      <c r="GC75" s="108"/>
      <c r="GD75" s="108"/>
      <c r="GE75" s="108"/>
      <c r="GF75" s="108"/>
      <c r="GG75" s="108"/>
      <c r="GH75" s="108"/>
      <c r="GI75" s="108"/>
      <c r="GJ75" s="108"/>
      <c r="GK75" s="108"/>
      <c r="GL75" s="108"/>
      <c r="GM75" s="108"/>
      <c r="GN75" s="108"/>
      <c r="GO75" s="108"/>
      <c r="GP75" s="108"/>
      <c r="GQ75" s="108"/>
      <c r="GR75" s="108"/>
      <c r="GS75" s="108"/>
      <c r="GT75" s="108"/>
      <c r="GU75" s="108"/>
      <c r="GV75" s="108"/>
      <c r="GW75" s="108"/>
      <c r="GX75" s="108"/>
      <c r="GY75" s="108"/>
      <c r="GZ75" s="108"/>
      <c r="HA75" s="108"/>
      <c r="HB75" s="108"/>
      <c r="HC75" s="108"/>
      <c r="HD75" s="108"/>
      <c r="HE75" s="108"/>
      <c r="HF75" s="108"/>
      <c r="HG75" s="108"/>
      <c r="HH75" s="108"/>
      <c r="HI75" s="108"/>
      <c r="HJ75" s="108"/>
      <c r="HK75" s="108"/>
      <c r="HL75" s="108"/>
      <c r="HM75" s="108"/>
      <c r="HN75" s="108"/>
      <c r="HO75" s="108"/>
      <c r="HP75" s="108"/>
      <c r="HQ75" s="108"/>
      <c r="HR75" s="108"/>
      <c r="HS75" s="108"/>
      <c r="HT75" s="108"/>
      <c r="HU75" s="108"/>
      <c r="HV75" s="108"/>
      <c r="HW75" s="108"/>
      <c r="HX75" s="108"/>
      <c r="HY75" s="108"/>
      <c r="HZ75" s="108"/>
      <c r="IA75" s="108"/>
      <c r="IB75" s="108"/>
      <c r="IC75" s="108"/>
      <c r="ID75" s="108"/>
      <c r="IE75" s="108"/>
      <c r="IF75" s="108"/>
      <c r="IG75" s="108"/>
      <c r="IH75" s="108"/>
      <c r="II75" s="108"/>
      <c r="IJ75" s="108"/>
      <c r="IK75" s="108"/>
      <c r="IL75" s="108"/>
      <c r="IM75" s="108"/>
      <c r="IN75" s="108"/>
      <c r="IO75" s="108"/>
      <c r="IP75" s="108"/>
      <c r="IQ75" s="108"/>
      <c r="IR75" s="108"/>
      <c r="IS75" s="108"/>
      <c r="IT75" s="108"/>
      <c r="IU75" s="108"/>
      <c r="IV75" s="108"/>
      <c r="IW75" s="108"/>
    </row>
    <row r="76" spans="1:257" x14ac:dyDescent="0.3">
      <c r="A76" s="158"/>
      <c r="B76" s="158"/>
      <c r="C76" s="158"/>
      <c r="D76" s="158"/>
      <c r="E76" s="158"/>
      <c r="F76" s="158"/>
      <c r="G76" s="158"/>
      <c r="H76" s="158"/>
      <c r="I76" s="158"/>
      <c r="J76" s="158"/>
      <c r="K76" s="158"/>
      <c r="L76" s="158"/>
      <c r="M76" s="158"/>
      <c r="N76" s="158"/>
      <c r="O76" s="108"/>
      <c r="P76" s="108"/>
      <c r="Q76" s="108"/>
      <c r="R76" s="108"/>
      <c r="S76" s="108"/>
      <c r="T76" s="108"/>
      <c r="U76" s="108"/>
      <c r="V76" s="108"/>
      <c r="W76" s="108"/>
      <c r="X76" s="108"/>
      <c r="Y76" s="108"/>
      <c r="Z76" s="108"/>
      <c r="AA76" s="108"/>
      <c r="AB76" s="108"/>
      <c r="AC76" s="108"/>
      <c r="AD76" s="108"/>
      <c r="AE76" s="108"/>
      <c r="AF76" s="108"/>
      <c r="AG76" s="108"/>
      <c r="AH76" s="108"/>
      <c r="AI76" s="108"/>
      <c r="AJ76" s="108"/>
      <c r="AK76" s="108"/>
      <c r="AL76" s="108"/>
      <c r="AM76" s="108"/>
      <c r="AN76" s="108"/>
      <c r="AO76" s="108"/>
      <c r="AP76" s="108"/>
      <c r="AQ76" s="108"/>
      <c r="AR76" s="108"/>
      <c r="AS76" s="108"/>
      <c r="AT76" s="108"/>
      <c r="AU76" s="108"/>
      <c r="AV76" s="108"/>
      <c r="AW76" s="108"/>
      <c r="AX76" s="108"/>
      <c r="AY76" s="108"/>
      <c r="AZ76" s="108"/>
      <c r="BA76" s="108"/>
      <c r="BB76" s="108"/>
      <c r="BC76" s="108"/>
      <c r="BD76" s="108"/>
      <c r="BE76" s="108"/>
      <c r="BF76" s="108"/>
      <c r="BG76" s="108"/>
      <c r="BH76" s="108"/>
      <c r="BI76" s="108"/>
      <c r="BJ76" s="108"/>
      <c r="BK76" s="108"/>
      <c r="BL76" s="108"/>
      <c r="BM76" s="108"/>
      <c r="BN76" s="108"/>
      <c r="BO76" s="108"/>
      <c r="BP76" s="108"/>
      <c r="BQ76" s="108"/>
      <c r="BR76" s="108"/>
      <c r="BS76" s="108"/>
      <c r="BT76" s="108"/>
      <c r="BU76" s="108"/>
      <c r="BV76" s="108"/>
      <c r="BW76" s="108"/>
      <c r="BX76" s="108"/>
      <c r="BY76" s="108"/>
      <c r="BZ76" s="108"/>
      <c r="CA76" s="108"/>
      <c r="CB76" s="108"/>
      <c r="CC76" s="108"/>
      <c r="CD76" s="108"/>
      <c r="CE76" s="108"/>
      <c r="CF76" s="108"/>
      <c r="CG76" s="108"/>
      <c r="CH76" s="108"/>
      <c r="CI76" s="108"/>
      <c r="CJ76" s="108"/>
      <c r="CK76" s="108"/>
      <c r="CL76" s="108"/>
      <c r="CM76" s="108"/>
      <c r="CN76" s="108"/>
      <c r="CO76" s="108"/>
      <c r="CP76" s="108"/>
      <c r="CQ76" s="108"/>
      <c r="CR76" s="108"/>
      <c r="CS76" s="108"/>
      <c r="CT76" s="108"/>
      <c r="CU76" s="108"/>
      <c r="CV76" s="108"/>
      <c r="CW76" s="108"/>
      <c r="CX76" s="108"/>
      <c r="CY76" s="108"/>
      <c r="CZ76" s="108"/>
      <c r="DA76" s="108"/>
      <c r="DB76" s="108"/>
      <c r="DC76" s="108"/>
      <c r="DD76" s="108"/>
      <c r="DE76" s="108"/>
      <c r="DF76" s="108"/>
      <c r="DG76" s="108"/>
      <c r="DH76" s="108"/>
      <c r="DI76" s="108"/>
      <c r="DJ76" s="108"/>
      <c r="DK76" s="108"/>
      <c r="DL76" s="108"/>
      <c r="DM76" s="108"/>
      <c r="DN76" s="108"/>
      <c r="DO76" s="108"/>
      <c r="DP76" s="108"/>
      <c r="DQ76" s="108"/>
      <c r="DR76" s="108"/>
      <c r="DS76" s="108"/>
      <c r="DT76" s="108"/>
      <c r="DU76" s="108"/>
      <c r="DV76" s="108"/>
      <c r="DW76" s="108"/>
      <c r="DX76" s="108"/>
      <c r="DY76" s="108"/>
      <c r="DZ76" s="108"/>
      <c r="EA76" s="108"/>
      <c r="EB76" s="108"/>
      <c r="EC76" s="108"/>
      <c r="ED76" s="108"/>
      <c r="EE76" s="108"/>
      <c r="EF76" s="108"/>
      <c r="EG76" s="108"/>
      <c r="EH76" s="108"/>
      <c r="EI76" s="108"/>
      <c r="EJ76" s="108"/>
      <c r="EK76" s="108"/>
      <c r="EL76" s="108"/>
      <c r="EM76" s="108"/>
      <c r="EN76" s="108"/>
      <c r="EO76" s="108"/>
      <c r="EP76" s="108"/>
      <c r="EQ76" s="108"/>
      <c r="ER76" s="108"/>
      <c r="ES76" s="108"/>
      <c r="ET76" s="108"/>
      <c r="EU76" s="108"/>
      <c r="EV76" s="108"/>
      <c r="EW76" s="108"/>
      <c r="EX76" s="108"/>
      <c r="EY76" s="108"/>
      <c r="EZ76" s="108"/>
      <c r="FA76" s="108"/>
      <c r="FB76" s="108"/>
      <c r="FC76" s="108"/>
      <c r="FD76" s="108"/>
      <c r="FE76" s="108"/>
      <c r="FF76" s="108"/>
      <c r="FG76" s="108"/>
      <c r="FH76" s="108"/>
      <c r="FI76" s="108"/>
      <c r="FJ76" s="108"/>
      <c r="FK76" s="108"/>
      <c r="FL76" s="108"/>
      <c r="FM76" s="108"/>
      <c r="FN76" s="108"/>
      <c r="FO76" s="108"/>
      <c r="FP76" s="108"/>
      <c r="FQ76" s="108"/>
      <c r="FR76" s="108"/>
      <c r="FS76" s="108"/>
      <c r="FT76" s="108"/>
      <c r="FU76" s="108"/>
      <c r="FV76" s="108"/>
      <c r="FW76" s="108"/>
      <c r="FX76" s="108"/>
      <c r="FY76" s="108"/>
      <c r="FZ76" s="108"/>
      <c r="GA76" s="108"/>
      <c r="GB76" s="108"/>
      <c r="GC76" s="108"/>
      <c r="GD76" s="108"/>
      <c r="GE76" s="108"/>
      <c r="GF76" s="108"/>
      <c r="GG76" s="108"/>
      <c r="GH76" s="108"/>
      <c r="GI76" s="108"/>
      <c r="GJ76" s="108"/>
      <c r="GK76" s="108"/>
      <c r="GL76" s="108"/>
      <c r="GM76" s="108"/>
      <c r="GN76" s="108"/>
      <c r="GO76" s="108"/>
      <c r="GP76" s="108"/>
      <c r="GQ76" s="108"/>
      <c r="GR76" s="108"/>
      <c r="GS76" s="108"/>
      <c r="GT76" s="108"/>
      <c r="GU76" s="108"/>
      <c r="GV76" s="108"/>
      <c r="GW76" s="108"/>
      <c r="GX76" s="108"/>
      <c r="GY76" s="108"/>
      <c r="GZ76" s="108"/>
      <c r="HA76" s="108"/>
      <c r="HB76" s="108"/>
      <c r="HC76" s="108"/>
      <c r="HD76" s="108"/>
      <c r="HE76" s="108"/>
      <c r="HF76" s="108"/>
      <c r="HG76" s="108"/>
      <c r="HH76" s="108"/>
      <c r="HI76" s="108"/>
      <c r="HJ76" s="108"/>
      <c r="HK76" s="108"/>
      <c r="HL76" s="108"/>
      <c r="HM76" s="108"/>
      <c r="HN76" s="108"/>
      <c r="HO76" s="108"/>
      <c r="HP76" s="108"/>
      <c r="HQ76" s="108"/>
      <c r="HR76" s="108"/>
      <c r="HS76" s="108"/>
      <c r="HT76" s="108"/>
      <c r="HU76" s="108"/>
      <c r="HV76" s="108"/>
      <c r="HW76" s="108"/>
      <c r="HX76" s="108"/>
      <c r="HY76" s="108"/>
      <c r="HZ76" s="108"/>
      <c r="IA76" s="108"/>
      <c r="IB76" s="108"/>
      <c r="IC76" s="108"/>
      <c r="ID76" s="108"/>
      <c r="IE76" s="108"/>
      <c r="IF76" s="108"/>
      <c r="IG76" s="108"/>
      <c r="IH76" s="108"/>
      <c r="II76" s="108"/>
      <c r="IJ76" s="108"/>
      <c r="IK76" s="108"/>
      <c r="IL76" s="108"/>
      <c r="IM76" s="108"/>
      <c r="IN76" s="108"/>
      <c r="IO76" s="108"/>
      <c r="IP76" s="108"/>
      <c r="IQ76" s="108"/>
      <c r="IR76" s="108"/>
      <c r="IS76" s="108"/>
      <c r="IT76" s="108"/>
      <c r="IU76" s="108"/>
      <c r="IV76" s="108"/>
      <c r="IW76" s="108"/>
    </row>
    <row r="77" spans="1:257" x14ac:dyDescent="0.3">
      <c r="A77" s="158"/>
      <c r="B77" s="158"/>
      <c r="C77" s="158"/>
      <c r="D77" s="158"/>
      <c r="E77" s="158"/>
      <c r="F77" s="158"/>
      <c r="G77" s="158"/>
      <c r="H77" s="158"/>
      <c r="I77" s="158"/>
      <c r="J77" s="158"/>
      <c r="K77" s="158"/>
      <c r="L77" s="158"/>
      <c r="M77" s="158"/>
      <c r="N77" s="158"/>
      <c r="O77" s="108"/>
      <c r="P77" s="108"/>
      <c r="Q77" s="108"/>
      <c r="R77" s="108"/>
      <c r="S77" s="108"/>
      <c r="T77" s="108"/>
      <c r="U77" s="108"/>
      <c r="V77" s="108"/>
      <c r="W77" s="108"/>
      <c r="X77" s="108"/>
      <c r="Y77" s="108"/>
      <c r="Z77" s="108"/>
      <c r="AA77" s="108"/>
      <c r="AB77" s="108"/>
      <c r="AC77" s="108"/>
      <c r="AD77" s="108"/>
      <c r="AE77" s="108"/>
      <c r="AF77" s="108"/>
      <c r="AG77" s="108"/>
      <c r="AH77" s="108"/>
      <c r="AI77" s="108"/>
      <c r="AJ77" s="108"/>
      <c r="AK77" s="108"/>
      <c r="AL77" s="108"/>
      <c r="AM77" s="108"/>
      <c r="AN77" s="108"/>
      <c r="AO77" s="108"/>
      <c r="AP77" s="108"/>
      <c r="AQ77" s="108"/>
      <c r="AR77" s="108"/>
      <c r="AS77" s="108"/>
      <c r="AT77" s="108"/>
      <c r="AU77" s="108"/>
      <c r="AV77" s="108"/>
      <c r="AW77" s="108"/>
      <c r="AX77" s="108"/>
      <c r="AY77" s="108"/>
      <c r="AZ77" s="108"/>
      <c r="BA77" s="108"/>
      <c r="BB77" s="108"/>
      <c r="BC77" s="108"/>
      <c r="BD77" s="108"/>
      <c r="BE77" s="108"/>
      <c r="BF77" s="108"/>
      <c r="BG77" s="108"/>
      <c r="BH77" s="108"/>
      <c r="BI77" s="108"/>
      <c r="BJ77" s="108"/>
      <c r="BK77" s="108"/>
      <c r="BL77" s="108"/>
      <c r="BM77" s="108"/>
      <c r="BN77" s="108"/>
      <c r="BO77" s="108"/>
      <c r="BP77" s="108"/>
      <c r="BQ77" s="108"/>
      <c r="BR77" s="108"/>
      <c r="BS77" s="108"/>
      <c r="BT77" s="108"/>
      <c r="BU77" s="108"/>
      <c r="BV77" s="108"/>
      <c r="BW77" s="108"/>
      <c r="BX77" s="108"/>
      <c r="BY77" s="108"/>
      <c r="BZ77" s="108"/>
      <c r="CA77" s="108"/>
      <c r="CB77" s="108"/>
      <c r="CC77" s="108"/>
      <c r="CD77" s="108"/>
      <c r="CE77" s="108"/>
      <c r="CF77" s="108"/>
      <c r="CG77" s="108"/>
      <c r="CH77" s="108"/>
      <c r="CI77" s="108"/>
      <c r="CJ77" s="108"/>
      <c r="CK77" s="108"/>
      <c r="CL77" s="108"/>
      <c r="CM77" s="108"/>
      <c r="CN77" s="108"/>
      <c r="CO77" s="108"/>
      <c r="CP77" s="108"/>
      <c r="CQ77" s="108"/>
      <c r="CR77" s="108"/>
      <c r="CS77" s="108"/>
      <c r="CT77" s="108"/>
      <c r="CU77" s="108"/>
      <c r="CV77" s="108"/>
      <c r="CW77" s="108"/>
      <c r="CX77" s="108"/>
      <c r="CY77" s="108"/>
      <c r="CZ77" s="108"/>
      <c r="DA77" s="108"/>
      <c r="DB77" s="108"/>
      <c r="DC77" s="108"/>
      <c r="DD77" s="108"/>
      <c r="DE77" s="108"/>
      <c r="DF77" s="108"/>
      <c r="DG77" s="108"/>
      <c r="DH77" s="108"/>
      <c r="DI77" s="108"/>
      <c r="DJ77" s="108"/>
      <c r="DK77" s="108"/>
      <c r="DL77" s="108"/>
      <c r="DM77" s="108"/>
      <c r="DN77" s="108"/>
      <c r="DO77" s="108"/>
      <c r="DP77" s="108"/>
      <c r="DQ77" s="108"/>
      <c r="DR77" s="108"/>
      <c r="DS77" s="108"/>
      <c r="DT77" s="108"/>
      <c r="DU77" s="108"/>
      <c r="DV77" s="108"/>
      <c r="DW77" s="108"/>
      <c r="DX77" s="108"/>
      <c r="DY77" s="108"/>
      <c r="DZ77" s="108"/>
      <c r="EA77" s="108"/>
      <c r="EB77" s="108"/>
      <c r="EC77" s="108"/>
      <c r="ED77" s="108"/>
      <c r="EE77" s="108"/>
      <c r="EF77" s="108"/>
      <c r="EG77" s="108"/>
      <c r="EH77" s="108"/>
      <c r="EI77" s="108"/>
      <c r="EJ77" s="108"/>
      <c r="EK77" s="108"/>
      <c r="EL77" s="108"/>
      <c r="EM77" s="108"/>
      <c r="EN77" s="108"/>
      <c r="EO77" s="108"/>
      <c r="EP77" s="108"/>
      <c r="EQ77" s="108"/>
      <c r="ER77" s="108"/>
      <c r="ES77" s="108"/>
      <c r="ET77" s="108"/>
      <c r="EU77" s="108"/>
      <c r="EV77" s="108"/>
      <c r="EW77" s="108"/>
      <c r="EX77" s="108"/>
      <c r="EY77" s="108"/>
      <c r="EZ77" s="108"/>
      <c r="FA77" s="108"/>
      <c r="FB77" s="108"/>
      <c r="FC77" s="108"/>
      <c r="FD77" s="108"/>
      <c r="FE77" s="108"/>
      <c r="FF77" s="108"/>
      <c r="FG77" s="108"/>
      <c r="FH77" s="108"/>
      <c r="FI77" s="108"/>
      <c r="FJ77" s="108"/>
      <c r="FK77" s="108"/>
      <c r="FL77" s="108"/>
      <c r="FM77" s="108"/>
      <c r="FN77" s="108"/>
      <c r="FO77" s="108"/>
      <c r="FP77" s="108"/>
      <c r="FQ77" s="108"/>
      <c r="FR77" s="108"/>
      <c r="FS77" s="108"/>
      <c r="FT77" s="108"/>
      <c r="FU77" s="108"/>
      <c r="FV77" s="108"/>
      <c r="FW77" s="108"/>
      <c r="FX77" s="108"/>
      <c r="FY77" s="108"/>
      <c r="FZ77" s="108"/>
      <c r="GA77" s="108"/>
      <c r="GB77" s="108"/>
      <c r="GC77" s="108"/>
      <c r="GD77" s="108"/>
      <c r="GE77" s="108"/>
      <c r="GF77" s="108"/>
      <c r="GG77" s="108"/>
      <c r="GH77" s="108"/>
      <c r="GI77" s="108"/>
      <c r="GJ77" s="108"/>
      <c r="GK77" s="108"/>
      <c r="GL77" s="108"/>
      <c r="GM77" s="108"/>
      <c r="GN77" s="108"/>
      <c r="GO77" s="108"/>
      <c r="GP77" s="108"/>
      <c r="GQ77" s="108"/>
      <c r="GR77" s="108"/>
      <c r="GS77" s="108"/>
      <c r="GT77" s="108"/>
      <c r="GU77" s="108"/>
      <c r="GV77" s="108"/>
      <c r="GW77" s="108"/>
      <c r="GX77" s="108"/>
      <c r="GY77" s="108"/>
      <c r="GZ77" s="108"/>
      <c r="HA77" s="108"/>
      <c r="HB77" s="108"/>
      <c r="HC77" s="108"/>
      <c r="HD77" s="108"/>
      <c r="HE77" s="108"/>
      <c r="HF77" s="108"/>
      <c r="HG77" s="108"/>
      <c r="HH77" s="108"/>
      <c r="HI77" s="108"/>
      <c r="HJ77" s="108"/>
      <c r="HK77" s="108"/>
      <c r="HL77" s="108"/>
      <c r="HM77" s="108"/>
      <c r="HN77" s="108"/>
      <c r="HO77" s="108"/>
      <c r="HP77" s="108"/>
      <c r="HQ77" s="108"/>
      <c r="HR77" s="108"/>
      <c r="HS77" s="108"/>
      <c r="HT77" s="108"/>
      <c r="HU77" s="108"/>
      <c r="HV77" s="108"/>
      <c r="HW77" s="108"/>
      <c r="HX77" s="108"/>
      <c r="HY77" s="108"/>
      <c r="HZ77" s="108"/>
      <c r="IA77" s="108"/>
      <c r="IB77" s="108"/>
      <c r="IC77" s="108"/>
      <c r="ID77" s="108"/>
      <c r="IE77" s="108"/>
      <c r="IF77" s="108"/>
      <c r="IG77" s="108"/>
      <c r="IH77" s="108"/>
      <c r="II77" s="108"/>
      <c r="IJ77" s="108"/>
      <c r="IK77" s="108"/>
      <c r="IL77" s="108"/>
      <c r="IM77" s="108"/>
      <c r="IN77" s="108"/>
      <c r="IO77" s="108"/>
      <c r="IP77" s="108"/>
      <c r="IQ77" s="108"/>
      <c r="IR77" s="108"/>
      <c r="IS77" s="108"/>
      <c r="IT77" s="108"/>
      <c r="IU77" s="108"/>
      <c r="IV77" s="108"/>
      <c r="IW77" s="108"/>
    </row>
    <row r="78" spans="1:257" x14ac:dyDescent="0.3">
      <c r="A78" s="158"/>
      <c r="B78" s="158"/>
      <c r="C78" s="158"/>
      <c r="D78" s="158"/>
      <c r="E78" s="158"/>
      <c r="F78" s="158"/>
      <c r="G78" s="158"/>
      <c r="H78" s="158"/>
      <c r="I78" s="158"/>
      <c r="J78" s="158"/>
      <c r="K78" s="158"/>
      <c r="L78" s="158"/>
      <c r="M78" s="158"/>
      <c r="N78" s="158"/>
      <c r="O78" s="108"/>
      <c r="P78" s="108"/>
      <c r="Q78" s="108"/>
      <c r="R78" s="108"/>
      <c r="S78" s="108"/>
      <c r="T78" s="108"/>
      <c r="U78" s="108"/>
      <c r="V78" s="108"/>
      <c r="W78" s="108"/>
      <c r="X78" s="108"/>
      <c r="Y78" s="108"/>
      <c r="Z78" s="108"/>
      <c r="AA78" s="108"/>
      <c r="AB78" s="108"/>
      <c r="AC78" s="108"/>
      <c r="AD78" s="108"/>
      <c r="AE78" s="108"/>
      <c r="AF78" s="108"/>
      <c r="AG78" s="108"/>
      <c r="AH78" s="108"/>
      <c r="AI78" s="108"/>
      <c r="AJ78" s="108"/>
      <c r="AK78" s="108"/>
      <c r="AL78" s="108"/>
      <c r="AM78" s="108"/>
      <c r="AN78" s="108"/>
      <c r="AO78" s="108"/>
      <c r="AP78" s="108"/>
      <c r="AQ78" s="108"/>
      <c r="AR78" s="108"/>
      <c r="AS78" s="108"/>
      <c r="AT78" s="108"/>
      <c r="AU78" s="108"/>
      <c r="AV78" s="108"/>
      <c r="AW78" s="108"/>
      <c r="AX78" s="108"/>
      <c r="AY78" s="108"/>
      <c r="AZ78" s="108"/>
      <c r="BA78" s="108"/>
      <c r="BB78" s="108"/>
      <c r="BC78" s="108"/>
      <c r="BD78" s="108"/>
      <c r="BE78" s="108"/>
      <c r="BF78" s="108"/>
      <c r="BG78" s="108"/>
      <c r="BH78" s="108"/>
      <c r="BI78" s="108"/>
      <c r="BJ78" s="108"/>
      <c r="BK78" s="108"/>
      <c r="BL78" s="108"/>
      <c r="BM78" s="108"/>
      <c r="BN78" s="108"/>
      <c r="BO78" s="108"/>
      <c r="BP78" s="108"/>
      <c r="BQ78" s="108"/>
      <c r="BR78" s="108"/>
      <c r="BS78" s="108"/>
      <c r="BT78" s="108"/>
      <c r="BU78" s="108"/>
      <c r="BV78" s="108"/>
      <c r="BW78" s="108"/>
      <c r="BX78" s="108"/>
      <c r="BY78" s="108"/>
      <c r="BZ78" s="108"/>
      <c r="CA78" s="108"/>
      <c r="CB78" s="108"/>
      <c r="CC78" s="108"/>
      <c r="CD78" s="108"/>
      <c r="CE78" s="108"/>
      <c r="CF78" s="108"/>
      <c r="CG78" s="108"/>
      <c r="CH78" s="108"/>
      <c r="CI78" s="108"/>
      <c r="CJ78" s="108"/>
      <c r="CK78" s="108"/>
      <c r="CL78" s="108"/>
      <c r="CM78" s="108"/>
      <c r="CN78" s="108"/>
      <c r="CO78" s="108"/>
      <c r="CP78" s="108"/>
      <c r="CQ78" s="108"/>
      <c r="CR78" s="108"/>
      <c r="CS78" s="108"/>
      <c r="CT78" s="108"/>
      <c r="CU78" s="108"/>
      <c r="CV78" s="108"/>
      <c r="CW78" s="108"/>
      <c r="CX78" s="108"/>
      <c r="CY78" s="108"/>
      <c r="CZ78" s="108"/>
      <c r="DA78" s="108"/>
      <c r="DB78" s="108"/>
      <c r="DC78" s="108"/>
      <c r="DD78" s="108"/>
      <c r="DE78" s="108"/>
      <c r="DF78" s="108"/>
      <c r="DG78" s="108"/>
      <c r="DH78" s="108"/>
      <c r="DI78" s="108"/>
      <c r="DJ78" s="108"/>
      <c r="DK78" s="108"/>
      <c r="DL78" s="108"/>
      <c r="DM78" s="108"/>
      <c r="DN78" s="108"/>
      <c r="DO78" s="108"/>
      <c r="DP78" s="108"/>
      <c r="DQ78" s="108"/>
      <c r="DR78" s="108"/>
      <c r="DS78" s="108"/>
      <c r="DT78" s="108"/>
      <c r="DU78" s="108"/>
      <c r="DV78" s="108"/>
      <c r="DW78" s="108"/>
      <c r="DX78" s="108"/>
      <c r="DY78" s="108"/>
      <c r="DZ78" s="108"/>
      <c r="EA78" s="108"/>
      <c r="EB78" s="108"/>
      <c r="EC78" s="108"/>
      <c r="ED78" s="108"/>
      <c r="EE78" s="108"/>
      <c r="EF78" s="108"/>
      <c r="EG78" s="108"/>
      <c r="EH78" s="108"/>
      <c r="EI78" s="108"/>
      <c r="EJ78" s="108"/>
      <c r="EK78" s="108"/>
      <c r="EL78" s="108"/>
      <c r="EM78" s="108"/>
      <c r="EN78" s="108"/>
      <c r="EO78" s="108"/>
      <c r="EP78" s="108"/>
      <c r="EQ78" s="108"/>
      <c r="ER78" s="108"/>
      <c r="ES78" s="108"/>
      <c r="ET78" s="108"/>
      <c r="EU78" s="108"/>
      <c r="EV78" s="108"/>
      <c r="EW78" s="108"/>
      <c r="EX78" s="108"/>
      <c r="EY78" s="108"/>
      <c r="EZ78" s="108"/>
      <c r="FA78" s="108"/>
      <c r="FB78" s="108"/>
      <c r="FC78" s="108"/>
      <c r="FD78" s="108"/>
      <c r="FE78" s="108"/>
      <c r="FF78" s="108"/>
      <c r="FG78" s="108"/>
      <c r="FH78" s="108"/>
      <c r="FI78" s="108"/>
      <c r="FJ78" s="108"/>
      <c r="FK78" s="108"/>
      <c r="FL78" s="108"/>
      <c r="FM78" s="108"/>
      <c r="FN78" s="108"/>
      <c r="FO78" s="108"/>
      <c r="FP78" s="108"/>
      <c r="FQ78" s="108"/>
      <c r="FR78" s="108"/>
      <c r="FS78" s="108"/>
      <c r="FT78" s="108"/>
      <c r="FU78" s="108"/>
      <c r="FV78" s="108"/>
      <c r="FW78" s="108"/>
      <c r="FX78" s="108"/>
      <c r="FY78" s="108"/>
      <c r="FZ78" s="108"/>
      <c r="GA78" s="108"/>
      <c r="GB78" s="108"/>
      <c r="GC78" s="108"/>
      <c r="GD78" s="108"/>
      <c r="GE78" s="108"/>
      <c r="GF78" s="108"/>
      <c r="GG78" s="108"/>
      <c r="GH78" s="108"/>
      <c r="GI78" s="108"/>
      <c r="GJ78" s="108"/>
      <c r="GK78" s="108"/>
      <c r="GL78" s="108"/>
      <c r="GM78" s="108"/>
      <c r="GN78" s="108"/>
      <c r="GO78" s="108"/>
      <c r="GP78" s="108"/>
      <c r="GQ78" s="108"/>
      <c r="GR78" s="108"/>
      <c r="GS78" s="108"/>
      <c r="GT78" s="108"/>
      <c r="GU78" s="108"/>
      <c r="GV78" s="108"/>
      <c r="GW78" s="108"/>
      <c r="GX78" s="108"/>
      <c r="GY78" s="108"/>
      <c r="GZ78" s="108"/>
      <c r="HA78" s="108"/>
      <c r="HB78" s="108"/>
      <c r="HC78" s="108"/>
      <c r="HD78" s="108"/>
      <c r="HE78" s="108"/>
      <c r="HF78" s="108"/>
      <c r="HG78" s="108"/>
      <c r="HH78" s="108"/>
      <c r="HI78" s="108"/>
      <c r="HJ78" s="108"/>
      <c r="HK78" s="108"/>
      <c r="HL78" s="108"/>
      <c r="HM78" s="108"/>
      <c r="HN78" s="108"/>
      <c r="HO78" s="108"/>
      <c r="HP78" s="108"/>
      <c r="HQ78" s="108"/>
      <c r="HR78" s="108"/>
      <c r="HS78" s="108"/>
      <c r="HT78" s="108"/>
      <c r="HU78" s="108"/>
      <c r="HV78" s="108"/>
      <c r="HW78" s="108"/>
      <c r="HX78" s="108"/>
      <c r="HY78" s="108"/>
      <c r="HZ78" s="108"/>
      <c r="IA78" s="108"/>
      <c r="IB78" s="108"/>
      <c r="IC78" s="108"/>
      <c r="ID78" s="108"/>
      <c r="IE78" s="108"/>
      <c r="IF78" s="108"/>
      <c r="IG78" s="108"/>
      <c r="IH78" s="108"/>
      <c r="II78" s="108"/>
      <c r="IJ78" s="108"/>
      <c r="IK78" s="108"/>
      <c r="IL78" s="108"/>
      <c r="IM78" s="108"/>
      <c r="IN78" s="108"/>
      <c r="IO78" s="108"/>
      <c r="IP78" s="108"/>
      <c r="IQ78" s="108"/>
      <c r="IR78" s="108"/>
      <c r="IS78" s="108"/>
      <c r="IT78" s="108"/>
      <c r="IU78" s="108"/>
      <c r="IV78" s="108"/>
      <c r="IW78" s="108"/>
    </row>
    <row r="79" spans="1:257" x14ac:dyDescent="0.3">
      <c r="A79" s="158"/>
      <c r="B79" s="158"/>
      <c r="C79" s="158"/>
      <c r="D79" s="158"/>
      <c r="E79" s="158"/>
      <c r="F79" s="158"/>
      <c r="G79" s="158"/>
      <c r="H79" s="158"/>
      <c r="I79" s="158"/>
      <c r="J79" s="158"/>
      <c r="K79" s="158"/>
      <c r="L79" s="158"/>
      <c r="M79" s="158"/>
      <c r="N79" s="158"/>
      <c r="O79" s="108"/>
      <c r="P79" s="108"/>
      <c r="Q79" s="108"/>
      <c r="R79" s="108"/>
      <c r="S79" s="108"/>
      <c r="T79" s="108"/>
      <c r="U79" s="108"/>
      <c r="V79" s="108"/>
      <c r="W79" s="108"/>
      <c r="X79" s="108"/>
      <c r="Y79" s="108"/>
      <c r="Z79" s="108"/>
      <c r="AA79" s="108"/>
      <c r="AB79" s="108"/>
      <c r="AC79" s="108"/>
      <c r="AD79" s="108"/>
      <c r="AE79" s="108"/>
      <c r="AF79" s="108"/>
      <c r="AG79" s="108"/>
      <c r="AH79" s="108"/>
      <c r="AI79" s="108"/>
      <c r="AJ79" s="108"/>
      <c r="AK79" s="108"/>
      <c r="AL79" s="108"/>
      <c r="AM79" s="108"/>
      <c r="AN79" s="108"/>
      <c r="AO79" s="108"/>
      <c r="AP79" s="108"/>
      <c r="AQ79" s="108"/>
      <c r="AR79" s="108"/>
      <c r="AS79" s="108"/>
      <c r="AT79" s="108"/>
      <c r="AU79" s="108"/>
      <c r="AV79" s="108"/>
      <c r="AW79" s="108"/>
      <c r="AX79" s="108"/>
      <c r="AY79" s="108"/>
      <c r="AZ79" s="108"/>
      <c r="BA79" s="108"/>
      <c r="BB79" s="108"/>
      <c r="BC79" s="108"/>
      <c r="BD79" s="108"/>
      <c r="BE79" s="108"/>
      <c r="BF79" s="108"/>
      <c r="BG79" s="108"/>
      <c r="BH79" s="108"/>
      <c r="BI79" s="108"/>
      <c r="BJ79" s="108"/>
      <c r="BK79" s="108"/>
      <c r="BL79" s="108"/>
      <c r="BM79" s="108"/>
      <c r="BN79" s="108"/>
      <c r="BO79" s="108"/>
      <c r="BP79" s="108"/>
      <c r="BQ79" s="108"/>
      <c r="BR79" s="108"/>
      <c r="BS79" s="108"/>
      <c r="BT79" s="108"/>
      <c r="BU79" s="108"/>
      <c r="BV79" s="108"/>
      <c r="BW79" s="108"/>
      <c r="BX79" s="108"/>
      <c r="BY79" s="108"/>
      <c r="BZ79" s="108"/>
      <c r="CA79" s="108"/>
      <c r="CB79" s="108"/>
      <c r="CC79" s="108"/>
      <c r="CD79" s="108"/>
      <c r="CE79" s="108"/>
      <c r="CF79" s="108"/>
      <c r="CG79" s="108"/>
      <c r="CH79" s="108"/>
      <c r="CI79" s="108"/>
      <c r="CJ79" s="108"/>
      <c r="CK79" s="108"/>
      <c r="CL79" s="108"/>
      <c r="CM79" s="108"/>
      <c r="CN79" s="108"/>
      <c r="CO79" s="108"/>
      <c r="CP79" s="108"/>
      <c r="CQ79" s="108"/>
      <c r="CR79" s="108"/>
      <c r="CS79" s="108"/>
      <c r="CT79" s="108"/>
      <c r="CU79" s="108"/>
      <c r="CV79" s="108"/>
      <c r="CW79" s="108"/>
      <c r="CX79" s="108"/>
      <c r="CY79" s="108"/>
      <c r="CZ79" s="108"/>
      <c r="DA79" s="108"/>
      <c r="DB79" s="108"/>
      <c r="DC79" s="108"/>
      <c r="DD79" s="108"/>
      <c r="DE79" s="108"/>
      <c r="DF79" s="108"/>
      <c r="DG79" s="108"/>
      <c r="DH79" s="108"/>
      <c r="DI79" s="108"/>
      <c r="DJ79" s="108"/>
      <c r="DK79" s="108"/>
      <c r="DL79" s="108"/>
      <c r="DM79" s="108"/>
      <c r="DN79" s="108"/>
      <c r="DO79" s="108"/>
      <c r="DP79" s="108"/>
      <c r="DQ79" s="108"/>
      <c r="DR79" s="108"/>
      <c r="DS79" s="108"/>
      <c r="DT79" s="108"/>
      <c r="DU79" s="108"/>
      <c r="DV79" s="108"/>
      <c r="DW79" s="108"/>
      <c r="DX79" s="108"/>
      <c r="DY79" s="108"/>
      <c r="DZ79" s="108"/>
      <c r="EA79" s="108"/>
      <c r="EB79" s="108"/>
      <c r="EC79" s="108"/>
      <c r="ED79" s="108"/>
      <c r="EE79" s="108"/>
      <c r="EF79" s="108"/>
      <c r="EG79" s="108"/>
      <c r="EH79" s="108"/>
      <c r="EI79" s="108"/>
      <c r="EJ79" s="108"/>
      <c r="EK79" s="108"/>
      <c r="EL79" s="108"/>
      <c r="EM79" s="108"/>
      <c r="EN79" s="108"/>
      <c r="EO79" s="108"/>
      <c r="EP79" s="108"/>
      <c r="EQ79" s="108"/>
      <c r="ER79" s="108"/>
      <c r="ES79" s="108"/>
      <c r="ET79" s="108"/>
      <c r="EU79" s="108"/>
      <c r="EV79" s="108"/>
      <c r="EW79" s="108"/>
      <c r="EX79" s="108"/>
      <c r="EY79" s="108"/>
      <c r="EZ79" s="108"/>
      <c r="FA79" s="108"/>
      <c r="FB79" s="108"/>
      <c r="FC79" s="108"/>
      <c r="FD79" s="108"/>
      <c r="FE79" s="108"/>
      <c r="FF79" s="108"/>
      <c r="FG79" s="108"/>
      <c r="FH79" s="108"/>
      <c r="FI79" s="108"/>
      <c r="FJ79" s="108"/>
      <c r="FK79" s="108"/>
      <c r="FL79" s="108"/>
      <c r="FM79" s="108"/>
      <c r="FN79" s="108"/>
      <c r="FO79" s="108"/>
      <c r="FP79" s="108"/>
      <c r="FQ79" s="108"/>
      <c r="FR79" s="108"/>
      <c r="FS79" s="108"/>
      <c r="FT79" s="108"/>
      <c r="FU79" s="108"/>
      <c r="FV79" s="108"/>
      <c r="FW79" s="108"/>
      <c r="FX79" s="108"/>
      <c r="FY79" s="108"/>
      <c r="FZ79" s="108"/>
      <c r="GA79" s="108"/>
      <c r="GB79" s="108"/>
      <c r="GC79" s="108"/>
      <c r="GD79" s="108"/>
      <c r="GE79" s="108"/>
      <c r="GF79" s="108"/>
      <c r="GG79" s="108"/>
      <c r="GH79" s="108"/>
      <c r="GI79" s="108"/>
      <c r="GJ79" s="108"/>
      <c r="GK79" s="108"/>
      <c r="GL79" s="108"/>
      <c r="GM79" s="108"/>
      <c r="GN79" s="108"/>
      <c r="GO79" s="108"/>
      <c r="GP79" s="108"/>
      <c r="GQ79" s="108"/>
      <c r="GR79" s="108"/>
      <c r="GS79" s="108"/>
      <c r="GT79" s="108"/>
      <c r="GU79" s="108"/>
      <c r="GV79" s="108"/>
      <c r="GW79" s="108"/>
      <c r="GX79" s="108"/>
      <c r="GY79" s="108"/>
      <c r="GZ79" s="108"/>
      <c r="HA79" s="108"/>
      <c r="HB79" s="108"/>
      <c r="HC79" s="108"/>
      <c r="HD79" s="108"/>
      <c r="HE79" s="108"/>
      <c r="HF79" s="108"/>
      <c r="HG79" s="108"/>
      <c r="HH79" s="108"/>
      <c r="HI79" s="108"/>
      <c r="HJ79" s="108"/>
      <c r="HK79" s="108"/>
      <c r="HL79" s="108"/>
      <c r="HM79" s="108"/>
      <c r="HN79" s="108"/>
      <c r="HO79" s="108"/>
      <c r="HP79" s="108"/>
      <c r="HQ79" s="108"/>
      <c r="HR79" s="108"/>
      <c r="HS79" s="108"/>
      <c r="HT79" s="108"/>
      <c r="HU79" s="108"/>
      <c r="HV79" s="108"/>
      <c r="HW79" s="108"/>
      <c r="HX79" s="108"/>
      <c r="HY79" s="108"/>
      <c r="HZ79" s="108"/>
      <c r="IA79" s="108"/>
      <c r="IB79" s="108"/>
      <c r="IC79" s="108"/>
      <c r="ID79" s="108"/>
      <c r="IE79" s="108"/>
      <c r="IF79" s="108"/>
      <c r="IG79" s="108"/>
      <c r="IH79" s="108"/>
      <c r="II79" s="108"/>
      <c r="IJ79" s="108"/>
      <c r="IK79" s="108"/>
      <c r="IL79" s="108"/>
      <c r="IM79" s="108"/>
      <c r="IN79" s="108"/>
      <c r="IO79" s="108"/>
      <c r="IP79" s="108"/>
      <c r="IQ79" s="108"/>
      <c r="IR79" s="108"/>
      <c r="IS79" s="108"/>
      <c r="IT79" s="108"/>
      <c r="IU79" s="108"/>
      <c r="IV79" s="108"/>
      <c r="IW79" s="108"/>
    </row>
    <row r="80" spans="1:257" x14ac:dyDescent="0.3">
      <c r="A80" s="158"/>
      <c r="B80" s="158"/>
      <c r="C80" s="158"/>
      <c r="D80" s="158"/>
      <c r="E80" s="158"/>
      <c r="F80" s="158"/>
      <c r="G80" s="158"/>
      <c r="H80" s="158"/>
      <c r="I80" s="158"/>
      <c r="J80" s="158"/>
      <c r="K80" s="158"/>
      <c r="L80" s="158"/>
      <c r="M80" s="158"/>
      <c r="N80" s="158"/>
      <c r="O80" s="108"/>
      <c r="P80" s="108"/>
      <c r="Q80" s="108"/>
      <c r="R80" s="108"/>
      <c r="S80" s="108"/>
      <c r="T80" s="108"/>
      <c r="U80" s="108"/>
      <c r="V80" s="108"/>
      <c r="W80" s="108"/>
      <c r="X80" s="108"/>
      <c r="Y80" s="108"/>
      <c r="Z80" s="108"/>
      <c r="AA80" s="108"/>
      <c r="AB80" s="108"/>
      <c r="AC80" s="108"/>
      <c r="AD80" s="108"/>
      <c r="AE80" s="108"/>
      <c r="AF80" s="108"/>
      <c r="AG80" s="108"/>
      <c r="AH80" s="108"/>
      <c r="AI80" s="108"/>
      <c r="AJ80" s="108"/>
      <c r="AK80" s="108"/>
      <c r="AL80" s="108"/>
      <c r="AM80" s="108"/>
      <c r="AN80" s="108"/>
      <c r="AO80" s="108"/>
      <c r="AP80" s="108"/>
      <c r="AQ80" s="108"/>
      <c r="AR80" s="108"/>
      <c r="AS80" s="108"/>
      <c r="AT80" s="108"/>
      <c r="AU80" s="108"/>
      <c r="AV80" s="108"/>
      <c r="AW80" s="108"/>
      <c r="AX80" s="108"/>
      <c r="AY80" s="108"/>
      <c r="AZ80" s="108"/>
      <c r="BA80" s="108"/>
      <c r="BB80" s="108"/>
      <c r="BC80" s="108"/>
      <c r="BD80" s="108"/>
      <c r="BE80" s="108"/>
      <c r="BF80" s="108"/>
      <c r="BG80" s="108"/>
      <c r="BH80" s="108"/>
      <c r="BI80" s="108"/>
      <c r="BJ80" s="108"/>
      <c r="BK80" s="108"/>
      <c r="BL80" s="108"/>
      <c r="BM80" s="108"/>
      <c r="BN80" s="108"/>
      <c r="BO80" s="108"/>
      <c r="BP80" s="108"/>
      <c r="BQ80" s="108"/>
      <c r="BR80" s="108"/>
      <c r="BS80" s="108"/>
      <c r="BT80" s="108"/>
      <c r="BU80" s="108"/>
      <c r="BV80" s="108"/>
      <c r="BW80" s="108"/>
      <c r="BX80" s="108"/>
      <c r="BY80" s="108"/>
      <c r="BZ80" s="108"/>
      <c r="CA80" s="108"/>
      <c r="CB80" s="108"/>
      <c r="CC80" s="108"/>
      <c r="CD80" s="108"/>
      <c r="CE80" s="108"/>
      <c r="CF80" s="108"/>
      <c r="CG80" s="108"/>
      <c r="CH80" s="108"/>
      <c r="CI80" s="108"/>
      <c r="CJ80" s="108"/>
      <c r="CK80" s="108"/>
      <c r="CL80" s="108"/>
      <c r="CM80" s="108"/>
      <c r="CN80" s="108"/>
      <c r="CO80" s="108"/>
      <c r="CP80" s="108"/>
      <c r="CQ80" s="108"/>
      <c r="CR80" s="108"/>
      <c r="CS80" s="108"/>
      <c r="CT80" s="108"/>
      <c r="CU80" s="108"/>
      <c r="CV80" s="108"/>
      <c r="CW80" s="108"/>
      <c r="CX80" s="108"/>
      <c r="CY80" s="108"/>
      <c r="CZ80" s="108"/>
      <c r="DA80" s="108"/>
      <c r="DB80" s="108"/>
      <c r="DC80" s="108"/>
      <c r="DD80" s="108"/>
      <c r="DE80" s="108"/>
      <c r="DF80" s="108"/>
      <c r="DG80" s="108"/>
      <c r="DH80" s="108"/>
      <c r="DI80" s="108"/>
      <c r="DJ80" s="108"/>
      <c r="DK80" s="108"/>
      <c r="DL80" s="108"/>
      <c r="DM80" s="108"/>
      <c r="DN80" s="108"/>
      <c r="DO80" s="108"/>
      <c r="DP80" s="108"/>
      <c r="DQ80" s="108"/>
      <c r="DR80" s="108"/>
      <c r="DS80" s="108"/>
      <c r="DT80" s="108"/>
      <c r="DU80" s="108"/>
      <c r="DV80" s="108"/>
      <c r="DW80" s="108"/>
      <c r="DX80" s="108"/>
      <c r="DY80" s="108"/>
      <c r="DZ80" s="108"/>
      <c r="EA80" s="108"/>
      <c r="EB80" s="108"/>
      <c r="EC80" s="108"/>
      <c r="ED80" s="108"/>
      <c r="EE80" s="108"/>
      <c r="EF80" s="108"/>
      <c r="EG80" s="108"/>
      <c r="EH80" s="108"/>
      <c r="EI80" s="108"/>
      <c r="EJ80" s="108"/>
      <c r="EK80" s="108"/>
      <c r="EL80" s="108"/>
      <c r="EM80" s="108"/>
      <c r="EN80" s="108"/>
      <c r="EO80" s="108"/>
      <c r="EP80" s="108"/>
      <c r="EQ80" s="108"/>
      <c r="ER80" s="108"/>
      <c r="ES80" s="108"/>
      <c r="ET80" s="108"/>
      <c r="EU80" s="108"/>
      <c r="EV80" s="108"/>
      <c r="EW80" s="108"/>
      <c r="EX80" s="108"/>
      <c r="EY80" s="108"/>
      <c r="EZ80" s="108"/>
      <c r="FA80" s="108"/>
      <c r="FB80" s="108"/>
      <c r="FC80" s="108"/>
      <c r="FD80" s="108"/>
      <c r="FE80" s="108"/>
      <c r="FF80" s="108"/>
      <c r="FG80" s="108"/>
      <c r="FH80" s="108"/>
      <c r="FI80" s="108"/>
      <c r="FJ80" s="108"/>
      <c r="FK80" s="108"/>
      <c r="FL80" s="108"/>
      <c r="FM80" s="108"/>
      <c r="FN80" s="108"/>
      <c r="FO80" s="108"/>
      <c r="FP80" s="108"/>
      <c r="FQ80" s="108"/>
      <c r="FR80" s="108"/>
      <c r="FS80" s="108"/>
      <c r="FT80" s="108"/>
      <c r="FU80" s="108"/>
      <c r="FV80" s="108"/>
      <c r="FW80" s="108"/>
      <c r="FX80" s="108"/>
      <c r="FY80" s="108"/>
      <c r="FZ80" s="108"/>
      <c r="GA80" s="108"/>
      <c r="GB80" s="108"/>
      <c r="GC80" s="108"/>
      <c r="GD80" s="108"/>
      <c r="GE80" s="108"/>
      <c r="GF80" s="108"/>
      <c r="GG80" s="108"/>
      <c r="GH80" s="108"/>
      <c r="GI80" s="108"/>
      <c r="GJ80" s="108"/>
      <c r="GK80" s="108"/>
      <c r="GL80" s="108"/>
      <c r="GM80" s="108"/>
      <c r="GN80" s="108"/>
      <c r="GO80" s="108"/>
      <c r="GP80" s="108"/>
      <c r="GQ80" s="108"/>
      <c r="GR80" s="108"/>
      <c r="GS80" s="108"/>
      <c r="GT80" s="108"/>
      <c r="GU80" s="108"/>
      <c r="GV80" s="108"/>
      <c r="GW80" s="108"/>
      <c r="GX80" s="108"/>
      <c r="GY80" s="108"/>
      <c r="GZ80" s="108"/>
      <c r="HA80" s="108"/>
      <c r="HB80" s="108"/>
      <c r="HC80" s="108"/>
      <c r="HD80" s="108"/>
      <c r="HE80" s="108"/>
      <c r="HF80" s="108"/>
      <c r="HG80" s="108"/>
      <c r="HH80" s="108"/>
      <c r="HI80" s="108"/>
      <c r="HJ80" s="108"/>
      <c r="HK80" s="108"/>
      <c r="HL80" s="108"/>
      <c r="HM80" s="108"/>
      <c r="HN80" s="108"/>
      <c r="HO80" s="108"/>
      <c r="HP80" s="108"/>
      <c r="HQ80" s="108"/>
      <c r="HR80" s="108"/>
      <c r="HS80" s="108"/>
      <c r="HT80" s="108"/>
      <c r="HU80" s="108"/>
      <c r="HV80" s="108"/>
      <c r="HW80" s="108"/>
      <c r="HX80" s="108"/>
      <c r="HY80" s="108"/>
      <c r="HZ80" s="108"/>
      <c r="IA80" s="108"/>
      <c r="IB80" s="108"/>
      <c r="IC80" s="108"/>
      <c r="ID80" s="108"/>
      <c r="IE80" s="108"/>
      <c r="IF80" s="108"/>
      <c r="IG80" s="108"/>
      <c r="IH80" s="108"/>
      <c r="II80" s="108"/>
      <c r="IJ80" s="108"/>
      <c r="IK80" s="108"/>
      <c r="IL80" s="108"/>
      <c r="IM80" s="108"/>
      <c r="IN80" s="108"/>
      <c r="IO80" s="108"/>
      <c r="IP80" s="108"/>
      <c r="IQ80" s="108"/>
      <c r="IR80" s="108"/>
      <c r="IS80" s="108"/>
      <c r="IT80" s="108"/>
      <c r="IU80" s="108"/>
      <c r="IV80" s="108"/>
      <c r="IW80" s="108"/>
    </row>
    <row r="81" spans="1:257" x14ac:dyDescent="0.3">
      <c r="A81" s="158"/>
      <c r="B81" s="158"/>
      <c r="C81" s="158"/>
      <c r="D81" s="158"/>
      <c r="E81" s="158"/>
      <c r="F81" s="158"/>
      <c r="G81" s="158"/>
      <c r="H81" s="158"/>
      <c r="I81" s="158"/>
      <c r="J81" s="158"/>
      <c r="K81" s="158"/>
      <c r="L81" s="158"/>
      <c r="M81" s="158"/>
      <c r="N81" s="158"/>
      <c r="O81" s="108"/>
      <c r="P81" s="108"/>
      <c r="Q81" s="108"/>
      <c r="R81" s="108"/>
      <c r="S81" s="108"/>
      <c r="T81" s="108"/>
      <c r="U81" s="108"/>
      <c r="V81" s="108"/>
      <c r="W81" s="108"/>
      <c r="X81" s="108"/>
      <c r="Y81" s="108"/>
      <c r="Z81" s="108"/>
      <c r="AA81" s="108"/>
      <c r="AB81" s="108"/>
      <c r="AC81" s="108"/>
      <c r="AD81" s="108"/>
      <c r="AE81" s="108"/>
      <c r="AF81" s="108"/>
      <c r="AG81" s="108"/>
      <c r="AH81" s="108"/>
      <c r="AI81" s="108"/>
      <c r="AJ81" s="108"/>
      <c r="AK81" s="108"/>
      <c r="AL81" s="108"/>
      <c r="AM81" s="108"/>
      <c r="AN81" s="108"/>
      <c r="AO81" s="108"/>
      <c r="AP81" s="108"/>
      <c r="AQ81" s="108"/>
      <c r="AR81" s="108"/>
      <c r="AS81" s="108"/>
      <c r="AT81" s="108"/>
      <c r="AU81" s="108"/>
      <c r="AV81" s="108"/>
      <c r="AW81" s="108"/>
      <c r="AX81" s="108"/>
      <c r="AY81" s="108"/>
      <c r="AZ81" s="108"/>
      <c r="BA81" s="108"/>
      <c r="BB81" s="108"/>
      <c r="BC81" s="108"/>
      <c r="BD81" s="108"/>
      <c r="BE81" s="108"/>
      <c r="BF81" s="108"/>
      <c r="BG81" s="108"/>
      <c r="BH81" s="108"/>
      <c r="BI81" s="108"/>
      <c r="BJ81" s="108"/>
      <c r="BK81" s="108"/>
      <c r="BL81" s="108"/>
      <c r="BM81" s="108"/>
      <c r="BN81" s="108"/>
      <c r="BO81" s="108"/>
      <c r="BP81" s="108"/>
      <c r="BQ81" s="108"/>
      <c r="BR81" s="108"/>
      <c r="BS81" s="108"/>
      <c r="BT81" s="108"/>
      <c r="BU81" s="108"/>
      <c r="BV81" s="108"/>
      <c r="BW81" s="108"/>
      <c r="BX81" s="108"/>
      <c r="BY81" s="108"/>
      <c r="BZ81" s="108"/>
      <c r="CA81" s="108"/>
      <c r="CB81" s="108"/>
      <c r="CC81" s="108"/>
      <c r="CD81" s="108"/>
      <c r="CE81" s="108"/>
      <c r="CF81" s="108"/>
      <c r="CG81" s="108"/>
      <c r="CH81" s="108"/>
      <c r="CI81" s="108"/>
      <c r="CJ81" s="108"/>
      <c r="CK81" s="108"/>
      <c r="CL81" s="108"/>
      <c r="CM81" s="108"/>
      <c r="CN81" s="108"/>
      <c r="CO81" s="108"/>
      <c r="CP81" s="108"/>
      <c r="CQ81" s="108"/>
      <c r="CR81" s="108"/>
      <c r="CS81" s="108"/>
      <c r="CT81" s="108"/>
      <c r="CU81" s="108"/>
      <c r="CV81" s="108"/>
      <c r="CW81" s="108"/>
      <c r="CX81" s="108"/>
      <c r="CY81" s="108"/>
      <c r="CZ81" s="108"/>
      <c r="DA81" s="108"/>
      <c r="DB81" s="108"/>
      <c r="DC81" s="108"/>
      <c r="DD81" s="108"/>
      <c r="DE81" s="108"/>
      <c r="DF81" s="108"/>
      <c r="DG81" s="108"/>
      <c r="DH81" s="108"/>
      <c r="DI81" s="108"/>
      <c r="DJ81" s="108"/>
      <c r="DK81" s="108"/>
      <c r="DL81" s="108"/>
      <c r="DM81" s="108"/>
      <c r="DN81" s="108"/>
      <c r="DO81" s="108"/>
      <c r="DP81" s="108"/>
      <c r="DQ81" s="108"/>
      <c r="DR81" s="108"/>
      <c r="DS81" s="108"/>
      <c r="DT81" s="108"/>
      <c r="DU81" s="108"/>
      <c r="DV81" s="108"/>
      <c r="DW81" s="108"/>
      <c r="DX81" s="108"/>
      <c r="DY81" s="108"/>
      <c r="DZ81" s="108"/>
      <c r="EA81" s="108"/>
      <c r="EB81" s="108"/>
      <c r="EC81" s="108"/>
      <c r="ED81" s="108"/>
      <c r="EE81" s="108"/>
      <c r="EF81" s="108"/>
      <c r="EG81" s="108"/>
      <c r="EH81" s="108"/>
      <c r="EI81" s="108"/>
      <c r="EJ81" s="108"/>
      <c r="EK81" s="108"/>
      <c r="EL81" s="108"/>
      <c r="EM81" s="108"/>
      <c r="EN81" s="108"/>
      <c r="EO81" s="108"/>
      <c r="EP81" s="108"/>
      <c r="EQ81" s="108"/>
      <c r="ER81" s="108"/>
      <c r="ES81" s="108"/>
      <c r="ET81" s="108"/>
      <c r="EU81" s="108"/>
      <c r="EV81" s="108"/>
      <c r="EW81" s="108"/>
      <c r="EX81" s="108"/>
      <c r="EY81" s="108"/>
      <c r="EZ81" s="108"/>
      <c r="FA81" s="108"/>
      <c r="FB81" s="108"/>
      <c r="FC81" s="108"/>
      <c r="FD81" s="108"/>
      <c r="FE81" s="108"/>
      <c r="FF81" s="108"/>
      <c r="FG81" s="108"/>
      <c r="FH81" s="108"/>
      <c r="FI81" s="108"/>
      <c r="FJ81" s="108"/>
      <c r="FK81" s="108"/>
      <c r="FL81" s="108"/>
      <c r="FM81" s="108"/>
      <c r="FN81" s="108"/>
      <c r="FO81" s="108"/>
      <c r="FP81" s="108"/>
      <c r="FQ81" s="108"/>
      <c r="FR81" s="108"/>
      <c r="FS81" s="108"/>
      <c r="FT81" s="108"/>
      <c r="FU81" s="108"/>
      <c r="FV81" s="108"/>
      <c r="FW81" s="108"/>
      <c r="FX81" s="108"/>
      <c r="FY81" s="108"/>
      <c r="FZ81" s="108"/>
      <c r="GA81" s="108"/>
      <c r="GB81" s="108"/>
      <c r="GC81" s="108"/>
      <c r="GD81" s="108"/>
      <c r="GE81" s="108"/>
      <c r="GF81" s="108"/>
      <c r="GG81" s="108"/>
      <c r="GH81" s="108"/>
      <c r="GI81" s="108"/>
      <c r="GJ81" s="108"/>
      <c r="GK81" s="108"/>
      <c r="GL81" s="108"/>
      <c r="GM81" s="108"/>
      <c r="GN81" s="108"/>
      <c r="GO81" s="108"/>
      <c r="GP81" s="108"/>
      <c r="GQ81" s="108"/>
      <c r="GR81" s="108"/>
      <c r="GS81" s="108"/>
      <c r="GT81" s="108"/>
      <c r="GU81" s="108"/>
      <c r="GV81" s="108"/>
      <c r="GW81" s="108"/>
      <c r="GX81" s="108"/>
      <c r="GY81" s="108"/>
      <c r="GZ81" s="108"/>
      <c r="HA81" s="108"/>
      <c r="HB81" s="108"/>
      <c r="HC81" s="108"/>
      <c r="HD81" s="108"/>
      <c r="HE81" s="108"/>
      <c r="HF81" s="108"/>
      <c r="HG81" s="108"/>
      <c r="HH81" s="108"/>
      <c r="HI81" s="108"/>
      <c r="HJ81" s="108"/>
      <c r="HK81" s="108"/>
      <c r="HL81" s="108"/>
      <c r="HM81" s="108"/>
      <c r="HN81" s="108"/>
      <c r="HO81" s="108"/>
      <c r="HP81" s="108"/>
      <c r="HQ81" s="108"/>
      <c r="HR81" s="108"/>
      <c r="HS81" s="108"/>
      <c r="HT81" s="108"/>
      <c r="HU81" s="108"/>
      <c r="HV81" s="108"/>
      <c r="HW81" s="108"/>
      <c r="HX81" s="108"/>
      <c r="HY81" s="108"/>
      <c r="HZ81" s="108"/>
      <c r="IA81" s="108"/>
      <c r="IB81" s="108"/>
      <c r="IC81" s="108"/>
      <c r="ID81" s="108"/>
      <c r="IE81" s="108"/>
      <c r="IF81" s="108"/>
      <c r="IG81" s="108"/>
      <c r="IH81" s="108"/>
      <c r="II81" s="108"/>
      <c r="IJ81" s="108"/>
      <c r="IK81" s="108"/>
      <c r="IL81" s="108"/>
      <c r="IM81" s="108"/>
      <c r="IN81" s="108"/>
      <c r="IO81" s="108"/>
      <c r="IP81" s="108"/>
      <c r="IQ81" s="108"/>
      <c r="IR81" s="108"/>
      <c r="IS81" s="108"/>
      <c r="IT81" s="108"/>
      <c r="IU81" s="108"/>
      <c r="IV81" s="108"/>
      <c r="IW81" s="108"/>
    </row>
    <row r="82" spans="1:257" x14ac:dyDescent="0.3">
      <c r="A82" s="158"/>
      <c r="B82" s="158"/>
      <c r="C82" s="158"/>
      <c r="D82" s="158"/>
      <c r="E82" s="158"/>
      <c r="F82" s="158"/>
      <c r="G82" s="158"/>
      <c r="H82" s="158"/>
      <c r="I82" s="158"/>
      <c r="J82" s="158"/>
      <c r="K82" s="158"/>
      <c r="L82" s="158"/>
      <c r="M82" s="158"/>
      <c r="N82" s="158"/>
      <c r="O82" s="108"/>
      <c r="P82" s="108"/>
      <c r="Q82" s="108"/>
      <c r="R82" s="108"/>
      <c r="S82" s="108"/>
      <c r="T82" s="108"/>
      <c r="U82" s="108"/>
      <c r="V82" s="108"/>
      <c r="W82" s="108"/>
      <c r="X82" s="108"/>
      <c r="Y82" s="108"/>
      <c r="Z82" s="108"/>
      <c r="AA82" s="108"/>
      <c r="AB82" s="108"/>
      <c r="AC82" s="108"/>
      <c r="AD82" s="108"/>
      <c r="AE82" s="108"/>
      <c r="AF82" s="108"/>
      <c r="AG82" s="108"/>
      <c r="AH82" s="108"/>
      <c r="AI82" s="108"/>
      <c r="AJ82" s="108"/>
      <c r="AK82" s="108"/>
      <c r="AL82" s="108"/>
      <c r="AM82" s="108"/>
      <c r="AN82" s="108"/>
      <c r="AO82" s="108"/>
      <c r="AP82" s="108"/>
      <c r="AQ82" s="108"/>
      <c r="AR82" s="108"/>
      <c r="AS82" s="108"/>
      <c r="AT82" s="108"/>
      <c r="AU82" s="108"/>
      <c r="AV82" s="108"/>
      <c r="AW82" s="108"/>
      <c r="AX82" s="108"/>
      <c r="AY82" s="108"/>
      <c r="AZ82" s="108"/>
      <c r="BA82" s="108"/>
      <c r="BB82" s="108"/>
      <c r="BC82" s="108"/>
      <c r="BD82" s="108"/>
      <c r="BE82" s="108"/>
      <c r="BF82" s="108"/>
      <c r="BG82" s="108"/>
      <c r="BH82" s="108"/>
      <c r="BI82" s="108"/>
      <c r="BJ82" s="108"/>
      <c r="BK82" s="108"/>
      <c r="BL82" s="108"/>
      <c r="BM82" s="108"/>
      <c r="BN82" s="108"/>
      <c r="BO82" s="108"/>
      <c r="BP82" s="108"/>
      <c r="BQ82" s="108"/>
      <c r="BR82" s="108"/>
      <c r="BS82" s="108"/>
      <c r="BT82" s="108"/>
      <c r="BU82" s="108"/>
      <c r="BV82" s="108"/>
      <c r="BW82" s="108"/>
      <c r="BX82" s="108"/>
      <c r="BY82" s="108"/>
      <c r="BZ82" s="108"/>
      <c r="CA82" s="108"/>
      <c r="CB82" s="108"/>
      <c r="CC82" s="108"/>
      <c r="CD82" s="108"/>
      <c r="CE82" s="108"/>
      <c r="CF82" s="108"/>
      <c r="CG82" s="108"/>
      <c r="CH82" s="108"/>
      <c r="CI82" s="108"/>
      <c r="CJ82" s="108"/>
      <c r="CK82" s="108"/>
      <c r="CL82" s="108"/>
      <c r="CM82" s="108"/>
      <c r="CN82" s="108"/>
      <c r="CO82" s="108"/>
      <c r="CP82" s="108"/>
      <c r="CQ82" s="108"/>
      <c r="CR82" s="108"/>
      <c r="CS82" s="108"/>
      <c r="CT82" s="108"/>
      <c r="CU82" s="108"/>
      <c r="CV82" s="108"/>
      <c r="CW82" s="108"/>
      <c r="CX82" s="108"/>
      <c r="CY82" s="108"/>
      <c r="CZ82" s="108"/>
      <c r="DA82" s="108"/>
      <c r="DB82" s="108"/>
      <c r="DC82" s="108"/>
      <c r="DD82" s="108"/>
      <c r="DE82" s="108"/>
      <c r="DF82" s="108"/>
      <c r="DG82" s="108"/>
      <c r="DH82" s="108"/>
      <c r="DI82" s="108"/>
      <c r="DJ82" s="108"/>
      <c r="DK82" s="108"/>
      <c r="DL82" s="108"/>
      <c r="DM82" s="108"/>
      <c r="DN82" s="108"/>
      <c r="DO82" s="108"/>
      <c r="DP82" s="108"/>
      <c r="DQ82" s="108"/>
      <c r="DR82" s="108"/>
      <c r="DS82" s="108"/>
      <c r="DT82" s="108"/>
      <c r="DU82" s="108"/>
      <c r="DV82" s="108"/>
      <c r="DW82" s="108"/>
      <c r="DX82" s="108"/>
      <c r="DY82" s="108"/>
      <c r="DZ82" s="108"/>
      <c r="EA82" s="108"/>
      <c r="EB82" s="108"/>
      <c r="EC82" s="108"/>
      <c r="ED82" s="108"/>
      <c r="EE82" s="108"/>
      <c r="EF82" s="108"/>
      <c r="EG82" s="108"/>
      <c r="EH82" s="108"/>
      <c r="EI82" s="108"/>
      <c r="EJ82" s="108"/>
      <c r="EK82" s="108"/>
      <c r="EL82" s="108"/>
      <c r="EM82" s="108"/>
      <c r="EN82" s="108"/>
      <c r="EO82" s="108"/>
      <c r="EP82" s="108"/>
      <c r="EQ82" s="108"/>
      <c r="ER82" s="108"/>
      <c r="ES82" s="108"/>
      <c r="ET82" s="108"/>
      <c r="EU82" s="108"/>
      <c r="EV82" s="108"/>
      <c r="EW82" s="108"/>
      <c r="EX82" s="108"/>
      <c r="EY82" s="108"/>
      <c r="EZ82" s="108"/>
      <c r="FA82" s="108"/>
      <c r="FB82" s="108"/>
      <c r="FC82" s="108"/>
      <c r="FD82" s="108"/>
      <c r="FE82" s="108"/>
      <c r="FF82" s="108"/>
      <c r="FG82" s="108"/>
      <c r="FH82" s="108"/>
      <c r="FI82" s="108"/>
      <c r="FJ82" s="108"/>
      <c r="FK82" s="108"/>
      <c r="FL82" s="108"/>
      <c r="FM82" s="108"/>
      <c r="FN82" s="108"/>
      <c r="FO82" s="108"/>
      <c r="FP82" s="108"/>
      <c r="FQ82" s="108"/>
      <c r="FR82" s="108"/>
      <c r="FS82" s="108"/>
      <c r="FT82" s="108"/>
      <c r="FU82" s="108"/>
      <c r="FV82" s="108"/>
      <c r="FW82" s="108"/>
      <c r="FX82" s="108"/>
      <c r="FY82" s="108"/>
      <c r="FZ82" s="108"/>
      <c r="GA82" s="108"/>
      <c r="GB82" s="108"/>
      <c r="GC82" s="108"/>
      <c r="GD82" s="108"/>
      <c r="GE82" s="108"/>
      <c r="GF82" s="108"/>
      <c r="GG82" s="108"/>
      <c r="GH82" s="108"/>
      <c r="GI82" s="108"/>
      <c r="GJ82" s="108"/>
      <c r="GK82" s="108"/>
      <c r="GL82" s="108"/>
      <c r="GM82" s="108"/>
      <c r="GN82" s="108"/>
      <c r="GO82" s="108"/>
      <c r="GP82" s="108"/>
      <c r="GQ82" s="108"/>
      <c r="GR82" s="108"/>
      <c r="GS82" s="108"/>
      <c r="GT82" s="108"/>
      <c r="GU82" s="108"/>
      <c r="GV82" s="108"/>
      <c r="GW82" s="108"/>
      <c r="GX82" s="108"/>
      <c r="GY82" s="108"/>
      <c r="GZ82" s="108"/>
      <c r="HA82" s="108"/>
      <c r="HB82" s="108"/>
      <c r="HC82" s="108"/>
      <c r="HD82" s="108"/>
      <c r="HE82" s="108"/>
      <c r="HF82" s="108"/>
      <c r="HG82" s="108"/>
      <c r="HH82" s="108"/>
      <c r="HI82" s="108"/>
      <c r="HJ82" s="108"/>
      <c r="HK82" s="108"/>
      <c r="HL82" s="108"/>
      <c r="HM82" s="108"/>
      <c r="HN82" s="108"/>
      <c r="HO82" s="108"/>
      <c r="HP82" s="108"/>
      <c r="HQ82" s="108"/>
      <c r="HR82" s="108"/>
      <c r="HS82" s="108"/>
      <c r="HT82" s="108"/>
      <c r="HU82" s="108"/>
      <c r="HV82" s="108"/>
      <c r="HW82" s="108"/>
      <c r="HX82" s="108"/>
      <c r="HY82" s="108"/>
      <c r="HZ82" s="108"/>
      <c r="IA82" s="108"/>
      <c r="IB82" s="108"/>
      <c r="IC82" s="108"/>
      <c r="ID82" s="108"/>
      <c r="IE82" s="108"/>
      <c r="IF82" s="108"/>
      <c r="IG82" s="108"/>
      <c r="IH82" s="108"/>
      <c r="II82" s="108"/>
      <c r="IJ82" s="108"/>
      <c r="IK82" s="108"/>
      <c r="IL82" s="108"/>
      <c r="IM82" s="108"/>
      <c r="IN82" s="108"/>
      <c r="IO82" s="108"/>
      <c r="IP82" s="108"/>
      <c r="IQ82" s="108"/>
      <c r="IR82" s="108"/>
      <c r="IS82" s="108"/>
      <c r="IT82" s="108"/>
      <c r="IU82" s="108"/>
      <c r="IV82" s="108"/>
      <c r="IW82" s="108"/>
    </row>
    <row r="83" spans="1:257" x14ac:dyDescent="0.3">
      <c r="A83" s="158"/>
      <c r="B83" s="158"/>
      <c r="C83" s="158"/>
      <c r="D83" s="158"/>
      <c r="E83" s="158"/>
      <c r="F83" s="158"/>
      <c r="G83" s="158"/>
      <c r="H83" s="158"/>
      <c r="I83" s="158"/>
      <c r="J83" s="158"/>
      <c r="K83" s="158"/>
      <c r="L83" s="158"/>
      <c r="M83" s="158"/>
      <c r="N83" s="158"/>
      <c r="O83" s="108"/>
      <c r="P83" s="108"/>
      <c r="Q83" s="108"/>
      <c r="R83" s="108"/>
      <c r="S83" s="108"/>
      <c r="T83" s="108"/>
      <c r="U83" s="108"/>
      <c r="V83" s="108"/>
      <c r="W83" s="108"/>
      <c r="X83" s="108"/>
      <c r="Y83" s="108"/>
      <c r="Z83" s="108"/>
      <c r="AA83" s="108"/>
      <c r="AB83" s="108"/>
      <c r="AC83" s="108"/>
      <c r="AD83" s="108"/>
      <c r="AE83" s="108"/>
      <c r="AF83" s="108"/>
      <c r="AG83" s="108"/>
      <c r="AH83" s="108"/>
      <c r="AI83" s="108"/>
      <c r="AJ83" s="108"/>
      <c r="AK83" s="108"/>
      <c r="AL83" s="108"/>
      <c r="AM83" s="108"/>
      <c r="AN83" s="108"/>
      <c r="AO83" s="108"/>
      <c r="AP83" s="108"/>
      <c r="AQ83" s="108"/>
      <c r="AR83" s="108"/>
      <c r="AS83" s="108"/>
      <c r="AT83" s="108"/>
      <c r="AU83" s="108"/>
      <c r="AV83" s="108"/>
      <c r="AW83" s="108"/>
      <c r="AX83" s="108"/>
      <c r="AY83" s="108"/>
      <c r="AZ83" s="108"/>
      <c r="BA83" s="108"/>
      <c r="BB83" s="108"/>
      <c r="BC83" s="108"/>
      <c r="BD83" s="108"/>
      <c r="BE83" s="108"/>
      <c r="BF83" s="108"/>
      <c r="BG83" s="108"/>
      <c r="BH83" s="108"/>
      <c r="BI83" s="108"/>
      <c r="BJ83" s="108"/>
      <c r="BK83" s="108"/>
      <c r="BL83" s="108"/>
      <c r="BM83" s="108"/>
      <c r="BN83" s="108"/>
      <c r="BO83" s="108"/>
      <c r="BP83" s="108"/>
      <c r="BQ83" s="108"/>
      <c r="BR83" s="108"/>
      <c r="BS83" s="108"/>
      <c r="BT83" s="108"/>
      <c r="BU83" s="108"/>
      <c r="BV83" s="108"/>
      <c r="BW83" s="108"/>
      <c r="BX83" s="108"/>
      <c r="BY83" s="108"/>
      <c r="BZ83" s="108"/>
      <c r="CA83" s="108"/>
      <c r="CB83" s="108"/>
      <c r="CC83" s="108"/>
      <c r="CD83" s="108"/>
      <c r="CE83" s="108"/>
      <c r="CF83" s="108"/>
      <c r="CG83" s="108"/>
      <c r="CH83" s="108"/>
      <c r="CI83" s="108"/>
      <c r="CJ83" s="108"/>
      <c r="CK83" s="108"/>
      <c r="CL83" s="108"/>
      <c r="CM83" s="108"/>
      <c r="CN83" s="108"/>
      <c r="CO83" s="108"/>
      <c r="CP83" s="108"/>
      <c r="CQ83" s="108"/>
      <c r="CR83" s="108"/>
      <c r="CS83" s="108"/>
      <c r="CT83" s="108"/>
      <c r="CU83" s="108"/>
      <c r="CV83" s="108"/>
      <c r="CW83" s="108"/>
      <c r="CX83" s="108"/>
      <c r="CY83" s="108"/>
      <c r="CZ83" s="108"/>
      <c r="DA83" s="108"/>
      <c r="DB83" s="108"/>
      <c r="DC83" s="108"/>
      <c r="DD83" s="108"/>
      <c r="DE83" s="108"/>
      <c r="DF83" s="108"/>
      <c r="DG83" s="108"/>
      <c r="DH83" s="108"/>
      <c r="DI83" s="108"/>
      <c r="DJ83" s="108"/>
      <c r="DK83" s="108"/>
      <c r="DL83" s="108"/>
      <c r="DM83" s="108"/>
      <c r="DN83" s="108"/>
      <c r="DO83" s="108"/>
      <c r="DP83" s="108"/>
      <c r="DQ83" s="108"/>
      <c r="DR83" s="108"/>
      <c r="DS83" s="108"/>
      <c r="DT83" s="108"/>
      <c r="DU83" s="108"/>
      <c r="DV83" s="108"/>
      <c r="DW83" s="108"/>
      <c r="DX83" s="108"/>
      <c r="DY83" s="108"/>
      <c r="DZ83" s="108"/>
      <c r="EA83" s="108"/>
      <c r="EB83" s="108"/>
      <c r="EC83" s="108"/>
      <c r="ED83" s="108"/>
      <c r="EE83" s="108"/>
      <c r="EF83" s="108"/>
      <c r="EG83" s="108"/>
      <c r="EH83" s="108"/>
      <c r="EI83" s="108"/>
      <c r="EJ83" s="108"/>
      <c r="EK83" s="108"/>
      <c r="EL83" s="108"/>
      <c r="EM83" s="108"/>
      <c r="EN83" s="108"/>
      <c r="EO83" s="108"/>
      <c r="EP83" s="108"/>
      <c r="EQ83" s="108"/>
      <c r="ER83" s="108"/>
      <c r="ES83" s="108"/>
      <c r="ET83" s="108"/>
      <c r="EU83" s="108"/>
      <c r="EV83" s="108"/>
      <c r="EW83" s="108"/>
      <c r="EX83" s="108"/>
      <c r="EY83" s="108"/>
      <c r="EZ83" s="108"/>
      <c r="FA83" s="108"/>
      <c r="FB83" s="108"/>
      <c r="FC83" s="108"/>
      <c r="FD83" s="108"/>
      <c r="FE83" s="108"/>
      <c r="FF83" s="108"/>
      <c r="FG83" s="108"/>
      <c r="FH83" s="108"/>
      <c r="FI83" s="108"/>
      <c r="FJ83" s="108"/>
      <c r="FK83" s="108"/>
      <c r="FL83" s="108"/>
      <c r="FM83" s="108"/>
      <c r="FN83" s="108"/>
      <c r="FO83" s="108"/>
      <c r="FP83" s="108"/>
      <c r="FQ83" s="108"/>
      <c r="FR83" s="108"/>
      <c r="FS83" s="108"/>
      <c r="FT83" s="108"/>
      <c r="FU83" s="108"/>
      <c r="FV83" s="108"/>
      <c r="FW83" s="108"/>
      <c r="FX83" s="108"/>
      <c r="FY83" s="108"/>
      <c r="FZ83" s="108"/>
      <c r="GA83" s="108"/>
      <c r="GB83" s="108"/>
      <c r="GC83" s="108"/>
      <c r="GD83" s="108"/>
      <c r="GE83" s="108"/>
      <c r="GF83" s="108"/>
      <c r="GG83" s="108"/>
      <c r="GH83" s="108"/>
      <c r="GI83" s="108"/>
      <c r="GJ83" s="108"/>
      <c r="GK83" s="108"/>
      <c r="GL83" s="108"/>
      <c r="GM83" s="108"/>
      <c r="GN83" s="108"/>
      <c r="GO83" s="108"/>
      <c r="GP83" s="108"/>
      <c r="GQ83" s="108"/>
      <c r="GR83" s="108"/>
      <c r="GS83" s="108"/>
      <c r="GT83" s="108"/>
      <c r="GU83" s="108"/>
      <c r="GV83" s="108"/>
      <c r="GW83" s="108"/>
      <c r="GX83" s="108"/>
      <c r="GY83" s="108"/>
      <c r="GZ83" s="108"/>
      <c r="HA83" s="108"/>
      <c r="HB83" s="108"/>
      <c r="HC83" s="108"/>
      <c r="HD83" s="108"/>
      <c r="HE83" s="108"/>
      <c r="HF83" s="108"/>
      <c r="HG83" s="108"/>
      <c r="HH83" s="108"/>
      <c r="HI83" s="108"/>
      <c r="HJ83" s="108"/>
      <c r="HK83" s="108"/>
      <c r="HL83" s="108"/>
      <c r="HM83" s="108"/>
      <c r="HN83" s="108"/>
      <c r="HO83" s="108"/>
      <c r="HP83" s="108"/>
      <c r="HQ83" s="108"/>
      <c r="HR83" s="108"/>
      <c r="HS83" s="108"/>
      <c r="HT83" s="108"/>
      <c r="HU83" s="108"/>
      <c r="HV83" s="108"/>
      <c r="HW83" s="108"/>
      <c r="HX83" s="108"/>
      <c r="HY83" s="108"/>
      <c r="HZ83" s="108"/>
      <c r="IA83" s="108"/>
      <c r="IB83" s="108"/>
      <c r="IC83" s="108"/>
      <c r="ID83" s="108"/>
      <c r="IE83" s="108"/>
      <c r="IF83" s="108"/>
      <c r="IG83" s="108"/>
      <c r="IH83" s="108"/>
      <c r="II83" s="108"/>
      <c r="IJ83" s="108"/>
      <c r="IK83" s="108"/>
      <c r="IL83" s="108"/>
      <c r="IM83" s="108"/>
      <c r="IN83" s="108"/>
      <c r="IO83" s="108"/>
      <c r="IP83" s="108"/>
      <c r="IQ83" s="108"/>
      <c r="IR83" s="108"/>
      <c r="IS83" s="108"/>
      <c r="IT83" s="108"/>
      <c r="IU83" s="108"/>
      <c r="IV83" s="108"/>
      <c r="IW83" s="108"/>
    </row>
    <row r="84" spans="1:257" x14ac:dyDescent="0.3">
      <c r="A84" s="158"/>
      <c r="B84" s="158"/>
      <c r="C84" s="158"/>
      <c r="D84" s="158"/>
      <c r="E84" s="158"/>
      <c r="F84" s="158"/>
      <c r="G84" s="158"/>
      <c r="H84" s="158"/>
      <c r="I84" s="158"/>
      <c r="J84" s="158"/>
      <c r="K84" s="158"/>
      <c r="L84" s="158"/>
      <c r="M84" s="158"/>
      <c r="N84" s="158"/>
      <c r="O84" s="108"/>
      <c r="P84" s="108"/>
      <c r="Q84" s="108"/>
      <c r="R84" s="108"/>
      <c r="S84" s="108"/>
      <c r="T84" s="108"/>
      <c r="U84" s="108"/>
      <c r="V84" s="108"/>
      <c r="W84" s="108"/>
      <c r="X84" s="108"/>
      <c r="Y84" s="108"/>
      <c r="Z84" s="108"/>
      <c r="AA84" s="108"/>
      <c r="AB84" s="108"/>
      <c r="AC84" s="108"/>
      <c r="AD84" s="108"/>
      <c r="AE84" s="108"/>
      <c r="AF84" s="108"/>
      <c r="AG84" s="108"/>
      <c r="AH84" s="108"/>
      <c r="AI84" s="108"/>
      <c r="AJ84" s="108"/>
      <c r="AK84" s="108"/>
      <c r="AL84" s="108"/>
      <c r="AM84" s="108"/>
      <c r="AN84" s="108"/>
      <c r="AO84" s="108"/>
      <c r="AP84" s="108"/>
      <c r="AQ84" s="108"/>
      <c r="AR84" s="108"/>
      <c r="AS84" s="108"/>
      <c r="AT84" s="108"/>
      <c r="AU84" s="108"/>
      <c r="AV84" s="108"/>
      <c r="AW84" s="108"/>
      <c r="AX84" s="108"/>
      <c r="AY84" s="108"/>
      <c r="AZ84" s="108"/>
      <c r="BA84" s="108"/>
      <c r="BB84" s="108"/>
      <c r="BC84" s="108"/>
      <c r="BD84" s="108"/>
      <c r="BE84" s="108"/>
      <c r="BF84" s="108"/>
      <c r="BG84" s="108"/>
      <c r="BH84" s="108"/>
      <c r="BI84" s="108"/>
      <c r="BJ84" s="108"/>
      <c r="BK84" s="108"/>
      <c r="BL84" s="108"/>
      <c r="BM84" s="108"/>
      <c r="BN84" s="108"/>
      <c r="BO84" s="108"/>
      <c r="BP84" s="108"/>
      <c r="BQ84" s="108"/>
      <c r="BR84" s="108"/>
      <c r="BS84" s="108"/>
      <c r="BT84" s="108"/>
      <c r="BU84" s="108"/>
      <c r="BV84" s="108"/>
      <c r="BW84" s="108"/>
      <c r="BX84" s="108"/>
      <c r="BY84" s="108"/>
      <c r="BZ84" s="108"/>
      <c r="CA84" s="108"/>
      <c r="CB84" s="108"/>
      <c r="CC84" s="108"/>
      <c r="CD84" s="108"/>
      <c r="CE84" s="108"/>
      <c r="CF84" s="108"/>
      <c r="CG84" s="108"/>
      <c r="CH84" s="108"/>
      <c r="CI84" s="108"/>
      <c r="CJ84" s="108"/>
      <c r="CK84" s="108"/>
      <c r="CL84" s="108"/>
      <c r="CM84" s="108"/>
      <c r="CN84" s="108"/>
      <c r="CO84" s="108"/>
      <c r="CP84" s="108"/>
      <c r="CQ84" s="108"/>
      <c r="CR84" s="108"/>
      <c r="CS84" s="108"/>
      <c r="CT84" s="108"/>
      <c r="CU84" s="108"/>
      <c r="CV84" s="108"/>
      <c r="CW84" s="108"/>
      <c r="CX84" s="108"/>
      <c r="CY84" s="108"/>
      <c r="CZ84" s="108"/>
      <c r="DA84" s="108"/>
      <c r="DB84" s="108"/>
      <c r="DC84" s="108"/>
      <c r="DD84" s="108"/>
      <c r="DE84" s="108"/>
      <c r="DF84" s="108"/>
      <c r="DG84" s="108"/>
      <c r="DH84" s="108"/>
      <c r="DI84" s="108"/>
      <c r="DJ84" s="108"/>
      <c r="DK84" s="108"/>
      <c r="DL84" s="108"/>
      <c r="DM84" s="108"/>
      <c r="DN84" s="108"/>
      <c r="DO84" s="108"/>
      <c r="DP84" s="108"/>
      <c r="DQ84" s="108"/>
      <c r="DR84" s="108"/>
      <c r="DS84" s="108"/>
      <c r="DT84" s="108"/>
      <c r="DU84" s="108"/>
      <c r="DV84" s="108"/>
      <c r="DW84" s="108"/>
      <c r="DX84" s="108"/>
      <c r="DY84" s="108"/>
      <c r="DZ84" s="108"/>
      <c r="EA84" s="108"/>
      <c r="EB84" s="108"/>
      <c r="EC84" s="108"/>
      <c r="ED84" s="108"/>
      <c r="EE84" s="108"/>
      <c r="EF84" s="108"/>
      <c r="EG84" s="108"/>
      <c r="EH84" s="108"/>
      <c r="EI84" s="108"/>
      <c r="EJ84" s="108"/>
      <c r="EK84" s="108"/>
      <c r="EL84" s="108"/>
      <c r="EM84" s="108"/>
      <c r="EN84" s="108"/>
      <c r="EO84" s="108"/>
      <c r="EP84" s="108"/>
      <c r="EQ84" s="108"/>
      <c r="ER84" s="108"/>
      <c r="ES84" s="108"/>
      <c r="ET84" s="108"/>
      <c r="EU84" s="108"/>
      <c r="EV84" s="108"/>
      <c r="EW84" s="108"/>
      <c r="EX84" s="108"/>
      <c r="EY84" s="108"/>
      <c r="EZ84" s="108"/>
      <c r="FA84" s="108"/>
      <c r="FB84" s="108"/>
      <c r="FC84" s="108"/>
      <c r="FD84" s="108"/>
      <c r="FE84" s="108"/>
      <c r="FF84" s="108"/>
      <c r="FG84" s="108"/>
      <c r="FH84" s="108"/>
      <c r="FI84" s="108"/>
      <c r="FJ84" s="108"/>
      <c r="FK84" s="108"/>
      <c r="FL84" s="108"/>
      <c r="FM84" s="108"/>
      <c r="FN84" s="108"/>
      <c r="FO84" s="108"/>
      <c r="FP84" s="108"/>
      <c r="FQ84" s="108"/>
      <c r="FR84" s="108"/>
      <c r="FS84" s="108"/>
      <c r="FT84" s="108"/>
      <c r="FU84" s="108"/>
      <c r="FV84" s="108"/>
      <c r="FW84" s="108"/>
      <c r="FX84" s="108"/>
      <c r="FY84" s="108"/>
      <c r="FZ84" s="108"/>
      <c r="GA84" s="108"/>
      <c r="GB84" s="108"/>
      <c r="GC84" s="108"/>
      <c r="GD84" s="108"/>
      <c r="GE84" s="108"/>
      <c r="GF84" s="108"/>
      <c r="GG84" s="108"/>
      <c r="GH84" s="108"/>
      <c r="GI84" s="108"/>
      <c r="GJ84" s="108"/>
      <c r="GK84" s="108"/>
      <c r="GL84" s="108"/>
      <c r="GM84" s="108"/>
      <c r="GN84" s="108"/>
      <c r="GO84" s="108"/>
      <c r="GP84" s="108"/>
      <c r="GQ84" s="108"/>
      <c r="GR84" s="108"/>
      <c r="GS84" s="108"/>
      <c r="GT84" s="108"/>
      <c r="GU84" s="108"/>
      <c r="GV84" s="108"/>
      <c r="GW84" s="108"/>
      <c r="GX84" s="108"/>
      <c r="GY84" s="108"/>
      <c r="GZ84" s="108"/>
      <c r="HA84" s="108"/>
      <c r="HB84" s="108"/>
      <c r="HC84" s="108"/>
      <c r="HD84" s="108"/>
      <c r="HE84" s="108"/>
      <c r="HF84" s="108"/>
      <c r="HG84" s="108"/>
      <c r="HH84" s="108"/>
      <c r="HI84" s="108"/>
      <c r="HJ84" s="108"/>
      <c r="HK84" s="108"/>
      <c r="HL84" s="108"/>
      <c r="HM84" s="108"/>
      <c r="HN84" s="108"/>
      <c r="HO84" s="108"/>
      <c r="HP84" s="108"/>
      <c r="HQ84" s="108"/>
      <c r="HR84" s="108"/>
      <c r="HS84" s="108"/>
      <c r="HT84" s="108"/>
      <c r="HU84" s="108"/>
      <c r="HV84" s="108"/>
      <c r="HW84" s="108"/>
      <c r="HX84" s="108"/>
      <c r="HY84" s="108"/>
      <c r="HZ84" s="108"/>
      <c r="IA84" s="108"/>
      <c r="IB84" s="108"/>
      <c r="IC84" s="108"/>
      <c r="ID84" s="108"/>
      <c r="IE84" s="108"/>
      <c r="IF84" s="108"/>
      <c r="IG84" s="108"/>
      <c r="IH84" s="108"/>
      <c r="II84" s="108"/>
      <c r="IJ84" s="108"/>
      <c r="IK84" s="108"/>
      <c r="IL84" s="108"/>
      <c r="IM84" s="108"/>
      <c r="IN84" s="108"/>
      <c r="IO84" s="108"/>
      <c r="IP84" s="108"/>
      <c r="IQ84" s="108"/>
      <c r="IR84" s="108"/>
      <c r="IS84" s="108"/>
      <c r="IT84" s="108"/>
      <c r="IU84" s="108"/>
      <c r="IV84" s="108"/>
      <c r="IW84" s="108"/>
    </row>
    <row r="85" spans="1:257" x14ac:dyDescent="0.3">
      <c r="A85" s="158"/>
      <c r="B85" s="158"/>
      <c r="C85" s="158"/>
      <c r="D85" s="158"/>
      <c r="E85" s="158"/>
      <c r="F85" s="158"/>
      <c r="G85" s="158"/>
      <c r="H85" s="158"/>
      <c r="I85" s="158"/>
      <c r="J85" s="158"/>
      <c r="K85" s="158"/>
      <c r="L85" s="158"/>
      <c r="M85" s="158"/>
      <c r="N85" s="158"/>
      <c r="O85" s="108"/>
      <c r="P85" s="108"/>
      <c r="Q85" s="108"/>
      <c r="R85" s="108"/>
      <c r="S85" s="108"/>
      <c r="T85" s="108"/>
      <c r="U85" s="108"/>
      <c r="V85" s="108"/>
      <c r="W85" s="108"/>
      <c r="X85" s="108"/>
      <c r="Y85" s="108"/>
      <c r="Z85" s="108"/>
      <c r="AA85" s="108"/>
      <c r="AB85" s="108"/>
      <c r="AC85" s="108"/>
      <c r="AD85" s="108"/>
      <c r="AE85" s="108"/>
      <c r="AF85" s="108"/>
      <c r="AG85" s="108"/>
      <c r="AH85" s="108"/>
      <c r="AI85" s="108"/>
      <c r="AJ85" s="108"/>
      <c r="AK85" s="108"/>
      <c r="AL85" s="108"/>
      <c r="AM85" s="108"/>
      <c r="AN85" s="108"/>
      <c r="AO85" s="108"/>
      <c r="AP85" s="108"/>
      <c r="AQ85" s="108"/>
      <c r="AR85" s="108"/>
      <c r="AS85" s="108"/>
      <c r="AT85" s="108"/>
      <c r="AU85" s="108"/>
      <c r="AV85" s="108"/>
      <c r="AW85" s="108"/>
      <c r="AX85" s="108"/>
      <c r="AY85" s="108"/>
      <c r="AZ85" s="108"/>
      <c r="BA85" s="108"/>
      <c r="BB85" s="108"/>
      <c r="BC85" s="108"/>
      <c r="BD85" s="108"/>
      <c r="BE85" s="108"/>
      <c r="BF85" s="108"/>
      <c r="BG85" s="108"/>
      <c r="BH85" s="108"/>
      <c r="BI85" s="108"/>
      <c r="BJ85" s="108"/>
      <c r="BK85" s="108"/>
      <c r="BL85" s="108"/>
      <c r="BM85" s="108"/>
      <c r="BN85" s="108"/>
      <c r="BO85" s="108"/>
      <c r="BP85" s="108"/>
      <c r="BQ85" s="108"/>
      <c r="BR85" s="108"/>
      <c r="BS85" s="108"/>
      <c r="BT85" s="108"/>
      <c r="BU85" s="108"/>
      <c r="BV85" s="108"/>
      <c r="BW85" s="108"/>
      <c r="BX85" s="108"/>
      <c r="BY85" s="108"/>
      <c r="BZ85" s="108"/>
      <c r="CA85" s="108"/>
      <c r="CB85" s="108"/>
      <c r="CC85" s="108"/>
      <c r="CD85" s="108"/>
      <c r="CE85" s="108"/>
      <c r="CF85" s="108"/>
      <c r="CG85" s="108"/>
      <c r="CH85" s="108"/>
      <c r="CI85" s="108"/>
      <c r="CJ85" s="108"/>
      <c r="CK85" s="108"/>
      <c r="CL85" s="108"/>
      <c r="CM85" s="108"/>
      <c r="CN85" s="108"/>
      <c r="CO85" s="108"/>
      <c r="CP85" s="108"/>
      <c r="CQ85" s="108"/>
      <c r="CR85" s="108"/>
      <c r="CS85" s="108"/>
      <c r="CT85" s="108"/>
      <c r="CU85" s="108"/>
      <c r="CV85" s="108"/>
      <c r="CW85" s="108"/>
      <c r="CX85" s="108"/>
      <c r="CY85" s="108"/>
      <c r="CZ85" s="108"/>
      <c r="DA85" s="108"/>
      <c r="DB85" s="108"/>
      <c r="DC85" s="108"/>
      <c r="DD85" s="108"/>
      <c r="DE85" s="108"/>
      <c r="DF85" s="108"/>
      <c r="DG85" s="108"/>
      <c r="DH85" s="108"/>
      <c r="DI85" s="108"/>
      <c r="DJ85" s="108"/>
      <c r="DK85" s="108"/>
      <c r="DL85" s="108"/>
      <c r="DM85" s="108"/>
      <c r="DN85" s="108"/>
      <c r="DO85" s="108"/>
      <c r="DP85" s="108"/>
      <c r="DQ85" s="108"/>
      <c r="DR85" s="108"/>
      <c r="DS85" s="108"/>
      <c r="DT85" s="108"/>
      <c r="DU85" s="108"/>
      <c r="DV85" s="108"/>
      <c r="DW85" s="108"/>
      <c r="DX85" s="108"/>
      <c r="DY85" s="108"/>
      <c r="DZ85" s="108"/>
      <c r="EA85" s="108"/>
      <c r="EB85" s="108"/>
      <c r="EC85" s="108"/>
      <c r="ED85" s="108"/>
      <c r="EE85" s="108"/>
      <c r="EF85" s="108"/>
      <c r="EG85" s="108"/>
      <c r="EH85" s="108"/>
      <c r="EI85" s="108"/>
      <c r="EJ85" s="108"/>
      <c r="EK85" s="108"/>
      <c r="EL85" s="108"/>
      <c r="EM85" s="108"/>
      <c r="EN85" s="108"/>
      <c r="EO85" s="108"/>
      <c r="EP85" s="108"/>
      <c r="EQ85" s="108"/>
      <c r="ER85" s="108"/>
      <c r="ES85" s="108"/>
      <c r="ET85" s="108"/>
      <c r="EU85" s="108"/>
      <c r="EV85" s="108"/>
      <c r="EW85" s="108"/>
      <c r="EX85" s="108"/>
      <c r="EY85" s="108"/>
      <c r="EZ85" s="108"/>
      <c r="FA85" s="108"/>
      <c r="FB85" s="108"/>
      <c r="FC85" s="108"/>
      <c r="FD85" s="108"/>
      <c r="FE85" s="108"/>
      <c r="FF85" s="108"/>
      <c r="FG85" s="108"/>
      <c r="FH85" s="108"/>
      <c r="FI85" s="108"/>
      <c r="FJ85" s="108"/>
      <c r="FK85" s="108"/>
      <c r="FL85" s="108"/>
      <c r="FM85" s="108"/>
      <c r="FN85" s="108"/>
      <c r="FO85" s="108"/>
      <c r="FP85" s="108"/>
      <c r="FQ85" s="108"/>
      <c r="FR85" s="108"/>
      <c r="FS85" s="108"/>
      <c r="FT85" s="108"/>
      <c r="FU85" s="108"/>
      <c r="FV85" s="108"/>
      <c r="FW85" s="108"/>
      <c r="FX85" s="108"/>
      <c r="FY85" s="108"/>
      <c r="FZ85" s="108"/>
      <c r="GA85" s="108"/>
      <c r="GB85" s="108"/>
      <c r="GC85" s="108"/>
      <c r="GD85" s="108"/>
      <c r="GE85" s="108"/>
      <c r="GF85" s="108"/>
      <c r="GG85" s="108"/>
      <c r="GH85" s="108"/>
      <c r="GI85" s="108"/>
      <c r="GJ85" s="108"/>
      <c r="GK85" s="108"/>
      <c r="GL85" s="108"/>
      <c r="GM85" s="108"/>
      <c r="GN85" s="108"/>
      <c r="GO85" s="108"/>
      <c r="GP85" s="108"/>
      <c r="GQ85" s="108"/>
      <c r="GR85" s="108"/>
      <c r="GS85" s="108"/>
      <c r="GT85" s="108"/>
      <c r="GU85" s="108"/>
      <c r="GV85" s="108"/>
      <c r="GW85" s="108"/>
      <c r="GX85" s="108"/>
      <c r="GY85" s="108"/>
      <c r="GZ85" s="108"/>
      <c r="HA85" s="108"/>
      <c r="HB85" s="108"/>
      <c r="HC85" s="108"/>
      <c r="HD85" s="108"/>
      <c r="HE85" s="108"/>
      <c r="HF85" s="108"/>
      <c r="HG85" s="108"/>
      <c r="HH85" s="108"/>
      <c r="HI85" s="108"/>
      <c r="HJ85" s="108"/>
      <c r="HK85" s="108"/>
      <c r="HL85" s="108"/>
      <c r="HM85" s="108"/>
      <c r="HN85" s="108"/>
      <c r="HO85" s="108"/>
      <c r="HP85" s="108"/>
      <c r="HQ85" s="108"/>
      <c r="HR85" s="108"/>
      <c r="HS85" s="108"/>
      <c r="HT85" s="108"/>
      <c r="HU85" s="108"/>
      <c r="HV85" s="108"/>
      <c r="HW85" s="108"/>
      <c r="HX85" s="108"/>
      <c r="HY85" s="108"/>
      <c r="HZ85" s="108"/>
      <c r="IA85" s="108"/>
      <c r="IB85" s="108"/>
      <c r="IC85" s="108"/>
      <c r="ID85" s="108"/>
      <c r="IE85" s="108"/>
      <c r="IF85" s="108"/>
      <c r="IG85" s="108"/>
      <c r="IH85" s="108"/>
      <c r="II85" s="108"/>
      <c r="IJ85" s="108"/>
      <c r="IK85" s="108"/>
      <c r="IL85" s="108"/>
      <c r="IM85" s="108"/>
      <c r="IN85" s="108"/>
      <c r="IO85" s="108"/>
      <c r="IP85" s="108"/>
      <c r="IQ85" s="108"/>
      <c r="IR85" s="108"/>
      <c r="IS85" s="108"/>
      <c r="IT85" s="108"/>
      <c r="IU85" s="108"/>
      <c r="IV85" s="108"/>
      <c r="IW85" s="108"/>
    </row>
    <row r="86" spans="1:257" x14ac:dyDescent="0.3">
      <c r="A86" s="158"/>
      <c r="B86" s="158"/>
      <c r="C86" s="158"/>
      <c r="D86" s="158"/>
      <c r="E86" s="158"/>
      <c r="F86" s="158"/>
      <c r="G86" s="158"/>
      <c r="H86" s="158"/>
      <c r="I86" s="158"/>
      <c r="J86" s="158"/>
      <c r="K86" s="158"/>
      <c r="L86" s="158"/>
      <c r="M86" s="158"/>
      <c r="N86" s="158"/>
      <c r="O86" s="108"/>
      <c r="P86" s="108"/>
      <c r="Q86" s="108"/>
      <c r="R86" s="108"/>
      <c r="S86" s="108"/>
      <c r="T86" s="108"/>
      <c r="U86" s="108"/>
      <c r="V86" s="108"/>
      <c r="W86" s="108"/>
      <c r="X86" s="108"/>
      <c r="Y86" s="108"/>
      <c r="Z86" s="108"/>
      <c r="AA86" s="108"/>
      <c r="AB86" s="108"/>
      <c r="AC86" s="108"/>
      <c r="AD86" s="108"/>
      <c r="AE86" s="108"/>
      <c r="AF86" s="108"/>
      <c r="AG86" s="108"/>
      <c r="AH86" s="108"/>
      <c r="AI86" s="108"/>
      <c r="AJ86" s="108"/>
      <c r="AK86" s="108"/>
      <c r="AL86" s="108"/>
      <c r="AM86" s="108"/>
      <c r="AN86" s="108"/>
      <c r="AO86" s="108"/>
      <c r="AP86" s="108"/>
      <c r="AQ86" s="108"/>
      <c r="AR86" s="108"/>
      <c r="AS86" s="108"/>
      <c r="AT86" s="108"/>
      <c r="AU86" s="108"/>
      <c r="AV86" s="108"/>
      <c r="AW86" s="108"/>
      <c r="AX86" s="108"/>
      <c r="AY86" s="108"/>
      <c r="AZ86" s="108"/>
      <c r="BA86" s="108"/>
      <c r="BB86" s="108"/>
      <c r="BC86" s="108"/>
      <c r="BD86" s="108"/>
      <c r="BE86" s="108"/>
      <c r="BF86" s="108"/>
      <c r="BG86" s="108"/>
      <c r="BH86" s="108"/>
      <c r="BI86" s="108"/>
      <c r="BJ86" s="108"/>
      <c r="BK86" s="108"/>
      <c r="BL86" s="108"/>
      <c r="BM86" s="108"/>
      <c r="BN86" s="108"/>
      <c r="BO86" s="108"/>
      <c r="BP86" s="108"/>
      <c r="BQ86" s="108"/>
      <c r="BR86" s="108"/>
      <c r="BS86" s="108"/>
      <c r="BT86" s="108"/>
      <c r="BU86" s="108"/>
      <c r="BV86" s="108"/>
      <c r="BW86" s="108"/>
      <c r="BX86" s="108"/>
      <c r="BY86" s="108"/>
      <c r="BZ86" s="108"/>
      <c r="CA86" s="108"/>
      <c r="CB86" s="108"/>
      <c r="CC86" s="108"/>
      <c r="CD86" s="108"/>
      <c r="CE86" s="108"/>
      <c r="CF86" s="108"/>
      <c r="CG86" s="108"/>
      <c r="CH86" s="108"/>
      <c r="CI86" s="108"/>
      <c r="CJ86" s="108"/>
      <c r="CK86" s="108"/>
      <c r="CL86" s="108"/>
      <c r="CM86" s="108"/>
      <c r="CN86" s="108"/>
      <c r="CO86" s="108"/>
      <c r="CP86" s="108"/>
      <c r="CQ86" s="108"/>
      <c r="CR86" s="108"/>
      <c r="CS86" s="108"/>
      <c r="CT86" s="108"/>
      <c r="CU86" s="108"/>
      <c r="CV86" s="108"/>
      <c r="CW86" s="108"/>
      <c r="CX86" s="108"/>
      <c r="CY86" s="108"/>
      <c r="CZ86" s="108"/>
      <c r="DA86" s="108"/>
      <c r="DB86" s="108"/>
      <c r="DC86" s="108"/>
      <c r="DD86" s="108"/>
      <c r="DE86" s="108"/>
      <c r="DF86" s="108"/>
      <c r="DG86" s="108"/>
      <c r="DH86" s="108"/>
      <c r="DI86" s="108"/>
      <c r="DJ86" s="108"/>
      <c r="DK86" s="108"/>
      <c r="DL86" s="108"/>
      <c r="DM86" s="108"/>
      <c r="DN86" s="108"/>
      <c r="DO86" s="108"/>
      <c r="DP86" s="108"/>
      <c r="DQ86" s="108"/>
      <c r="DR86" s="108"/>
      <c r="DS86" s="108"/>
      <c r="DT86" s="108"/>
      <c r="DU86" s="108"/>
      <c r="DV86" s="108"/>
      <c r="DW86" s="108"/>
      <c r="DX86" s="108"/>
      <c r="DY86" s="108"/>
      <c r="DZ86" s="108"/>
      <c r="EA86" s="108"/>
      <c r="EB86" s="108"/>
      <c r="EC86" s="108"/>
      <c r="ED86" s="108"/>
      <c r="EE86" s="108"/>
      <c r="EF86" s="108"/>
      <c r="EG86" s="108"/>
      <c r="EH86" s="108"/>
      <c r="EI86" s="108"/>
      <c r="EJ86" s="108"/>
      <c r="EK86" s="108"/>
      <c r="EL86" s="108"/>
      <c r="EM86" s="108"/>
      <c r="EN86" s="108"/>
      <c r="EO86" s="108"/>
      <c r="EP86" s="108"/>
      <c r="EQ86" s="108"/>
      <c r="ER86" s="108"/>
      <c r="ES86" s="108"/>
      <c r="ET86" s="108"/>
      <c r="EU86" s="108"/>
      <c r="EV86" s="108"/>
      <c r="EW86" s="108"/>
      <c r="EX86" s="108"/>
      <c r="EY86" s="108"/>
      <c r="EZ86" s="108"/>
      <c r="FA86" s="108"/>
      <c r="FB86" s="108"/>
      <c r="FC86" s="108"/>
      <c r="FD86" s="108"/>
      <c r="FE86" s="108"/>
      <c r="FF86" s="108"/>
      <c r="FG86" s="108"/>
      <c r="FH86" s="108"/>
      <c r="FI86" s="108"/>
      <c r="FJ86" s="108"/>
      <c r="FK86" s="108"/>
      <c r="FL86" s="108"/>
      <c r="FM86" s="108"/>
      <c r="FN86" s="108"/>
      <c r="FO86" s="108"/>
      <c r="FP86" s="108"/>
      <c r="FQ86" s="108"/>
      <c r="FR86" s="108"/>
      <c r="FS86" s="108"/>
      <c r="FT86" s="108"/>
      <c r="FU86" s="108"/>
      <c r="FV86" s="108"/>
      <c r="FW86" s="108"/>
      <c r="FX86" s="108"/>
      <c r="FY86" s="108"/>
      <c r="FZ86" s="108"/>
      <c r="GA86" s="108"/>
      <c r="GB86" s="108"/>
      <c r="GC86" s="108"/>
      <c r="GD86" s="108"/>
      <c r="GE86" s="108"/>
      <c r="GF86" s="108"/>
      <c r="GG86" s="108"/>
      <c r="GH86" s="108"/>
      <c r="GI86" s="108"/>
      <c r="GJ86" s="108"/>
      <c r="GK86" s="108"/>
      <c r="GL86" s="108"/>
      <c r="GM86" s="108"/>
      <c r="GN86" s="108"/>
      <c r="GO86" s="108"/>
      <c r="GP86" s="108"/>
      <c r="GQ86" s="108"/>
      <c r="GR86" s="108"/>
      <c r="GS86" s="108"/>
      <c r="GT86" s="108"/>
      <c r="GU86" s="108"/>
      <c r="GV86" s="108"/>
      <c r="GW86" s="108"/>
      <c r="GX86" s="108"/>
      <c r="GY86" s="108"/>
      <c r="GZ86" s="108"/>
      <c r="HA86" s="108"/>
      <c r="HB86" s="108"/>
      <c r="HC86" s="108"/>
      <c r="HD86" s="108"/>
      <c r="HE86" s="108"/>
      <c r="HF86" s="108"/>
      <c r="HG86" s="108"/>
      <c r="HH86" s="108"/>
      <c r="HI86" s="108"/>
      <c r="HJ86" s="108"/>
      <c r="HK86" s="108"/>
      <c r="HL86" s="108"/>
      <c r="HM86" s="108"/>
      <c r="HN86" s="108"/>
      <c r="HO86" s="108"/>
      <c r="HP86" s="108"/>
      <c r="HQ86" s="108"/>
      <c r="HR86" s="108"/>
      <c r="HS86" s="108"/>
      <c r="HT86" s="108"/>
      <c r="HU86" s="108"/>
      <c r="HV86" s="108"/>
      <c r="HW86" s="108"/>
      <c r="HX86" s="108"/>
      <c r="HY86" s="108"/>
      <c r="HZ86" s="108"/>
      <c r="IA86" s="108"/>
      <c r="IB86" s="108"/>
      <c r="IC86" s="108"/>
      <c r="ID86" s="108"/>
      <c r="IE86" s="108"/>
      <c r="IF86" s="108"/>
      <c r="IG86" s="108"/>
      <c r="IH86" s="108"/>
      <c r="II86" s="108"/>
      <c r="IJ86" s="108"/>
      <c r="IK86" s="108"/>
      <c r="IL86" s="108"/>
      <c r="IM86" s="108"/>
      <c r="IN86" s="108"/>
      <c r="IO86" s="108"/>
      <c r="IP86" s="108"/>
      <c r="IQ86" s="108"/>
      <c r="IR86" s="108"/>
      <c r="IS86" s="108"/>
      <c r="IT86" s="108"/>
      <c r="IU86" s="108"/>
      <c r="IV86" s="108"/>
      <c r="IW86" s="108"/>
    </row>
    <row r="87" spans="1:257" x14ac:dyDescent="0.3">
      <c r="A87" s="158"/>
      <c r="B87" s="158"/>
      <c r="C87" s="158"/>
      <c r="D87" s="158"/>
      <c r="E87" s="158"/>
      <c r="F87" s="158"/>
      <c r="G87" s="158"/>
      <c r="H87" s="158"/>
      <c r="I87" s="158"/>
      <c r="J87" s="158"/>
      <c r="K87" s="158"/>
      <c r="L87" s="158"/>
      <c r="M87" s="158"/>
      <c r="N87" s="158"/>
      <c r="O87" s="108"/>
      <c r="P87" s="108"/>
      <c r="Q87" s="108"/>
      <c r="R87" s="108"/>
      <c r="S87" s="108"/>
      <c r="T87" s="108"/>
      <c r="U87" s="108"/>
      <c r="V87" s="108"/>
      <c r="W87" s="108"/>
      <c r="X87" s="108"/>
      <c r="Y87" s="108"/>
      <c r="Z87" s="108"/>
      <c r="AA87" s="108"/>
      <c r="AB87" s="108"/>
      <c r="AC87" s="108"/>
      <c r="AD87" s="108"/>
      <c r="AE87" s="108"/>
      <c r="AF87" s="108"/>
      <c r="AG87" s="108"/>
      <c r="AH87" s="108"/>
      <c r="AI87" s="108"/>
      <c r="AJ87" s="108"/>
      <c r="AK87" s="108"/>
      <c r="AL87" s="108"/>
      <c r="AM87" s="108"/>
      <c r="AN87" s="108"/>
      <c r="AO87" s="108"/>
      <c r="AP87" s="108"/>
      <c r="AQ87" s="108"/>
      <c r="AR87" s="108"/>
      <c r="AS87" s="108"/>
      <c r="AT87" s="108"/>
      <c r="AU87" s="108"/>
      <c r="AV87" s="108"/>
      <c r="AW87" s="108"/>
      <c r="AX87" s="108"/>
      <c r="AY87" s="108"/>
      <c r="AZ87" s="108"/>
      <c r="BA87" s="108"/>
      <c r="BB87" s="108"/>
      <c r="BC87" s="108"/>
      <c r="BD87" s="108"/>
      <c r="BE87" s="108"/>
      <c r="BF87" s="108"/>
      <c r="BG87" s="108"/>
      <c r="BH87" s="108"/>
      <c r="BI87" s="108"/>
      <c r="BJ87" s="108"/>
      <c r="BK87" s="108"/>
      <c r="BL87" s="108"/>
      <c r="BM87" s="108"/>
      <c r="BN87" s="108"/>
      <c r="BO87" s="108"/>
      <c r="BP87" s="108"/>
      <c r="BQ87" s="108"/>
      <c r="BR87" s="108"/>
      <c r="BS87" s="108"/>
      <c r="BT87" s="108"/>
      <c r="BU87" s="108"/>
      <c r="BV87" s="108"/>
      <c r="BW87" s="108"/>
      <c r="BX87" s="108"/>
      <c r="BY87" s="108"/>
      <c r="BZ87" s="108"/>
      <c r="CA87" s="108"/>
      <c r="CB87" s="108"/>
      <c r="CC87" s="108"/>
      <c r="CD87" s="108"/>
      <c r="CE87" s="108"/>
      <c r="CF87" s="108"/>
      <c r="CG87" s="108"/>
      <c r="CH87" s="108"/>
      <c r="CI87" s="108"/>
      <c r="CJ87" s="108"/>
      <c r="CK87" s="108"/>
      <c r="CL87" s="108"/>
      <c r="CM87" s="108"/>
      <c r="CN87" s="108"/>
      <c r="CO87" s="108"/>
      <c r="CP87" s="108"/>
      <c r="CQ87" s="108"/>
      <c r="CR87" s="108"/>
      <c r="CS87" s="108"/>
      <c r="CT87" s="108"/>
      <c r="CU87" s="108"/>
      <c r="CV87" s="108"/>
      <c r="CW87" s="108"/>
      <c r="CX87" s="108"/>
      <c r="CY87" s="108"/>
      <c r="CZ87" s="108"/>
      <c r="DA87" s="108"/>
      <c r="DB87" s="108"/>
      <c r="DC87" s="108"/>
      <c r="DD87" s="108"/>
      <c r="DE87" s="108"/>
      <c r="DF87" s="108"/>
      <c r="DG87" s="108"/>
      <c r="DH87" s="108"/>
      <c r="DI87" s="108"/>
      <c r="DJ87" s="108"/>
      <c r="DK87" s="108"/>
      <c r="DL87" s="108"/>
      <c r="DM87" s="108"/>
      <c r="DN87" s="108"/>
      <c r="DO87" s="108"/>
      <c r="DP87" s="108"/>
      <c r="DQ87" s="108"/>
      <c r="DR87" s="108"/>
      <c r="DS87" s="108"/>
      <c r="DT87" s="108"/>
      <c r="DU87" s="108"/>
      <c r="DV87" s="108"/>
      <c r="DW87" s="108"/>
      <c r="DX87" s="108"/>
      <c r="DY87" s="108"/>
      <c r="DZ87" s="108"/>
      <c r="EA87" s="108"/>
      <c r="EB87" s="108"/>
      <c r="EC87" s="108"/>
      <c r="ED87" s="108"/>
      <c r="EE87" s="108"/>
      <c r="EF87" s="108"/>
      <c r="EG87" s="108"/>
      <c r="EH87" s="108"/>
      <c r="EI87" s="108"/>
      <c r="EJ87" s="108"/>
      <c r="EK87" s="108"/>
      <c r="EL87" s="108"/>
      <c r="EM87" s="108"/>
      <c r="EN87" s="108"/>
      <c r="EO87" s="108"/>
      <c r="EP87" s="108"/>
      <c r="EQ87" s="108"/>
      <c r="ER87" s="108"/>
      <c r="ES87" s="108"/>
      <c r="ET87" s="108"/>
      <c r="EU87" s="108"/>
      <c r="EV87" s="108"/>
      <c r="EW87" s="108"/>
      <c r="EX87" s="108"/>
      <c r="EY87" s="108"/>
      <c r="EZ87" s="108"/>
      <c r="FA87" s="108"/>
      <c r="FB87" s="108"/>
      <c r="FC87" s="108"/>
      <c r="FD87" s="108"/>
      <c r="FE87" s="108"/>
      <c r="FF87" s="108"/>
      <c r="FG87" s="108"/>
      <c r="FH87" s="108"/>
      <c r="FI87" s="108"/>
      <c r="FJ87" s="108"/>
      <c r="FK87" s="108"/>
      <c r="FL87" s="108"/>
      <c r="FM87" s="108"/>
      <c r="FN87" s="108"/>
      <c r="FO87" s="108"/>
      <c r="FP87" s="108"/>
      <c r="FQ87" s="108"/>
      <c r="FR87" s="108"/>
      <c r="FS87" s="108"/>
      <c r="FT87" s="108"/>
      <c r="FU87" s="108"/>
      <c r="FV87" s="108"/>
      <c r="FW87" s="108"/>
      <c r="FX87" s="108"/>
      <c r="FY87" s="108"/>
      <c r="FZ87" s="108"/>
      <c r="GA87" s="108"/>
      <c r="GB87" s="108"/>
      <c r="GC87" s="108"/>
      <c r="GD87" s="108"/>
      <c r="GE87" s="108"/>
      <c r="GF87" s="108"/>
      <c r="GG87" s="108"/>
      <c r="GH87" s="108"/>
      <c r="GI87" s="108"/>
      <c r="GJ87" s="108"/>
      <c r="GK87" s="108"/>
      <c r="GL87" s="108"/>
      <c r="GM87" s="108"/>
      <c r="GN87" s="108"/>
      <c r="GO87" s="108"/>
      <c r="GP87" s="108"/>
      <c r="GQ87" s="108"/>
      <c r="GR87" s="108"/>
      <c r="GS87" s="108"/>
      <c r="GT87" s="108"/>
      <c r="GU87" s="108"/>
      <c r="GV87" s="108"/>
      <c r="GW87" s="108"/>
      <c r="GX87" s="108"/>
      <c r="GY87" s="108"/>
      <c r="GZ87" s="108"/>
      <c r="HA87" s="108"/>
      <c r="HB87" s="108"/>
      <c r="HC87" s="108"/>
      <c r="HD87" s="108"/>
      <c r="HE87" s="108"/>
      <c r="HF87" s="108"/>
      <c r="HG87" s="108"/>
      <c r="HH87" s="108"/>
      <c r="HI87" s="108"/>
      <c r="HJ87" s="108"/>
      <c r="HK87" s="108"/>
      <c r="HL87" s="108"/>
      <c r="HM87" s="108"/>
      <c r="HN87" s="108"/>
      <c r="HO87" s="108"/>
      <c r="HP87" s="108"/>
      <c r="HQ87" s="108"/>
      <c r="HR87" s="108"/>
      <c r="HS87" s="108"/>
      <c r="HT87" s="108"/>
      <c r="HU87" s="108"/>
      <c r="HV87" s="108"/>
      <c r="HW87" s="108"/>
      <c r="HX87" s="108"/>
      <c r="HY87" s="108"/>
      <c r="HZ87" s="108"/>
      <c r="IA87" s="108"/>
      <c r="IB87" s="108"/>
      <c r="IC87" s="108"/>
      <c r="ID87" s="108"/>
      <c r="IE87" s="108"/>
      <c r="IF87" s="108"/>
      <c r="IG87" s="108"/>
      <c r="IH87" s="108"/>
      <c r="II87" s="108"/>
      <c r="IJ87" s="108"/>
      <c r="IK87" s="108"/>
      <c r="IL87" s="108"/>
      <c r="IM87" s="108"/>
      <c r="IN87" s="108"/>
      <c r="IO87" s="108"/>
      <c r="IP87" s="108"/>
      <c r="IQ87" s="108"/>
      <c r="IR87" s="108"/>
      <c r="IS87" s="108"/>
      <c r="IT87" s="108"/>
      <c r="IU87" s="108"/>
      <c r="IV87" s="108"/>
      <c r="IW87" s="108"/>
    </row>
    <row r="88" spans="1:257" x14ac:dyDescent="0.3">
      <c r="A88" s="158"/>
      <c r="B88" s="158"/>
      <c r="C88" s="158"/>
      <c r="D88" s="158"/>
      <c r="E88" s="158"/>
      <c r="F88" s="158"/>
      <c r="G88" s="158"/>
      <c r="H88" s="158"/>
      <c r="I88" s="158"/>
      <c r="J88" s="158"/>
      <c r="K88" s="158"/>
      <c r="L88" s="158"/>
      <c r="M88" s="158"/>
      <c r="N88" s="158"/>
      <c r="O88" s="108"/>
      <c r="P88" s="108"/>
      <c r="Q88" s="108"/>
      <c r="R88" s="108"/>
      <c r="S88" s="108"/>
      <c r="T88" s="108"/>
      <c r="U88" s="108"/>
      <c r="V88" s="108"/>
      <c r="W88" s="108"/>
      <c r="X88" s="108"/>
      <c r="Y88" s="108"/>
      <c r="Z88" s="108"/>
      <c r="AA88" s="108"/>
      <c r="AB88" s="108"/>
      <c r="AC88" s="108"/>
      <c r="AD88" s="108"/>
      <c r="AE88" s="108"/>
      <c r="AF88" s="108"/>
      <c r="AG88" s="108"/>
      <c r="AH88" s="108"/>
      <c r="AI88" s="108"/>
      <c r="AJ88" s="108"/>
      <c r="AK88" s="108"/>
      <c r="AL88" s="108"/>
      <c r="AM88" s="108"/>
      <c r="AN88" s="108"/>
      <c r="AO88" s="108"/>
      <c r="AP88" s="108"/>
      <c r="AQ88" s="108"/>
      <c r="AR88" s="108"/>
      <c r="AS88" s="108"/>
      <c r="AT88" s="108"/>
      <c r="AU88" s="108"/>
      <c r="AV88" s="108"/>
      <c r="AW88" s="108"/>
      <c r="AX88" s="108"/>
      <c r="AY88" s="108"/>
      <c r="AZ88" s="108"/>
      <c r="BA88" s="108"/>
      <c r="BB88" s="108"/>
      <c r="BC88" s="108"/>
      <c r="BD88" s="108"/>
      <c r="BE88" s="108"/>
      <c r="BF88" s="108"/>
      <c r="BG88" s="108"/>
      <c r="BH88" s="108"/>
      <c r="BI88" s="108"/>
      <c r="BJ88" s="108"/>
      <c r="BK88" s="108"/>
      <c r="BL88" s="108"/>
      <c r="BM88" s="108"/>
      <c r="BN88" s="108"/>
      <c r="BO88" s="108"/>
      <c r="BP88" s="108"/>
      <c r="BQ88" s="108"/>
      <c r="BR88" s="108"/>
      <c r="BS88" s="108"/>
      <c r="BT88" s="108"/>
      <c r="BU88" s="108"/>
      <c r="BV88" s="108"/>
      <c r="BW88" s="108"/>
      <c r="BX88" s="108"/>
      <c r="BY88" s="108"/>
      <c r="BZ88" s="108"/>
      <c r="CA88" s="108"/>
      <c r="CB88" s="108"/>
      <c r="CC88" s="108"/>
      <c r="CD88" s="108"/>
      <c r="CE88" s="108"/>
      <c r="CF88" s="108"/>
      <c r="CG88" s="108"/>
      <c r="CH88" s="108"/>
      <c r="CI88" s="108"/>
      <c r="CJ88" s="108"/>
      <c r="CK88" s="108"/>
      <c r="CL88" s="108"/>
      <c r="CM88" s="108"/>
      <c r="CN88" s="108"/>
      <c r="CO88" s="108"/>
      <c r="CP88" s="108"/>
      <c r="CQ88" s="108"/>
      <c r="CR88" s="108"/>
      <c r="CS88" s="108"/>
      <c r="CT88" s="108"/>
      <c r="CU88" s="108"/>
      <c r="CV88" s="108"/>
      <c r="CW88" s="108"/>
      <c r="CX88" s="108"/>
      <c r="CY88" s="108"/>
      <c r="CZ88" s="108"/>
      <c r="DA88" s="108"/>
      <c r="DB88" s="108"/>
      <c r="DC88" s="108"/>
      <c r="DD88" s="108"/>
      <c r="DE88" s="108"/>
      <c r="DF88" s="108"/>
      <c r="DG88" s="108"/>
      <c r="DH88" s="108"/>
      <c r="DI88" s="108"/>
      <c r="DJ88" s="108"/>
      <c r="DK88" s="108"/>
      <c r="DL88" s="108"/>
      <c r="DM88" s="108"/>
      <c r="DN88" s="108"/>
      <c r="DO88" s="108"/>
      <c r="DP88" s="108"/>
      <c r="DQ88" s="108"/>
      <c r="DR88" s="108"/>
      <c r="DS88" s="108"/>
      <c r="DT88" s="108"/>
      <c r="DU88" s="108"/>
      <c r="DV88" s="108"/>
      <c r="DW88" s="108"/>
      <c r="DX88" s="108"/>
      <c r="DY88" s="108"/>
      <c r="DZ88" s="108"/>
      <c r="EA88" s="108"/>
      <c r="EB88" s="108"/>
      <c r="EC88" s="108"/>
      <c r="ED88" s="108"/>
      <c r="EE88" s="108"/>
      <c r="EF88" s="108"/>
      <c r="EG88" s="108"/>
      <c r="EH88" s="108"/>
      <c r="EI88" s="108"/>
      <c r="EJ88" s="108"/>
      <c r="EK88" s="108"/>
      <c r="EL88" s="108"/>
      <c r="EM88" s="108"/>
      <c r="EN88" s="108"/>
      <c r="EO88" s="108"/>
      <c r="EP88" s="108"/>
      <c r="EQ88" s="108"/>
      <c r="ER88" s="108"/>
      <c r="ES88" s="108"/>
      <c r="ET88" s="108"/>
      <c r="EU88" s="108"/>
      <c r="EV88" s="108"/>
      <c r="EW88" s="108"/>
      <c r="EX88" s="108"/>
      <c r="EY88" s="108"/>
      <c r="EZ88" s="108"/>
      <c r="FA88" s="108"/>
      <c r="FB88" s="108"/>
      <c r="FC88" s="108"/>
      <c r="FD88" s="108"/>
      <c r="FE88" s="108"/>
      <c r="FF88" s="108"/>
      <c r="FG88" s="108"/>
      <c r="FH88" s="108"/>
      <c r="FI88" s="108"/>
      <c r="FJ88" s="108"/>
      <c r="FK88" s="108"/>
      <c r="FL88" s="108"/>
      <c r="FM88" s="108"/>
      <c r="FN88" s="108"/>
      <c r="FO88" s="108"/>
      <c r="FP88" s="108"/>
      <c r="FQ88" s="108"/>
      <c r="FR88" s="108"/>
      <c r="FS88" s="108"/>
      <c r="FT88" s="108"/>
      <c r="FU88" s="108"/>
      <c r="FV88" s="108"/>
      <c r="FW88" s="108"/>
      <c r="FX88" s="108"/>
      <c r="FY88" s="108"/>
      <c r="FZ88" s="108"/>
      <c r="GA88" s="108"/>
      <c r="GB88" s="108"/>
      <c r="GC88" s="108"/>
      <c r="GD88" s="108"/>
      <c r="GE88" s="108"/>
      <c r="GF88" s="108"/>
      <c r="GG88" s="108"/>
      <c r="GH88" s="108"/>
      <c r="GI88" s="108"/>
      <c r="GJ88" s="108"/>
      <c r="GK88" s="108"/>
      <c r="GL88" s="108"/>
      <c r="GM88" s="108"/>
      <c r="GN88" s="108"/>
      <c r="GO88" s="108"/>
      <c r="GP88" s="108"/>
      <c r="GQ88" s="108"/>
      <c r="GR88" s="108"/>
      <c r="GS88" s="108"/>
      <c r="GT88" s="108"/>
      <c r="GU88" s="108"/>
      <c r="GV88" s="108"/>
      <c r="GW88" s="108"/>
      <c r="GX88" s="108"/>
      <c r="GY88" s="108"/>
      <c r="GZ88" s="108"/>
      <c r="HA88" s="108"/>
      <c r="HB88" s="108"/>
      <c r="HC88" s="108"/>
      <c r="HD88" s="108"/>
      <c r="HE88" s="108"/>
      <c r="HF88" s="108"/>
      <c r="HG88" s="108"/>
      <c r="HH88" s="108"/>
      <c r="HI88" s="108"/>
      <c r="HJ88" s="108"/>
      <c r="HK88" s="108"/>
      <c r="HL88" s="108"/>
      <c r="HM88" s="108"/>
      <c r="HN88" s="108"/>
      <c r="HO88" s="108"/>
      <c r="HP88" s="108"/>
      <c r="HQ88" s="108"/>
      <c r="HR88" s="108"/>
      <c r="HS88" s="108"/>
      <c r="HT88" s="108"/>
      <c r="HU88" s="108"/>
      <c r="HV88" s="108"/>
      <c r="HW88" s="108"/>
      <c r="HX88" s="108"/>
      <c r="HY88" s="108"/>
      <c r="HZ88" s="108"/>
      <c r="IA88" s="108"/>
      <c r="IB88" s="108"/>
      <c r="IC88" s="108"/>
      <c r="ID88" s="108"/>
      <c r="IE88" s="108"/>
      <c r="IF88" s="108"/>
      <c r="IG88" s="108"/>
      <c r="IH88" s="108"/>
      <c r="II88" s="108"/>
      <c r="IJ88" s="108"/>
      <c r="IK88" s="108"/>
      <c r="IL88" s="108"/>
      <c r="IM88" s="108"/>
      <c r="IN88" s="108"/>
      <c r="IO88" s="108"/>
      <c r="IP88" s="108"/>
      <c r="IQ88" s="108"/>
      <c r="IR88" s="108"/>
      <c r="IS88" s="108"/>
      <c r="IT88" s="108"/>
      <c r="IU88" s="108"/>
      <c r="IV88" s="108"/>
      <c r="IW88" s="108"/>
    </row>
    <row r="89" spans="1:257" x14ac:dyDescent="0.3">
      <c r="A89" s="158"/>
      <c r="B89" s="158"/>
      <c r="C89" s="158"/>
      <c r="D89" s="158"/>
      <c r="E89" s="158"/>
      <c r="F89" s="158"/>
      <c r="G89" s="158"/>
      <c r="H89" s="158"/>
      <c r="I89" s="158"/>
      <c r="J89" s="158"/>
      <c r="K89" s="158"/>
      <c r="L89" s="158"/>
      <c r="M89" s="158"/>
      <c r="N89" s="158"/>
      <c r="O89" s="108"/>
      <c r="P89" s="108"/>
      <c r="Q89" s="108"/>
      <c r="R89" s="108"/>
      <c r="S89" s="108"/>
      <c r="T89" s="108"/>
      <c r="U89" s="108"/>
      <c r="V89" s="108"/>
      <c r="W89" s="108"/>
      <c r="X89" s="108"/>
      <c r="Y89" s="108"/>
      <c r="Z89" s="108"/>
      <c r="AA89" s="108"/>
      <c r="AB89" s="108"/>
      <c r="AC89" s="108"/>
      <c r="AD89" s="108"/>
      <c r="AE89" s="108"/>
      <c r="AF89" s="108"/>
      <c r="AG89" s="108"/>
      <c r="AH89" s="108"/>
      <c r="AI89" s="108"/>
      <c r="AJ89" s="108"/>
      <c r="AK89" s="108"/>
      <c r="AL89" s="108"/>
      <c r="AM89" s="108"/>
      <c r="AN89" s="108"/>
      <c r="AO89" s="108"/>
      <c r="AP89" s="108"/>
      <c r="AQ89" s="108"/>
      <c r="AR89" s="108"/>
      <c r="AS89" s="108"/>
      <c r="AT89" s="108"/>
      <c r="AU89" s="108"/>
      <c r="AV89" s="108"/>
      <c r="AW89" s="108"/>
      <c r="AX89" s="108"/>
      <c r="AY89" s="108"/>
      <c r="AZ89" s="108"/>
      <c r="BA89" s="108"/>
      <c r="BB89" s="108"/>
      <c r="BC89" s="108"/>
      <c r="BD89" s="108"/>
      <c r="BE89" s="108"/>
      <c r="BF89" s="108"/>
      <c r="BG89" s="108"/>
      <c r="BH89" s="108"/>
      <c r="BI89" s="108"/>
      <c r="BJ89" s="108"/>
      <c r="BK89" s="108"/>
      <c r="BL89" s="108"/>
      <c r="BM89" s="108"/>
      <c r="BN89" s="108"/>
      <c r="BO89" s="108"/>
      <c r="BP89" s="108"/>
      <c r="BQ89" s="108"/>
      <c r="BR89" s="108"/>
      <c r="BS89" s="108"/>
      <c r="BT89" s="108"/>
      <c r="BU89" s="108"/>
      <c r="BV89" s="108"/>
      <c r="BW89" s="108"/>
      <c r="BX89" s="108"/>
      <c r="BY89" s="108"/>
      <c r="BZ89" s="108"/>
      <c r="CA89" s="108"/>
      <c r="CB89" s="108"/>
      <c r="CC89" s="108"/>
      <c r="CD89" s="108"/>
      <c r="CE89" s="108"/>
      <c r="CF89" s="108"/>
      <c r="CG89" s="108"/>
      <c r="CH89" s="108"/>
      <c r="CI89" s="108"/>
      <c r="CJ89" s="108"/>
      <c r="CK89" s="108"/>
      <c r="CL89" s="108"/>
      <c r="CM89" s="108"/>
      <c r="CN89" s="108"/>
      <c r="CO89" s="108"/>
      <c r="CP89" s="108"/>
      <c r="CQ89" s="108"/>
      <c r="CR89" s="108"/>
      <c r="CS89" s="108"/>
      <c r="CT89" s="108"/>
      <c r="CU89" s="108"/>
      <c r="CV89" s="108"/>
      <c r="CW89" s="108"/>
      <c r="CX89" s="108"/>
      <c r="CY89" s="108"/>
      <c r="CZ89" s="108"/>
      <c r="DA89" s="108"/>
      <c r="DB89" s="108"/>
      <c r="DC89" s="108"/>
      <c r="DD89" s="108"/>
      <c r="DE89" s="108"/>
      <c r="DF89" s="108"/>
      <c r="DG89" s="108"/>
      <c r="DH89" s="108"/>
      <c r="DI89" s="108"/>
      <c r="DJ89" s="108"/>
      <c r="DK89" s="108"/>
      <c r="DL89" s="108"/>
      <c r="DM89" s="108"/>
      <c r="DN89" s="108"/>
      <c r="DO89" s="108"/>
      <c r="DP89" s="108"/>
      <c r="DQ89" s="108"/>
      <c r="DR89" s="108"/>
      <c r="DS89" s="108"/>
      <c r="DT89" s="108"/>
      <c r="DU89" s="108"/>
      <c r="DV89" s="108"/>
      <c r="DW89" s="108"/>
      <c r="DX89" s="108"/>
      <c r="DY89" s="108"/>
      <c r="DZ89" s="108"/>
      <c r="EA89" s="108"/>
      <c r="EB89" s="108"/>
      <c r="EC89" s="108"/>
      <c r="ED89" s="108"/>
      <c r="EE89" s="108"/>
      <c r="EF89" s="108"/>
      <c r="EG89" s="108"/>
      <c r="EH89" s="108"/>
      <c r="EI89" s="108"/>
      <c r="EJ89" s="108"/>
      <c r="EK89" s="108"/>
      <c r="EL89" s="108"/>
      <c r="EM89" s="108"/>
      <c r="EN89" s="108"/>
      <c r="EO89" s="108"/>
      <c r="EP89" s="108"/>
      <c r="EQ89" s="108"/>
      <c r="ER89" s="108"/>
      <c r="ES89" s="108"/>
      <c r="ET89" s="108"/>
      <c r="EU89" s="108"/>
      <c r="EV89" s="108"/>
      <c r="EW89" s="108"/>
      <c r="EX89" s="108"/>
      <c r="EY89" s="108"/>
      <c r="EZ89" s="108"/>
      <c r="FA89" s="108"/>
      <c r="FB89" s="108"/>
      <c r="FC89" s="108"/>
      <c r="FD89" s="108"/>
      <c r="FE89" s="108"/>
      <c r="FF89" s="108"/>
      <c r="FG89" s="108"/>
      <c r="FH89" s="108"/>
      <c r="FI89" s="108"/>
      <c r="FJ89" s="108"/>
      <c r="FK89" s="108"/>
      <c r="FL89" s="108"/>
      <c r="FM89" s="108"/>
      <c r="FN89" s="108"/>
      <c r="FO89" s="108"/>
      <c r="FP89" s="108"/>
      <c r="FQ89" s="108"/>
      <c r="FR89" s="108"/>
      <c r="FS89" s="108"/>
      <c r="FT89" s="108"/>
      <c r="FU89" s="108"/>
      <c r="FV89" s="108"/>
      <c r="FW89" s="108"/>
      <c r="FX89" s="108"/>
      <c r="FY89" s="108"/>
      <c r="FZ89" s="108"/>
      <c r="GA89" s="108"/>
      <c r="GB89" s="108"/>
      <c r="GC89" s="108"/>
      <c r="GD89" s="108"/>
      <c r="GE89" s="108"/>
      <c r="GF89" s="108"/>
      <c r="GG89" s="108"/>
      <c r="GH89" s="108"/>
      <c r="GI89" s="108"/>
      <c r="GJ89" s="108"/>
      <c r="GK89" s="108"/>
      <c r="GL89" s="108"/>
      <c r="GM89" s="108"/>
      <c r="GN89" s="108"/>
      <c r="GO89" s="108"/>
      <c r="GP89" s="108"/>
      <c r="GQ89" s="108"/>
      <c r="GR89" s="108"/>
      <c r="GS89" s="108"/>
      <c r="GT89" s="108"/>
      <c r="GU89" s="108"/>
      <c r="GV89" s="108"/>
      <c r="GW89" s="108"/>
      <c r="GX89" s="108"/>
      <c r="GY89" s="108"/>
      <c r="GZ89" s="108"/>
      <c r="HA89" s="108"/>
      <c r="HB89" s="108"/>
      <c r="HC89" s="108"/>
      <c r="HD89" s="108"/>
      <c r="HE89" s="108"/>
      <c r="HF89" s="108"/>
      <c r="HG89" s="108"/>
      <c r="HH89" s="108"/>
      <c r="HI89" s="108"/>
      <c r="HJ89" s="108"/>
      <c r="HK89" s="108"/>
      <c r="HL89" s="108"/>
      <c r="HM89" s="108"/>
      <c r="HN89" s="108"/>
      <c r="HO89" s="108"/>
      <c r="HP89" s="108"/>
      <c r="HQ89" s="108"/>
      <c r="HR89" s="108"/>
      <c r="HS89" s="108"/>
      <c r="HT89" s="108"/>
      <c r="HU89" s="108"/>
      <c r="HV89" s="108"/>
      <c r="HW89" s="108"/>
      <c r="HX89" s="108"/>
      <c r="HY89" s="108"/>
      <c r="HZ89" s="108"/>
      <c r="IA89" s="108"/>
      <c r="IB89" s="108"/>
      <c r="IC89" s="108"/>
      <c r="ID89" s="108"/>
      <c r="IE89" s="108"/>
      <c r="IF89" s="108"/>
      <c r="IG89" s="108"/>
      <c r="IH89" s="108"/>
      <c r="II89" s="108"/>
      <c r="IJ89" s="108"/>
      <c r="IK89" s="108"/>
      <c r="IL89" s="108"/>
      <c r="IM89" s="108"/>
      <c r="IN89" s="108"/>
      <c r="IO89" s="108"/>
      <c r="IP89" s="108"/>
      <c r="IQ89" s="108"/>
      <c r="IR89" s="108"/>
      <c r="IS89" s="108"/>
      <c r="IT89" s="108"/>
      <c r="IU89" s="108"/>
      <c r="IV89" s="108"/>
      <c r="IW89" s="108"/>
    </row>
    <row r="90" spans="1:257" x14ac:dyDescent="0.3">
      <c r="A90" s="158"/>
      <c r="B90" s="158"/>
      <c r="C90" s="158"/>
      <c r="D90" s="158"/>
      <c r="E90" s="158"/>
      <c r="F90" s="158"/>
      <c r="G90" s="158"/>
      <c r="H90" s="158"/>
      <c r="I90" s="158"/>
      <c r="J90" s="158"/>
      <c r="K90" s="158"/>
      <c r="L90" s="158"/>
      <c r="M90" s="158"/>
      <c r="N90" s="158"/>
      <c r="O90" s="108"/>
      <c r="P90" s="108"/>
      <c r="Q90" s="108"/>
      <c r="R90" s="108"/>
      <c r="S90" s="108"/>
      <c r="T90" s="108"/>
      <c r="U90" s="108"/>
      <c r="V90" s="108"/>
      <c r="W90" s="108"/>
      <c r="X90" s="108"/>
      <c r="Y90" s="108"/>
      <c r="Z90" s="108"/>
      <c r="AA90" s="108"/>
      <c r="AB90" s="108"/>
      <c r="AC90" s="108"/>
      <c r="AD90" s="108"/>
      <c r="AE90" s="108"/>
      <c r="AF90" s="108"/>
      <c r="AG90" s="108"/>
      <c r="AH90" s="108"/>
      <c r="AI90" s="108"/>
      <c r="AJ90" s="108"/>
      <c r="AK90" s="108"/>
      <c r="AL90" s="108"/>
      <c r="AM90" s="108"/>
      <c r="AN90" s="108"/>
      <c r="AO90" s="108"/>
      <c r="AP90" s="108"/>
      <c r="AQ90" s="108"/>
      <c r="AR90" s="108"/>
      <c r="AS90" s="108"/>
      <c r="AT90" s="108"/>
      <c r="AU90" s="108"/>
      <c r="AV90" s="108"/>
      <c r="AW90" s="108"/>
      <c r="AX90" s="108"/>
      <c r="AY90" s="108"/>
      <c r="AZ90" s="108"/>
      <c r="BA90" s="108"/>
      <c r="BB90" s="108"/>
      <c r="BC90" s="108"/>
      <c r="BD90" s="108"/>
      <c r="BE90" s="108"/>
      <c r="BF90" s="108"/>
      <c r="BG90" s="108"/>
      <c r="BH90" s="108"/>
      <c r="BI90" s="108"/>
      <c r="BJ90" s="108"/>
      <c r="BK90" s="108"/>
      <c r="BL90" s="108"/>
      <c r="BM90" s="108"/>
      <c r="BN90" s="108"/>
      <c r="BO90" s="108"/>
      <c r="BP90" s="108"/>
      <c r="BQ90" s="108"/>
      <c r="BR90" s="108"/>
      <c r="BS90" s="108"/>
      <c r="BT90" s="108"/>
      <c r="BU90" s="108"/>
      <c r="BV90" s="108"/>
      <c r="BW90" s="108"/>
      <c r="BX90" s="108"/>
      <c r="BY90" s="108"/>
      <c r="BZ90" s="108"/>
      <c r="CA90" s="108"/>
      <c r="CB90" s="108"/>
      <c r="CC90" s="108"/>
      <c r="CD90" s="108"/>
      <c r="CE90" s="108"/>
      <c r="CF90" s="108"/>
      <c r="CG90" s="108"/>
      <c r="CH90" s="108"/>
      <c r="CI90" s="108"/>
      <c r="CJ90" s="108"/>
      <c r="CK90" s="108"/>
      <c r="CL90" s="108"/>
      <c r="CM90" s="108"/>
      <c r="CN90" s="108"/>
      <c r="CO90" s="108"/>
      <c r="CP90" s="108"/>
      <c r="CQ90" s="108"/>
      <c r="CR90" s="108"/>
      <c r="CS90" s="108"/>
      <c r="CT90" s="108"/>
      <c r="CU90" s="108"/>
      <c r="CV90" s="108"/>
      <c r="CW90" s="108"/>
      <c r="CX90" s="108"/>
      <c r="CY90" s="108"/>
      <c r="CZ90" s="108"/>
      <c r="DA90" s="108"/>
      <c r="DB90" s="108"/>
      <c r="DC90" s="108"/>
      <c r="DD90" s="108"/>
      <c r="DE90" s="108"/>
      <c r="DF90" s="108"/>
      <c r="DG90" s="108"/>
      <c r="DH90" s="108"/>
      <c r="DI90" s="108"/>
      <c r="DJ90" s="108"/>
      <c r="DK90" s="108"/>
      <c r="DL90" s="108"/>
      <c r="DM90" s="108"/>
      <c r="DN90" s="108"/>
      <c r="DO90" s="108"/>
      <c r="DP90" s="108"/>
      <c r="DQ90" s="108"/>
      <c r="DR90" s="108"/>
      <c r="DS90" s="108"/>
      <c r="DT90" s="108"/>
      <c r="DU90" s="108"/>
      <c r="DV90" s="108"/>
      <c r="DW90" s="108"/>
      <c r="DX90" s="108"/>
      <c r="DY90" s="108"/>
      <c r="DZ90" s="108"/>
      <c r="EA90" s="108"/>
      <c r="EB90" s="108"/>
      <c r="EC90" s="108"/>
      <c r="ED90" s="108"/>
      <c r="EE90" s="108"/>
      <c r="EF90" s="108"/>
      <c r="EG90" s="108"/>
      <c r="EH90" s="108"/>
      <c r="EI90" s="108"/>
      <c r="EJ90" s="108"/>
      <c r="EK90" s="108"/>
      <c r="EL90" s="108"/>
      <c r="EM90" s="108"/>
      <c r="EN90" s="108"/>
      <c r="EO90" s="108"/>
      <c r="EP90" s="108"/>
      <c r="EQ90" s="108"/>
      <c r="ER90" s="108"/>
      <c r="ES90" s="108"/>
      <c r="ET90" s="108"/>
      <c r="EU90" s="108"/>
      <c r="EV90" s="108"/>
      <c r="EW90" s="108"/>
      <c r="EX90" s="108"/>
      <c r="EY90" s="108"/>
      <c r="EZ90" s="108"/>
      <c r="FA90" s="108"/>
      <c r="FB90" s="108"/>
      <c r="FC90" s="108"/>
      <c r="FD90" s="108"/>
      <c r="FE90" s="108"/>
      <c r="FF90" s="108"/>
      <c r="FG90" s="108"/>
      <c r="FH90" s="108"/>
      <c r="FI90" s="108"/>
      <c r="FJ90" s="108"/>
      <c r="FK90" s="108"/>
      <c r="FL90" s="108"/>
      <c r="FM90" s="108"/>
      <c r="FN90" s="108"/>
      <c r="FO90" s="108"/>
      <c r="FP90" s="108"/>
      <c r="FQ90" s="108"/>
      <c r="FR90" s="108"/>
      <c r="FS90" s="108"/>
      <c r="FT90" s="108"/>
      <c r="FU90" s="108"/>
      <c r="FV90" s="108"/>
      <c r="FW90" s="108"/>
      <c r="FX90" s="108"/>
      <c r="FY90" s="108"/>
      <c r="FZ90" s="108"/>
      <c r="GA90" s="108"/>
      <c r="GB90" s="108"/>
      <c r="GC90" s="108"/>
      <c r="GD90" s="108"/>
      <c r="GE90" s="108"/>
      <c r="GF90" s="108"/>
      <c r="GG90" s="108"/>
      <c r="GH90" s="108"/>
      <c r="GI90" s="108"/>
      <c r="GJ90" s="108"/>
      <c r="GK90" s="108"/>
      <c r="GL90" s="108"/>
      <c r="GM90" s="108"/>
      <c r="GN90" s="108"/>
      <c r="GO90" s="108"/>
      <c r="GP90" s="108"/>
      <c r="GQ90" s="108"/>
      <c r="GR90" s="108"/>
      <c r="GS90" s="108"/>
      <c r="GT90" s="108"/>
      <c r="GU90" s="108"/>
      <c r="GV90" s="108"/>
      <c r="GW90" s="108"/>
      <c r="GX90" s="108"/>
      <c r="GY90" s="108"/>
      <c r="GZ90" s="108"/>
      <c r="HA90" s="108"/>
      <c r="HB90" s="108"/>
      <c r="HC90" s="108"/>
      <c r="HD90" s="108"/>
      <c r="HE90" s="108"/>
      <c r="HF90" s="108"/>
      <c r="HG90" s="108"/>
      <c r="HH90" s="108"/>
      <c r="HI90" s="108"/>
      <c r="HJ90" s="108"/>
      <c r="HK90" s="108"/>
      <c r="HL90" s="108"/>
      <c r="HM90" s="108"/>
      <c r="HN90" s="108"/>
      <c r="HO90" s="108"/>
      <c r="HP90" s="108"/>
      <c r="HQ90" s="108"/>
      <c r="HR90" s="108"/>
      <c r="HS90" s="108"/>
      <c r="HT90" s="108"/>
      <c r="HU90" s="108"/>
      <c r="HV90" s="108"/>
      <c r="HW90" s="108"/>
      <c r="HX90" s="108"/>
      <c r="HY90" s="108"/>
      <c r="HZ90" s="108"/>
      <c r="IA90" s="108"/>
      <c r="IB90" s="108"/>
      <c r="IC90" s="108"/>
      <c r="ID90" s="108"/>
      <c r="IE90" s="108"/>
      <c r="IF90" s="108"/>
      <c r="IG90" s="108"/>
      <c r="IH90" s="108"/>
      <c r="II90" s="108"/>
      <c r="IJ90" s="108"/>
      <c r="IK90" s="108"/>
      <c r="IL90" s="108"/>
      <c r="IM90" s="108"/>
      <c r="IN90" s="108"/>
      <c r="IO90" s="108"/>
      <c r="IP90" s="108"/>
      <c r="IQ90" s="108"/>
      <c r="IR90" s="108"/>
      <c r="IS90" s="108"/>
      <c r="IT90" s="108"/>
      <c r="IU90" s="108"/>
      <c r="IV90" s="108"/>
      <c r="IW90" s="108"/>
    </row>
    <row r="91" spans="1:257" x14ac:dyDescent="0.3">
      <c r="A91" s="158"/>
      <c r="B91" s="158"/>
      <c r="C91" s="158"/>
      <c r="D91" s="158"/>
      <c r="E91" s="158"/>
      <c r="F91" s="158"/>
      <c r="G91" s="158"/>
      <c r="H91" s="158"/>
      <c r="I91" s="158"/>
      <c r="J91" s="158"/>
      <c r="K91" s="158"/>
      <c r="L91" s="158"/>
      <c r="M91" s="158"/>
      <c r="N91" s="158"/>
      <c r="O91" s="108"/>
      <c r="P91" s="108"/>
      <c r="Q91" s="108"/>
      <c r="R91" s="108"/>
      <c r="S91" s="108"/>
      <c r="T91" s="108"/>
      <c r="U91" s="108"/>
      <c r="V91" s="108"/>
      <c r="W91" s="108"/>
      <c r="X91" s="108"/>
      <c r="Y91" s="108"/>
      <c r="Z91" s="108"/>
      <c r="AA91" s="108"/>
      <c r="AB91" s="108"/>
      <c r="AC91" s="108"/>
      <c r="AD91" s="108"/>
      <c r="AE91" s="108"/>
      <c r="AF91" s="108"/>
      <c r="AG91" s="108"/>
      <c r="AH91" s="108"/>
      <c r="AI91" s="108"/>
      <c r="AJ91" s="108"/>
      <c r="AK91" s="108"/>
      <c r="AL91" s="108"/>
      <c r="AM91" s="108"/>
      <c r="AN91" s="108"/>
      <c r="AO91" s="108"/>
      <c r="AP91" s="108"/>
      <c r="AQ91" s="108"/>
      <c r="AR91" s="108"/>
      <c r="AS91" s="108"/>
      <c r="AT91" s="108"/>
      <c r="AU91" s="108"/>
      <c r="AV91" s="108"/>
      <c r="AW91" s="108"/>
      <c r="AX91" s="108"/>
      <c r="AY91" s="108"/>
      <c r="AZ91" s="108"/>
      <c r="BA91" s="108"/>
      <c r="BB91" s="108"/>
      <c r="BC91" s="108"/>
      <c r="BD91" s="108"/>
      <c r="BE91" s="108"/>
      <c r="BF91" s="108"/>
      <c r="BG91" s="108"/>
      <c r="BH91" s="108"/>
      <c r="BI91" s="108"/>
      <c r="BJ91" s="108"/>
      <c r="BK91" s="108"/>
      <c r="BL91" s="108"/>
      <c r="BM91" s="108"/>
      <c r="BN91" s="108"/>
      <c r="BO91" s="108"/>
      <c r="BP91" s="108"/>
      <c r="BQ91" s="108"/>
      <c r="BR91" s="108"/>
      <c r="BS91" s="108"/>
      <c r="BT91" s="108"/>
      <c r="BU91" s="108"/>
      <c r="BV91" s="108"/>
      <c r="BW91" s="108"/>
      <c r="BX91" s="108"/>
      <c r="BY91" s="108"/>
      <c r="BZ91" s="108"/>
      <c r="CA91" s="108"/>
      <c r="CB91" s="108"/>
      <c r="CC91" s="108"/>
      <c r="CD91" s="108"/>
      <c r="CE91" s="108"/>
      <c r="CF91" s="108"/>
      <c r="CG91" s="108"/>
      <c r="CH91" s="108"/>
      <c r="CI91" s="108"/>
      <c r="CJ91" s="108"/>
      <c r="CK91" s="108"/>
      <c r="CL91" s="108"/>
      <c r="CM91" s="108"/>
      <c r="CN91" s="108"/>
      <c r="CO91" s="108"/>
      <c r="CP91" s="108"/>
      <c r="CQ91" s="108"/>
      <c r="CR91" s="108"/>
      <c r="CS91" s="108"/>
      <c r="CT91" s="108"/>
      <c r="CU91" s="108"/>
      <c r="CV91" s="108"/>
      <c r="CW91" s="108"/>
      <c r="CX91" s="108"/>
      <c r="CY91" s="108"/>
      <c r="CZ91" s="108"/>
      <c r="DA91" s="108"/>
      <c r="DB91" s="108"/>
      <c r="DC91" s="108"/>
      <c r="DD91" s="108"/>
      <c r="DE91" s="108"/>
      <c r="DF91" s="108"/>
      <c r="DG91" s="108"/>
      <c r="DH91" s="108"/>
      <c r="DI91" s="108"/>
      <c r="DJ91" s="108"/>
      <c r="DK91" s="108"/>
      <c r="DL91" s="108"/>
      <c r="DM91" s="108"/>
      <c r="DN91" s="108"/>
      <c r="DO91" s="108"/>
      <c r="DP91" s="108"/>
      <c r="DQ91" s="108"/>
      <c r="DR91" s="108"/>
      <c r="DS91" s="108"/>
      <c r="DT91" s="108"/>
      <c r="DU91" s="108"/>
      <c r="DV91" s="108"/>
      <c r="DW91" s="108"/>
      <c r="DX91" s="108"/>
      <c r="DY91" s="108"/>
      <c r="DZ91" s="108"/>
      <c r="EA91" s="108"/>
      <c r="EB91" s="108"/>
      <c r="EC91" s="108"/>
      <c r="ED91" s="108"/>
      <c r="EE91" s="108"/>
      <c r="EF91" s="108"/>
      <c r="EG91" s="108"/>
      <c r="EH91" s="108"/>
      <c r="EI91" s="108"/>
      <c r="EJ91" s="108"/>
      <c r="EK91" s="108"/>
      <c r="EL91" s="108"/>
      <c r="EM91" s="108"/>
      <c r="EN91" s="108"/>
      <c r="EO91" s="108"/>
      <c r="EP91" s="108"/>
      <c r="EQ91" s="108"/>
      <c r="ER91" s="108"/>
      <c r="ES91" s="108"/>
      <c r="ET91" s="108"/>
      <c r="EU91" s="108"/>
      <c r="EV91" s="108"/>
      <c r="EW91" s="108"/>
      <c r="EX91" s="108"/>
      <c r="EY91" s="108"/>
      <c r="EZ91" s="108"/>
      <c r="FA91" s="108"/>
      <c r="FB91" s="108"/>
      <c r="FC91" s="108"/>
      <c r="FD91" s="108"/>
      <c r="FE91" s="108"/>
      <c r="FF91" s="108"/>
      <c r="FG91" s="108"/>
      <c r="FH91" s="108"/>
      <c r="FI91" s="108"/>
      <c r="FJ91" s="108"/>
      <c r="FK91" s="108"/>
      <c r="FL91" s="108"/>
      <c r="FM91" s="108"/>
      <c r="FN91" s="108"/>
      <c r="FO91" s="108"/>
      <c r="FP91" s="108"/>
      <c r="FQ91" s="108"/>
      <c r="FR91" s="108"/>
      <c r="FS91" s="108"/>
      <c r="FT91" s="108"/>
      <c r="FU91" s="108"/>
      <c r="FV91" s="108"/>
      <c r="FW91" s="108"/>
      <c r="FX91" s="108"/>
      <c r="FY91" s="108"/>
      <c r="FZ91" s="108"/>
      <c r="GA91" s="108"/>
      <c r="GB91" s="108"/>
      <c r="GC91" s="108"/>
      <c r="GD91" s="108"/>
      <c r="GE91" s="108"/>
      <c r="GF91" s="108"/>
      <c r="GG91" s="108"/>
      <c r="GH91" s="108"/>
      <c r="GI91" s="108"/>
      <c r="GJ91" s="108"/>
      <c r="GK91" s="108"/>
      <c r="GL91" s="108"/>
      <c r="GM91" s="108"/>
      <c r="GN91" s="108"/>
      <c r="GO91" s="108"/>
      <c r="GP91" s="108"/>
      <c r="GQ91" s="108"/>
      <c r="GR91" s="108"/>
      <c r="GS91" s="108"/>
      <c r="GT91" s="108"/>
      <c r="GU91" s="108"/>
      <c r="GV91" s="108"/>
      <c r="GW91" s="108"/>
      <c r="GX91" s="108"/>
      <c r="GY91" s="108"/>
      <c r="GZ91" s="108"/>
      <c r="HA91" s="108"/>
      <c r="HB91" s="108"/>
      <c r="HC91" s="108"/>
      <c r="HD91" s="108"/>
      <c r="HE91" s="108"/>
      <c r="HF91" s="108"/>
      <c r="HG91" s="108"/>
      <c r="HH91" s="108"/>
      <c r="HI91" s="108"/>
      <c r="HJ91" s="108"/>
      <c r="HK91" s="108"/>
      <c r="HL91" s="108"/>
      <c r="HM91" s="108"/>
      <c r="HN91" s="108"/>
      <c r="HO91" s="108"/>
      <c r="HP91" s="108"/>
      <c r="HQ91" s="108"/>
      <c r="HR91" s="108"/>
      <c r="HS91" s="108"/>
      <c r="HT91" s="108"/>
      <c r="HU91" s="108"/>
      <c r="HV91" s="108"/>
      <c r="HW91" s="108"/>
      <c r="HX91" s="108"/>
      <c r="HY91" s="108"/>
      <c r="HZ91" s="108"/>
      <c r="IA91" s="108"/>
      <c r="IB91" s="108"/>
      <c r="IC91" s="108"/>
      <c r="ID91" s="108"/>
      <c r="IE91" s="108"/>
      <c r="IF91" s="108"/>
      <c r="IG91" s="108"/>
      <c r="IH91" s="108"/>
      <c r="II91" s="108"/>
      <c r="IJ91" s="108"/>
      <c r="IK91" s="108"/>
      <c r="IL91" s="108"/>
      <c r="IM91" s="108"/>
      <c r="IN91" s="108"/>
      <c r="IO91" s="108"/>
      <c r="IP91" s="108"/>
      <c r="IQ91" s="108"/>
      <c r="IR91" s="108"/>
      <c r="IS91" s="108"/>
      <c r="IT91" s="108"/>
      <c r="IU91" s="108"/>
      <c r="IV91" s="108"/>
      <c r="IW91" s="108"/>
    </row>
    <row r="92" spans="1:257" x14ac:dyDescent="0.3">
      <c r="A92" s="158"/>
      <c r="B92" s="158"/>
      <c r="C92" s="158"/>
      <c r="D92" s="158"/>
      <c r="E92" s="158"/>
      <c r="F92" s="158"/>
      <c r="G92" s="158"/>
      <c r="H92" s="158"/>
      <c r="I92" s="158"/>
      <c r="J92" s="158"/>
      <c r="K92" s="158"/>
      <c r="L92" s="158"/>
      <c r="M92" s="158"/>
      <c r="N92" s="158"/>
      <c r="O92" s="108"/>
      <c r="P92" s="108"/>
      <c r="Q92" s="108"/>
      <c r="R92" s="108"/>
      <c r="S92" s="108"/>
      <c r="T92" s="108"/>
      <c r="U92" s="108"/>
      <c r="V92" s="108"/>
      <c r="W92" s="108"/>
      <c r="X92" s="108"/>
      <c r="Y92" s="108"/>
      <c r="Z92" s="108"/>
      <c r="AA92" s="108"/>
      <c r="AB92" s="108"/>
      <c r="AC92" s="108"/>
      <c r="AD92" s="108"/>
      <c r="AE92" s="108"/>
      <c r="AF92" s="108"/>
      <c r="AG92" s="108"/>
      <c r="AH92" s="108"/>
      <c r="AI92" s="108"/>
      <c r="AJ92" s="108"/>
      <c r="AK92" s="108"/>
      <c r="AL92" s="108"/>
      <c r="AM92" s="108"/>
      <c r="AN92" s="108"/>
      <c r="AO92" s="108"/>
      <c r="AP92" s="108"/>
      <c r="AQ92" s="108"/>
      <c r="AR92" s="108"/>
      <c r="AS92" s="108"/>
      <c r="AT92" s="108"/>
      <c r="AU92" s="108"/>
      <c r="AV92" s="108"/>
      <c r="AW92" s="108"/>
      <c r="AX92" s="108"/>
      <c r="AY92" s="108"/>
      <c r="AZ92" s="108"/>
      <c r="BA92" s="108"/>
      <c r="BB92" s="108"/>
      <c r="BC92" s="108"/>
      <c r="BD92" s="108"/>
      <c r="BE92" s="108"/>
      <c r="BF92" s="108"/>
      <c r="BG92" s="108"/>
      <c r="BH92" s="108"/>
      <c r="BI92" s="108"/>
      <c r="BJ92" s="108"/>
      <c r="BK92" s="108"/>
      <c r="BL92" s="108"/>
      <c r="BM92" s="108"/>
      <c r="BN92" s="108"/>
      <c r="BO92" s="108"/>
      <c r="BP92" s="108"/>
      <c r="BQ92" s="108"/>
      <c r="BR92" s="108"/>
      <c r="BS92" s="108"/>
      <c r="BT92" s="108"/>
      <c r="BU92" s="108"/>
      <c r="BV92" s="108"/>
      <c r="BW92" s="108"/>
      <c r="BX92" s="108"/>
      <c r="BY92" s="108"/>
      <c r="BZ92" s="108"/>
      <c r="CA92" s="108"/>
      <c r="CB92" s="108"/>
      <c r="CC92" s="108"/>
      <c r="CD92" s="108"/>
      <c r="CE92" s="108"/>
      <c r="CF92" s="108"/>
      <c r="CG92" s="108"/>
      <c r="CH92" s="108"/>
      <c r="CI92" s="108"/>
      <c r="CJ92" s="108"/>
      <c r="CK92" s="108"/>
      <c r="CL92" s="108"/>
      <c r="CM92" s="108"/>
      <c r="CN92" s="108"/>
      <c r="CO92" s="108"/>
      <c r="CP92" s="108"/>
      <c r="CQ92" s="108"/>
      <c r="CR92" s="108"/>
      <c r="CS92" s="108"/>
      <c r="CT92" s="108"/>
      <c r="CU92" s="108"/>
      <c r="CV92" s="108"/>
      <c r="CW92" s="108"/>
      <c r="CX92" s="108"/>
      <c r="CY92" s="108"/>
      <c r="CZ92" s="108"/>
      <c r="DA92" s="108"/>
      <c r="DB92" s="108"/>
      <c r="DC92" s="108"/>
      <c r="DD92" s="108"/>
      <c r="DE92" s="108"/>
      <c r="DF92" s="108"/>
      <c r="DG92" s="108"/>
      <c r="DH92" s="108"/>
      <c r="DI92" s="108"/>
      <c r="DJ92" s="108"/>
      <c r="DK92" s="108"/>
      <c r="DL92" s="108"/>
      <c r="DM92" s="108"/>
      <c r="DN92" s="108"/>
      <c r="DO92" s="108"/>
      <c r="DP92" s="108"/>
      <c r="DQ92" s="108"/>
      <c r="DR92" s="108"/>
      <c r="DS92" s="108"/>
      <c r="DT92" s="108"/>
      <c r="DU92" s="108"/>
      <c r="DV92" s="108"/>
      <c r="DW92" s="108"/>
      <c r="DX92" s="108"/>
      <c r="DY92" s="108"/>
      <c r="DZ92" s="108"/>
      <c r="EA92" s="108"/>
      <c r="EB92" s="108"/>
      <c r="EC92" s="108"/>
      <c r="ED92" s="108"/>
      <c r="EE92" s="108"/>
      <c r="EF92" s="108"/>
      <c r="EG92" s="108"/>
      <c r="EH92" s="108"/>
      <c r="EI92" s="108"/>
      <c r="EJ92" s="108"/>
      <c r="EK92" s="108"/>
      <c r="EL92" s="108"/>
      <c r="EM92" s="108"/>
      <c r="EN92" s="108"/>
      <c r="EO92" s="108"/>
      <c r="EP92" s="108"/>
      <c r="EQ92" s="108"/>
      <c r="ER92" s="108"/>
      <c r="ES92" s="108"/>
      <c r="ET92" s="108"/>
      <c r="EU92" s="108"/>
      <c r="EV92" s="108"/>
      <c r="EW92" s="108"/>
      <c r="EX92" s="108"/>
      <c r="EY92" s="108"/>
      <c r="EZ92" s="108"/>
      <c r="FA92" s="108"/>
      <c r="FB92" s="108"/>
      <c r="FC92" s="108"/>
      <c r="FD92" s="108"/>
      <c r="FE92" s="108"/>
      <c r="FF92" s="108"/>
      <c r="FG92" s="108"/>
      <c r="FH92" s="108"/>
      <c r="FI92" s="108"/>
      <c r="FJ92" s="108"/>
      <c r="FK92" s="108"/>
      <c r="FL92" s="108"/>
      <c r="FM92" s="108"/>
      <c r="FN92" s="108"/>
      <c r="FO92" s="108"/>
      <c r="FP92" s="108"/>
      <c r="FQ92" s="108"/>
      <c r="FR92" s="108"/>
      <c r="FS92" s="108"/>
      <c r="FT92" s="108"/>
      <c r="FU92" s="108"/>
      <c r="FV92" s="108"/>
      <c r="FW92" s="108"/>
      <c r="FX92" s="108"/>
      <c r="FY92" s="108"/>
      <c r="FZ92" s="108"/>
      <c r="GA92" s="108"/>
      <c r="GB92" s="108"/>
      <c r="GC92" s="108"/>
      <c r="GD92" s="108"/>
      <c r="GE92" s="108"/>
      <c r="GF92" s="108"/>
      <c r="GG92" s="108"/>
      <c r="GH92" s="108"/>
      <c r="GI92" s="108"/>
      <c r="GJ92" s="108"/>
      <c r="GK92" s="108"/>
      <c r="GL92" s="108"/>
      <c r="GM92" s="108"/>
      <c r="GN92" s="108"/>
      <c r="GO92" s="108"/>
      <c r="GP92" s="108"/>
      <c r="GQ92" s="108"/>
      <c r="GR92" s="108"/>
      <c r="GS92" s="108"/>
      <c r="GT92" s="108"/>
      <c r="GU92" s="108"/>
      <c r="GV92" s="108"/>
      <c r="GW92" s="108"/>
      <c r="GX92" s="108"/>
      <c r="GY92" s="108"/>
      <c r="GZ92" s="108"/>
      <c r="HA92" s="108"/>
      <c r="HB92" s="108"/>
      <c r="HC92" s="108"/>
      <c r="HD92" s="108"/>
      <c r="HE92" s="108"/>
      <c r="HF92" s="108"/>
      <c r="HG92" s="108"/>
      <c r="HH92" s="108"/>
      <c r="HI92" s="108"/>
      <c r="HJ92" s="108"/>
      <c r="HK92" s="108"/>
      <c r="HL92" s="108"/>
      <c r="HM92" s="108"/>
      <c r="HN92" s="108"/>
      <c r="HO92" s="108"/>
      <c r="HP92" s="108"/>
      <c r="HQ92" s="108"/>
      <c r="HR92" s="108"/>
      <c r="HS92" s="108"/>
      <c r="HT92" s="108"/>
      <c r="HU92" s="108"/>
      <c r="HV92" s="108"/>
      <c r="HW92" s="108"/>
      <c r="HX92" s="108"/>
      <c r="HY92" s="108"/>
      <c r="HZ92" s="108"/>
      <c r="IA92" s="108"/>
      <c r="IB92" s="108"/>
      <c r="IC92" s="108"/>
      <c r="ID92" s="108"/>
      <c r="IE92" s="108"/>
      <c r="IF92" s="108"/>
      <c r="IG92" s="108"/>
      <c r="IH92" s="108"/>
      <c r="II92" s="108"/>
      <c r="IJ92" s="108"/>
      <c r="IK92" s="108"/>
      <c r="IL92" s="108"/>
      <c r="IM92" s="108"/>
      <c r="IN92" s="108"/>
      <c r="IO92" s="108"/>
      <c r="IP92" s="108"/>
      <c r="IQ92" s="108"/>
      <c r="IR92" s="108"/>
      <c r="IS92" s="108"/>
      <c r="IT92" s="108"/>
      <c r="IU92" s="108"/>
      <c r="IV92" s="108"/>
      <c r="IW92" s="108"/>
    </row>
    <row r="93" spans="1:257" x14ac:dyDescent="0.3">
      <c r="A93" s="158"/>
      <c r="B93" s="158"/>
      <c r="C93" s="158"/>
      <c r="D93" s="158"/>
      <c r="E93" s="158"/>
      <c r="F93" s="158"/>
      <c r="G93" s="158"/>
      <c r="H93" s="158"/>
      <c r="I93" s="158"/>
      <c r="J93" s="158"/>
      <c r="K93" s="158"/>
      <c r="L93" s="158"/>
      <c r="M93" s="158"/>
      <c r="N93" s="158"/>
      <c r="O93" s="108"/>
      <c r="P93" s="108"/>
      <c r="Q93" s="108"/>
      <c r="R93" s="108"/>
      <c r="S93" s="108"/>
      <c r="T93" s="108"/>
      <c r="U93" s="108"/>
      <c r="V93" s="108"/>
      <c r="W93" s="108"/>
      <c r="X93" s="108"/>
      <c r="Y93" s="108"/>
      <c r="Z93" s="108"/>
      <c r="AA93" s="108"/>
      <c r="AB93" s="108"/>
      <c r="AC93" s="108"/>
      <c r="AD93" s="108"/>
      <c r="AE93" s="108"/>
      <c r="AF93" s="108"/>
      <c r="AG93" s="108"/>
      <c r="AH93" s="108"/>
      <c r="AI93" s="108"/>
      <c r="AJ93" s="108"/>
      <c r="AK93" s="108"/>
      <c r="AL93" s="108"/>
      <c r="AM93" s="108"/>
      <c r="AN93" s="108"/>
      <c r="AO93" s="108"/>
      <c r="AP93" s="108"/>
      <c r="AQ93" s="108"/>
      <c r="AR93" s="108"/>
      <c r="AS93" s="108"/>
      <c r="AT93" s="108"/>
      <c r="AU93" s="108"/>
      <c r="AV93" s="108"/>
      <c r="AW93" s="108"/>
      <c r="AX93" s="108"/>
      <c r="AY93" s="108"/>
      <c r="AZ93" s="108"/>
      <c r="BA93" s="108"/>
      <c r="BB93" s="108"/>
      <c r="BC93" s="108"/>
      <c r="BD93" s="108"/>
      <c r="BE93" s="108"/>
      <c r="BF93" s="108"/>
      <c r="BG93" s="108"/>
      <c r="BH93" s="108"/>
      <c r="BI93" s="108"/>
      <c r="BJ93" s="108"/>
      <c r="BK93" s="108"/>
      <c r="BL93" s="108"/>
      <c r="BM93" s="108"/>
      <c r="BN93" s="108"/>
      <c r="BO93" s="108"/>
      <c r="BP93" s="108"/>
      <c r="BQ93" s="108"/>
      <c r="BR93" s="108"/>
      <c r="BS93" s="108"/>
      <c r="BT93" s="108"/>
      <c r="BU93" s="108"/>
      <c r="BV93" s="108"/>
      <c r="BW93" s="108"/>
      <c r="BX93" s="108"/>
      <c r="BY93" s="108"/>
      <c r="BZ93" s="108"/>
      <c r="CA93" s="108"/>
      <c r="CB93" s="108"/>
      <c r="CC93" s="108"/>
      <c r="CD93" s="108"/>
      <c r="CE93" s="108"/>
      <c r="CF93" s="108"/>
      <c r="CG93" s="108"/>
      <c r="CH93" s="108"/>
      <c r="CI93" s="108"/>
      <c r="CJ93" s="108"/>
      <c r="CK93" s="108"/>
      <c r="CL93" s="108"/>
      <c r="CM93" s="108"/>
      <c r="CN93" s="108"/>
      <c r="CO93" s="108"/>
      <c r="CP93" s="108"/>
      <c r="CQ93" s="108"/>
      <c r="CR93" s="108"/>
      <c r="CS93" s="108"/>
      <c r="CT93" s="108"/>
      <c r="CU93" s="108"/>
      <c r="CV93" s="108"/>
      <c r="CW93" s="108"/>
      <c r="CX93" s="108"/>
      <c r="CY93" s="108"/>
      <c r="CZ93" s="108"/>
      <c r="DA93" s="108"/>
      <c r="DB93" s="108"/>
      <c r="DC93" s="108"/>
      <c r="DD93" s="108"/>
      <c r="DE93" s="108"/>
      <c r="DF93" s="108"/>
      <c r="DG93" s="108"/>
      <c r="DH93" s="108"/>
      <c r="DI93" s="108"/>
      <c r="DJ93" s="108"/>
      <c r="DK93" s="108"/>
      <c r="DL93" s="108"/>
      <c r="DM93" s="108"/>
      <c r="DN93" s="108"/>
      <c r="DO93" s="108"/>
      <c r="DP93" s="108"/>
      <c r="DQ93" s="108"/>
      <c r="DR93" s="108"/>
      <c r="DS93" s="108"/>
      <c r="DT93" s="108"/>
      <c r="DU93" s="108"/>
      <c r="DV93" s="108"/>
      <c r="DW93" s="108"/>
      <c r="DX93" s="108"/>
      <c r="DY93" s="108"/>
      <c r="DZ93" s="108"/>
      <c r="EA93" s="108"/>
      <c r="EB93" s="108"/>
      <c r="EC93" s="108"/>
      <c r="ED93" s="108"/>
      <c r="EE93" s="108"/>
      <c r="EF93" s="108"/>
      <c r="EG93" s="108"/>
      <c r="EH93" s="108"/>
      <c r="EI93" s="108"/>
      <c r="EJ93" s="108"/>
      <c r="EK93" s="108"/>
      <c r="EL93" s="108"/>
      <c r="EM93" s="108"/>
      <c r="EN93" s="108"/>
      <c r="EO93" s="108"/>
      <c r="EP93" s="108"/>
      <c r="EQ93" s="108"/>
      <c r="ER93" s="108"/>
      <c r="ES93" s="108"/>
      <c r="ET93" s="108"/>
      <c r="EU93" s="108"/>
      <c r="EV93" s="108"/>
      <c r="EW93" s="108"/>
      <c r="EX93" s="108"/>
      <c r="EY93" s="108"/>
      <c r="EZ93" s="108"/>
      <c r="FA93" s="108"/>
      <c r="FB93" s="108"/>
      <c r="FC93" s="108"/>
      <c r="FD93" s="108"/>
      <c r="FE93" s="108"/>
      <c r="FF93" s="108"/>
      <c r="FG93" s="108"/>
      <c r="FH93" s="108"/>
      <c r="FI93" s="108"/>
      <c r="FJ93" s="108"/>
      <c r="FK93" s="108"/>
      <c r="FL93" s="108"/>
      <c r="FM93" s="108"/>
      <c r="FN93" s="108"/>
      <c r="FO93" s="108"/>
      <c r="FP93" s="108"/>
      <c r="FQ93" s="108"/>
      <c r="FR93" s="108"/>
      <c r="FS93" s="108"/>
      <c r="FT93" s="108"/>
      <c r="FU93" s="108"/>
      <c r="FV93" s="108"/>
      <c r="FW93" s="108"/>
      <c r="FX93" s="108"/>
      <c r="FY93" s="108"/>
      <c r="FZ93" s="108"/>
      <c r="GA93" s="108"/>
      <c r="GB93" s="108"/>
      <c r="GC93" s="108"/>
      <c r="GD93" s="108"/>
      <c r="GE93" s="108"/>
      <c r="GF93" s="108"/>
      <c r="GG93" s="108"/>
      <c r="GH93" s="108"/>
      <c r="GI93" s="108"/>
      <c r="GJ93" s="108"/>
      <c r="GK93" s="108"/>
      <c r="GL93" s="108"/>
      <c r="GM93" s="108"/>
      <c r="GN93" s="108"/>
      <c r="GO93" s="108"/>
      <c r="GP93" s="108"/>
      <c r="GQ93" s="108"/>
      <c r="GR93" s="108"/>
      <c r="GS93" s="108"/>
      <c r="GT93" s="108"/>
      <c r="GU93" s="108"/>
      <c r="GV93" s="108"/>
      <c r="GW93" s="108"/>
      <c r="GX93" s="108"/>
      <c r="GY93" s="108"/>
      <c r="GZ93" s="108"/>
      <c r="HA93" s="108"/>
      <c r="HB93" s="108"/>
      <c r="HC93" s="108"/>
      <c r="HD93" s="108"/>
      <c r="HE93" s="108"/>
      <c r="HF93" s="108"/>
      <c r="HG93" s="108"/>
      <c r="HH93" s="108"/>
      <c r="HI93" s="108"/>
      <c r="HJ93" s="108"/>
      <c r="HK93" s="108"/>
      <c r="HL93" s="108"/>
      <c r="HM93" s="108"/>
      <c r="HN93" s="108"/>
      <c r="HO93" s="108"/>
      <c r="HP93" s="108"/>
      <c r="HQ93" s="108"/>
      <c r="HR93" s="108"/>
      <c r="HS93" s="108"/>
      <c r="HT93" s="108"/>
      <c r="HU93" s="108"/>
      <c r="HV93" s="108"/>
      <c r="HW93" s="108"/>
      <c r="HX93" s="108"/>
      <c r="HY93" s="108"/>
      <c r="HZ93" s="108"/>
      <c r="IA93" s="108"/>
      <c r="IB93" s="108"/>
      <c r="IC93" s="108"/>
      <c r="ID93" s="108"/>
      <c r="IE93" s="108"/>
      <c r="IF93" s="108"/>
      <c r="IG93" s="108"/>
      <c r="IH93" s="108"/>
      <c r="II93" s="108"/>
      <c r="IJ93" s="108"/>
      <c r="IK93" s="108"/>
      <c r="IL93" s="108"/>
      <c r="IM93" s="108"/>
      <c r="IN93" s="108"/>
      <c r="IO93" s="108"/>
      <c r="IP93" s="108"/>
      <c r="IQ93" s="108"/>
      <c r="IR93" s="108"/>
      <c r="IS93" s="108"/>
      <c r="IT93" s="108"/>
      <c r="IU93" s="108"/>
      <c r="IV93" s="108"/>
      <c r="IW93" s="108"/>
    </row>
    <row r="94" spans="1:257" x14ac:dyDescent="0.3">
      <c r="A94" s="158"/>
      <c r="B94" s="158"/>
      <c r="C94" s="158"/>
      <c r="D94" s="158"/>
      <c r="E94" s="158"/>
      <c r="F94" s="158"/>
      <c r="G94" s="158"/>
      <c r="H94" s="158"/>
      <c r="I94" s="158"/>
      <c r="J94" s="158"/>
      <c r="K94" s="158"/>
      <c r="L94" s="158"/>
      <c r="M94" s="158"/>
      <c r="N94" s="158"/>
      <c r="O94" s="108"/>
      <c r="P94" s="108"/>
      <c r="Q94" s="108"/>
      <c r="R94" s="108"/>
      <c r="S94" s="108"/>
      <c r="T94" s="108"/>
      <c r="U94" s="108"/>
      <c r="V94" s="108"/>
      <c r="W94" s="108"/>
      <c r="X94" s="108"/>
      <c r="Y94" s="108"/>
      <c r="Z94" s="108"/>
      <c r="AA94" s="108"/>
      <c r="AB94" s="108"/>
      <c r="AC94" s="108"/>
      <c r="AD94" s="108"/>
      <c r="AE94" s="108"/>
      <c r="AF94" s="108"/>
      <c r="AG94" s="108"/>
      <c r="AH94" s="108"/>
      <c r="AI94" s="108"/>
      <c r="AJ94" s="108"/>
      <c r="AK94" s="108"/>
      <c r="AL94" s="108"/>
      <c r="AM94" s="108"/>
      <c r="AN94" s="108"/>
      <c r="AO94" s="108"/>
      <c r="AP94" s="108"/>
      <c r="AQ94" s="108"/>
      <c r="AR94" s="108"/>
      <c r="AS94" s="108"/>
      <c r="AT94" s="108"/>
      <c r="AU94" s="108"/>
      <c r="AV94" s="108"/>
      <c r="AW94" s="108"/>
      <c r="AX94" s="108"/>
      <c r="AY94" s="108"/>
      <c r="AZ94" s="108"/>
      <c r="BA94" s="108"/>
      <c r="BB94" s="108"/>
      <c r="BC94" s="108"/>
      <c r="BD94" s="108"/>
      <c r="BE94" s="108"/>
      <c r="BF94" s="108"/>
      <c r="BG94" s="108"/>
      <c r="BH94" s="108"/>
      <c r="BI94" s="108"/>
      <c r="BJ94" s="108"/>
      <c r="BK94" s="108"/>
      <c r="BL94" s="108"/>
      <c r="BM94" s="108"/>
      <c r="BN94" s="108"/>
      <c r="BO94" s="108"/>
      <c r="BP94" s="108"/>
      <c r="BQ94" s="108"/>
      <c r="BR94" s="108"/>
      <c r="BS94" s="108"/>
      <c r="BT94" s="108"/>
      <c r="BU94" s="108"/>
      <c r="BV94" s="108"/>
      <c r="BW94" s="108"/>
      <c r="BX94" s="108"/>
      <c r="BY94" s="108"/>
      <c r="BZ94" s="108"/>
      <c r="CA94" s="108"/>
      <c r="CB94" s="108"/>
      <c r="CC94" s="108"/>
      <c r="CD94" s="108"/>
      <c r="CE94" s="108"/>
      <c r="CF94" s="108"/>
      <c r="CG94" s="108"/>
      <c r="CH94" s="108"/>
      <c r="CI94" s="108"/>
      <c r="CJ94" s="108"/>
      <c r="CK94" s="108"/>
      <c r="CL94" s="108"/>
      <c r="CM94" s="108"/>
      <c r="CN94" s="108"/>
      <c r="CO94" s="108"/>
      <c r="CP94" s="108"/>
      <c r="CQ94" s="108"/>
      <c r="CR94" s="108"/>
      <c r="CS94" s="108"/>
      <c r="CT94" s="108"/>
      <c r="CU94" s="108"/>
      <c r="CV94" s="108"/>
      <c r="CW94" s="108"/>
      <c r="CX94" s="108"/>
      <c r="CY94" s="108"/>
      <c r="CZ94" s="108"/>
      <c r="DA94" s="108"/>
      <c r="DB94" s="108"/>
      <c r="DC94" s="108"/>
      <c r="DD94" s="108"/>
      <c r="DE94" s="108"/>
      <c r="DF94" s="108"/>
      <c r="DG94" s="108"/>
      <c r="DH94" s="108"/>
      <c r="DI94" s="108"/>
      <c r="DJ94" s="108"/>
      <c r="DK94" s="108"/>
      <c r="DL94" s="108"/>
      <c r="DM94" s="108"/>
      <c r="DN94" s="108"/>
      <c r="DO94" s="108"/>
      <c r="DP94" s="108"/>
      <c r="DQ94" s="108"/>
      <c r="DR94" s="108"/>
      <c r="DS94" s="108"/>
      <c r="DT94" s="108"/>
      <c r="DU94" s="108"/>
      <c r="DV94" s="108"/>
      <c r="DW94" s="108"/>
      <c r="DX94" s="108"/>
      <c r="DY94" s="108"/>
      <c r="DZ94" s="108"/>
      <c r="EA94" s="108"/>
      <c r="EB94" s="108"/>
      <c r="EC94" s="108"/>
      <c r="ED94" s="108"/>
      <c r="EE94" s="108"/>
      <c r="EF94" s="108"/>
      <c r="EG94" s="108"/>
      <c r="EH94" s="108"/>
      <c r="EI94" s="108"/>
      <c r="EJ94" s="108"/>
      <c r="EK94" s="108"/>
      <c r="EL94" s="108"/>
      <c r="EM94" s="108"/>
      <c r="EN94" s="108"/>
      <c r="EO94" s="108"/>
      <c r="EP94" s="108"/>
      <c r="EQ94" s="108"/>
      <c r="ER94" s="108"/>
      <c r="ES94" s="108"/>
      <c r="ET94" s="108"/>
      <c r="EU94" s="108"/>
      <c r="EV94" s="108"/>
      <c r="EW94" s="108"/>
      <c r="EX94" s="108"/>
      <c r="EY94" s="108"/>
      <c r="EZ94" s="108"/>
      <c r="FA94" s="108"/>
      <c r="FB94" s="108"/>
      <c r="FC94" s="108"/>
      <c r="FD94" s="108"/>
      <c r="FE94" s="108"/>
      <c r="FF94" s="108"/>
      <c r="FG94" s="108"/>
      <c r="FH94" s="108"/>
      <c r="FI94" s="108"/>
      <c r="FJ94" s="108"/>
      <c r="FK94" s="108"/>
      <c r="FL94" s="108"/>
      <c r="FM94" s="108"/>
      <c r="FN94" s="108"/>
      <c r="FO94" s="108"/>
      <c r="FP94" s="108"/>
      <c r="FQ94" s="108"/>
      <c r="FR94" s="108"/>
      <c r="FS94" s="108"/>
      <c r="FT94" s="108"/>
      <c r="FU94" s="108"/>
      <c r="FV94" s="108"/>
      <c r="FW94" s="108"/>
      <c r="FX94" s="108"/>
      <c r="FY94" s="108"/>
      <c r="FZ94" s="108"/>
      <c r="GA94" s="108"/>
      <c r="GB94" s="108"/>
      <c r="GC94" s="108"/>
      <c r="GD94" s="108"/>
      <c r="GE94" s="108"/>
      <c r="GF94" s="108"/>
      <c r="GG94" s="108"/>
      <c r="GH94" s="108"/>
      <c r="GI94" s="108"/>
      <c r="GJ94" s="108"/>
      <c r="GK94" s="108"/>
      <c r="GL94" s="108"/>
      <c r="GM94" s="108"/>
      <c r="GN94" s="108"/>
      <c r="GO94" s="108"/>
      <c r="GP94" s="108"/>
      <c r="GQ94" s="108"/>
      <c r="GR94" s="108"/>
      <c r="GS94" s="108"/>
      <c r="GT94" s="108"/>
      <c r="GU94" s="108"/>
      <c r="GV94" s="108"/>
      <c r="GW94" s="108"/>
      <c r="GX94" s="108"/>
      <c r="GY94" s="108"/>
      <c r="GZ94" s="108"/>
      <c r="HA94" s="108"/>
      <c r="HB94" s="108"/>
      <c r="HC94" s="108"/>
      <c r="HD94" s="108"/>
      <c r="HE94" s="108"/>
      <c r="HF94" s="108"/>
      <c r="HG94" s="108"/>
      <c r="HH94" s="108"/>
      <c r="HI94" s="108"/>
      <c r="HJ94" s="108"/>
      <c r="HK94" s="108"/>
      <c r="HL94" s="108"/>
      <c r="HM94" s="108"/>
      <c r="HN94" s="108"/>
      <c r="HO94" s="108"/>
      <c r="HP94" s="108"/>
      <c r="HQ94" s="108"/>
      <c r="HR94" s="108"/>
      <c r="HS94" s="108"/>
      <c r="HT94" s="108"/>
      <c r="HU94" s="108"/>
      <c r="HV94" s="108"/>
      <c r="HW94" s="108"/>
      <c r="HX94" s="108"/>
      <c r="HY94" s="108"/>
      <c r="HZ94" s="108"/>
      <c r="IA94" s="108"/>
      <c r="IB94" s="108"/>
      <c r="IC94" s="108"/>
      <c r="ID94" s="108"/>
      <c r="IE94" s="108"/>
      <c r="IF94" s="108"/>
      <c r="IG94" s="108"/>
      <c r="IH94" s="108"/>
      <c r="II94" s="108"/>
      <c r="IJ94" s="108"/>
      <c r="IK94" s="108"/>
      <c r="IL94" s="108"/>
      <c r="IM94" s="108"/>
      <c r="IN94" s="108"/>
      <c r="IO94" s="108"/>
      <c r="IP94" s="108"/>
      <c r="IQ94" s="108"/>
      <c r="IR94" s="108"/>
      <c r="IS94" s="108"/>
      <c r="IT94" s="108"/>
      <c r="IU94" s="108"/>
      <c r="IV94" s="108"/>
      <c r="IW94" s="108"/>
    </row>
    <row r="95" spans="1:257" x14ac:dyDescent="0.3">
      <c r="A95" s="158"/>
      <c r="B95" s="158"/>
      <c r="C95" s="158"/>
      <c r="D95" s="158"/>
      <c r="E95" s="158"/>
      <c r="F95" s="158"/>
      <c r="G95" s="158"/>
      <c r="H95" s="158"/>
      <c r="I95" s="158"/>
      <c r="J95" s="158"/>
      <c r="K95" s="158"/>
      <c r="L95" s="158"/>
      <c r="M95" s="158"/>
      <c r="N95" s="158"/>
      <c r="O95" s="108"/>
      <c r="P95" s="108"/>
      <c r="Q95" s="108"/>
      <c r="R95" s="108"/>
      <c r="S95" s="108"/>
      <c r="T95" s="108"/>
      <c r="U95" s="108"/>
      <c r="V95" s="108"/>
      <c r="W95" s="108"/>
      <c r="X95" s="108"/>
      <c r="Y95" s="108"/>
      <c r="Z95" s="108"/>
      <c r="AA95" s="108"/>
      <c r="AB95" s="108"/>
      <c r="AC95" s="108"/>
      <c r="AD95" s="108"/>
      <c r="AE95" s="108"/>
      <c r="AF95" s="108"/>
      <c r="AG95" s="108"/>
      <c r="AH95" s="108"/>
      <c r="AI95" s="108"/>
      <c r="AJ95" s="108"/>
      <c r="AK95" s="108"/>
      <c r="AL95" s="108"/>
      <c r="AM95" s="108"/>
      <c r="AN95" s="108"/>
      <c r="AO95" s="108"/>
      <c r="AP95" s="108"/>
      <c r="AQ95" s="108"/>
      <c r="AR95" s="108"/>
      <c r="AS95" s="108"/>
      <c r="AT95" s="108"/>
      <c r="AU95" s="108"/>
      <c r="AV95" s="108"/>
      <c r="AW95" s="108"/>
      <c r="AX95" s="108"/>
      <c r="AY95" s="108"/>
      <c r="AZ95" s="108"/>
      <c r="BA95" s="108"/>
      <c r="BB95" s="108"/>
      <c r="BC95" s="108"/>
      <c r="BD95" s="108"/>
      <c r="BE95" s="108"/>
      <c r="BF95" s="108"/>
      <c r="BG95" s="108"/>
      <c r="BH95" s="108"/>
      <c r="BI95" s="108"/>
      <c r="BJ95" s="108"/>
      <c r="BK95" s="108"/>
      <c r="BL95" s="108"/>
      <c r="BM95" s="108"/>
      <c r="BN95" s="108"/>
      <c r="BO95" s="108"/>
      <c r="BP95" s="108"/>
      <c r="BQ95" s="108"/>
      <c r="BR95" s="108"/>
      <c r="BS95" s="108"/>
      <c r="BT95" s="108"/>
      <c r="BU95" s="108"/>
      <c r="BV95" s="108"/>
      <c r="BW95" s="108"/>
      <c r="BX95" s="108"/>
      <c r="BY95" s="108"/>
      <c r="BZ95" s="108"/>
      <c r="CA95" s="108"/>
      <c r="CB95" s="108"/>
      <c r="CC95" s="108"/>
      <c r="CD95" s="108"/>
      <c r="CE95" s="108"/>
      <c r="CF95" s="108"/>
      <c r="CG95" s="108"/>
      <c r="CH95" s="108"/>
      <c r="CI95" s="108"/>
      <c r="CJ95" s="108"/>
      <c r="CK95" s="108"/>
      <c r="CL95" s="108"/>
      <c r="CM95" s="108"/>
      <c r="CN95" s="108"/>
      <c r="CO95" s="108"/>
      <c r="CP95" s="108"/>
      <c r="CQ95" s="108"/>
      <c r="CR95" s="108"/>
      <c r="CS95" s="108"/>
      <c r="CT95" s="108"/>
      <c r="CU95" s="108"/>
      <c r="CV95" s="108"/>
      <c r="CW95" s="108"/>
      <c r="CX95" s="108"/>
      <c r="CY95" s="108"/>
      <c r="CZ95" s="108"/>
      <c r="DA95" s="108"/>
      <c r="DB95" s="108"/>
      <c r="DC95" s="108"/>
      <c r="DD95" s="108"/>
      <c r="DE95" s="108"/>
      <c r="DF95" s="108"/>
      <c r="DG95" s="108"/>
      <c r="DH95" s="108"/>
      <c r="DI95" s="108"/>
      <c r="DJ95" s="108"/>
      <c r="DK95" s="108"/>
      <c r="DL95" s="108"/>
      <c r="DM95" s="108"/>
      <c r="DN95" s="108"/>
      <c r="DO95" s="108"/>
      <c r="DP95" s="108"/>
      <c r="DQ95" s="108"/>
      <c r="DR95" s="108"/>
      <c r="DS95" s="108"/>
      <c r="DT95" s="108"/>
      <c r="DU95" s="108"/>
      <c r="DV95" s="108"/>
      <c r="DW95" s="108"/>
      <c r="DX95" s="108"/>
      <c r="DY95" s="108"/>
      <c r="DZ95" s="108"/>
      <c r="EA95" s="108"/>
      <c r="EB95" s="108"/>
      <c r="EC95" s="108"/>
      <c r="ED95" s="108"/>
      <c r="EE95" s="108"/>
      <c r="EF95" s="108"/>
      <c r="EG95" s="108"/>
      <c r="EH95" s="108"/>
      <c r="EI95" s="108"/>
      <c r="EJ95" s="108"/>
      <c r="EK95" s="108"/>
      <c r="EL95" s="108"/>
      <c r="EM95" s="108"/>
      <c r="EN95" s="108"/>
      <c r="EO95" s="108"/>
      <c r="EP95" s="108"/>
      <c r="EQ95" s="108"/>
      <c r="ER95" s="108"/>
      <c r="ES95" s="108"/>
      <c r="ET95" s="108"/>
      <c r="EU95" s="108"/>
      <c r="EV95" s="108"/>
      <c r="EW95" s="108"/>
      <c r="EX95" s="108"/>
      <c r="EY95" s="108"/>
      <c r="EZ95" s="108"/>
      <c r="FA95" s="108"/>
      <c r="FB95" s="108"/>
      <c r="FC95" s="108"/>
      <c r="FD95" s="108"/>
      <c r="FE95" s="108"/>
      <c r="FF95" s="108"/>
      <c r="FG95" s="108"/>
      <c r="FH95" s="108"/>
      <c r="FI95" s="108"/>
      <c r="FJ95" s="108"/>
      <c r="FK95" s="108"/>
      <c r="FL95" s="108"/>
      <c r="FM95" s="108"/>
      <c r="FN95" s="108"/>
      <c r="FO95" s="108"/>
      <c r="FP95" s="108"/>
      <c r="FQ95" s="108"/>
      <c r="FR95" s="108"/>
      <c r="FS95" s="108"/>
      <c r="FT95" s="108"/>
      <c r="FU95" s="108"/>
      <c r="FV95" s="108"/>
      <c r="FW95" s="108"/>
      <c r="FX95" s="108"/>
      <c r="FY95" s="108"/>
      <c r="FZ95" s="108"/>
      <c r="GA95" s="108"/>
      <c r="GB95" s="108"/>
      <c r="GC95" s="108"/>
      <c r="GD95" s="108"/>
      <c r="GE95" s="108"/>
      <c r="GF95" s="108"/>
      <c r="GG95" s="108"/>
      <c r="GH95" s="108"/>
      <c r="GI95" s="108"/>
      <c r="GJ95" s="108"/>
      <c r="GK95" s="108"/>
      <c r="GL95" s="108"/>
      <c r="GM95" s="108"/>
      <c r="GN95" s="108"/>
      <c r="GO95" s="108"/>
      <c r="GP95" s="108"/>
      <c r="GQ95" s="108"/>
      <c r="GR95" s="108"/>
      <c r="GS95" s="108"/>
      <c r="GT95" s="108"/>
      <c r="GU95" s="108"/>
      <c r="GV95" s="108"/>
      <c r="GW95" s="108"/>
      <c r="GX95" s="108"/>
      <c r="GY95" s="108"/>
      <c r="GZ95" s="108"/>
      <c r="HA95" s="108"/>
      <c r="HB95" s="108"/>
      <c r="HC95" s="108"/>
      <c r="HD95" s="108"/>
      <c r="HE95" s="108"/>
      <c r="HF95" s="108"/>
      <c r="HG95" s="108"/>
      <c r="HH95" s="108"/>
      <c r="HI95" s="108"/>
      <c r="HJ95" s="108"/>
      <c r="HK95" s="108"/>
      <c r="HL95" s="108"/>
      <c r="HM95" s="108"/>
      <c r="HN95" s="108"/>
      <c r="HO95" s="108"/>
      <c r="HP95" s="108"/>
      <c r="HQ95" s="108"/>
      <c r="HR95" s="108"/>
      <c r="HS95" s="108"/>
      <c r="HT95" s="108"/>
      <c r="HU95" s="108"/>
      <c r="HV95" s="108"/>
      <c r="HW95" s="108"/>
      <c r="HX95" s="108"/>
      <c r="HY95" s="108"/>
      <c r="HZ95" s="108"/>
      <c r="IA95" s="108"/>
      <c r="IB95" s="108"/>
      <c r="IC95" s="108"/>
      <c r="ID95" s="108"/>
      <c r="IE95" s="108"/>
      <c r="IF95" s="108"/>
      <c r="IG95" s="108"/>
      <c r="IH95" s="108"/>
      <c r="II95" s="108"/>
      <c r="IJ95" s="108"/>
      <c r="IK95" s="108"/>
      <c r="IL95" s="108"/>
      <c r="IM95" s="108"/>
      <c r="IN95" s="108"/>
      <c r="IO95" s="108"/>
      <c r="IP95" s="108"/>
      <c r="IQ95" s="108"/>
      <c r="IR95" s="108"/>
      <c r="IS95" s="108"/>
      <c r="IT95" s="108"/>
      <c r="IU95" s="108"/>
      <c r="IV95" s="108"/>
      <c r="IW95" s="108"/>
    </row>
    <row r="96" spans="1:257" x14ac:dyDescent="0.3">
      <c r="A96" s="158"/>
      <c r="B96" s="158"/>
      <c r="C96" s="158"/>
      <c r="D96" s="158"/>
      <c r="E96" s="158"/>
      <c r="F96" s="158"/>
      <c r="G96" s="158"/>
      <c r="H96" s="158"/>
      <c r="I96" s="158"/>
      <c r="J96" s="158"/>
      <c r="K96" s="158"/>
      <c r="L96" s="158"/>
      <c r="M96" s="158"/>
      <c r="N96" s="158"/>
      <c r="O96" s="108"/>
      <c r="P96" s="108"/>
      <c r="Q96" s="108"/>
      <c r="R96" s="108"/>
      <c r="S96" s="108"/>
      <c r="T96" s="108"/>
      <c r="U96" s="108"/>
      <c r="V96" s="108"/>
      <c r="W96" s="108"/>
      <c r="X96" s="108"/>
      <c r="Y96" s="108"/>
      <c r="Z96" s="108"/>
      <c r="AA96" s="108"/>
      <c r="AB96" s="108"/>
      <c r="AC96" s="108"/>
      <c r="AD96" s="108"/>
      <c r="AE96" s="108"/>
      <c r="AF96" s="108"/>
      <c r="AG96" s="108"/>
      <c r="AH96" s="108"/>
      <c r="AI96" s="108"/>
      <c r="AJ96" s="108"/>
      <c r="AK96" s="108"/>
      <c r="AL96" s="108"/>
      <c r="AM96" s="108"/>
      <c r="AN96" s="108"/>
      <c r="AO96" s="108"/>
      <c r="AP96" s="108"/>
      <c r="AQ96" s="108"/>
      <c r="AR96" s="108"/>
      <c r="AS96" s="108"/>
      <c r="AT96" s="108"/>
      <c r="AU96" s="108"/>
      <c r="AV96" s="108"/>
      <c r="AW96" s="108"/>
      <c r="AX96" s="108"/>
      <c r="AY96" s="108"/>
      <c r="AZ96" s="108"/>
      <c r="BA96" s="108"/>
      <c r="BB96" s="108"/>
      <c r="BC96" s="108"/>
      <c r="BD96" s="108"/>
      <c r="BE96" s="108"/>
      <c r="BF96" s="108"/>
      <c r="BG96" s="108"/>
      <c r="BH96" s="108"/>
      <c r="BI96" s="108"/>
      <c r="BJ96" s="108"/>
      <c r="BK96" s="108"/>
      <c r="BL96" s="108"/>
      <c r="BM96" s="108"/>
      <c r="BN96" s="108"/>
      <c r="BO96" s="108"/>
      <c r="BP96" s="108"/>
      <c r="BQ96" s="108"/>
      <c r="BR96" s="108"/>
      <c r="BS96" s="108"/>
      <c r="BT96" s="108"/>
      <c r="BU96" s="108"/>
      <c r="BV96" s="108"/>
      <c r="BW96" s="108"/>
      <c r="BX96" s="108"/>
      <c r="BY96" s="108"/>
      <c r="BZ96" s="108"/>
      <c r="CA96" s="108"/>
      <c r="CB96" s="108"/>
      <c r="CC96" s="108"/>
      <c r="CD96" s="108"/>
      <c r="CE96" s="108"/>
      <c r="CF96" s="108"/>
      <c r="CG96" s="108"/>
      <c r="CH96" s="108"/>
      <c r="CI96" s="108"/>
      <c r="CJ96" s="108"/>
      <c r="CK96" s="108"/>
      <c r="CL96" s="108"/>
      <c r="CM96" s="108"/>
      <c r="CN96" s="108"/>
      <c r="CO96" s="108"/>
      <c r="CP96" s="108"/>
      <c r="CQ96" s="108"/>
      <c r="CR96" s="108"/>
      <c r="CS96" s="108"/>
      <c r="CT96" s="108"/>
      <c r="CU96" s="108"/>
      <c r="CV96" s="108"/>
      <c r="CW96" s="108"/>
      <c r="CX96" s="108"/>
      <c r="CY96" s="108"/>
      <c r="CZ96" s="108"/>
      <c r="DA96" s="108"/>
      <c r="DB96" s="108"/>
      <c r="DC96" s="108"/>
      <c r="DD96" s="108"/>
      <c r="DE96" s="108"/>
      <c r="DF96" s="108"/>
      <c r="DG96" s="108"/>
      <c r="DH96" s="108"/>
      <c r="DI96" s="108"/>
      <c r="DJ96" s="108"/>
      <c r="DK96" s="108"/>
      <c r="DL96" s="108"/>
      <c r="DM96" s="108"/>
      <c r="DN96" s="108"/>
      <c r="DO96" s="108"/>
      <c r="DP96" s="108"/>
      <c r="DQ96" s="108"/>
      <c r="DR96" s="108"/>
      <c r="DS96" s="108"/>
      <c r="DT96" s="108"/>
      <c r="DU96" s="108"/>
      <c r="DV96" s="108"/>
      <c r="DW96" s="108"/>
      <c r="DX96" s="108"/>
      <c r="DY96" s="108"/>
      <c r="DZ96" s="108"/>
      <c r="EA96" s="108"/>
      <c r="EB96" s="108"/>
      <c r="EC96" s="108"/>
      <c r="ED96" s="108"/>
      <c r="EE96" s="108"/>
      <c r="EF96" s="108"/>
      <c r="EG96" s="108"/>
      <c r="EH96" s="108"/>
      <c r="EI96" s="108"/>
      <c r="EJ96" s="108"/>
      <c r="EK96" s="108"/>
      <c r="EL96" s="108"/>
      <c r="EM96" s="108"/>
      <c r="EN96" s="108"/>
      <c r="EO96" s="108"/>
      <c r="EP96" s="108"/>
      <c r="EQ96" s="108"/>
      <c r="ER96" s="108"/>
      <c r="ES96" s="108"/>
      <c r="ET96" s="108"/>
      <c r="EU96" s="108"/>
      <c r="EV96" s="108"/>
      <c r="EW96" s="108"/>
      <c r="EX96" s="108"/>
      <c r="EY96" s="108"/>
      <c r="EZ96" s="108"/>
      <c r="FA96" s="108"/>
      <c r="FB96" s="108"/>
      <c r="FC96" s="108"/>
      <c r="FD96" s="108"/>
      <c r="FE96" s="108"/>
      <c r="FF96" s="108"/>
      <c r="FG96" s="108"/>
      <c r="FH96" s="108"/>
      <c r="FI96" s="108"/>
      <c r="FJ96" s="108"/>
      <c r="FK96" s="108"/>
      <c r="FL96" s="108"/>
      <c r="FM96" s="108"/>
      <c r="FN96" s="108"/>
      <c r="FO96" s="108"/>
      <c r="FP96" s="108"/>
      <c r="FQ96" s="108"/>
      <c r="FR96" s="108"/>
      <c r="FS96" s="108"/>
      <c r="FT96" s="108"/>
      <c r="FU96" s="108"/>
      <c r="FV96" s="108"/>
      <c r="FW96" s="108"/>
      <c r="FX96" s="108"/>
      <c r="FY96" s="108"/>
      <c r="FZ96" s="108"/>
      <c r="GA96" s="108"/>
      <c r="GB96" s="108"/>
      <c r="GC96" s="108"/>
      <c r="GD96" s="108"/>
      <c r="GE96" s="108"/>
      <c r="GF96" s="108"/>
      <c r="GG96" s="108"/>
      <c r="GH96" s="108"/>
      <c r="GI96" s="108"/>
      <c r="GJ96" s="108"/>
      <c r="GK96" s="108"/>
      <c r="GL96" s="108"/>
      <c r="GM96" s="108"/>
      <c r="GN96" s="108"/>
      <c r="GO96" s="108"/>
      <c r="GP96" s="108"/>
      <c r="GQ96" s="108"/>
      <c r="GR96" s="108"/>
      <c r="GS96" s="108"/>
      <c r="GT96" s="108"/>
      <c r="GU96" s="108"/>
      <c r="GV96" s="108"/>
      <c r="GW96" s="108"/>
      <c r="GX96" s="108"/>
      <c r="GY96" s="108"/>
      <c r="GZ96" s="108"/>
      <c r="HA96" s="108"/>
      <c r="HB96" s="108"/>
      <c r="HC96" s="108"/>
      <c r="HD96" s="108"/>
      <c r="HE96" s="108"/>
      <c r="HF96" s="108"/>
      <c r="HG96" s="108"/>
      <c r="HH96" s="108"/>
      <c r="HI96" s="108"/>
      <c r="HJ96" s="108"/>
      <c r="HK96" s="108"/>
      <c r="HL96" s="108"/>
      <c r="HM96" s="108"/>
      <c r="HN96" s="108"/>
      <c r="HO96" s="108"/>
      <c r="HP96" s="108"/>
      <c r="HQ96" s="108"/>
      <c r="HR96" s="108"/>
      <c r="HS96" s="108"/>
      <c r="HT96" s="108"/>
      <c r="HU96" s="108"/>
      <c r="HV96" s="108"/>
      <c r="HW96" s="108"/>
      <c r="HX96" s="108"/>
      <c r="HY96" s="108"/>
      <c r="HZ96" s="108"/>
      <c r="IA96" s="108"/>
      <c r="IB96" s="108"/>
      <c r="IC96" s="108"/>
      <c r="ID96" s="108"/>
      <c r="IE96" s="108"/>
      <c r="IF96" s="108"/>
      <c r="IG96" s="108"/>
      <c r="IH96" s="108"/>
      <c r="II96" s="108"/>
      <c r="IJ96" s="108"/>
      <c r="IK96" s="108"/>
      <c r="IL96" s="108"/>
      <c r="IM96" s="108"/>
      <c r="IN96" s="108"/>
      <c r="IO96" s="108"/>
      <c r="IP96" s="108"/>
      <c r="IQ96" s="108"/>
      <c r="IR96" s="108"/>
      <c r="IS96" s="108"/>
      <c r="IT96" s="108"/>
      <c r="IU96" s="108"/>
      <c r="IV96" s="108"/>
      <c r="IW96" s="108"/>
    </row>
    <row r="97" spans="1:257" x14ac:dyDescent="0.3">
      <c r="A97" s="158"/>
      <c r="B97" s="158"/>
      <c r="C97" s="158"/>
      <c r="D97" s="158"/>
      <c r="E97" s="158"/>
      <c r="F97" s="158"/>
      <c r="G97" s="158"/>
      <c r="H97" s="158"/>
      <c r="I97" s="158"/>
      <c r="J97" s="158"/>
      <c r="K97" s="158"/>
      <c r="L97" s="158"/>
      <c r="M97" s="158"/>
      <c r="N97" s="158"/>
      <c r="O97" s="108"/>
      <c r="P97" s="108"/>
      <c r="Q97" s="108"/>
      <c r="R97" s="108"/>
      <c r="S97" s="108"/>
      <c r="T97" s="108"/>
      <c r="U97" s="108"/>
      <c r="V97" s="108"/>
      <c r="W97" s="108"/>
      <c r="X97" s="108"/>
      <c r="Y97" s="108"/>
      <c r="Z97" s="108"/>
      <c r="AA97" s="108"/>
      <c r="AB97" s="108"/>
      <c r="AC97" s="108"/>
      <c r="AD97" s="108"/>
      <c r="AE97" s="108"/>
      <c r="AF97" s="108"/>
      <c r="AG97" s="108"/>
      <c r="AH97" s="108"/>
      <c r="AI97" s="108"/>
      <c r="AJ97" s="108"/>
      <c r="AK97" s="108"/>
      <c r="AL97" s="108"/>
      <c r="AM97" s="108"/>
      <c r="AN97" s="108"/>
      <c r="AO97" s="108"/>
      <c r="AP97" s="108"/>
      <c r="AQ97" s="108"/>
      <c r="AR97" s="108"/>
      <c r="AS97" s="108"/>
      <c r="AT97" s="108"/>
      <c r="AU97" s="108"/>
      <c r="AV97" s="108"/>
      <c r="AW97" s="108"/>
      <c r="AX97" s="108"/>
      <c r="AY97" s="108"/>
      <c r="AZ97" s="108"/>
      <c r="BA97" s="108"/>
      <c r="BB97" s="108"/>
      <c r="BC97" s="108"/>
      <c r="BD97" s="108"/>
      <c r="BE97" s="108"/>
      <c r="BF97" s="108"/>
      <c r="BG97" s="108"/>
      <c r="BH97" s="108"/>
      <c r="BI97" s="108"/>
      <c r="BJ97" s="108"/>
      <c r="BK97" s="108"/>
      <c r="BL97" s="108"/>
      <c r="BM97" s="108"/>
      <c r="BN97" s="108"/>
      <c r="BO97" s="108"/>
      <c r="BP97" s="108"/>
      <c r="BQ97" s="108"/>
      <c r="BR97" s="108"/>
      <c r="BS97" s="108"/>
      <c r="BT97" s="108"/>
      <c r="BU97" s="108"/>
      <c r="BV97" s="108"/>
      <c r="BW97" s="108"/>
      <c r="BX97" s="108"/>
      <c r="BY97" s="108"/>
      <c r="BZ97" s="108"/>
      <c r="CA97" s="108"/>
      <c r="CB97" s="108"/>
      <c r="CC97" s="108"/>
      <c r="CD97" s="108"/>
      <c r="CE97" s="108"/>
      <c r="CF97" s="108"/>
      <c r="CG97" s="108"/>
      <c r="CH97" s="108"/>
      <c r="CI97" s="108"/>
      <c r="CJ97" s="108"/>
      <c r="CK97" s="108"/>
      <c r="CL97" s="108"/>
      <c r="CM97" s="108"/>
      <c r="CN97" s="108"/>
      <c r="CO97" s="108"/>
      <c r="CP97" s="108"/>
      <c r="CQ97" s="108"/>
      <c r="CR97" s="108"/>
      <c r="CS97" s="108"/>
      <c r="CT97" s="108"/>
      <c r="CU97" s="108"/>
      <c r="CV97" s="108"/>
      <c r="CW97" s="108"/>
      <c r="CX97" s="108"/>
      <c r="CY97" s="108"/>
      <c r="CZ97" s="108"/>
      <c r="DA97" s="108"/>
      <c r="DB97" s="108"/>
      <c r="DC97" s="108"/>
      <c r="DD97" s="108"/>
      <c r="DE97" s="108"/>
      <c r="DF97" s="108"/>
      <c r="DG97" s="108"/>
      <c r="DH97" s="108"/>
      <c r="DI97" s="108"/>
      <c r="DJ97" s="108"/>
      <c r="DK97" s="108"/>
      <c r="DL97" s="108"/>
      <c r="DM97" s="108"/>
      <c r="DN97" s="108"/>
      <c r="DO97" s="108"/>
      <c r="DP97" s="108"/>
      <c r="DQ97" s="108"/>
      <c r="DR97" s="108"/>
      <c r="DS97" s="108"/>
      <c r="DT97" s="108"/>
      <c r="DU97" s="108"/>
      <c r="DV97" s="108"/>
      <c r="DW97" s="108"/>
      <c r="DX97" s="108"/>
      <c r="DY97" s="108"/>
      <c r="DZ97" s="108"/>
      <c r="EA97" s="108"/>
      <c r="EB97" s="108"/>
      <c r="EC97" s="108"/>
      <c r="ED97" s="108"/>
      <c r="EE97" s="108"/>
      <c r="EF97" s="108"/>
      <c r="EG97" s="108"/>
      <c r="EH97" s="108"/>
      <c r="EI97" s="108"/>
      <c r="EJ97" s="108"/>
      <c r="EK97" s="108"/>
      <c r="EL97" s="108"/>
      <c r="EM97" s="108"/>
      <c r="EN97" s="108"/>
      <c r="EO97" s="108"/>
      <c r="EP97" s="108"/>
      <c r="EQ97" s="108"/>
      <c r="ER97" s="108"/>
      <c r="ES97" s="108"/>
      <c r="ET97" s="108"/>
      <c r="EU97" s="108"/>
      <c r="EV97" s="108"/>
      <c r="EW97" s="108"/>
      <c r="EX97" s="108"/>
      <c r="EY97" s="108"/>
      <c r="EZ97" s="108"/>
      <c r="FA97" s="108"/>
      <c r="FB97" s="108"/>
      <c r="FC97" s="108"/>
      <c r="FD97" s="108"/>
      <c r="FE97" s="108"/>
      <c r="FF97" s="108"/>
      <c r="FG97" s="108"/>
      <c r="FH97" s="108"/>
      <c r="FI97" s="108"/>
      <c r="FJ97" s="108"/>
      <c r="FK97" s="108"/>
      <c r="FL97" s="108"/>
      <c r="FM97" s="108"/>
      <c r="FN97" s="108"/>
      <c r="FO97" s="108"/>
      <c r="FP97" s="108"/>
      <c r="FQ97" s="108"/>
      <c r="FR97" s="108"/>
      <c r="FS97" s="108"/>
      <c r="FT97" s="108"/>
      <c r="FU97" s="108"/>
      <c r="FV97" s="108"/>
      <c r="FW97" s="108"/>
      <c r="FX97" s="108"/>
      <c r="FY97" s="108"/>
      <c r="FZ97" s="108"/>
      <c r="GA97" s="108"/>
      <c r="GB97" s="108"/>
      <c r="GC97" s="108"/>
      <c r="GD97" s="108"/>
      <c r="GE97" s="108"/>
      <c r="GF97" s="108"/>
      <c r="GG97" s="108"/>
      <c r="GH97" s="108"/>
      <c r="GI97" s="108"/>
      <c r="GJ97" s="108"/>
      <c r="GK97" s="108"/>
      <c r="GL97" s="108"/>
      <c r="GM97" s="108"/>
      <c r="GN97" s="108"/>
      <c r="GO97" s="108"/>
      <c r="GP97" s="108"/>
      <c r="GQ97" s="108"/>
      <c r="GR97" s="108"/>
      <c r="GS97" s="108"/>
      <c r="GT97" s="108"/>
      <c r="GU97" s="108"/>
      <c r="GV97" s="108"/>
      <c r="GW97" s="108"/>
      <c r="GX97" s="108"/>
      <c r="GY97" s="108"/>
      <c r="GZ97" s="108"/>
      <c r="HA97" s="108"/>
      <c r="HB97" s="108"/>
      <c r="HC97" s="108"/>
      <c r="HD97" s="108"/>
      <c r="HE97" s="108"/>
      <c r="HF97" s="108"/>
      <c r="HG97" s="108"/>
      <c r="HH97" s="108"/>
      <c r="HI97" s="108"/>
      <c r="HJ97" s="108"/>
      <c r="HK97" s="108"/>
      <c r="HL97" s="108"/>
      <c r="HM97" s="108"/>
      <c r="HN97" s="108"/>
      <c r="HO97" s="108"/>
      <c r="HP97" s="108"/>
      <c r="HQ97" s="108"/>
      <c r="HR97" s="108"/>
      <c r="HS97" s="108"/>
      <c r="HT97" s="108"/>
      <c r="HU97" s="108"/>
      <c r="HV97" s="108"/>
      <c r="HW97" s="108"/>
      <c r="HX97" s="108"/>
      <c r="HY97" s="108"/>
      <c r="HZ97" s="108"/>
      <c r="IA97" s="108"/>
      <c r="IB97" s="108"/>
      <c r="IC97" s="108"/>
      <c r="ID97" s="108"/>
      <c r="IE97" s="108"/>
      <c r="IF97" s="108"/>
      <c r="IG97" s="108"/>
      <c r="IH97" s="108"/>
      <c r="II97" s="108"/>
      <c r="IJ97" s="108"/>
      <c r="IK97" s="108"/>
      <c r="IL97" s="108"/>
      <c r="IM97" s="108"/>
      <c r="IN97" s="108"/>
      <c r="IO97" s="108"/>
      <c r="IP97" s="108"/>
      <c r="IQ97" s="108"/>
      <c r="IR97" s="108"/>
      <c r="IS97" s="108"/>
      <c r="IT97" s="108"/>
      <c r="IU97" s="108"/>
      <c r="IV97" s="108"/>
      <c r="IW97" s="108"/>
    </row>
    <row r="98" spans="1:257" x14ac:dyDescent="0.3">
      <c r="A98" s="158"/>
      <c r="B98" s="158"/>
      <c r="C98" s="158"/>
      <c r="D98" s="158"/>
      <c r="E98" s="158"/>
      <c r="F98" s="158"/>
      <c r="G98" s="158"/>
      <c r="H98" s="158"/>
      <c r="I98" s="158"/>
      <c r="J98" s="158"/>
      <c r="K98" s="158"/>
      <c r="L98" s="158"/>
      <c r="M98" s="158"/>
      <c r="N98" s="158"/>
      <c r="O98" s="108"/>
      <c r="P98" s="108"/>
      <c r="Q98" s="108"/>
      <c r="R98" s="108"/>
      <c r="S98" s="108"/>
      <c r="T98" s="108"/>
      <c r="U98" s="108"/>
      <c r="V98" s="108"/>
      <c r="W98" s="108"/>
      <c r="X98" s="108"/>
      <c r="Y98" s="108"/>
      <c r="Z98" s="108"/>
      <c r="AA98" s="108"/>
      <c r="AB98" s="108"/>
      <c r="AC98" s="108"/>
      <c r="AD98" s="108"/>
      <c r="AE98" s="108"/>
      <c r="AF98" s="108"/>
      <c r="AG98" s="108"/>
      <c r="AH98" s="108"/>
      <c r="AI98" s="108"/>
      <c r="AJ98" s="108"/>
      <c r="AK98" s="108"/>
      <c r="AL98" s="108"/>
      <c r="AM98" s="108"/>
      <c r="AN98" s="108"/>
      <c r="AO98" s="108"/>
      <c r="AP98" s="108"/>
      <c r="AQ98" s="108"/>
      <c r="AR98" s="108"/>
      <c r="AS98" s="108"/>
      <c r="AT98" s="108"/>
      <c r="AU98" s="108"/>
      <c r="AV98" s="108"/>
      <c r="AW98" s="108"/>
      <c r="AX98" s="108"/>
      <c r="AY98" s="108"/>
      <c r="AZ98" s="108"/>
      <c r="BA98" s="108"/>
      <c r="BB98" s="108"/>
      <c r="BC98" s="108"/>
      <c r="BD98" s="108"/>
      <c r="BE98" s="108"/>
      <c r="BF98" s="108"/>
      <c r="BG98" s="108"/>
      <c r="BH98" s="108"/>
      <c r="BI98" s="108"/>
      <c r="BJ98" s="108"/>
      <c r="BK98" s="108"/>
      <c r="BL98" s="108"/>
      <c r="BM98" s="108"/>
      <c r="BN98" s="108"/>
      <c r="BO98" s="108"/>
      <c r="BP98" s="108"/>
      <c r="BQ98" s="108"/>
      <c r="BR98" s="108"/>
      <c r="BS98" s="108"/>
      <c r="BT98" s="108"/>
      <c r="BU98" s="108"/>
      <c r="BV98" s="108"/>
      <c r="BW98" s="108"/>
      <c r="BX98" s="108"/>
      <c r="BY98" s="108"/>
      <c r="BZ98" s="108"/>
      <c r="CA98" s="108"/>
      <c r="CB98" s="108"/>
      <c r="CC98" s="108"/>
      <c r="CD98" s="108"/>
      <c r="CE98" s="108"/>
      <c r="CF98" s="108"/>
      <c r="CG98" s="108"/>
      <c r="CH98" s="108"/>
      <c r="CI98" s="108"/>
      <c r="CJ98" s="108"/>
      <c r="CK98" s="108"/>
      <c r="CL98" s="108"/>
      <c r="CM98" s="108"/>
      <c r="CN98" s="108"/>
      <c r="CO98" s="108"/>
      <c r="CP98" s="108"/>
      <c r="CQ98" s="108"/>
      <c r="CR98" s="108"/>
      <c r="CS98" s="108"/>
      <c r="CT98" s="108"/>
      <c r="CU98" s="108"/>
      <c r="CV98" s="108"/>
      <c r="CW98" s="108"/>
      <c r="CX98" s="108"/>
      <c r="CY98" s="108"/>
      <c r="CZ98" s="108"/>
      <c r="DA98" s="108"/>
      <c r="DB98" s="108"/>
      <c r="DC98" s="108"/>
      <c r="DD98" s="108"/>
      <c r="DE98" s="108"/>
      <c r="DF98" s="108"/>
      <c r="DG98" s="108"/>
      <c r="DH98" s="108"/>
      <c r="DI98" s="108"/>
      <c r="DJ98" s="108"/>
      <c r="DK98" s="108"/>
      <c r="DL98" s="108"/>
      <c r="DM98" s="108"/>
      <c r="DN98" s="108"/>
      <c r="DO98" s="108"/>
      <c r="DP98" s="108"/>
      <c r="DQ98" s="108"/>
      <c r="DR98" s="108"/>
      <c r="DS98" s="108"/>
      <c r="DT98" s="108"/>
      <c r="DU98" s="108"/>
      <c r="DV98" s="108"/>
      <c r="DW98" s="108"/>
      <c r="DX98" s="108"/>
      <c r="DY98" s="108"/>
      <c r="DZ98" s="108"/>
      <c r="EA98" s="108"/>
      <c r="EB98" s="108"/>
      <c r="EC98" s="108"/>
      <c r="ED98" s="108"/>
      <c r="EE98" s="108"/>
      <c r="EF98" s="108"/>
      <c r="EG98" s="108"/>
      <c r="EH98" s="108"/>
      <c r="EI98" s="108"/>
      <c r="EJ98" s="108"/>
      <c r="EK98" s="108"/>
      <c r="EL98" s="108"/>
      <c r="EM98" s="108"/>
      <c r="EN98" s="108"/>
      <c r="EO98" s="108"/>
      <c r="EP98" s="108"/>
      <c r="EQ98" s="108"/>
      <c r="ER98" s="108"/>
      <c r="ES98" s="108"/>
      <c r="ET98" s="108"/>
      <c r="EU98" s="108"/>
      <c r="EV98" s="108"/>
      <c r="EW98" s="108"/>
      <c r="EX98" s="108"/>
      <c r="EY98" s="108"/>
      <c r="EZ98" s="108"/>
      <c r="FA98" s="108"/>
      <c r="FB98" s="108"/>
      <c r="FC98" s="108"/>
      <c r="FD98" s="108"/>
      <c r="FE98" s="108"/>
      <c r="FF98" s="108"/>
      <c r="FG98" s="108"/>
      <c r="FH98" s="108"/>
      <c r="FI98" s="108"/>
      <c r="FJ98" s="108"/>
      <c r="FK98" s="108"/>
      <c r="FL98" s="108"/>
      <c r="FM98" s="108"/>
      <c r="FN98" s="108"/>
      <c r="FO98" s="108"/>
      <c r="FP98" s="108"/>
      <c r="FQ98" s="108"/>
      <c r="FR98" s="108"/>
      <c r="FS98" s="108"/>
      <c r="FT98" s="108"/>
      <c r="FU98" s="108"/>
      <c r="FV98" s="108"/>
      <c r="FW98" s="108"/>
      <c r="FX98" s="108"/>
      <c r="FY98" s="108"/>
      <c r="FZ98" s="108"/>
      <c r="GA98" s="108"/>
      <c r="GB98" s="108"/>
      <c r="GC98" s="108"/>
      <c r="GD98" s="108"/>
      <c r="GE98" s="108"/>
      <c r="GF98" s="108"/>
      <c r="GG98" s="108"/>
      <c r="GH98" s="108"/>
      <c r="GI98" s="108"/>
      <c r="GJ98" s="108"/>
      <c r="GK98" s="108"/>
      <c r="GL98" s="108"/>
      <c r="GM98" s="108"/>
      <c r="GN98" s="108"/>
      <c r="GO98" s="108"/>
      <c r="GP98" s="108"/>
      <c r="GQ98" s="108"/>
      <c r="GR98" s="108"/>
      <c r="GS98" s="108"/>
      <c r="GT98" s="108"/>
      <c r="GU98" s="108"/>
      <c r="GV98" s="108"/>
      <c r="GW98" s="108"/>
      <c r="GX98" s="108"/>
      <c r="GY98" s="108"/>
      <c r="GZ98" s="108"/>
      <c r="HA98" s="108"/>
      <c r="HB98" s="108"/>
      <c r="HC98" s="108"/>
      <c r="HD98" s="108"/>
      <c r="HE98" s="108"/>
      <c r="HF98" s="108"/>
      <c r="HG98" s="108"/>
      <c r="HH98" s="108"/>
      <c r="HI98" s="108"/>
      <c r="HJ98" s="108"/>
      <c r="HK98" s="108"/>
      <c r="HL98" s="108"/>
      <c r="HM98" s="108"/>
      <c r="HN98" s="108"/>
      <c r="HO98" s="108"/>
      <c r="HP98" s="108"/>
      <c r="HQ98" s="108"/>
      <c r="HR98" s="108"/>
      <c r="HS98" s="108"/>
      <c r="HT98" s="108"/>
      <c r="HU98" s="108"/>
      <c r="HV98" s="108"/>
      <c r="HW98" s="108"/>
      <c r="HX98" s="108"/>
      <c r="HY98" s="108"/>
      <c r="HZ98" s="108"/>
      <c r="IA98" s="108"/>
      <c r="IB98" s="108"/>
      <c r="IC98" s="108"/>
      <c r="ID98" s="108"/>
      <c r="IE98" s="108"/>
      <c r="IF98" s="108"/>
      <c r="IG98" s="108"/>
      <c r="IH98" s="108"/>
      <c r="II98" s="108"/>
      <c r="IJ98" s="108"/>
      <c r="IK98" s="108"/>
      <c r="IL98" s="108"/>
      <c r="IM98" s="108"/>
      <c r="IN98" s="108"/>
      <c r="IO98" s="108"/>
      <c r="IP98" s="108"/>
      <c r="IQ98" s="108"/>
      <c r="IR98" s="108"/>
      <c r="IS98" s="108"/>
      <c r="IT98" s="108"/>
      <c r="IU98" s="108"/>
      <c r="IV98" s="108"/>
      <c r="IW98" s="108"/>
    </row>
    <row r="99" spans="1:257" x14ac:dyDescent="0.3">
      <c r="A99" s="158"/>
      <c r="B99" s="158"/>
      <c r="C99" s="158"/>
      <c r="D99" s="158"/>
      <c r="E99" s="158"/>
      <c r="F99" s="158"/>
      <c r="G99" s="158"/>
      <c r="H99" s="158"/>
      <c r="I99" s="158"/>
      <c r="J99" s="158"/>
      <c r="K99" s="158"/>
      <c r="L99" s="158"/>
      <c r="M99" s="158"/>
      <c r="N99" s="158"/>
      <c r="O99" s="108"/>
      <c r="P99" s="108"/>
      <c r="Q99" s="108"/>
      <c r="R99" s="108"/>
      <c r="S99" s="108"/>
      <c r="T99" s="108"/>
      <c r="U99" s="108"/>
      <c r="V99" s="108"/>
      <c r="W99" s="108"/>
      <c r="X99" s="108"/>
      <c r="Y99" s="108"/>
      <c r="Z99" s="108"/>
      <c r="AA99" s="108"/>
      <c r="AB99" s="108"/>
      <c r="AC99" s="108"/>
      <c r="AD99" s="108"/>
      <c r="AE99" s="108"/>
      <c r="AF99" s="108"/>
      <c r="AG99" s="108"/>
      <c r="AH99" s="108"/>
      <c r="AI99" s="108"/>
      <c r="AJ99" s="108"/>
      <c r="AK99" s="108"/>
      <c r="AL99" s="108"/>
      <c r="AM99" s="108"/>
      <c r="AN99" s="108"/>
      <c r="AO99" s="108"/>
      <c r="AP99" s="108"/>
      <c r="AQ99" s="108"/>
      <c r="AR99" s="108"/>
      <c r="AS99" s="108"/>
      <c r="AT99" s="108"/>
      <c r="AU99" s="108"/>
      <c r="AV99" s="108"/>
      <c r="AW99" s="108"/>
      <c r="AX99" s="108"/>
      <c r="AY99" s="108"/>
      <c r="AZ99" s="108"/>
      <c r="BA99" s="108"/>
      <c r="BB99" s="108"/>
      <c r="BC99" s="108"/>
      <c r="BD99" s="108"/>
      <c r="BE99" s="108"/>
      <c r="BF99" s="108"/>
      <c r="BG99" s="108"/>
      <c r="BH99" s="108"/>
      <c r="BI99" s="108"/>
      <c r="BJ99" s="108"/>
      <c r="BK99" s="108"/>
      <c r="BL99" s="108"/>
      <c r="BM99" s="108"/>
      <c r="BN99" s="108"/>
      <c r="BO99" s="108"/>
      <c r="BP99" s="108"/>
      <c r="BQ99" s="108"/>
      <c r="BR99" s="108"/>
      <c r="BS99" s="108"/>
      <c r="BT99" s="108"/>
      <c r="BU99" s="108"/>
      <c r="BV99" s="108"/>
      <c r="BW99" s="108"/>
      <c r="BX99" s="108"/>
      <c r="BY99" s="108"/>
      <c r="BZ99" s="108"/>
      <c r="CA99" s="108"/>
      <c r="CB99" s="108"/>
      <c r="CC99" s="108"/>
      <c r="CD99" s="108"/>
      <c r="CE99" s="108"/>
      <c r="CF99" s="108"/>
      <c r="CG99" s="108"/>
      <c r="CH99" s="108"/>
      <c r="CI99" s="108"/>
      <c r="CJ99" s="108"/>
      <c r="CK99" s="108"/>
      <c r="CL99" s="108"/>
      <c r="CM99" s="108"/>
      <c r="CN99" s="108"/>
      <c r="CO99" s="108"/>
      <c r="CP99" s="108"/>
      <c r="CQ99" s="108"/>
      <c r="CR99" s="108"/>
      <c r="CS99" s="108"/>
      <c r="CT99" s="108"/>
      <c r="CU99" s="108"/>
      <c r="CV99" s="108"/>
      <c r="CW99" s="108"/>
      <c r="CX99" s="108"/>
      <c r="CY99" s="108"/>
      <c r="CZ99" s="108"/>
      <c r="DA99" s="108"/>
      <c r="DB99" s="108"/>
      <c r="DC99" s="108"/>
      <c r="DD99" s="108"/>
      <c r="DE99" s="108"/>
      <c r="DF99" s="108"/>
      <c r="DG99" s="108"/>
      <c r="DH99" s="108"/>
      <c r="DI99" s="108"/>
      <c r="DJ99" s="108"/>
      <c r="DK99" s="108"/>
      <c r="DL99" s="108"/>
      <c r="DM99" s="108"/>
      <c r="DN99" s="108"/>
      <c r="DO99" s="108"/>
      <c r="DP99" s="108"/>
      <c r="DQ99" s="108"/>
      <c r="DR99" s="108"/>
      <c r="DS99" s="108"/>
      <c r="DT99" s="108"/>
      <c r="DU99" s="108"/>
      <c r="DV99" s="108"/>
      <c r="DW99" s="108"/>
      <c r="DX99" s="108"/>
      <c r="DY99" s="108"/>
      <c r="DZ99" s="108"/>
      <c r="EA99" s="108"/>
      <c r="EB99" s="108"/>
      <c r="EC99" s="108"/>
      <c r="ED99" s="108"/>
      <c r="EE99" s="108"/>
      <c r="EF99" s="108"/>
      <c r="EG99" s="108"/>
      <c r="EH99" s="108"/>
      <c r="EI99" s="108"/>
      <c r="EJ99" s="108"/>
      <c r="EK99" s="108"/>
      <c r="EL99" s="108"/>
      <c r="EM99" s="108"/>
      <c r="EN99" s="108"/>
      <c r="EO99" s="108"/>
      <c r="EP99" s="108"/>
      <c r="EQ99" s="108"/>
      <c r="ER99" s="108"/>
      <c r="ES99" s="108"/>
      <c r="ET99" s="108"/>
      <c r="EU99" s="108"/>
      <c r="EV99" s="108"/>
      <c r="EW99" s="108"/>
      <c r="EX99" s="108"/>
      <c r="EY99" s="108"/>
      <c r="EZ99" s="108"/>
      <c r="FA99" s="108"/>
      <c r="FB99" s="108"/>
      <c r="FC99" s="108"/>
      <c r="FD99" s="108"/>
      <c r="FE99" s="108"/>
      <c r="FF99" s="108"/>
      <c r="FG99" s="108"/>
      <c r="FH99" s="108"/>
      <c r="FI99" s="108"/>
      <c r="FJ99" s="108"/>
      <c r="FK99" s="108"/>
      <c r="FL99" s="108"/>
      <c r="FM99" s="108"/>
      <c r="FN99" s="108"/>
      <c r="FO99" s="108"/>
      <c r="FP99" s="108"/>
      <c r="FQ99" s="108"/>
      <c r="FR99" s="108"/>
      <c r="FS99" s="108"/>
      <c r="FT99" s="108"/>
      <c r="FU99" s="108"/>
      <c r="FV99" s="108"/>
      <c r="FW99" s="108"/>
      <c r="FX99" s="108"/>
      <c r="FY99" s="108"/>
      <c r="FZ99" s="108"/>
      <c r="GA99" s="108"/>
      <c r="GB99" s="108"/>
      <c r="GC99" s="108"/>
      <c r="GD99" s="108"/>
      <c r="GE99" s="108"/>
      <c r="GF99" s="108"/>
      <c r="GG99" s="108"/>
      <c r="GH99" s="108"/>
      <c r="GI99" s="108"/>
      <c r="GJ99" s="108"/>
      <c r="GK99" s="108"/>
      <c r="GL99" s="108"/>
      <c r="GM99" s="108"/>
      <c r="GN99" s="108"/>
      <c r="GO99" s="108"/>
      <c r="GP99" s="108"/>
      <c r="GQ99" s="108"/>
      <c r="GR99" s="108"/>
      <c r="GS99" s="108"/>
      <c r="GT99" s="108"/>
      <c r="GU99" s="108"/>
      <c r="GV99" s="108"/>
      <c r="GW99" s="108"/>
      <c r="GX99" s="108"/>
      <c r="GY99" s="108"/>
      <c r="GZ99" s="108"/>
      <c r="HA99" s="108"/>
      <c r="HB99" s="108"/>
      <c r="HC99" s="108"/>
      <c r="HD99" s="108"/>
      <c r="HE99" s="108"/>
      <c r="HF99" s="108"/>
      <c r="HG99" s="108"/>
      <c r="HH99" s="108"/>
      <c r="HI99" s="108"/>
      <c r="HJ99" s="108"/>
      <c r="HK99" s="108"/>
      <c r="HL99" s="108"/>
      <c r="HM99" s="108"/>
      <c r="HN99" s="108"/>
      <c r="HO99" s="108"/>
      <c r="HP99" s="108"/>
      <c r="HQ99" s="108"/>
      <c r="HR99" s="108"/>
      <c r="HS99" s="108"/>
      <c r="HT99" s="108"/>
      <c r="HU99" s="108"/>
      <c r="HV99" s="108"/>
      <c r="HW99" s="108"/>
      <c r="HX99" s="108"/>
      <c r="HY99" s="108"/>
      <c r="HZ99" s="108"/>
      <c r="IA99" s="108"/>
      <c r="IB99" s="108"/>
      <c r="IC99" s="108"/>
      <c r="ID99" s="108"/>
      <c r="IE99" s="108"/>
      <c r="IF99" s="108"/>
      <c r="IG99" s="108"/>
      <c r="IH99" s="108"/>
      <c r="II99" s="108"/>
      <c r="IJ99" s="108"/>
      <c r="IK99" s="108"/>
      <c r="IL99" s="108"/>
      <c r="IM99" s="108"/>
      <c r="IN99" s="108"/>
      <c r="IO99" s="108"/>
      <c r="IP99" s="108"/>
      <c r="IQ99" s="108"/>
      <c r="IR99" s="108"/>
      <c r="IS99" s="108"/>
      <c r="IT99" s="108"/>
      <c r="IU99" s="108"/>
      <c r="IV99" s="108"/>
      <c r="IW99" s="108"/>
    </row>
    <row r="100" spans="1:257" x14ac:dyDescent="0.3">
      <c r="A100" s="158"/>
      <c r="B100" s="158"/>
      <c r="C100" s="158"/>
      <c r="D100" s="158"/>
      <c r="E100" s="158"/>
      <c r="F100" s="158"/>
      <c r="G100" s="158"/>
      <c r="H100" s="158"/>
      <c r="I100" s="158"/>
      <c r="J100" s="158"/>
      <c r="K100" s="158"/>
      <c r="L100" s="158"/>
      <c r="M100" s="158"/>
      <c r="N100" s="158"/>
      <c r="O100" s="108"/>
      <c r="P100" s="108"/>
      <c r="Q100" s="108"/>
      <c r="R100" s="108"/>
      <c r="S100" s="108"/>
      <c r="T100" s="108"/>
      <c r="U100" s="108"/>
      <c r="V100" s="108"/>
      <c r="W100" s="108"/>
      <c r="X100" s="108"/>
      <c r="Y100" s="108"/>
      <c r="Z100" s="108"/>
      <c r="AA100" s="108"/>
      <c r="AB100" s="108"/>
      <c r="AC100" s="108"/>
      <c r="AD100" s="108"/>
      <c r="AE100" s="108"/>
      <c r="AF100" s="108"/>
      <c r="AG100" s="108"/>
      <c r="AH100" s="108"/>
      <c r="AI100" s="108"/>
      <c r="AJ100" s="108"/>
      <c r="AK100" s="108"/>
      <c r="AL100" s="108"/>
      <c r="AM100" s="108"/>
      <c r="AN100" s="108"/>
      <c r="AO100" s="108"/>
      <c r="AP100" s="108"/>
      <c r="AQ100" s="108"/>
      <c r="AR100" s="108"/>
      <c r="AS100" s="108"/>
      <c r="AT100" s="108"/>
      <c r="AU100" s="108"/>
      <c r="AV100" s="108"/>
      <c r="AW100" s="108"/>
      <c r="AX100" s="108"/>
      <c r="AY100" s="108"/>
      <c r="AZ100" s="108"/>
      <c r="BA100" s="108"/>
      <c r="BB100" s="108"/>
      <c r="BC100" s="108"/>
      <c r="BD100" s="108"/>
      <c r="BE100" s="108"/>
      <c r="BF100" s="108"/>
      <c r="BG100" s="108"/>
      <c r="BH100" s="108"/>
      <c r="BI100" s="108"/>
      <c r="BJ100" s="108"/>
      <c r="BK100" s="108"/>
      <c r="BL100" s="108"/>
      <c r="BM100" s="108"/>
      <c r="BN100" s="108"/>
      <c r="BO100" s="108"/>
      <c r="BP100" s="108"/>
      <c r="BQ100" s="108"/>
      <c r="BR100" s="108"/>
      <c r="BS100" s="108"/>
      <c r="BT100" s="108"/>
      <c r="BU100" s="108"/>
      <c r="BV100" s="108"/>
      <c r="BW100" s="108"/>
      <c r="BX100" s="108"/>
      <c r="BY100" s="108"/>
      <c r="BZ100" s="108"/>
      <c r="CA100" s="108"/>
      <c r="CB100" s="108"/>
      <c r="CC100" s="108"/>
      <c r="CD100" s="108"/>
      <c r="CE100" s="108"/>
      <c r="CF100" s="108"/>
      <c r="CG100" s="108"/>
      <c r="CH100" s="108"/>
      <c r="CI100" s="108"/>
      <c r="CJ100" s="108"/>
      <c r="CK100" s="108"/>
      <c r="CL100" s="108"/>
      <c r="CM100" s="108"/>
      <c r="CN100" s="108"/>
      <c r="CO100" s="108"/>
      <c r="CP100" s="108"/>
      <c r="CQ100" s="108"/>
      <c r="CR100" s="108"/>
      <c r="CS100" s="108"/>
      <c r="CT100" s="108"/>
      <c r="CU100" s="108"/>
      <c r="CV100" s="108"/>
      <c r="CW100" s="108"/>
      <c r="CX100" s="108"/>
      <c r="CY100" s="108"/>
      <c r="CZ100" s="108"/>
      <c r="DA100" s="108"/>
      <c r="DB100" s="108"/>
      <c r="DC100" s="108"/>
      <c r="DD100" s="108"/>
      <c r="DE100" s="108"/>
      <c r="DF100" s="108"/>
      <c r="DG100" s="108"/>
      <c r="DH100" s="108"/>
      <c r="DI100" s="108"/>
      <c r="DJ100" s="108"/>
      <c r="DK100" s="108"/>
      <c r="DL100" s="108"/>
      <c r="DM100" s="108"/>
      <c r="DN100" s="108"/>
      <c r="DO100" s="108"/>
      <c r="DP100" s="108"/>
      <c r="DQ100" s="108"/>
      <c r="DR100" s="108"/>
      <c r="DS100" s="108"/>
      <c r="DT100" s="108"/>
      <c r="DU100" s="108"/>
      <c r="DV100" s="108"/>
      <c r="DW100" s="108"/>
      <c r="DX100" s="108"/>
      <c r="DY100" s="108"/>
      <c r="DZ100" s="108"/>
      <c r="EA100" s="108"/>
      <c r="EB100" s="108"/>
      <c r="EC100" s="108"/>
      <c r="ED100" s="108"/>
      <c r="EE100" s="108"/>
      <c r="EF100" s="108"/>
      <c r="EG100" s="108"/>
      <c r="EH100" s="108"/>
      <c r="EI100" s="108"/>
      <c r="EJ100" s="108"/>
      <c r="EK100" s="108"/>
      <c r="EL100" s="108"/>
      <c r="EM100" s="108"/>
      <c r="EN100" s="108"/>
      <c r="EO100" s="108"/>
      <c r="EP100" s="108"/>
      <c r="EQ100" s="108"/>
      <c r="ER100" s="108"/>
      <c r="ES100" s="108"/>
      <c r="ET100" s="108"/>
      <c r="EU100" s="108"/>
      <c r="EV100" s="108"/>
      <c r="EW100" s="108"/>
      <c r="EX100" s="108"/>
      <c r="EY100" s="108"/>
      <c r="EZ100" s="108"/>
      <c r="FA100" s="108"/>
      <c r="FB100" s="108"/>
      <c r="FC100" s="108"/>
      <c r="FD100" s="108"/>
      <c r="FE100" s="108"/>
      <c r="FF100" s="108"/>
      <c r="FG100" s="108"/>
      <c r="FH100" s="108"/>
      <c r="FI100" s="108"/>
      <c r="FJ100" s="108"/>
      <c r="FK100" s="108"/>
      <c r="FL100" s="108"/>
      <c r="FM100" s="108"/>
      <c r="FN100" s="108"/>
      <c r="FO100" s="108"/>
      <c r="FP100" s="108"/>
      <c r="FQ100" s="108"/>
      <c r="FR100" s="108"/>
      <c r="FS100" s="108"/>
      <c r="FT100" s="108"/>
      <c r="FU100" s="108"/>
      <c r="FV100" s="108"/>
      <c r="FW100" s="108"/>
      <c r="FX100" s="108"/>
      <c r="FY100" s="108"/>
      <c r="FZ100" s="108"/>
      <c r="GA100" s="108"/>
      <c r="GB100" s="108"/>
      <c r="GC100" s="108"/>
      <c r="GD100" s="108"/>
      <c r="GE100" s="108"/>
      <c r="GF100" s="108"/>
      <c r="GG100" s="108"/>
      <c r="GH100" s="108"/>
      <c r="GI100" s="108"/>
      <c r="GJ100" s="108"/>
      <c r="GK100" s="108"/>
      <c r="GL100" s="108"/>
      <c r="GM100" s="108"/>
      <c r="GN100" s="108"/>
      <c r="GO100" s="108"/>
      <c r="GP100" s="108"/>
      <c r="GQ100" s="108"/>
      <c r="GR100" s="108"/>
      <c r="GS100" s="108"/>
      <c r="GT100" s="108"/>
      <c r="GU100" s="108"/>
      <c r="GV100" s="108"/>
      <c r="GW100" s="108"/>
      <c r="GX100" s="108"/>
      <c r="GY100" s="108"/>
      <c r="GZ100" s="108"/>
      <c r="HA100" s="108"/>
      <c r="HB100" s="108"/>
      <c r="HC100" s="108"/>
      <c r="HD100" s="108"/>
      <c r="HE100" s="108"/>
      <c r="HF100" s="108"/>
      <c r="HG100" s="108"/>
      <c r="HH100" s="108"/>
      <c r="HI100" s="108"/>
      <c r="HJ100" s="108"/>
      <c r="HK100" s="108"/>
      <c r="HL100" s="108"/>
      <c r="HM100" s="108"/>
      <c r="HN100" s="108"/>
      <c r="HO100" s="108"/>
      <c r="HP100" s="108"/>
      <c r="HQ100" s="108"/>
      <c r="HR100" s="108"/>
      <c r="HS100" s="108"/>
      <c r="HT100" s="108"/>
      <c r="HU100" s="108"/>
      <c r="HV100" s="108"/>
      <c r="HW100" s="108"/>
      <c r="HX100" s="108"/>
      <c r="HY100" s="108"/>
      <c r="HZ100" s="108"/>
      <c r="IA100" s="108"/>
      <c r="IB100" s="108"/>
      <c r="IC100" s="108"/>
      <c r="ID100" s="108"/>
      <c r="IE100" s="108"/>
      <c r="IF100" s="108"/>
      <c r="IG100" s="108"/>
      <c r="IH100" s="108"/>
      <c r="II100" s="108"/>
      <c r="IJ100" s="108"/>
      <c r="IK100" s="108"/>
      <c r="IL100" s="108"/>
      <c r="IM100" s="108"/>
      <c r="IN100" s="108"/>
      <c r="IO100" s="108"/>
      <c r="IP100" s="108"/>
      <c r="IQ100" s="108"/>
      <c r="IR100" s="108"/>
      <c r="IS100" s="108"/>
      <c r="IT100" s="108"/>
      <c r="IU100" s="108"/>
      <c r="IV100" s="108"/>
      <c r="IW100" s="108"/>
    </row>
    <row r="101" spans="1:257" x14ac:dyDescent="0.3">
      <c r="A101" s="158"/>
      <c r="B101" s="158"/>
      <c r="C101" s="158"/>
      <c r="D101" s="158"/>
      <c r="E101" s="158"/>
      <c r="F101" s="158"/>
      <c r="G101" s="158"/>
      <c r="H101" s="158"/>
      <c r="I101" s="158"/>
      <c r="J101" s="158"/>
      <c r="K101" s="158"/>
      <c r="L101" s="158"/>
      <c r="M101" s="158"/>
      <c r="N101" s="158"/>
      <c r="O101" s="108"/>
      <c r="P101" s="108"/>
      <c r="Q101" s="108"/>
      <c r="R101" s="108"/>
      <c r="S101" s="108"/>
      <c r="T101" s="108"/>
      <c r="U101" s="108"/>
      <c r="V101" s="108"/>
      <c r="W101" s="108"/>
      <c r="X101" s="108"/>
      <c r="Y101" s="108"/>
      <c r="Z101" s="108"/>
      <c r="AA101" s="108"/>
      <c r="AB101" s="108"/>
      <c r="AC101" s="108"/>
      <c r="AD101" s="108"/>
      <c r="AE101" s="108"/>
      <c r="AF101" s="108"/>
      <c r="AG101" s="108"/>
      <c r="AH101" s="108"/>
      <c r="AI101" s="108"/>
      <c r="AJ101" s="108"/>
      <c r="AK101" s="108"/>
      <c r="AL101" s="108"/>
      <c r="AM101" s="108"/>
      <c r="AN101" s="108"/>
      <c r="AO101" s="108"/>
      <c r="AP101" s="108"/>
      <c r="AQ101" s="108"/>
      <c r="AR101" s="108"/>
      <c r="AS101" s="108"/>
      <c r="AT101" s="108"/>
      <c r="AU101" s="108"/>
      <c r="AV101" s="108"/>
      <c r="AW101" s="108"/>
      <c r="AX101" s="108"/>
      <c r="AY101" s="108"/>
      <c r="AZ101" s="108"/>
      <c r="BA101" s="108"/>
      <c r="BB101" s="108"/>
      <c r="BC101" s="108"/>
      <c r="BD101" s="108"/>
      <c r="BE101" s="108"/>
      <c r="BF101" s="108"/>
      <c r="BG101" s="108"/>
      <c r="BH101" s="108"/>
      <c r="BI101" s="108"/>
      <c r="BJ101" s="108"/>
      <c r="BK101" s="108"/>
      <c r="BL101" s="108"/>
      <c r="BM101" s="108"/>
      <c r="BN101" s="108"/>
      <c r="BO101" s="108"/>
      <c r="BP101" s="108"/>
      <c r="BQ101" s="108"/>
      <c r="BR101" s="108"/>
      <c r="BS101" s="108"/>
      <c r="BT101" s="108"/>
      <c r="BU101" s="108"/>
      <c r="BV101" s="108"/>
      <c r="BW101" s="108"/>
      <c r="BX101" s="108"/>
      <c r="BY101" s="108"/>
      <c r="BZ101" s="108"/>
      <c r="CA101" s="108"/>
      <c r="CB101" s="108"/>
      <c r="CC101" s="108"/>
      <c r="CD101" s="108"/>
      <c r="CE101" s="108"/>
      <c r="CF101" s="108"/>
      <c r="CG101" s="108"/>
      <c r="CH101" s="108"/>
      <c r="CI101" s="108"/>
      <c r="CJ101" s="108"/>
      <c r="CK101" s="108"/>
      <c r="CL101" s="108"/>
      <c r="CM101" s="108"/>
      <c r="CN101" s="108"/>
      <c r="CO101" s="108"/>
      <c r="CP101" s="108"/>
      <c r="CQ101" s="108"/>
      <c r="CR101" s="108"/>
      <c r="CS101" s="108"/>
      <c r="CT101" s="108"/>
      <c r="CU101" s="108"/>
      <c r="CV101" s="108"/>
      <c r="CW101" s="108"/>
      <c r="CX101" s="108"/>
      <c r="CY101" s="108"/>
      <c r="CZ101" s="108"/>
      <c r="DA101" s="108"/>
      <c r="DB101" s="108"/>
      <c r="DC101" s="108"/>
      <c r="DD101" s="108"/>
      <c r="DE101" s="108"/>
      <c r="DF101" s="108"/>
      <c r="DG101" s="108"/>
      <c r="DH101" s="108"/>
      <c r="DI101" s="108"/>
      <c r="DJ101" s="108"/>
      <c r="DK101" s="108"/>
      <c r="DL101" s="108"/>
      <c r="DM101" s="108"/>
      <c r="DN101" s="108"/>
      <c r="DO101" s="108"/>
      <c r="DP101" s="108"/>
      <c r="DQ101" s="108"/>
      <c r="DR101" s="108"/>
      <c r="DS101" s="108"/>
      <c r="DT101" s="108"/>
      <c r="DU101" s="108"/>
      <c r="DV101" s="108"/>
      <c r="DW101" s="108"/>
      <c r="DX101" s="108"/>
      <c r="DY101" s="108"/>
      <c r="DZ101" s="108"/>
      <c r="EA101" s="108"/>
      <c r="EB101" s="108"/>
      <c r="EC101" s="108"/>
      <c r="ED101" s="108"/>
      <c r="EE101" s="108"/>
      <c r="EF101" s="108"/>
      <c r="EG101" s="108"/>
      <c r="EH101" s="108"/>
      <c r="EI101" s="108"/>
      <c r="EJ101" s="108"/>
      <c r="EK101" s="108"/>
      <c r="EL101" s="108"/>
      <c r="EM101" s="108"/>
      <c r="EN101" s="108"/>
      <c r="EO101" s="108"/>
      <c r="EP101" s="108"/>
      <c r="EQ101" s="108"/>
      <c r="ER101" s="108"/>
      <c r="ES101" s="108"/>
      <c r="ET101" s="108"/>
      <c r="EU101" s="108"/>
      <c r="EV101" s="108"/>
      <c r="EW101" s="108"/>
      <c r="EX101" s="108"/>
      <c r="EY101" s="108"/>
      <c r="EZ101" s="108"/>
      <c r="FA101" s="108"/>
      <c r="FB101" s="108"/>
      <c r="FC101" s="108"/>
      <c r="FD101" s="108"/>
      <c r="FE101" s="108"/>
      <c r="FF101" s="108"/>
      <c r="FG101" s="108"/>
      <c r="FH101" s="108"/>
      <c r="FI101" s="108"/>
      <c r="FJ101" s="108"/>
      <c r="FK101" s="108"/>
      <c r="FL101" s="108"/>
      <c r="FM101" s="108"/>
      <c r="FN101" s="108"/>
      <c r="FO101" s="108"/>
      <c r="FP101" s="108"/>
      <c r="FQ101" s="108"/>
      <c r="FR101" s="108"/>
      <c r="FS101" s="108"/>
      <c r="FT101" s="108"/>
      <c r="FU101" s="108"/>
      <c r="FV101" s="108"/>
      <c r="FW101" s="108"/>
      <c r="FX101" s="108"/>
      <c r="FY101" s="108"/>
      <c r="FZ101" s="108"/>
      <c r="GA101" s="108"/>
      <c r="GB101" s="108"/>
      <c r="GC101" s="108"/>
      <c r="GD101" s="108"/>
      <c r="GE101" s="108"/>
      <c r="GF101" s="108"/>
      <c r="GG101" s="108"/>
      <c r="GH101" s="108"/>
      <c r="GI101" s="108"/>
      <c r="GJ101" s="108"/>
      <c r="GK101" s="108"/>
      <c r="GL101" s="108"/>
      <c r="GM101" s="108"/>
      <c r="GN101" s="108"/>
      <c r="GO101" s="108"/>
      <c r="GP101" s="108"/>
      <c r="GQ101" s="108"/>
      <c r="GR101" s="108"/>
      <c r="GS101" s="108"/>
      <c r="GT101" s="108"/>
      <c r="GU101" s="108"/>
      <c r="GV101" s="108"/>
      <c r="GW101" s="108"/>
      <c r="GX101" s="108"/>
      <c r="GY101" s="108"/>
      <c r="GZ101" s="108"/>
      <c r="HA101" s="108"/>
      <c r="HB101" s="108"/>
      <c r="HC101" s="108"/>
      <c r="HD101" s="108"/>
      <c r="HE101" s="108"/>
      <c r="HF101" s="108"/>
      <c r="HG101" s="108"/>
      <c r="HH101" s="108"/>
      <c r="HI101" s="108"/>
      <c r="HJ101" s="108"/>
      <c r="HK101" s="108"/>
      <c r="HL101" s="108"/>
      <c r="HM101" s="108"/>
      <c r="HN101" s="108"/>
      <c r="HO101" s="108"/>
      <c r="HP101" s="108"/>
      <c r="HQ101" s="108"/>
      <c r="HR101" s="108"/>
      <c r="HS101" s="108"/>
      <c r="HT101" s="108"/>
      <c r="HU101" s="108"/>
      <c r="HV101" s="108"/>
      <c r="HW101" s="108"/>
      <c r="HX101" s="108"/>
      <c r="HY101" s="108"/>
      <c r="HZ101" s="108"/>
      <c r="IA101" s="108"/>
      <c r="IB101" s="108"/>
      <c r="IC101" s="108"/>
      <c r="ID101" s="108"/>
      <c r="IE101" s="108"/>
      <c r="IF101" s="108"/>
      <c r="IG101" s="108"/>
      <c r="IH101" s="108"/>
      <c r="II101" s="108"/>
      <c r="IJ101" s="108"/>
      <c r="IK101" s="108"/>
      <c r="IL101" s="108"/>
      <c r="IM101" s="108"/>
      <c r="IN101" s="108"/>
      <c r="IO101" s="108"/>
      <c r="IP101" s="108"/>
      <c r="IQ101" s="108"/>
      <c r="IR101" s="108"/>
      <c r="IS101" s="108"/>
      <c r="IT101" s="108"/>
      <c r="IU101" s="108"/>
      <c r="IV101" s="108"/>
      <c r="IW101" s="108"/>
    </row>
    <row r="102" spans="1:257" x14ac:dyDescent="0.3">
      <c r="A102" s="158"/>
      <c r="B102" s="158"/>
      <c r="C102" s="158"/>
      <c r="D102" s="158"/>
      <c r="E102" s="158"/>
      <c r="F102" s="158"/>
      <c r="G102" s="158"/>
      <c r="H102" s="158"/>
      <c r="I102" s="158"/>
      <c r="J102" s="158"/>
      <c r="K102" s="158"/>
      <c r="L102" s="158"/>
      <c r="M102" s="158"/>
      <c r="N102" s="158"/>
      <c r="O102" s="108"/>
      <c r="P102" s="108"/>
      <c r="Q102" s="108"/>
      <c r="R102" s="108"/>
      <c r="S102" s="108"/>
      <c r="T102" s="108"/>
      <c r="U102" s="108"/>
      <c r="V102" s="108"/>
      <c r="W102" s="108"/>
      <c r="X102" s="108"/>
      <c r="Y102" s="108"/>
      <c r="Z102" s="108"/>
      <c r="AA102" s="108"/>
      <c r="AB102" s="108"/>
      <c r="AC102" s="108"/>
      <c r="AD102" s="108"/>
      <c r="AE102" s="108"/>
      <c r="AF102" s="108"/>
      <c r="AG102" s="108"/>
      <c r="AH102" s="108"/>
      <c r="AI102" s="108"/>
      <c r="AJ102" s="108"/>
      <c r="AK102" s="108"/>
      <c r="AL102" s="108"/>
      <c r="AM102" s="108"/>
      <c r="AN102" s="108"/>
      <c r="AO102" s="108"/>
      <c r="AP102" s="108"/>
      <c r="AQ102" s="108"/>
      <c r="AR102" s="108"/>
      <c r="AS102" s="108"/>
      <c r="AT102" s="108"/>
      <c r="AU102" s="108"/>
      <c r="AV102" s="108"/>
      <c r="AW102" s="108"/>
      <c r="AX102" s="108"/>
      <c r="AY102" s="108"/>
      <c r="AZ102" s="108"/>
      <c r="BA102" s="108"/>
      <c r="BB102" s="108"/>
      <c r="BC102" s="108"/>
      <c r="BD102" s="108"/>
      <c r="BE102" s="108"/>
      <c r="BF102" s="108"/>
      <c r="BG102" s="108"/>
      <c r="BH102" s="108"/>
      <c r="BI102" s="108"/>
      <c r="BJ102" s="108"/>
      <c r="BK102" s="108"/>
      <c r="BL102" s="108"/>
      <c r="BM102" s="108"/>
      <c r="BN102" s="108"/>
      <c r="BO102" s="108"/>
      <c r="BP102" s="108"/>
      <c r="BQ102" s="108"/>
      <c r="BR102" s="108"/>
      <c r="BS102" s="108"/>
      <c r="BT102" s="108"/>
      <c r="BU102" s="108"/>
      <c r="BV102" s="108"/>
      <c r="BW102" s="108"/>
      <c r="BX102" s="108"/>
      <c r="BY102" s="108"/>
      <c r="BZ102" s="108"/>
      <c r="CA102" s="108"/>
      <c r="CB102" s="108"/>
      <c r="CC102" s="108"/>
      <c r="CD102" s="108"/>
      <c r="CE102" s="108"/>
      <c r="CF102" s="108"/>
      <c r="CG102" s="108"/>
      <c r="CH102" s="108"/>
      <c r="CI102" s="108"/>
      <c r="CJ102" s="108"/>
      <c r="CK102" s="108"/>
      <c r="CL102" s="108"/>
      <c r="CM102" s="108"/>
      <c r="CN102" s="108"/>
      <c r="CO102" s="108"/>
      <c r="CP102" s="108"/>
      <c r="CQ102" s="108"/>
      <c r="CR102" s="108"/>
      <c r="CS102" s="108"/>
      <c r="CT102" s="108"/>
      <c r="CU102" s="108"/>
      <c r="CV102" s="108"/>
      <c r="CW102" s="108"/>
      <c r="CX102" s="108"/>
      <c r="CY102" s="108"/>
      <c r="CZ102" s="108"/>
      <c r="DA102" s="108"/>
      <c r="DB102" s="108"/>
      <c r="DC102" s="108"/>
      <c r="DD102" s="108"/>
      <c r="DE102" s="108"/>
      <c r="DF102" s="108"/>
      <c r="DG102" s="108"/>
      <c r="DH102" s="108"/>
      <c r="DI102" s="108"/>
      <c r="DJ102" s="108"/>
      <c r="DK102" s="108"/>
      <c r="DL102" s="108"/>
      <c r="DM102" s="108"/>
      <c r="DN102" s="108"/>
      <c r="DO102" s="108"/>
      <c r="DP102" s="108"/>
      <c r="DQ102" s="108"/>
      <c r="DR102" s="108"/>
      <c r="DS102" s="108"/>
      <c r="DT102" s="108"/>
      <c r="DU102" s="108"/>
      <c r="DV102" s="108"/>
      <c r="DW102" s="108"/>
      <c r="DX102" s="108"/>
      <c r="DY102" s="108"/>
      <c r="DZ102" s="108"/>
      <c r="EA102" s="108"/>
      <c r="EB102" s="108"/>
      <c r="EC102" s="108"/>
      <c r="ED102" s="108"/>
      <c r="EE102" s="108"/>
      <c r="EF102" s="108"/>
      <c r="EG102" s="108"/>
      <c r="EH102" s="108"/>
      <c r="EI102" s="108"/>
      <c r="EJ102" s="108"/>
      <c r="EK102" s="108"/>
      <c r="EL102" s="108"/>
      <c r="EM102" s="108"/>
      <c r="EN102" s="108"/>
      <c r="EO102" s="108"/>
      <c r="EP102" s="108"/>
      <c r="EQ102" s="108"/>
      <c r="ER102" s="108"/>
      <c r="ES102" s="108"/>
      <c r="ET102" s="108"/>
      <c r="EU102" s="108"/>
      <c r="EV102" s="108"/>
      <c r="EW102" s="108"/>
      <c r="EX102" s="108"/>
      <c r="EY102" s="108"/>
      <c r="EZ102" s="108"/>
      <c r="FA102" s="108"/>
      <c r="FB102" s="108"/>
      <c r="FC102" s="108"/>
      <c r="FD102" s="108"/>
      <c r="FE102" s="108"/>
      <c r="FF102" s="108"/>
      <c r="FG102" s="108"/>
      <c r="FH102" s="108"/>
      <c r="FI102" s="108"/>
      <c r="FJ102" s="108"/>
      <c r="FK102" s="108"/>
      <c r="FL102" s="108"/>
      <c r="FM102" s="108"/>
      <c r="FN102" s="108"/>
      <c r="FO102" s="108"/>
      <c r="FP102" s="108"/>
      <c r="FQ102" s="108"/>
      <c r="FR102" s="108"/>
      <c r="FS102" s="108"/>
      <c r="FT102" s="108"/>
      <c r="FU102" s="108"/>
      <c r="FV102" s="108"/>
      <c r="FW102" s="108"/>
      <c r="FX102" s="108"/>
      <c r="FY102" s="108"/>
      <c r="FZ102" s="108"/>
      <c r="GA102" s="108"/>
      <c r="GB102" s="108"/>
      <c r="GC102" s="108"/>
      <c r="GD102" s="108"/>
      <c r="GE102" s="108"/>
      <c r="GF102" s="108"/>
      <c r="GG102" s="108"/>
      <c r="GH102" s="108"/>
      <c r="GI102" s="108"/>
      <c r="GJ102" s="108"/>
      <c r="GK102" s="108"/>
      <c r="GL102" s="108"/>
      <c r="GM102" s="108"/>
      <c r="GN102" s="108"/>
      <c r="GO102" s="108"/>
      <c r="GP102" s="108"/>
      <c r="GQ102" s="108"/>
      <c r="GR102" s="108"/>
      <c r="GS102" s="108"/>
      <c r="GT102" s="108"/>
      <c r="GU102" s="108"/>
      <c r="GV102" s="108"/>
      <c r="GW102" s="108"/>
      <c r="GX102" s="108"/>
      <c r="GY102" s="108"/>
      <c r="GZ102" s="108"/>
      <c r="HA102" s="108"/>
      <c r="HB102" s="108"/>
      <c r="HC102" s="108"/>
      <c r="HD102" s="108"/>
      <c r="HE102" s="108"/>
      <c r="HF102" s="108"/>
      <c r="HG102" s="108"/>
      <c r="HH102" s="108"/>
      <c r="HI102" s="108"/>
      <c r="HJ102" s="108"/>
      <c r="HK102" s="108"/>
      <c r="HL102" s="108"/>
      <c r="HM102" s="108"/>
      <c r="HN102" s="108"/>
      <c r="HO102" s="108"/>
      <c r="HP102" s="108"/>
      <c r="HQ102" s="108"/>
      <c r="HR102" s="108"/>
      <c r="HS102" s="108"/>
      <c r="HT102" s="108"/>
      <c r="HU102" s="108"/>
      <c r="HV102" s="108"/>
      <c r="HW102" s="108"/>
      <c r="HX102" s="108"/>
      <c r="HY102" s="108"/>
      <c r="HZ102" s="108"/>
      <c r="IA102" s="108"/>
      <c r="IB102" s="108"/>
      <c r="IC102" s="108"/>
      <c r="ID102" s="108"/>
      <c r="IE102" s="108"/>
      <c r="IF102" s="108"/>
      <c r="IG102" s="108"/>
      <c r="IH102" s="108"/>
      <c r="II102" s="108"/>
      <c r="IJ102" s="108"/>
      <c r="IK102" s="108"/>
      <c r="IL102" s="108"/>
      <c r="IM102" s="108"/>
      <c r="IN102" s="108"/>
      <c r="IO102" s="108"/>
      <c r="IP102" s="108"/>
      <c r="IQ102" s="108"/>
      <c r="IR102" s="108"/>
      <c r="IS102" s="108"/>
      <c r="IT102" s="108"/>
      <c r="IU102" s="108"/>
      <c r="IV102" s="108"/>
      <c r="IW102" s="108"/>
    </row>
    <row r="103" spans="1:257" x14ac:dyDescent="0.3">
      <c r="A103" s="158"/>
      <c r="B103" s="158"/>
      <c r="C103" s="158"/>
      <c r="D103" s="158"/>
      <c r="E103" s="158"/>
      <c r="F103" s="158"/>
      <c r="G103" s="158"/>
      <c r="H103" s="158"/>
      <c r="I103" s="158"/>
      <c r="J103" s="158"/>
      <c r="K103" s="158"/>
      <c r="L103" s="158"/>
      <c r="M103" s="158"/>
      <c r="N103" s="158"/>
      <c r="O103" s="108"/>
      <c r="P103" s="108"/>
      <c r="Q103" s="108"/>
      <c r="R103" s="108"/>
      <c r="S103" s="108"/>
      <c r="T103" s="108"/>
      <c r="U103" s="108"/>
      <c r="V103" s="108"/>
      <c r="W103" s="108"/>
      <c r="X103" s="108"/>
      <c r="Y103" s="108"/>
      <c r="Z103" s="108"/>
      <c r="AA103" s="108"/>
      <c r="AB103" s="108"/>
      <c r="AC103" s="108"/>
      <c r="AD103" s="108"/>
      <c r="AE103" s="108"/>
      <c r="AF103" s="108"/>
      <c r="AG103" s="108"/>
      <c r="AH103" s="108"/>
      <c r="AI103" s="108"/>
      <c r="AJ103" s="108"/>
      <c r="AK103" s="108"/>
      <c r="AL103" s="108"/>
      <c r="AM103" s="108"/>
      <c r="AN103" s="108"/>
      <c r="AO103" s="108"/>
      <c r="AP103" s="108"/>
      <c r="AQ103" s="108"/>
      <c r="AR103" s="108"/>
      <c r="AS103" s="108"/>
      <c r="AT103" s="108"/>
      <c r="AU103" s="108"/>
      <c r="AV103" s="108"/>
      <c r="AW103" s="108"/>
      <c r="AX103" s="108"/>
      <c r="AY103" s="108"/>
      <c r="AZ103" s="108"/>
      <c r="BA103" s="108"/>
      <c r="BB103" s="108"/>
      <c r="BC103" s="108"/>
      <c r="BD103" s="108"/>
      <c r="BE103" s="108"/>
      <c r="BF103" s="108"/>
      <c r="BG103" s="108"/>
      <c r="BH103" s="108"/>
      <c r="BI103" s="108"/>
      <c r="BJ103" s="108"/>
      <c r="BK103" s="108"/>
      <c r="BL103" s="108"/>
      <c r="BM103" s="108"/>
      <c r="BN103" s="108"/>
      <c r="BO103" s="108"/>
      <c r="BP103" s="108"/>
      <c r="BQ103" s="108"/>
      <c r="BR103" s="108"/>
      <c r="BS103" s="108"/>
      <c r="BT103" s="108"/>
      <c r="BU103" s="108"/>
      <c r="BV103" s="108"/>
      <c r="BW103" s="108"/>
      <c r="BX103" s="108"/>
      <c r="BY103" s="108"/>
      <c r="BZ103" s="108"/>
      <c r="CA103" s="108"/>
      <c r="CB103" s="108"/>
      <c r="CC103" s="108"/>
      <c r="CD103" s="108"/>
      <c r="CE103" s="108"/>
      <c r="CF103" s="108"/>
      <c r="CG103" s="108"/>
      <c r="CH103" s="108"/>
      <c r="CI103" s="108"/>
      <c r="CJ103" s="108"/>
      <c r="CK103" s="108"/>
      <c r="CL103" s="108"/>
      <c r="CM103" s="108"/>
      <c r="CN103" s="108"/>
      <c r="CO103" s="108"/>
      <c r="CP103" s="108"/>
      <c r="CQ103" s="108"/>
      <c r="CR103" s="108"/>
      <c r="CS103" s="108"/>
      <c r="CT103" s="108"/>
      <c r="CU103" s="108"/>
      <c r="CV103" s="108"/>
      <c r="CW103" s="108"/>
      <c r="CX103" s="108"/>
      <c r="CY103" s="108"/>
      <c r="CZ103" s="108"/>
      <c r="DA103" s="108"/>
      <c r="DB103" s="108"/>
      <c r="DC103" s="108"/>
      <c r="DD103" s="108"/>
      <c r="DE103" s="108"/>
      <c r="DF103" s="108"/>
      <c r="DG103" s="108"/>
      <c r="DH103" s="108"/>
      <c r="DI103" s="108"/>
      <c r="DJ103" s="108"/>
      <c r="DK103" s="108"/>
      <c r="DL103" s="108"/>
      <c r="DM103" s="108"/>
      <c r="DN103" s="108"/>
      <c r="DO103" s="108"/>
      <c r="DP103" s="108"/>
      <c r="DQ103" s="108"/>
      <c r="DR103" s="108"/>
      <c r="DS103" s="108"/>
      <c r="DT103" s="108"/>
      <c r="DU103" s="108"/>
      <c r="DV103" s="108"/>
      <c r="DW103" s="108"/>
      <c r="DX103" s="108"/>
      <c r="DY103" s="108"/>
      <c r="DZ103" s="108"/>
      <c r="EA103" s="108"/>
      <c r="EB103" s="108"/>
      <c r="EC103" s="108"/>
      <c r="ED103" s="108"/>
      <c r="EE103" s="108"/>
      <c r="EF103" s="108"/>
      <c r="EG103" s="108"/>
      <c r="EH103" s="108"/>
      <c r="EI103" s="108"/>
      <c r="EJ103" s="108"/>
      <c r="EK103" s="108"/>
      <c r="EL103" s="108"/>
      <c r="EM103" s="108"/>
      <c r="EN103" s="108"/>
      <c r="EO103" s="108"/>
      <c r="EP103" s="108"/>
      <c r="EQ103" s="108"/>
      <c r="ER103" s="108"/>
      <c r="ES103" s="108"/>
      <c r="ET103" s="108"/>
      <c r="EU103" s="108"/>
      <c r="EV103" s="108"/>
      <c r="EW103" s="108"/>
      <c r="EX103" s="108"/>
      <c r="EY103" s="108"/>
      <c r="EZ103" s="108"/>
      <c r="FA103" s="108"/>
      <c r="FB103" s="108"/>
      <c r="FC103" s="108"/>
      <c r="FD103" s="108"/>
      <c r="FE103" s="108"/>
      <c r="FF103" s="108"/>
      <c r="FG103" s="108"/>
      <c r="FH103" s="108"/>
      <c r="FI103" s="108"/>
      <c r="FJ103" s="108"/>
      <c r="FK103" s="108"/>
      <c r="FL103" s="108"/>
      <c r="FM103" s="108"/>
      <c r="FN103" s="108"/>
      <c r="FO103" s="108"/>
      <c r="FP103" s="108"/>
      <c r="FQ103" s="108"/>
      <c r="FR103" s="108"/>
      <c r="FS103" s="108"/>
      <c r="FT103" s="108"/>
      <c r="FU103" s="108"/>
      <c r="FV103" s="108"/>
      <c r="FW103" s="108"/>
      <c r="FX103" s="108"/>
      <c r="FY103" s="108"/>
      <c r="FZ103" s="108"/>
      <c r="GA103" s="108"/>
      <c r="GB103" s="108"/>
      <c r="GC103" s="108"/>
      <c r="GD103" s="108"/>
      <c r="GE103" s="108"/>
      <c r="GF103" s="108"/>
      <c r="GG103" s="108"/>
      <c r="GH103" s="108"/>
      <c r="GI103" s="108"/>
      <c r="GJ103" s="108"/>
      <c r="GK103" s="108"/>
      <c r="GL103" s="108"/>
      <c r="GM103" s="108"/>
      <c r="GN103" s="108"/>
      <c r="GO103" s="108"/>
      <c r="GP103" s="108"/>
      <c r="GQ103" s="108"/>
      <c r="GR103" s="108"/>
      <c r="GS103" s="108"/>
      <c r="GT103" s="108"/>
      <c r="GU103" s="108"/>
      <c r="GV103" s="108"/>
      <c r="GW103" s="108"/>
      <c r="GX103" s="108"/>
      <c r="GY103" s="108"/>
      <c r="GZ103" s="108"/>
      <c r="HA103" s="108"/>
      <c r="HB103" s="108"/>
      <c r="HC103" s="108"/>
      <c r="HD103" s="108"/>
      <c r="HE103" s="108"/>
      <c r="HF103" s="108"/>
      <c r="HG103" s="108"/>
      <c r="HH103" s="108"/>
      <c r="HI103" s="108"/>
      <c r="HJ103" s="108"/>
      <c r="HK103" s="108"/>
      <c r="HL103" s="108"/>
      <c r="HM103" s="108"/>
      <c r="HN103" s="108"/>
      <c r="HO103" s="108"/>
      <c r="HP103" s="108"/>
      <c r="HQ103" s="108"/>
      <c r="HR103" s="108"/>
      <c r="HS103" s="108"/>
      <c r="HT103" s="108"/>
      <c r="HU103" s="108"/>
      <c r="HV103" s="108"/>
      <c r="HW103" s="108"/>
      <c r="HX103" s="108"/>
      <c r="HY103" s="108"/>
      <c r="HZ103" s="108"/>
      <c r="IA103" s="108"/>
      <c r="IB103" s="108"/>
      <c r="IC103" s="108"/>
      <c r="ID103" s="108"/>
      <c r="IE103" s="108"/>
      <c r="IF103" s="108"/>
      <c r="IG103" s="108"/>
      <c r="IH103" s="108"/>
      <c r="II103" s="108"/>
      <c r="IJ103" s="108"/>
      <c r="IK103" s="108"/>
      <c r="IL103" s="108"/>
      <c r="IM103" s="108"/>
      <c r="IN103" s="108"/>
      <c r="IO103" s="108"/>
      <c r="IP103" s="108"/>
      <c r="IQ103" s="108"/>
      <c r="IR103" s="108"/>
      <c r="IS103" s="108"/>
      <c r="IT103" s="108"/>
      <c r="IU103" s="108"/>
      <c r="IV103" s="108"/>
      <c r="IW103" s="108"/>
    </row>
    <row r="104" spans="1:257" x14ac:dyDescent="0.3">
      <c r="A104" s="158"/>
      <c r="B104" s="158"/>
      <c r="C104" s="158"/>
      <c r="D104" s="158"/>
      <c r="E104" s="158"/>
      <c r="F104" s="158"/>
      <c r="G104" s="158"/>
      <c r="H104" s="158"/>
      <c r="I104" s="158"/>
      <c r="J104" s="158"/>
      <c r="K104" s="158"/>
      <c r="L104" s="158"/>
      <c r="M104" s="158"/>
      <c r="N104" s="158"/>
      <c r="O104" s="108"/>
      <c r="P104" s="108"/>
      <c r="Q104" s="108"/>
      <c r="R104" s="108"/>
      <c r="S104" s="108"/>
      <c r="T104" s="108"/>
      <c r="U104" s="108"/>
      <c r="V104" s="108"/>
      <c r="W104" s="108"/>
      <c r="X104" s="108"/>
      <c r="Y104" s="108"/>
      <c r="Z104" s="108"/>
      <c r="AA104" s="108"/>
      <c r="AB104" s="108"/>
      <c r="AC104" s="108"/>
      <c r="AD104" s="108"/>
      <c r="AE104" s="108"/>
      <c r="AF104" s="108"/>
      <c r="AG104" s="108"/>
      <c r="AH104" s="108"/>
      <c r="AI104" s="108"/>
      <c r="AJ104" s="108"/>
      <c r="AK104" s="108"/>
      <c r="AL104" s="108"/>
      <c r="AM104" s="108"/>
      <c r="AN104" s="108"/>
      <c r="AO104" s="108"/>
      <c r="AP104" s="108"/>
      <c r="AQ104" s="108"/>
      <c r="AR104" s="108"/>
      <c r="AS104" s="108"/>
      <c r="AT104" s="108"/>
      <c r="AU104" s="108"/>
      <c r="AV104" s="108"/>
      <c r="AW104" s="108"/>
      <c r="AX104" s="108"/>
      <c r="AY104" s="108"/>
      <c r="AZ104" s="108"/>
      <c r="BA104" s="108"/>
      <c r="BB104" s="108"/>
      <c r="BC104" s="108"/>
      <c r="BD104" s="108"/>
      <c r="BE104" s="108"/>
      <c r="BF104" s="108"/>
      <c r="BG104" s="108"/>
      <c r="BH104" s="108"/>
      <c r="BI104" s="108"/>
      <c r="BJ104" s="108"/>
      <c r="BK104" s="108"/>
      <c r="BL104" s="108"/>
      <c r="BM104" s="108"/>
      <c r="BN104" s="108"/>
      <c r="BO104" s="108"/>
      <c r="BP104" s="108"/>
      <c r="BQ104" s="108"/>
      <c r="BR104" s="108"/>
      <c r="BS104" s="108"/>
      <c r="BT104" s="108"/>
      <c r="BU104" s="108"/>
      <c r="BV104" s="108"/>
      <c r="BW104" s="108"/>
      <c r="BX104" s="108"/>
      <c r="BY104" s="108"/>
      <c r="BZ104" s="108"/>
      <c r="CA104" s="108"/>
      <c r="CB104" s="108"/>
      <c r="CC104" s="108"/>
      <c r="CD104" s="108"/>
      <c r="CE104" s="108"/>
      <c r="CF104" s="108"/>
      <c r="CG104" s="108"/>
      <c r="CH104" s="108"/>
      <c r="CI104" s="108"/>
      <c r="CJ104" s="108"/>
      <c r="CK104" s="108"/>
      <c r="CL104" s="108"/>
      <c r="CM104" s="108"/>
      <c r="CN104" s="108"/>
      <c r="CO104" s="108"/>
      <c r="CP104" s="108"/>
      <c r="CQ104" s="108"/>
      <c r="CR104" s="108"/>
      <c r="CS104" s="108"/>
      <c r="CT104" s="108"/>
      <c r="CU104" s="108"/>
      <c r="CV104" s="108"/>
      <c r="CW104" s="108"/>
      <c r="CX104" s="108"/>
      <c r="CY104" s="108"/>
      <c r="CZ104" s="108"/>
      <c r="DA104" s="108"/>
      <c r="DB104" s="108"/>
      <c r="DC104" s="108"/>
      <c r="DD104" s="108"/>
      <c r="DE104" s="108"/>
      <c r="DF104" s="108"/>
      <c r="DG104" s="108"/>
      <c r="DH104" s="108"/>
      <c r="DI104" s="108"/>
      <c r="DJ104" s="108"/>
      <c r="DK104" s="108"/>
      <c r="DL104" s="108"/>
      <c r="DM104" s="108"/>
      <c r="DN104" s="108"/>
      <c r="DO104" s="108"/>
      <c r="DP104" s="108"/>
      <c r="DQ104" s="108"/>
      <c r="DR104" s="108"/>
      <c r="DS104" s="108"/>
      <c r="DT104" s="108"/>
      <c r="DU104" s="108"/>
      <c r="DV104" s="108"/>
      <c r="DW104" s="108"/>
      <c r="DX104" s="108"/>
      <c r="DY104" s="108"/>
      <c r="DZ104" s="108"/>
      <c r="EA104" s="108"/>
      <c r="EB104" s="108"/>
      <c r="EC104" s="108"/>
      <c r="ED104" s="108"/>
      <c r="EE104" s="108"/>
      <c r="EF104" s="108"/>
      <c r="EG104" s="108"/>
      <c r="EH104" s="108"/>
      <c r="EI104" s="108"/>
      <c r="EJ104" s="108"/>
      <c r="EK104" s="108"/>
      <c r="EL104" s="108"/>
      <c r="EM104" s="108"/>
      <c r="EN104" s="108"/>
      <c r="EO104" s="108"/>
      <c r="EP104" s="108"/>
      <c r="EQ104" s="108"/>
      <c r="ER104" s="108"/>
      <c r="ES104" s="108"/>
      <c r="ET104" s="108"/>
      <c r="EU104" s="108"/>
      <c r="EV104" s="108"/>
      <c r="EW104" s="108"/>
      <c r="EX104" s="108"/>
      <c r="EY104" s="108"/>
      <c r="EZ104" s="108"/>
      <c r="FA104" s="108"/>
      <c r="FB104" s="108"/>
      <c r="FC104" s="108"/>
      <c r="FD104" s="108"/>
      <c r="FE104" s="108"/>
      <c r="FF104" s="108"/>
      <c r="FG104" s="108"/>
      <c r="FH104" s="108"/>
      <c r="FI104" s="108"/>
      <c r="FJ104" s="108"/>
      <c r="FK104" s="108"/>
      <c r="FL104" s="108"/>
      <c r="FM104" s="108"/>
      <c r="FN104" s="108"/>
      <c r="FO104" s="108"/>
      <c r="FP104" s="108"/>
      <c r="FQ104" s="108"/>
      <c r="FR104" s="108"/>
      <c r="FS104" s="108"/>
      <c r="FT104" s="108"/>
      <c r="FU104" s="108"/>
      <c r="FV104" s="108"/>
      <c r="FW104" s="108"/>
      <c r="FX104" s="108"/>
      <c r="FY104" s="108"/>
      <c r="FZ104" s="108"/>
      <c r="GA104" s="108"/>
      <c r="GB104" s="108"/>
      <c r="GC104" s="108"/>
      <c r="GD104" s="108"/>
      <c r="GE104" s="108"/>
      <c r="GF104" s="108"/>
      <c r="GG104" s="108"/>
      <c r="GH104" s="108"/>
      <c r="GI104" s="108"/>
      <c r="GJ104" s="108"/>
      <c r="GK104" s="108"/>
      <c r="GL104" s="108"/>
      <c r="GM104" s="108"/>
      <c r="GN104" s="108"/>
      <c r="GO104" s="108"/>
      <c r="GP104" s="108"/>
      <c r="GQ104" s="108"/>
      <c r="GR104" s="108"/>
      <c r="GS104" s="108"/>
      <c r="GT104" s="108"/>
      <c r="GU104" s="108"/>
      <c r="GV104" s="108"/>
      <c r="GW104" s="108"/>
      <c r="GX104" s="108"/>
      <c r="GY104" s="108"/>
      <c r="GZ104" s="108"/>
      <c r="HA104" s="108"/>
      <c r="HB104" s="108"/>
      <c r="HC104" s="108"/>
      <c r="HD104" s="108"/>
      <c r="HE104" s="108"/>
      <c r="HF104" s="108"/>
      <c r="HG104" s="108"/>
      <c r="HH104" s="108"/>
      <c r="HI104" s="108"/>
      <c r="HJ104" s="108"/>
      <c r="HK104" s="108"/>
      <c r="HL104" s="108"/>
      <c r="HM104" s="108"/>
      <c r="HN104" s="108"/>
      <c r="HO104" s="108"/>
      <c r="HP104" s="108"/>
      <c r="HQ104" s="108"/>
      <c r="HR104" s="108"/>
      <c r="HS104" s="108"/>
      <c r="HT104" s="108"/>
      <c r="HU104" s="108"/>
      <c r="HV104" s="108"/>
      <c r="HW104" s="108"/>
      <c r="HX104" s="108"/>
      <c r="HY104" s="108"/>
      <c r="HZ104" s="108"/>
      <c r="IA104" s="108"/>
      <c r="IB104" s="108"/>
      <c r="IC104" s="108"/>
      <c r="ID104" s="108"/>
      <c r="IE104" s="108"/>
      <c r="IF104" s="108"/>
      <c r="IG104" s="108"/>
      <c r="IH104" s="108"/>
      <c r="II104" s="108"/>
      <c r="IJ104" s="108"/>
      <c r="IK104" s="108"/>
      <c r="IL104" s="108"/>
      <c r="IM104" s="108"/>
      <c r="IN104" s="108"/>
      <c r="IO104" s="108"/>
      <c r="IP104" s="108"/>
      <c r="IQ104" s="108"/>
      <c r="IR104" s="108"/>
      <c r="IS104" s="108"/>
      <c r="IT104" s="108"/>
      <c r="IU104" s="108"/>
      <c r="IV104" s="108"/>
      <c r="IW104" s="108"/>
    </row>
    <row r="105" spans="1:257" x14ac:dyDescent="0.3">
      <c r="A105" s="158"/>
      <c r="B105" s="158"/>
      <c r="C105" s="158"/>
      <c r="D105" s="158"/>
      <c r="E105" s="158"/>
      <c r="F105" s="158"/>
      <c r="G105" s="158"/>
      <c r="H105" s="158"/>
      <c r="I105" s="158"/>
      <c r="J105" s="158"/>
      <c r="K105" s="158"/>
      <c r="L105" s="158"/>
      <c r="M105" s="158"/>
      <c r="N105" s="158"/>
      <c r="O105" s="108"/>
      <c r="P105" s="108"/>
      <c r="Q105" s="108"/>
      <c r="R105" s="108"/>
      <c r="S105" s="108"/>
      <c r="T105" s="108"/>
      <c r="U105" s="108"/>
      <c r="V105" s="108"/>
      <c r="W105" s="108"/>
      <c r="X105" s="108"/>
      <c r="Y105" s="108"/>
      <c r="Z105" s="108"/>
      <c r="AA105" s="108"/>
      <c r="AB105" s="108"/>
      <c r="AC105" s="108"/>
      <c r="AD105" s="108"/>
      <c r="AE105" s="108"/>
      <c r="AF105" s="108"/>
      <c r="AG105" s="108"/>
      <c r="AH105" s="108"/>
      <c r="AI105" s="108"/>
      <c r="AJ105" s="108"/>
      <c r="AK105" s="108"/>
      <c r="AL105" s="108"/>
      <c r="AM105" s="108"/>
      <c r="AN105" s="108"/>
      <c r="AO105" s="108"/>
      <c r="AP105" s="108"/>
      <c r="AQ105" s="108"/>
      <c r="AR105" s="108"/>
      <c r="AS105" s="108"/>
      <c r="AT105" s="108"/>
      <c r="AU105" s="108"/>
      <c r="AV105" s="108"/>
      <c r="AW105" s="108"/>
      <c r="AX105" s="108"/>
      <c r="AY105" s="108"/>
      <c r="AZ105" s="108"/>
      <c r="BA105" s="108"/>
      <c r="BB105" s="108"/>
      <c r="BC105" s="108"/>
      <c r="BD105" s="108"/>
      <c r="BE105" s="108"/>
      <c r="BF105" s="108"/>
      <c r="BG105" s="108"/>
      <c r="BH105" s="108"/>
      <c r="BI105" s="108"/>
      <c r="BJ105" s="108"/>
      <c r="BK105" s="108"/>
      <c r="BL105" s="108"/>
      <c r="BM105" s="108"/>
      <c r="BN105" s="108"/>
      <c r="BO105" s="108"/>
      <c r="BP105" s="108"/>
      <c r="BQ105" s="108"/>
      <c r="BR105" s="108"/>
      <c r="BS105" s="108"/>
      <c r="BT105" s="108"/>
      <c r="BU105" s="108"/>
      <c r="BV105" s="108"/>
      <c r="BW105" s="108"/>
      <c r="BX105" s="108"/>
      <c r="BY105" s="108"/>
      <c r="BZ105" s="108"/>
      <c r="CA105" s="108"/>
      <c r="CB105" s="108"/>
      <c r="CC105" s="108"/>
      <c r="CD105" s="108"/>
      <c r="CE105" s="108"/>
      <c r="CF105" s="108"/>
      <c r="CG105" s="108"/>
      <c r="CH105" s="108"/>
      <c r="CI105" s="108"/>
      <c r="CJ105" s="108"/>
      <c r="CK105" s="108"/>
      <c r="CL105" s="108"/>
      <c r="CM105" s="108"/>
      <c r="CN105" s="108"/>
      <c r="CO105" s="108"/>
      <c r="CP105" s="108"/>
      <c r="CQ105" s="108"/>
      <c r="CR105" s="108"/>
      <c r="CS105" s="108"/>
      <c r="CT105" s="108"/>
      <c r="CU105" s="108"/>
      <c r="CV105" s="108"/>
      <c r="CW105" s="108"/>
      <c r="CX105" s="108"/>
      <c r="CY105" s="108"/>
      <c r="CZ105" s="108"/>
      <c r="DA105" s="108"/>
      <c r="DB105" s="108"/>
      <c r="DC105" s="108"/>
      <c r="DD105" s="108"/>
      <c r="DE105" s="108"/>
      <c r="DF105" s="108"/>
      <c r="DG105" s="108"/>
      <c r="DH105" s="108"/>
      <c r="DI105" s="108"/>
      <c r="DJ105" s="108"/>
      <c r="DK105" s="108"/>
      <c r="DL105" s="108"/>
      <c r="DM105" s="108"/>
      <c r="DN105" s="108"/>
      <c r="DO105" s="108"/>
      <c r="DP105" s="108"/>
      <c r="DQ105" s="108"/>
      <c r="DR105" s="108"/>
      <c r="DS105" s="108"/>
      <c r="DT105" s="108"/>
      <c r="DU105" s="108"/>
      <c r="DV105" s="108"/>
      <c r="DW105" s="108"/>
      <c r="DX105" s="108"/>
      <c r="DY105" s="108"/>
      <c r="DZ105" s="108"/>
      <c r="EA105" s="108"/>
      <c r="EB105" s="108"/>
      <c r="EC105" s="108"/>
      <c r="ED105" s="108"/>
      <c r="EE105" s="108"/>
      <c r="EF105" s="108"/>
      <c r="EG105" s="108"/>
      <c r="EH105" s="108"/>
      <c r="EI105" s="108"/>
      <c r="EJ105" s="108"/>
      <c r="EK105" s="108"/>
      <c r="EL105" s="108"/>
      <c r="EM105" s="108"/>
      <c r="EN105" s="108"/>
      <c r="EO105" s="108"/>
      <c r="EP105" s="108"/>
      <c r="EQ105" s="108"/>
      <c r="ER105" s="108"/>
      <c r="ES105" s="108"/>
      <c r="ET105" s="108"/>
      <c r="EU105" s="108"/>
      <c r="EV105" s="108"/>
      <c r="EW105" s="108"/>
      <c r="EX105" s="108"/>
      <c r="EY105" s="108"/>
      <c r="EZ105" s="108"/>
      <c r="FA105" s="108"/>
      <c r="FB105" s="108"/>
      <c r="FC105" s="108"/>
      <c r="FD105" s="108"/>
      <c r="FE105" s="108"/>
      <c r="FF105" s="108"/>
      <c r="FG105" s="108"/>
      <c r="FH105" s="108"/>
      <c r="FI105" s="108"/>
      <c r="FJ105" s="108"/>
      <c r="FK105" s="108"/>
      <c r="FL105" s="108"/>
      <c r="FM105" s="108"/>
      <c r="FN105" s="108"/>
      <c r="FO105" s="108"/>
      <c r="FP105" s="108"/>
      <c r="FQ105" s="108"/>
      <c r="FR105" s="108"/>
      <c r="FS105" s="108"/>
      <c r="FT105" s="108"/>
      <c r="FU105" s="108"/>
      <c r="FV105" s="108"/>
      <c r="FW105" s="108"/>
      <c r="FX105" s="108"/>
      <c r="FY105" s="108"/>
      <c r="FZ105" s="108"/>
      <c r="GA105" s="108"/>
      <c r="GB105" s="108"/>
      <c r="GC105" s="108"/>
      <c r="GD105" s="108"/>
      <c r="GE105" s="108"/>
      <c r="GF105" s="108"/>
      <c r="GG105" s="108"/>
      <c r="GH105" s="108"/>
      <c r="GI105" s="108"/>
      <c r="GJ105" s="108"/>
      <c r="GK105" s="108"/>
      <c r="GL105" s="108"/>
      <c r="GM105" s="108"/>
      <c r="GN105" s="108"/>
      <c r="GO105" s="108"/>
      <c r="GP105" s="108"/>
      <c r="GQ105" s="108"/>
      <c r="GR105" s="108"/>
      <c r="GS105" s="108"/>
      <c r="GT105" s="108"/>
      <c r="GU105" s="108"/>
      <c r="GV105" s="108"/>
      <c r="GW105" s="108"/>
      <c r="GX105" s="108"/>
      <c r="GY105" s="108"/>
      <c r="GZ105" s="108"/>
      <c r="HA105" s="108"/>
      <c r="HB105" s="108"/>
      <c r="HC105" s="108"/>
      <c r="HD105" s="108"/>
      <c r="HE105" s="108"/>
      <c r="HF105" s="108"/>
      <c r="HG105" s="108"/>
      <c r="HH105" s="108"/>
      <c r="HI105" s="108"/>
      <c r="HJ105" s="108"/>
      <c r="HK105" s="108"/>
      <c r="HL105" s="108"/>
      <c r="HM105" s="108"/>
      <c r="HN105" s="108"/>
      <c r="HO105" s="108"/>
      <c r="HP105" s="108"/>
      <c r="HQ105" s="108"/>
      <c r="HR105" s="108"/>
      <c r="HS105" s="108"/>
      <c r="HT105" s="108"/>
      <c r="HU105" s="108"/>
      <c r="HV105" s="108"/>
      <c r="HW105" s="108"/>
      <c r="HX105" s="108"/>
      <c r="HY105" s="108"/>
      <c r="HZ105" s="108"/>
      <c r="IA105" s="108"/>
      <c r="IB105" s="108"/>
      <c r="IC105" s="108"/>
      <c r="ID105" s="108"/>
      <c r="IE105" s="108"/>
      <c r="IF105" s="108"/>
      <c r="IG105" s="108"/>
      <c r="IH105" s="108"/>
      <c r="II105" s="108"/>
      <c r="IJ105" s="108"/>
      <c r="IK105" s="108"/>
      <c r="IL105" s="108"/>
      <c r="IM105" s="108"/>
      <c r="IN105" s="108"/>
      <c r="IO105" s="108"/>
      <c r="IP105" s="108"/>
      <c r="IQ105" s="108"/>
      <c r="IR105" s="108"/>
      <c r="IS105" s="108"/>
      <c r="IT105" s="108"/>
      <c r="IU105" s="108"/>
      <c r="IV105" s="108"/>
      <c r="IW105" s="108"/>
    </row>
    <row r="106" spans="1:257" x14ac:dyDescent="0.3">
      <c r="A106" s="158"/>
      <c r="B106" s="158"/>
      <c r="C106" s="158"/>
      <c r="D106" s="158"/>
      <c r="E106" s="158"/>
      <c r="F106" s="158"/>
      <c r="G106" s="158"/>
      <c r="H106" s="158"/>
      <c r="I106" s="158"/>
      <c r="J106" s="158"/>
      <c r="K106" s="158"/>
      <c r="L106" s="158"/>
      <c r="M106" s="158"/>
      <c r="N106" s="158"/>
      <c r="O106" s="108"/>
      <c r="P106" s="108"/>
      <c r="Q106" s="108"/>
      <c r="R106" s="108"/>
      <c r="S106" s="108"/>
      <c r="T106" s="108"/>
      <c r="U106" s="108"/>
      <c r="V106" s="108"/>
      <c r="W106" s="108"/>
      <c r="X106" s="108"/>
      <c r="Y106" s="108"/>
      <c r="Z106" s="108"/>
      <c r="AA106" s="108"/>
      <c r="AB106" s="108"/>
      <c r="AC106" s="108"/>
      <c r="AD106" s="108"/>
      <c r="AE106" s="108"/>
      <c r="AF106" s="108"/>
      <c r="AG106" s="108"/>
      <c r="AH106" s="108"/>
      <c r="AI106" s="108"/>
      <c r="AJ106" s="108"/>
      <c r="AK106" s="108"/>
      <c r="AL106" s="108"/>
      <c r="AM106" s="108"/>
      <c r="AN106" s="108"/>
      <c r="AO106" s="108"/>
      <c r="AP106" s="108"/>
      <c r="AQ106" s="108"/>
      <c r="AR106" s="108"/>
      <c r="AS106" s="108"/>
      <c r="AT106" s="108"/>
      <c r="AU106" s="108"/>
      <c r="AV106" s="108"/>
      <c r="AW106" s="108"/>
      <c r="AX106" s="108"/>
      <c r="AY106" s="108"/>
      <c r="AZ106" s="108"/>
      <c r="BA106" s="108"/>
      <c r="BB106" s="108"/>
      <c r="BC106" s="108"/>
      <c r="BD106" s="108"/>
      <c r="BE106" s="108"/>
      <c r="BF106" s="108"/>
      <c r="BG106" s="108"/>
      <c r="BH106" s="108"/>
      <c r="BI106" s="108"/>
      <c r="BJ106" s="108"/>
      <c r="BK106" s="108"/>
      <c r="BL106" s="108"/>
      <c r="BM106" s="108"/>
      <c r="BN106" s="108"/>
      <c r="BO106" s="108"/>
      <c r="BP106" s="108"/>
      <c r="BQ106" s="108"/>
      <c r="BR106" s="108"/>
      <c r="BS106" s="108"/>
      <c r="BT106" s="108"/>
      <c r="BU106" s="108"/>
      <c r="BV106" s="108"/>
      <c r="BW106" s="108"/>
      <c r="BX106" s="108"/>
      <c r="BY106" s="108"/>
      <c r="BZ106" s="108"/>
      <c r="CA106" s="108"/>
      <c r="CB106" s="108"/>
      <c r="CC106" s="108"/>
      <c r="CD106" s="108"/>
      <c r="CE106" s="108"/>
      <c r="CF106" s="108"/>
      <c r="CG106" s="108"/>
      <c r="CH106" s="108"/>
      <c r="CI106" s="108"/>
      <c r="CJ106" s="108"/>
      <c r="CK106" s="108"/>
      <c r="CL106" s="108"/>
      <c r="CM106" s="108"/>
      <c r="CN106" s="108"/>
      <c r="CO106" s="108"/>
      <c r="CP106" s="108"/>
      <c r="CQ106" s="108"/>
      <c r="CR106" s="108"/>
      <c r="CS106" s="108"/>
      <c r="CT106" s="108"/>
      <c r="CU106" s="108"/>
      <c r="CV106" s="108"/>
      <c r="CW106" s="108"/>
      <c r="CX106" s="108"/>
      <c r="CY106" s="108"/>
      <c r="CZ106" s="108"/>
      <c r="DA106" s="108"/>
      <c r="DB106" s="108"/>
      <c r="DC106" s="108"/>
      <c r="DD106" s="108"/>
      <c r="DE106" s="108"/>
      <c r="DF106" s="108"/>
      <c r="DG106" s="108"/>
      <c r="DH106" s="108"/>
      <c r="DI106" s="108"/>
      <c r="DJ106" s="108"/>
      <c r="DK106" s="108"/>
      <c r="DL106" s="108"/>
      <c r="DM106" s="108"/>
      <c r="DN106" s="108"/>
      <c r="DO106" s="108"/>
      <c r="DP106" s="108"/>
      <c r="DQ106" s="108"/>
      <c r="DR106" s="108"/>
      <c r="DS106" s="108"/>
      <c r="DT106" s="108"/>
      <c r="DU106" s="108"/>
      <c r="DV106" s="108"/>
      <c r="DW106" s="108"/>
      <c r="DX106" s="108"/>
      <c r="DY106" s="108"/>
      <c r="DZ106" s="108"/>
      <c r="EA106" s="108"/>
      <c r="EB106" s="108"/>
      <c r="EC106" s="108"/>
      <c r="ED106" s="108"/>
      <c r="EE106" s="108"/>
      <c r="EF106" s="108"/>
      <c r="EG106" s="108"/>
      <c r="EH106" s="108"/>
      <c r="EI106" s="108"/>
      <c r="EJ106" s="108"/>
      <c r="EK106" s="108"/>
      <c r="EL106" s="108"/>
      <c r="EM106" s="108"/>
      <c r="EN106" s="108"/>
      <c r="EO106" s="108"/>
      <c r="EP106" s="108"/>
      <c r="EQ106" s="108"/>
      <c r="ER106" s="108"/>
      <c r="ES106" s="108"/>
      <c r="ET106" s="108"/>
      <c r="EU106" s="108"/>
      <c r="EV106" s="108"/>
      <c r="EW106" s="108"/>
      <c r="EX106" s="108"/>
      <c r="EY106" s="108"/>
      <c r="EZ106" s="108"/>
      <c r="FA106" s="108"/>
      <c r="FB106" s="108"/>
      <c r="FC106" s="108"/>
      <c r="FD106" s="108"/>
      <c r="FE106" s="108"/>
      <c r="FF106" s="108"/>
      <c r="FG106" s="108"/>
      <c r="FH106" s="108"/>
      <c r="FI106" s="108"/>
      <c r="FJ106" s="108"/>
      <c r="FK106" s="108"/>
      <c r="FL106" s="108"/>
      <c r="FM106" s="108"/>
      <c r="FN106" s="108"/>
      <c r="FO106" s="108"/>
      <c r="FP106" s="108"/>
      <c r="FQ106" s="108"/>
      <c r="FR106" s="108"/>
      <c r="FS106" s="108"/>
      <c r="FT106" s="108"/>
      <c r="FU106" s="108"/>
      <c r="FV106" s="108"/>
      <c r="FW106" s="108"/>
      <c r="FX106" s="108"/>
      <c r="FY106" s="108"/>
      <c r="FZ106" s="108"/>
      <c r="GA106" s="108"/>
      <c r="GB106" s="108"/>
      <c r="GC106" s="108"/>
      <c r="GD106" s="108"/>
      <c r="GE106" s="108"/>
      <c r="GF106" s="108"/>
      <c r="GG106" s="108"/>
      <c r="GH106" s="108"/>
      <c r="GI106" s="108"/>
      <c r="GJ106" s="108"/>
      <c r="GK106" s="108"/>
      <c r="GL106" s="108"/>
      <c r="GM106" s="108"/>
      <c r="GN106" s="108"/>
      <c r="GO106" s="108"/>
      <c r="GP106" s="108"/>
      <c r="GQ106" s="108"/>
      <c r="GR106" s="108"/>
      <c r="GS106" s="108"/>
      <c r="GT106" s="108"/>
      <c r="GU106" s="108"/>
      <c r="GV106" s="108"/>
      <c r="GW106" s="108"/>
      <c r="GX106" s="108"/>
      <c r="GY106" s="108"/>
      <c r="GZ106" s="108"/>
      <c r="HA106" s="108"/>
      <c r="HB106" s="108"/>
      <c r="HC106" s="108"/>
      <c r="HD106" s="108"/>
      <c r="HE106" s="108"/>
      <c r="HF106" s="108"/>
      <c r="HG106" s="108"/>
      <c r="HH106" s="108"/>
      <c r="HI106" s="108"/>
      <c r="HJ106" s="108"/>
      <c r="HK106" s="108"/>
      <c r="HL106" s="108"/>
      <c r="HM106" s="108"/>
      <c r="HN106" s="108"/>
      <c r="HO106" s="108"/>
      <c r="HP106" s="108"/>
      <c r="HQ106" s="108"/>
      <c r="HR106" s="108"/>
      <c r="HS106" s="108"/>
      <c r="HT106" s="108"/>
      <c r="HU106" s="108"/>
      <c r="HV106" s="108"/>
      <c r="HW106" s="108"/>
      <c r="HX106" s="108"/>
      <c r="HY106" s="108"/>
      <c r="HZ106" s="108"/>
      <c r="IA106" s="108"/>
      <c r="IB106" s="108"/>
      <c r="IC106" s="108"/>
      <c r="ID106" s="108"/>
      <c r="IE106" s="108"/>
      <c r="IF106" s="108"/>
      <c r="IG106" s="108"/>
      <c r="IH106" s="108"/>
      <c r="II106" s="108"/>
      <c r="IJ106" s="108"/>
      <c r="IK106" s="108"/>
      <c r="IL106" s="108"/>
      <c r="IM106" s="108"/>
      <c r="IN106" s="108"/>
      <c r="IO106" s="108"/>
      <c r="IP106" s="108"/>
      <c r="IQ106" s="108"/>
      <c r="IR106" s="108"/>
      <c r="IS106" s="108"/>
      <c r="IT106" s="108"/>
      <c r="IU106" s="108"/>
      <c r="IV106" s="108"/>
      <c r="IW106" s="108"/>
    </row>
    <row r="107" spans="1:257" x14ac:dyDescent="0.3">
      <c r="A107" s="158"/>
      <c r="B107" s="158"/>
      <c r="C107" s="158"/>
      <c r="D107" s="158"/>
      <c r="E107" s="158"/>
      <c r="F107" s="158"/>
      <c r="G107" s="158"/>
      <c r="H107" s="158"/>
      <c r="I107" s="158"/>
      <c r="J107" s="158"/>
      <c r="K107" s="158"/>
      <c r="L107" s="158"/>
      <c r="M107" s="158"/>
      <c r="N107" s="158"/>
      <c r="O107" s="108"/>
      <c r="P107" s="108"/>
      <c r="Q107" s="108"/>
      <c r="R107" s="108"/>
      <c r="S107" s="108"/>
      <c r="T107" s="108"/>
      <c r="U107" s="108"/>
      <c r="V107" s="108"/>
      <c r="W107" s="108"/>
      <c r="X107" s="108"/>
      <c r="Y107" s="108"/>
      <c r="Z107" s="108"/>
      <c r="AA107" s="108"/>
      <c r="AB107" s="108"/>
      <c r="AC107" s="108"/>
      <c r="AD107" s="108"/>
      <c r="AE107" s="108"/>
      <c r="AF107" s="108"/>
      <c r="AG107" s="108"/>
      <c r="AH107" s="108"/>
      <c r="AI107" s="108"/>
      <c r="AJ107" s="108"/>
      <c r="AK107" s="108"/>
      <c r="AL107" s="108"/>
      <c r="AM107" s="108"/>
      <c r="AN107" s="108"/>
      <c r="AO107" s="108"/>
      <c r="AP107" s="108"/>
      <c r="AQ107" s="108"/>
      <c r="AR107" s="108"/>
      <c r="AS107" s="108"/>
      <c r="AT107" s="108"/>
      <c r="AU107" s="108"/>
      <c r="AV107" s="108"/>
      <c r="AW107" s="108"/>
      <c r="AX107" s="108"/>
      <c r="AY107" s="108"/>
      <c r="AZ107" s="108"/>
      <c r="BA107" s="108"/>
      <c r="BB107" s="108"/>
      <c r="BC107" s="108"/>
      <c r="BD107" s="108"/>
      <c r="BE107" s="108"/>
      <c r="BF107" s="108"/>
      <c r="BG107" s="108"/>
      <c r="BH107" s="108"/>
      <c r="BI107" s="108"/>
      <c r="BJ107" s="108"/>
      <c r="BK107" s="108"/>
      <c r="BL107" s="108"/>
      <c r="BM107" s="108"/>
      <c r="BN107" s="108"/>
      <c r="BO107" s="108"/>
      <c r="BP107" s="108"/>
      <c r="BQ107" s="108"/>
      <c r="BR107" s="108"/>
      <c r="BS107" s="108"/>
      <c r="BT107" s="108"/>
      <c r="BU107" s="108"/>
      <c r="BV107" s="108"/>
      <c r="BW107" s="108"/>
      <c r="BX107" s="108"/>
      <c r="BY107" s="108"/>
      <c r="BZ107" s="108"/>
      <c r="CA107" s="108"/>
      <c r="CB107" s="108"/>
      <c r="CC107" s="108"/>
      <c r="CD107" s="108"/>
      <c r="CE107" s="108"/>
      <c r="CF107" s="108"/>
      <c r="CG107" s="108"/>
      <c r="CH107" s="108"/>
      <c r="CI107" s="108"/>
      <c r="CJ107" s="108"/>
      <c r="CK107" s="108"/>
      <c r="CL107" s="108"/>
      <c r="CM107" s="108"/>
      <c r="CN107" s="108"/>
      <c r="CO107" s="108"/>
      <c r="CP107" s="108"/>
      <c r="CQ107" s="108"/>
      <c r="CR107" s="108"/>
      <c r="CS107" s="108"/>
      <c r="CT107" s="108"/>
      <c r="CU107" s="108"/>
      <c r="CV107" s="108"/>
      <c r="CW107" s="108"/>
      <c r="CX107" s="108"/>
      <c r="CY107" s="108"/>
      <c r="CZ107" s="108"/>
      <c r="DA107" s="108"/>
      <c r="DB107" s="108"/>
      <c r="DC107" s="108"/>
      <c r="DD107" s="108"/>
      <c r="DE107" s="108"/>
      <c r="DF107" s="108"/>
      <c r="DG107" s="108"/>
      <c r="DH107" s="108"/>
      <c r="DI107" s="108"/>
      <c r="DJ107" s="108"/>
      <c r="DK107" s="108"/>
      <c r="DL107" s="108"/>
      <c r="DM107" s="108"/>
      <c r="DN107" s="108"/>
      <c r="DO107" s="108"/>
      <c r="DP107" s="108"/>
      <c r="DQ107" s="108"/>
      <c r="DR107" s="108"/>
      <c r="DS107" s="108"/>
      <c r="DT107" s="108"/>
      <c r="DU107" s="108"/>
      <c r="DV107" s="108"/>
      <c r="DW107" s="108"/>
      <c r="DX107" s="108"/>
      <c r="DY107" s="108"/>
      <c r="DZ107" s="108"/>
      <c r="EA107" s="108"/>
      <c r="EB107" s="108"/>
      <c r="EC107" s="108"/>
      <c r="ED107" s="108"/>
      <c r="EE107" s="108"/>
      <c r="EF107" s="108"/>
      <c r="EG107" s="108"/>
      <c r="EH107" s="108"/>
      <c r="EI107" s="108"/>
      <c r="EJ107" s="108"/>
      <c r="EK107" s="108"/>
      <c r="EL107" s="108"/>
      <c r="EM107" s="108"/>
      <c r="EN107" s="108"/>
      <c r="EO107" s="108"/>
      <c r="EP107" s="108"/>
      <c r="EQ107" s="108"/>
      <c r="ER107" s="108"/>
      <c r="ES107" s="108"/>
      <c r="ET107" s="108"/>
      <c r="EU107" s="108"/>
      <c r="EV107" s="108"/>
      <c r="EW107" s="108"/>
      <c r="EX107" s="108"/>
      <c r="EY107" s="108"/>
      <c r="EZ107" s="108"/>
      <c r="FA107" s="108"/>
      <c r="FB107" s="108"/>
      <c r="FC107" s="108"/>
      <c r="FD107" s="108"/>
      <c r="FE107" s="108"/>
      <c r="FF107" s="108"/>
      <c r="FG107" s="108"/>
      <c r="FH107" s="108"/>
      <c r="FI107" s="108"/>
      <c r="FJ107" s="108"/>
      <c r="FK107" s="108"/>
      <c r="FL107" s="108"/>
      <c r="FM107" s="108"/>
      <c r="FN107" s="108"/>
      <c r="FO107" s="108"/>
      <c r="FP107" s="108"/>
      <c r="FQ107" s="108"/>
      <c r="FR107" s="108"/>
      <c r="FS107" s="108"/>
      <c r="FT107" s="108"/>
      <c r="FU107" s="108"/>
      <c r="FV107" s="108"/>
      <c r="FW107" s="108"/>
      <c r="FX107" s="108"/>
      <c r="FY107" s="108"/>
      <c r="FZ107" s="108"/>
      <c r="GA107" s="108"/>
      <c r="GB107" s="108"/>
      <c r="GC107" s="108"/>
      <c r="GD107" s="108"/>
      <c r="GE107" s="108"/>
      <c r="GF107" s="108"/>
      <c r="GG107" s="108"/>
      <c r="GH107" s="108"/>
      <c r="GI107" s="108"/>
      <c r="GJ107" s="108"/>
      <c r="GK107" s="108"/>
      <c r="GL107" s="108"/>
      <c r="GM107" s="108"/>
      <c r="GN107" s="108"/>
      <c r="GO107" s="108"/>
      <c r="GP107" s="108"/>
      <c r="GQ107" s="108"/>
      <c r="GR107" s="108"/>
      <c r="GS107" s="108"/>
      <c r="GT107" s="108"/>
      <c r="GU107" s="108"/>
      <c r="GV107" s="108"/>
      <c r="GW107" s="108"/>
      <c r="GX107" s="108"/>
      <c r="GY107" s="108"/>
      <c r="GZ107" s="108"/>
      <c r="HA107" s="108"/>
      <c r="HB107" s="108"/>
      <c r="HC107" s="108"/>
      <c r="HD107" s="108"/>
      <c r="HE107" s="108"/>
      <c r="HF107" s="108"/>
      <c r="HG107" s="108"/>
      <c r="HH107" s="108"/>
      <c r="HI107" s="108"/>
      <c r="HJ107" s="108"/>
      <c r="HK107" s="108"/>
      <c r="HL107" s="108"/>
      <c r="HM107" s="108"/>
      <c r="HN107" s="108"/>
      <c r="HO107" s="108"/>
      <c r="HP107" s="108"/>
      <c r="HQ107" s="108"/>
      <c r="HR107" s="108"/>
      <c r="HS107" s="108"/>
      <c r="HT107" s="108"/>
      <c r="HU107" s="108"/>
      <c r="HV107" s="108"/>
      <c r="HW107" s="108"/>
      <c r="HX107" s="108"/>
      <c r="HY107" s="108"/>
      <c r="HZ107" s="108"/>
      <c r="IA107" s="108"/>
      <c r="IB107" s="108"/>
      <c r="IC107" s="108"/>
      <c r="ID107" s="108"/>
      <c r="IE107" s="108"/>
      <c r="IF107" s="108"/>
      <c r="IG107" s="108"/>
      <c r="IH107" s="108"/>
      <c r="II107" s="108"/>
      <c r="IJ107" s="108"/>
      <c r="IK107" s="108"/>
      <c r="IL107" s="108"/>
      <c r="IM107" s="108"/>
      <c r="IN107" s="108"/>
      <c r="IO107" s="108"/>
      <c r="IP107" s="108"/>
      <c r="IQ107" s="108"/>
      <c r="IR107" s="108"/>
      <c r="IS107" s="108"/>
      <c r="IT107" s="108"/>
      <c r="IU107" s="108"/>
      <c r="IV107" s="108"/>
      <c r="IW107" s="108"/>
    </row>
    <row r="108" spans="1:257" x14ac:dyDescent="0.3">
      <c r="A108" s="158"/>
      <c r="B108" s="158"/>
      <c r="C108" s="158"/>
      <c r="D108" s="158"/>
      <c r="E108" s="158"/>
      <c r="F108" s="158"/>
      <c r="G108" s="158"/>
      <c r="H108" s="158"/>
      <c r="I108" s="158"/>
      <c r="J108" s="158"/>
      <c r="K108" s="158"/>
      <c r="L108" s="158"/>
      <c r="M108" s="158"/>
      <c r="N108" s="158"/>
      <c r="O108" s="108"/>
      <c r="P108" s="108"/>
      <c r="Q108" s="108"/>
      <c r="R108" s="108"/>
      <c r="S108" s="108"/>
      <c r="T108" s="108"/>
      <c r="U108" s="108"/>
      <c r="V108" s="108"/>
      <c r="W108" s="108"/>
      <c r="X108" s="108"/>
      <c r="Y108" s="108"/>
      <c r="Z108" s="108"/>
      <c r="AA108" s="108"/>
      <c r="AB108" s="108"/>
      <c r="AC108" s="108"/>
      <c r="AD108" s="108"/>
      <c r="AE108" s="108"/>
      <c r="AF108" s="108"/>
      <c r="AG108" s="108"/>
      <c r="AH108" s="108"/>
      <c r="AI108" s="108"/>
      <c r="AJ108" s="108"/>
      <c r="AK108" s="108"/>
      <c r="AL108" s="108"/>
      <c r="AM108" s="108"/>
      <c r="AN108" s="108"/>
      <c r="AO108" s="108"/>
      <c r="AP108" s="108"/>
      <c r="AQ108" s="108"/>
      <c r="AR108" s="108"/>
      <c r="AS108" s="108"/>
      <c r="AT108" s="108"/>
      <c r="AU108" s="108"/>
      <c r="AV108" s="108"/>
      <c r="AW108" s="108"/>
      <c r="AX108" s="108"/>
      <c r="AY108" s="108"/>
      <c r="AZ108" s="108"/>
      <c r="BA108" s="108"/>
      <c r="BB108" s="108"/>
      <c r="BC108" s="108"/>
      <c r="BD108" s="108"/>
      <c r="BE108" s="108"/>
      <c r="BF108" s="108"/>
      <c r="BG108" s="108"/>
      <c r="BH108" s="108"/>
      <c r="BI108" s="108"/>
      <c r="BJ108" s="108"/>
      <c r="BK108" s="108"/>
      <c r="BL108" s="108"/>
      <c r="BM108" s="108"/>
      <c r="BN108" s="108"/>
      <c r="BO108" s="108"/>
      <c r="BP108" s="108"/>
      <c r="BQ108" s="108"/>
      <c r="BR108" s="108"/>
      <c r="BS108" s="108"/>
      <c r="BT108" s="108"/>
      <c r="BU108" s="108"/>
      <c r="BV108" s="108"/>
      <c r="BW108" s="108"/>
      <c r="BX108" s="108"/>
      <c r="BY108" s="108"/>
      <c r="BZ108" s="108"/>
      <c r="CA108" s="108"/>
      <c r="CB108" s="108"/>
      <c r="CC108" s="108"/>
      <c r="CD108" s="108"/>
      <c r="CE108" s="108"/>
      <c r="CF108" s="108"/>
      <c r="CG108" s="108"/>
      <c r="CH108" s="108"/>
      <c r="CI108" s="108"/>
      <c r="CJ108" s="108"/>
      <c r="CK108" s="108"/>
      <c r="CL108" s="108"/>
      <c r="CM108" s="108"/>
      <c r="CN108" s="108"/>
      <c r="CO108" s="108"/>
      <c r="CP108" s="108"/>
      <c r="CQ108" s="108"/>
      <c r="CR108" s="108"/>
      <c r="CS108" s="108"/>
      <c r="CT108" s="108"/>
      <c r="CU108" s="108"/>
      <c r="CV108" s="108"/>
      <c r="CW108" s="108"/>
      <c r="CX108" s="108"/>
      <c r="CY108" s="108"/>
      <c r="CZ108" s="108"/>
      <c r="DA108" s="108"/>
      <c r="DB108" s="108"/>
      <c r="DC108" s="108"/>
      <c r="DD108" s="108"/>
      <c r="DE108" s="108"/>
      <c r="DF108" s="108"/>
      <c r="DG108" s="108"/>
      <c r="DH108" s="108"/>
      <c r="DI108" s="108"/>
      <c r="DJ108" s="108"/>
      <c r="DK108" s="108"/>
      <c r="DL108" s="108"/>
      <c r="DM108" s="108"/>
      <c r="DN108" s="108"/>
      <c r="DO108" s="108"/>
      <c r="DP108" s="108"/>
      <c r="DQ108" s="108"/>
      <c r="DR108" s="108"/>
      <c r="DS108" s="108"/>
      <c r="DT108" s="108"/>
      <c r="DU108" s="108"/>
      <c r="DV108" s="108"/>
      <c r="DW108" s="108"/>
      <c r="DX108" s="108"/>
      <c r="DY108" s="108"/>
      <c r="DZ108" s="108"/>
      <c r="EA108" s="108"/>
      <c r="EB108" s="108"/>
      <c r="EC108" s="108"/>
      <c r="ED108" s="108"/>
      <c r="EE108" s="108"/>
      <c r="EF108" s="108"/>
      <c r="EG108" s="108"/>
      <c r="EH108" s="108"/>
      <c r="EI108" s="108"/>
      <c r="EJ108" s="108"/>
      <c r="EK108" s="108"/>
      <c r="EL108" s="108"/>
      <c r="EM108" s="108"/>
      <c r="EN108" s="108"/>
      <c r="EO108" s="108"/>
      <c r="EP108" s="108"/>
      <c r="EQ108" s="108"/>
      <c r="ER108" s="108"/>
      <c r="ES108" s="108"/>
      <c r="ET108" s="108"/>
      <c r="EU108" s="108"/>
      <c r="EV108" s="108"/>
      <c r="EW108" s="108"/>
      <c r="EX108" s="108"/>
      <c r="EY108" s="108"/>
      <c r="EZ108" s="108"/>
      <c r="FA108" s="108"/>
      <c r="FB108" s="108"/>
      <c r="FC108" s="108"/>
      <c r="FD108" s="108"/>
      <c r="FE108" s="108"/>
      <c r="FF108" s="108"/>
      <c r="FG108" s="108"/>
      <c r="FH108" s="108"/>
      <c r="FI108" s="108"/>
      <c r="FJ108" s="108"/>
      <c r="FK108" s="108"/>
      <c r="FL108" s="108"/>
      <c r="FM108" s="108"/>
      <c r="FN108" s="108"/>
      <c r="FO108" s="108"/>
      <c r="FP108" s="108"/>
      <c r="FQ108" s="108"/>
      <c r="FR108" s="108"/>
      <c r="FS108" s="108"/>
      <c r="FT108" s="108"/>
      <c r="FU108" s="108"/>
      <c r="FV108" s="108"/>
      <c r="FW108" s="108"/>
      <c r="FX108" s="108"/>
      <c r="FY108" s="108"/>
      <c r="FZ108" s="108"/>
      <c r="GA108" s="108"/>
      <c r="GB108" s="108"/>
      <c r="GC108" s="108"/>
      <c r="GD108" s="108"/>
      <c r="GE108" s="108"/>
      <c r="GF108" s="108"/>
      <c r="GG108" s="108"/>
      <c r="GH108" s="108"/>
      <c r="GI108" s="108"/>
      <c r="GJ108" s="108"/>
      <c r="GK108" s="108"/>
      <c r="GL108" s="108"/>
      <c r="GM108" s="108"/>
      <c r="GN108" s="108"/>
      <c r="GO108" s="108"/>
      <c r="GP108" s="108"/>
      <c r="GQ108" s="108"/>
      <c r="GR108" s="108"/>
      <c r="GS108" s="108"/>
      <c r="GT108" s="108"/>
      <c r="GU108" s="108"/>
      <c r="GV108" s="108"/>
      <c r="GW108" s="108"/>
      <c r="GX108" s="108"/>
      <c r="GY108" s="108"/>
      <c r="GZ108" s="108"/>
      <c r="HA108" s="108"/>
      <c r="HB108" s="108"/>
      <c r="HC108" s="108"/>
      <c r="HD108" s="108"/>
      <c r="HE108" s="108"/>
      <c r="HF108" s="108"/>
      <c r="HG108" s="108"/>
      <c r="HH108" s="108"/>
      <c r="HI108" s="108"/>
      <c r="HJ108" s="108"/>
      <c r="HK108" s="108"/>
      <c r="HL108" s="108"/>
      <c r="HM108" s="108"/>
      <c r="HN108" s="108"/>
      <c r="HO108" s="108"/>
      <c r="HP108" s="108"/>
      <c r="HQ108" s="108"/>
      <c r="HR108" s="108"/>
      <c r="HS108" s="108"/>
      <c r="HT108" s="108"/>
      <c r="HU108" s="108"/>
      <c r="HV108" s="108"/>
      <c r="HW108" s="108"/>
      <c r="HX108" s="108"/>
      <c r="HY108" s="108"/>
      <c r="HZ108" s="108"/>
      <c r="IA108" s="108"/>
      <c r="IB108" s="108"/>
      <c r="IC108" s="108"/>
      <c r="ID108" s="108"/>
      <c r="IE108" s="108"/>
      <c r="IF108" s="108"/>
      <c r="IG108" s="108"/>
      <c r="IH108" s="108"/>
      <c r="II108" s="108"/>
      <c r="IJ108" s="108"/>
      <c r="IK108" s="108"/>
      <c r="IL108" s="108"/>
      <c r="IM108" s="108"/>
      <c r="IN108" s="108"/>
      <c r="IO108" s="108"/>
      <c r="IP108" s="108"/>
      <c r="IQ108" s="108"/>
      <c r="IR108" s="108"/>
      <c r="IS108" s="108"/>
      <c r="IT108" s="108"/>
      <c r="IU108" s="108"/>
      <c r="IV108" s="108"/>
      <c r="IW108" s="108"/>
    </row>
    <row r="109" spans="1:257" x14ac:dyDescent="0.3">
      <c r="A109" s="158"/>
      <c r="B109" s="158"/>
      <c r="C109" s="158"/>
      <c r="D109" s="158"/>
      <c r="E109" s="158"/>
      <c r="F109" s="158"/>
      <c r="G109" s="158"/>
      <c r="H109" s="158"/>
      <c r="I109" s="158"/>
      <c r="J109" s="158"/>
      <c r="K109" s="158"/>
      <c r="L109" s="158"/>
      <c r="M109" s="158"/>
      <c r="N109" s="158"/>
      <c r="O109" s="108"/>
      <c r="P109" s="108"/>
      <c r="Q109" s="108"/>
      <c r="R109" s="108"/>
      <c r="S109" s="108"/>
      <c r="T109" s="108"/>
      <c r="U109" s="108"/>
      <c r="V109" s="108"/>
      <c r="W109" s="108"/>
      <c r="X109" s="108"/>
      <c r="Y109" s="108"/>
      <c r="Z109" s="108"/>
      <c r="AA109" s="108"/>
      <c r="AB109" s="108"/>
      <c r="AC109" s="108"/>
      <c r="AD109" s="108"/>
      <c r="AE109" s="108"/>
      <c r="AF109" s="108"/>
      <c r="AG109" s="108"/>
      <c r="AH109" s="108"/>
      <c r="AI109" s="108"/>
      <c r="AJ109" s="108"/>
      <c r="AK109" s="108"/>
      <c r="AL109" s="108"/>
      <c r="AM109" s="108"/>
      <c r="AN109" s="108"/>
      <c r="AO109" s="108"/>
      <c r="AP109" s="108"/>
      <c r="AQ109" s="108"/>
      <c r="AR109" s="108"/>
      <c r="AS109" s="108"/>
      <c r="AT109" s="108"/>
      <c r="AU109" s="108"/>
      <c r="AV109" s="108"/>
      <c r="AW109" s="108"/>
      <c r="AX109" s="108"/>
      <c r="AY109" s="108"/>
      <c r="AZ109" s="108"/>
      <c r="BA109" s="108"/>
      <c r="BB109" s="108"/>
      <c r="BC109" s="108"/>
      <c r="BD109" s="108"/>
      <c r="BE109" s="108"/>
      <c r="BF109" s="108"/>
      <c r="BG109" s="108"/>
      <c r="BH109" s="108"/>
      <c r="BI109" s="108"/>
      <c r="BJ109" s="108"/>
      <c r="BK109" s="108"/>
      <c r="BL109" s="108"/>
      <c r="BM109" s="108"/>
      <c r="BN109" s="108"/>
      <c r="BO109" s="108"/>
      <c r="BP109" s="108"/>
      <c r="BQ109" s="108"/>
      <c r="BR109" s="108"/>
      <c r="BS109" s="108"/>
      <c r="BT109" s="108"/>
      <c r="BU109" s="108"/>
      <c r="BV109" s="108"/>
      <c r="BW109" s="108"/>
      <c r="BX109" s="108"/>
      <c r="BY109" s="108"/>
      <c r="BZ109" s="108"/>
      <c r="CA109" s="108"/>
      <c r="CB109" s="108"/>
      <c r="CC109" s="108"/>
      <c r="CD109" s="108"/>
      <c r="CE109" s="108"/>
      <c r="CF109" s="108"/>
      <c r="CG109" s="108"/>
      <c r="CH109" s="108"/>
      <c r="CI109" s="108"/>
      <c r="CJ109" s="108"/>
      <c r="CK109" s="108"/>
      <c r="CL109" s="108"/>
      <c r="CM109" s="108"/>
      <c r="CN109" s="108"/>
      <c r="CO109" s="108"/>
      <c r="CP109" s="108"/>
      <c r="CQ109" s="108"/>
      <c r="CR109" s="108"/>
      <c r="CS109" s="108"/>
      <c r="CT109" s="108"/>
      <c r="CU109" s="108"/>
      <c r="CV109" s="108"/>
      <c r="CW109" s="108"/>
      <c r="CX109" s="108"/>
      <c r="CY109" s="108"/>
      <c r="CZ109" s="108"/>
      <c r="DA109" s="108"/>
      <c r="DB109" s="108"/>
      <c r="DC109" s="108"/>
      <c r="DD109" s="108"/>
      <c r="DE109" s="108"/>
      <c r="DF109" s="108"/>
      <c r="DG109" s="108"/>
      <c r="DH109" s="108"/>
      <c r="DI109" s="108"/>
      <c r="DJ109" s="108"/>
      <c r="DK109" s="108"/>
      <c r="DL109" s="108"/>
      <c r="DM109" s="108"/>
      <c r="DN109" s="108"/>
      <c r="DO109" s="108"/>
      <c r="DP109" s="108"/>
      <c r="DQ109" s="108"/>
      <c r="DR109" s="108"/>
      <c r="DS109" s="108"/>
      <c r="DT109" s="108"/>
      <c r="DU109" s="108"/>
      <c r="DV109" s="108"/>
      <c r="DW109" s="108"/>
      <c r="DX109" s="108"/>
      <c r="DY109" s="108"/>
      <c r="DZ109" s="108"/>
      <c r="EA109" s="108"/>
      <c r="EB109" s="108"/>
      <c r="EC109" s="108"/>
      <c r="ED109" s="108"/>
      <c r="EE109" s="108"/>
      <c r="EF109" s="108"/>
      <c r="EG109" s="108"/>
      <c r="EH109" s="108"/>
      <c r="EI109" s="108"/>
      <c r="EJ109" s="108"/>
      <c r="EK109" s="108"/>
      <c r="EL109" s="108"/>
      <c r="EM109" s="108"/>
      <c r="EN109" s="108"/>
      <c r="EO109" s="108"/>
      <c r="EP109" s="108"/>
      <c r="EQ109" s="108"/>
      <c r="ER109" s="108"/>
      <c r="ES109" s="108"/>
      <c r="ET109" s="108"/>
      <c r="EU109" s="108"/>
      <c r="EV109" s="108"/>
      <c r="EW109" s="108"/>
      <c r="EX109" s="108"/>
      <c r="EY109" s="108"/>
      <c r="EZ109" s="108"/>
      <c r="FA109" s="108"/>
      <c r="FB109" s="108"/>
      <c r="FC109" s="108"/>
      <c r="FD109" s="108"/>
      <c r="FE109" s="108"/>
      <c r="FF109" s="108"/>
      <c r="FG109" s="108"/>
      <c r="FH109" s="108"/>
      <c r="FI109" s="108"/>
      <c r="FJ109" s="108"/>
      <c r="FK109" s="108"/>
      <c r="FL109" s="108"/>
      <c r="FM109" s="108"/>
      <c r="FN109" s="108"/>
      <c r="FO109" s="108"/>
      <c r="FP109" s="108"/>
      <c r="FQ109" s="108"/>
      <c r="FR109" s="108"/>
      <c r="FS109" s="108"/>
      <c r="FT109" s="108"/>
      <c r="FU109" s="108"/>
      <c r="FV109" s="108"/>
      <c r="FW109" s="108"/>
      <c r="FX109" s="108"/>
      <c r="FY109" s="108"/>
      <c r="FZ109" s="108"/>
      <c r="GA109" s="108"/>
      <c r="GB109" s="108"/>
      <c r="GC109" s="108"/>
      <c r="GD109" s="108"/>
      <c r="GE109" s="108"/>
      <c r="GF109" s="108"/>
      <c r="GG109" s="108"/>
      <c r="GH109" s="108"/>
      <c r="GI109" s="108"/>
      <c r="GJ109" s="108"/>
      <c r="GK109" s="108"/>
      <c r="GL109" s="108"/>
      <c r="GM109" s="108"/>
      <c r="GN109" s="108"/>
      <c r="GO109" s="108"/>
      <c r="GP109" s="108"/>
      <c r="GQ109" s="108"/>
      <c r="GR109" s="108"/>
      <c r="GS109" s="108"/>
      <c r="GT109" s="108"/>
      <c r="GU109" s="108"/>
      <c r="GV109" s="108"/>
      <c r="GW109" s="108"/>
      <c r="GX109" s="108"/>
      <c r="GY109" s="108"/>
      <c r="GZ109" s="108"/>
      <c r="HA109" s="108"/>
      <c r="HB109" s="108"/>
      <c r="HC109" s="108"/>
      <c r="HD109" s="108"/>
      <c r="HE109" s="108"/>
      <c r="HF109" s="108"/>
      <c r="HG109" s="108"/>
      <c r="HH109" s="108"/>
      <c r="HI109" s="108"/>
      <c r="HJ109" s="108"/>
      <c r="HK109" s="108"/>
      <c r="HL109" s="108"/>
      <c r="HM109" s="108"/>
      <c r="HN109" s="108"/>
      <c r="HO109" s="108"/>
      <c r="HP109" s="108"/>
      <c r="HQ109" s="108"/>
      <c r="HR109" s="108"/>
      <c r="HS109" s="108"/>
      <c r="HT109" s="108"/>
      <c r="HU109" s="108"/>
      <c r="HV109" s="108"/>
      <c r="HW109" s="108"/>
      <c r="HX109" s="108"/>
      <c r="HY109" s="108"/>
      <c r="HZ109" s="108"/>
      <c r="IA109" s="108"/>
      <c r="IB109" s="108"/>
      <c r="IC109" s="108"/>
      <c r="ID109" s="108"/>
      <c r="IE109" s="108"/>
      <c r="IF109" s="108"/>
      <c r="IG109" s="108"/>
      <c r="IH109" s="108"/>
      <c r="II109" s="108"/>
      <c r="IJ109" s="108"/>
      <c r="IK109" s="108"/>
      <c r="IL109" s="108"/>
      <c r="IM109" s="108"/>
      <c r="IN109" s="108"/>
      <c r="IO109" s="108"/>
      <c r="IP109" s="108"/>
      <c r="IQ109" s="108"/>
      <c r="IR109" s="108"/>
      <c r="IS109" s="108"/>
      <c r="IT109" s="108"/>
      <c r="IU109" s="108"/>
      <c r="IV109" s="108"/>
      <c r="IW109" s="108"/>
    </row>
    <row r="110" spans="1:257" x14ac:dyDescent="0.3">
      <c r="A110" s="158"/>
      <c r="B110" s="158"/>
      <c r="C110" s="158"/>
      <c r="D110" s="158"/>
      <c r="E110" s="158"/>
      <c r="F110" s="158"/>
      <c r="G110" s="158"/>
      <c r="H110" s="158"/>
      <c r="I110" s="158"/>
      <c r="J110" s="158"/>
      <c r="K110" s="158"/>
      <c r="L110" s="158"/>
      <c r="M110" s="158"/>
      <c r="N110" s="158"/>
      <c r="O110" s="108"/>
      <c r="P110" s="108"/>
      <c r="Q110" s="108"/>
      <c r="R110" s="108"/>
      <c r="S110" s="108"/>
      <c r="T110" s="108"/>
      <c r="U110" s="108"/>
      <c r="V110" s="108"/>
      <c r="W110" s="108"/>
      <c r="X110" s="108"/>
      <c r="Y110" s="108"/>
      <c r="Z110" s="108"/>
      <c r="AA110" s="108"/>
      <c r="AB110" s="108"/>
      <c r="AC110" s="108"/>
      <c r="AD110" s="108"/>
      <c r="AE110" s="108"/>
      <c r="AF110" s="108"/>
      <c r="AG110" s="108"/>
      <c r="AH110" s="108"/>
      <c r="AI110" s="108"/>
      <c r="AJ110" s="108"/>
      <c r="AK110" s="108"/>
      <c r="AL110" s="108"/>
      <c r="AM110" s="108"/>
      <c r="AN110" s="108"/>
      <c r="AO110" s="108"/>
      <c r="AP110" s="108"/>
      <c r="AQ110" s="108"/>
      <c r="AR110" s="108"/>
      <c r="AS110" s="108"/>
      <c r="AT110" s="108"/>
      <c r="AU110" s="108"/>
      <c r="AV110" s="108"/>
      <c r="AW110" s="108"/>
      <c r="AX110" s="108"/>
      <c r="AY110" s="108"/>
      <c r="AZ110" s="108"/>
      <c r="BA110" s="108"/>
      <c r="BB110" s="108"/>
      <c r="BC110" s="108"/>
      <c r="BD110" s="108"/>
      <c r="BE110" s="108"/>
      <c r="BF110" s="108"/>
      <c r="BG110" s="108"/>
      <c r="BH110" s="108"/>
      <c r="BI110" s="108"/>
      <c r="BJ110" s="108"/>
      <c r="BK110" s="108"/>
      <c r="BL110" s="108"/>
      <c r="BM110" s="108"/>
      <c r="BN110" s="108"/>
      <c r="BO110" s="108"/>
      <c r="BP110" s="108"/>
      <c r="BQ110" s="108"/>
      <c r="BR110" s="108"/>
      <c r="BS110" s="108"/>
      <c r="BT110" s="108"/>
      <c r="BU110" s="108"/>
      <c r="BV110" s="108"/>
      <c r="BW110" s="108"/>
      <c r="BX110" s="108"/>
      <c r="BY110" s="108"/>
      <c r="BZ110" s="108"/>
      <c r="CA110" s="108"/>
      <c r="CB110" s="108"/>
      <c r="CC110" s="108"/>
      <c r="CD110" s="108"/>
      <c r="CE110" s="108"/>
      <c r="CF110" s="108"/>
      <c r="CG110" s="108"/>
      <c r="CH110" s="108"/>
      <c r="CI110" s="108"/>
      <c r="CJ110" s="108"/>
      <c r="CK110" s="108"/>
      <c r="CL110" s="108"/>
      <c r="CM110" s="108"/>
      <c r="CN110" s="108"/>
      <c r="CO110" s="108"/>
      <c r="CP110" s="108"/>
      <c r="CQ110" s="108"/>
      <c r="CR110" s="108"/>
      <c r="CS110" s="108"/>
      <c r="CT110" s="108"/>
      <c r="CU110" s="108"/>
      <c r="CV110" s="108"/>
      <c r="CW110" s="108"/>
      <c r="CX110" s="108"/>
      <c r="CY110" s="108"/>
      <c r="CZ110" s="108"/>
      <c r="DA110" s="108"/>
      <c r="DB110" s="108"/>
      <c r="DC110" s="108"/>
      <c r="DD110" s="108"/>
      <c r="DE110" s="108"/>
      <c r="DF110" s="108"/>
      <c r="DG110" s="108"/>
      <c r="DH110" s="108"/>
      <c r="DI110" s="108"/>
      <c r="DJ110" s="108"/>
      <c r="DK110" s="108"/>
      <c r="DL110" s="108"/>
      <c r="DM110" s="108"/>
      <c r="DN110" s="108"/>
      <c r="DO110" s="108"/>
      <c r="DP110" s="108"/>
      <c r="DQ110" s="108"/>
      <c r="DR110" s="108"/>
      <c r="DS110" s="108"/>
      <c r="DT110" s="108"/>
      <c r="DU110" s="108"/>
      <c r="DV110" s="108"/>
      <c r="DW110" s="108"/>
      <c r="DX110" s="108"/>
      <c r="DY110" s="108"/>
      <c r="DZ110" s="108"/>
      <c r="EA110" s="108"/>
      <c r="EB110" s="108"/>
      <c r="EC110" s="108"/>
      <c r="ED110" s="108"/>
      <c r="EE110" s="108"/>
      <c r="EF110" s="108"/>
      <c r="EG110" s="108"/>
      <c r="EH110" s="108"/>
      <c r="EI110" s="108"/>
      <c r="EJ110" s="108"/>
      <c r="EK110" s="108"/>
      <c r="EL110" s="108"/>
      <c r="EM110" s="108"/>
      <c r="EN110" s="108"/>
      <c r="EO110" s="108"/>
      <c r="EP110" s="108"/>
      <c r="EQ110" s="108"/>
      <c r="ER110" s="108"/>
      <c r="ES110" s="108"/>
      <c r="ET110" s="108"/>
      <c r="EU110" s="108"/>
      <c r="EV110" s="108"/>
      <c r="EW110" s="108"/>
      <c r="EX110" s="108"/>
      <c r="EY110" s="108"/>
      <c r="EZ110" s="108"/>
      <c r="FA110" s="108"/>
      <c r="FB110" s="108"/>
      <c r="FC110" s="108"/>
      <c r="FD110" s="108"/>
      <c r="FE110" s="108"/>
      <c r="FF110" s="108"/>
      <c r="FG110" s="108"/>
      <c r="FH110" s="108"/>
      <c r="FI110" s="108"/>
      <c r="FJ110" s="108"/>
      <c r="FK110" s="108"/>
      <c r="FL110" s="108"/>
      <c r="FM110" s="108"/>
      <c r="FN110" s="108"/>
      <c r="FO110" s="108"/>
      <c r="FP110" s="108"/>
      <c r="FQ110" s="108"/>
      <c r="FR110" s="108"/>
      <c r="FS110" s="108"/>
      <c r="FT110" s="108"/>
      <c r="FU110" s="108"/>
      <c r="FV110" s="108"/>
      <c r="FW110" s="108"/>
      <c r="FX110" s="108"/>
      <c r="FY110" s="108"/>
      <c r="FZ110" s="108"/>
      <c r="GA110" s="108"/>
      <c r="GB110" s="108"/>
      <c r="GC110" s="108"/>
      <c r="GD110" s="108"/>
      <c r="GE110" s="108"/>
      <c r="GF110" s="108"/>
      <c r="GG110" s="108"/>
      <c r="GH110" s="108"/>
      <c r="GI110" s="108"/>
      <c r="GJ110" s="108"/>
      <c r="GK110" s="108"/>
      <c r="GL110" s="108"/>
      <c r="GM110" s="108"/>
      <c r="GN110" s="108"/>
      <c r="GO110" s="108"/>
      <c r="GP110" s="108"/>
      <c r="GQ110" s="108"/>
      <c r="GR110" s="108"/>
      <c r="GS110" s="108"/>
      <c r="GT110" s="108"/>
      <c r="GU110" s="108"/>
      <c r="GV110" s="108"/>
      <c r="GW110" s="108"/>
      <c r="GX110" s="108"/>
      <c r="GY110" s="108"/>
      <c r="GZ110" s="108"/>
      <c r="HA110" s="108"/>
      <c r="HB110" s="108"/>
      <c r="HC110" s="108"/>
      <c r="HD110" s="108"/>
      <c r="HE110" s="108"/>
      <c r="HF110" s="108"/>
      <c r="HG110" s="108"/>
      <c r="HH110" s="108"/>
      <c r="HI110" s="108"/>
      <c r="HJ110" s="108"/>
      <c r="HK110" s="108"/>
      <c r="HL110" s="108"/>
      <c r="HM110" s="108"/>
      <c r="HN110" s="108"/>
      <c r="HO110" s="108"/>
      <c r="HP110" s="108"/>
      <c r="HQ110" s="108"/>
      <c r="HR110" s="108"/>
      <c r="HS110" s="108"/>
      <c r="HT110" s="108"/>
      <c r="HU110" s="108"/>
      <c r="HV110" s="108"/>
      <c r="HW110" s="108"/>
      <c r="HX110" s="108"/>
      <c r="HY110" s="108"/>
      <c r="HZ110" s="108"/>
      <c r="IA110" s="108"/>
      <c r="IB110" s="108"/>
      <c r="IC110" s="108"/>
      <c r="ID110" s="108"/>
      <c r="IE110" s="108"/>
      <c r="IF110" s="108"/>
      <c r="IG110" s="108"/>
      <c r="IH110" s="108"/>
      <c r="II110" s="108"/>
      <c r="IJ110" s="108"/>
      <c r="IK110" s="108"/>
      <c r="IL110" s="108"/>
      <c r="IM110" s="108"/>
      <c r="IN110" s="108"/>
      <c r="IO110" s="108"/>
      <c r="IP110" s="108"/>
      <c r="IQ110" s="108"/>
      <c r="IR110" s="108"/>
      <c r="IS110" s="108"/>
      <c r="IT110" s="108"/>
      <c r="IU110" s="108"/>
      <c r="IV110" s="108"/>
      <c r="IW110" s="108"/>
    </row>
    <row r="111" spans="1:257" x14ac:dyDescent="0.3">
      <c r="A111" s="158"/>
      <c r="B111" s="158"/>
      <c r="C111" s="158"/>
      <c r="D111" s="158"/>
      <c r="E111" s="158"/>
      <c r="F111" s="158"/>
      <c r="G111" s="158"/>
      <c r="H111" s="158"/>
      <c r="I111" s="158"/>
      <c r="J111" s="158"/>
      <c r="K111" s="158"/>
      <c r="L111" s="158"/>
      <c r="M111" s="158"/>
      <c r="N111" s="158"/>
      <c r="O111" s="108"/>
      <c r="P111" s="108"/>
      <c r="Q111" s="108"/>
      <c r="R111" s="108"/>
      <c r="S111" s="108"/>
      <c r="T111" s="108"/>
      <c r="U111" s="108"/>
      <c r="V111" s="108"/>
      <c r="W111" s="108"/>
      <c r="X111" s="108"/>
      <c r="Y111" s="108"/>
      <c r="Z111" s="108"/>
      <c r="AA111" s="108"/>
      <c r="AB111" s="108"/>
      <c r="AC111" s="108"/>
      <c r="AD111" s="108"/>
      <c r="AE111" s="108"/>
      <c r="AF111" s="108"/>
      <c r="AG111" s="108"/>
      <c r="AH111" s="108"/>
      <c r="AI111" s="108"/>
      <c r="AJ111" s="108"/>
      <c r="AK111" s="108"/>
      <c r="AL111" s="108"/>
      <c r="AM111" s="108"/>
      <c r="AN111" s="108"/>
      <c r="AO111" s="108"/>
      <c r="AP111" s="108"/>
      <c r="AQ111" s="108"/>
      <c r="AR111" s="108"/>
      <c r="AS111" s="108"/>
      <c r="AT111" s="108"/>
      <c r="AU111" s="108"/>
      <c r="AV111" s="108"/>
      <c r="AW111" s="108"/>
      <c r="AX111" s="108"/>
      <c r="AY111" s="108"/>
      <c r="AZ111" s="108"/>
      <c r="BA111" s="108"/>
      <c r="BB111" s="108"/>
      <c r="BC111" s="108"/>
      <c r="BD111" s="108"/>
      <c r="BE111" s="108"/>
      <c r="BF111" s="108"/>
      <c r="BG111" s="108"/>
      <c r="BH111" s="108"/>
      <c r="BI111" s="108"/>
      <c r="BJ111" s="108"/>
      <c r="BK111" s="108"/>
      <c r="BL111" s="108"/>
      <c r="BM111" s="108"/>
      <c r="BN111" s="108"/>
      <c r="BO111" s="108"/>
      <c r="BP111" s="108"/>
      <c r="BQ111" s="108"/>
      <c r="BR111" s="108"/>
      <c r="BS111" s="108"/>
      <c r="BT111" s="108"/>
      <c r="BU111" s="108"/>
      <c r="BV111" s="108"/>
      <c r="BW111" s="108"/>
      <c r="BX111" s="108"/>
      <c r="BY111" s="108"/>
      <c r="BZ111" s="108"/>
      <c r="CA111" s="108"/>
      <c r="CB111" s="108"/>
      <c r="CC111" s="108"/>
      <c r="CD111" s="108"/>
      <c r="CE111" s="108"/>
      <c r="CF111" s="108"/>
      <c r="CG111" s="108"/>
      <c r="CH111" s="108"/>
      <c r="CI111" s="108"/>
      <c r="CJ111" s="108"/>
      <c r="CK111" s="108"/>
      <c r="CL111" s="108"/>
      <c r="CM111" s="108"/>
      <c r="CN111" s="108"/>
      <c r="CO111" s="108"/>
      <c r="CP111" s="108"/>
      <c r="CQ111" s="108"/>
      <c r="CR111" s="108"/>
      <c r="CS111" s="108"/>
      <c r="CT111" s="108"/>
      <c r="CU111" s="108"/>
      <c r="CV111" s="108"/>
      <c r="CW111" s="108"/>
      <c r="CX111" s="108"/>
      <c r="CY111" s="108"/>
      <c r="CZ111" s="108"/>
      <c r="DA111" s="108"/>
      <c r="DB111" s="108"/>
      <c r="DC111" s="108"/>
      <c r="DD111" s="108"/>
      <c r="DE111" s="108"/>
      <c r="DF111" s="108"/>
      <c r="DG111" s="108"/>
      <c r="DH111" s="108"/>
      <c r="DI111" s="108"/>
      <c r="DJ111" s="108"/>
      <c r="DK111" s="108"/>
      <c r="DL111" s="108"/>
      <c r="DM111" s="108"/>
      <c r="DN111" s="108"/>
      <c r="DO111" s="108"/>
      <c r="DP111" s="108"/>
      <c r="DQ111" s="108"/>
      <c r="DR111" s="108"/>
      <c r="DS111" s="108"/>
      <c r="DT111" s="108"/>
      <c r="DU111" s="108"/>
      <c r="DV111" s="108"/>
      <c r="DW111" s="108"/>
      <c r="DX111" s="108"/>
      <c r="DY111" s="108"/>
      <c r="DZ111" s="108"/>
      <c r="EA111" s="108"/>
      <c r="EB111" s="108"/>
      <c r="EC111" s="108"/>
      <c r="ED111" s="108"/>
      <c r="EE111" s="108"/>
      <c r="EF111" s="108"/>
      <c r="EG111" s="108"/>
      <c r="EH111" s="108"/>
      <c r="EI111" s="108"/>
      <c r="EJ111" s="108"/>
      <c r="EK111" s="108"/>
      <c r="EL111" s="108"/>
      <c r="EM111" s="108"/>
      <c r="EN111" s="108"/>
      <c r="EO111" s="108"/>
      <c r="EP111" s="108"/>
      <c r="EQ111" s="108"/>
      <c r="ER111" s="108"/>
      <c r="ES111" s="108"/>
      <c r="ET111" s="108"/>
      <c r="EU111" s="108"/>
      <c r="EV111" s="108"/>
      <c r="EW111" s="108"/>
      <c r="EX111" s="108"/>
      <c r="EY111" s="108"/>
      <c r="EZ111" s="108"/>
      <c r="FA111" s="108"/>
      <c r="FB111" s="108"/>
      <c r="FC111" s="108"/>
      <c r="FD111" s="108"/>
      <c r="FE111" s="108"/>
      <c r="FF111" s="108"/>
      <c r="FG111" s="108"/>
      <c r="FH111" s="108"/>
      <c r="FI111" s="108"/>
      <c r="FJ111" s="108"/>
      <c r="FK111" s="108"/>
      <c r="FL111" s="108"/>
      <c r="FM111" s="108"/>
      <c r="FN111" s="108"/>
      <c r="FO111" s="108"/>
      <c r="FP111" s="108"/>
      <c r="FQ111" s="108"/>
      <c r="FR111" s="108"/>
      <c r="FS111" s="108"/>
      <c r="FT111" s="108"/>
      <c r="FU111" s="108"/>
      <c r="FV111" s="108"/>
      <c r="FW111" s="108"/>
      <c r="FX111" s="108"/>
      <c r="FY111" s="108"/>
      <c r="FZ111" s="108"/>
      <c r="GA111" s="108"/>
      <c r="GB111" s="108"/>
      <c r="GC111" s="108"/>
      <c r="GD111" s="108"/>
      <c r="GE111" s="108"/>
      <c r="GF111" s="108"/>
      <c r="GG111" s="108"/>
      <c r="GH111" s="108"/>
      <c r="GI111" s="108"/>
      <c r="GJ111" s="108"/>
      <c r="GK111" s="108"/>
      <c r="GL111" s="108"/>
      <c r="GM111" s="108"/>
      <c r="GN111" s="108"/>
      <c r="GO111" s="108"/>
      <c r="GP111" s="108"/>
      <c r="GQ111" s="108"/>
      <c r="GR111" s="108"/>
      <c r="GS111" s="108"/>
      <c r="GT111" s="108"/>
      <c r="GU111" s="108"/>
      <c r="GV111" s="108"/>
      <c r="GW111" s="108"/>
      <c r="GX111" s="108"/>
      <c r="GY111" s="108"/>
      <c r="GZ111" s="108"/>
      <c r="HA111" s="108"/>
      <c r="HB111" s="108"/>
      <c r="HC111" s="108"/>
      <c r="HD111" s="108"/>
      <c r="HE111" s="108"/>
      <c r="HF111" s="108"/>
      <c r="HG111" s="108"/>
      <c r="HH111" s="108"/>
      <c r="HI111" s="108"/>
      <c r="HJ111" s="108"/>
      <c r="HK111" s="108"/>
      <c r="HL111" s="108"/>
      <c r="HM111" s="108"/>
      <c r="HN111" s="108"/>
      <c r="HO111" s="108"/>
      <c r="HP111" s="108"/>
      <c r="HQ111" s="108"/>
      <c r="HR111" s="108"/>
      <c r="HS111" s="108"/>
      <c r="HT111" s="108"/>
      <c r="HU111" s="108"/>
      <c r="HV111" s="108"/>
      <c r="HW111" s="108"/>
      <c r="HX111" s="108"/>
      <c r="HY111" s="108"/>
      <c r="HZ111" s="108"/>
      <c r="IA111" s="108"/>
      <c r="IB111" s="108"/>
      <c r="IC111" s="108"/>
      <c r="ID111" s="108"/>
      <c r="IE111" s="108"/>
      <c r="IF111" s="108"/>
      <c r="IG111" s="108"/>
      <c r="IH111" s="108"/>
      <c r="II111" s="108"/>
      <c r="IJ111" s="108"/>
      <c r="IK111" s="108"/>
      <c r="IL111" s="108"/>
      <c r="IM111" s="108"/>
      <c r="IN111" s="108"/>
      <c r="IO111" s="108"/>
      <c r="IP111" s="108"/>
      <c r="IQ111" s="108"/>
      <c r="IR111" s="108"/>
      <c r="IS111" s="108"/>
      <c r="IT111" s="108"/>
      <c r="IU111" s="108"/>
      <c r="IV111" s="108"/>
      <c r="IW111" s="108"/>
    </row>
    <row r="112" spans="1:257" x14ac:dyDescent="0.3">
      <c r="A112" s="158"/>
      <c r="B112" s="158"/>
      <c r="C112" s="158"/>
      <c r="D112" s="158"/>
      <c r="E112" s="158"/>
      <c r="F112" s="158"/>
      <c r="G112" s="158"/>
      <c r="H112" s="158"/>
      <c r="I112" s="158"/>
      <c r="J112" s="158"/>
      <c r="K112" s="158"/>
      <c r="L112" s="158"/>
      <c r="M112" s="158"/>
      <c r="N112" s="158"/>
      <c r="O112" s="108"/>
      <c r="P112" s="108"/>
      <c r="Q112" s="108"/>
      <c r="R112" s="108"/>
      <c r="S112" s="108"/>
      <c r="T112" s="108"/>
      <c r="U112" s="108"/>
      <c r="V112" s="108"/>
      <c r="W112" s="108"/>
      <c r="X112" s="108"/>
      <c r="Y112" s="108"/>
      <c r="Z112" s="108"/>
      <c r="AA112" s="108"/>
      <c r="AB112" s="108"/>
      <c r="AC112" s="108"/>
      <c r="AD112" s="108"/>
      <c r="AE112" s="108"/>
      <c r="AF112" s="108"/>
      <c r="AG112" s="108"/>
      <c r="AH112" s="108"/>
      <c r="AI112" s="108"/>
      <c r="AJ112" s="108"/>
      <c r="AK112" s="108"/>
      <c r="AL112" s="108"/>
      <c r="AM112" s="108"/>
      <c r="AN112" s="108"/>
      <c r="AO112" s="108"/>
      <c r="AP112" s="108"/>
      <c r="AQ112" s="108"/>
      <c r="AR112" s="108"/>
      <c r="AS112" s="108"/>
      <c r="AT112" s="108"/>
      <c r="AU112" s="108"/>
      <c r="AV112" s="108"/>
      <c r="AW112" s="108"/>
      <c r="AX112" s="108"/>
      <c r="AY112" s="108"/>
      <c r="AZ112" s="108"/>
      <c r="BA112" s="108"/>
      <c r="BB112" s="108"/>
      <c r="BC112" s="108"/>
      <c r="BD112" s="108"/>
      <c r="BE112" s="108"/>
      <c r="BF112" s="108"/>
      <c r="BG112" s="108"/>
      <c r="BH112" s="108"/>
      <c r="BI112" s="108"/>
      <c r="BJ112" s="108"/>
      <c r="BK112" s="108"/>
      <c r="BL112" s="108"/>
      <c r="BM112" s="108"/>
      <c r="BN112" s="108"/>
      <c r="BO112" s="108"/>
      <c r="BP112" s="108"/>
      <c r="BQ112" s="108"/>
      <c r="BR112" s="108"/>
      <c r="BS112" s="108"/>
      <c r="BT112" s="108"/>
      <c r="BU112" s="108"/>
      <c r="BV112" s="108"/>
      <c r="BW112" s="108"/>
      <c r="BX112" s="108"/>
      <c r="BY112" s="108"/>
      <c r="BZ112" s="108"/>
      <c r="CA112" s="108"/>
      <c r="CB112" s="108"/>
      <c r="CC112" s="108"/>
      <c r="CD112" s="108"/>
      <c r="CE112" s="108"/>
      <c r="CF112" s="108"/>
      <c r="CG112" s="108"/>
      <c r="CH112" s="108"/>
      <c r="CI112" s="108"/>
      <c r="CJ112" s="108"/>
      <c r="CK112" s="108"/>
      <c r="CL112" s="108"/>
      <c r="CM112" s="108"/>
      <c r="CN112" s="108"/>
      <c r="CO112" s="108"/>
      <c r="CP112" s="108"/>
      <c r="CQ112" s="108"/>
      <c r="CR112" s="108"/>
      <c r="CS112" s="108"/>
      <c r="CT112" s="108"/>
      <c r="CU112" s="108"/>
      <c r="CV112" s="108"/>
      <c r="CW112" s="108"/>
      <c r="CX112" s="108"/>
      <c r="CY112" s="108"/>
      <c r="CZ112" s="108"/>
      <c r="DA112" s="108"/>
      <c r="DB112" s="108"/>
      <c r="DC112" s="108"/>
      <c r="DD112" s="108"/>
      <c r="DE112" s="108"/>
      <c r="DF112" s="108"/>
      <c r="DG112" s="108"/>
      <c r="DH112" s="108"/>
      <c r="DI112" s="108"/>
      <c r="DJ112" s="108"/>
      <c r="DK112" s="108"/>
      <c r="DL112" s="108"/>
      <c r="DM112" s="108"/>
      <c r="DN112" s="108"/>
      <c r="DO112" s="108"/>
      <c r="DP112" s="108"/>
      <c r="DQ112" s="108"/>
      <c r="DR112" s="108"/>
      <c r="DS112" s="108"/>
      <c r="DT112" s="108"/>
      <c r="DU112" s="108"/>
      <c r="DV112" s="108"/>
      <c r="DW112" s="108"/>
      <c r="DX112" s="108"/>
      <c r="DY112" s="108"/>
      <c r="DZ112" s="108"/>
      <c r="EA112" s="108"/>
      <c r="EB112" s="108"/>
      <c r="EC112" s="108"/>
      <c r="ED112" s="108"/>
      <c r="EE112" s="108"/>
      <c r="EF112" s="108"/>
      <c r="EG112" s="108"/>
      <c r="EH112" s="108"/>
      <c r="EI112" s="108"/>
      <c r="EJ112" s="108"/>
      <c r="EK112" s="108"/>
      <c r="EL112" s="108"/>
      <c r="EM112" s="108"/>
      <c r="EN112" s="108"/>
      <c r="EO112" s="108"/>
      <c r="EP112" s="108"/>
      <c r="EQ112" s="108"/>
      <c r="ER112" s="108"/>
      <c r="ES112" s="108"/>
      <c r="ET112" s="108"/>
      <c r="EU112" s="108"/>
      <c r="EV112" s="108"/>
      <c r="EW112" s="108"/>
      <c r="EX112" s="108"/>
      <c r="EY112" s="108"/>
      <c r="EZ112" s="108"/>
      <c r="FA112" s="108"/>
      <c r="FB112" s="108"/>
      <c r="FC112" s="108"/>
      <c r="FD112" s="108"/>
      <c r="FE112" s="108"/>
      <c r="FF112" s="108"/>
      <c r="FG112" s="108"/>
      <c r="FH112" s="108"/>
      <c r="FI112" s="108"/>
      <c r="FJ112" s="108"/>
      <c r="FK112" s="108"/>
      <c r="FL112" s="108"/>
      <c r="FM112" s="108"/>
      <c r="FN112" s="108"/>
      <c r="FO112" s="108"/>
      <c r="FP112" s="108"/>
      <c r="FQ112" s="108"/>
      <c r="FR112" s="108"/>
      <c r="FS112" s="108"/>
      <c r="FT112" s="108"/>
      <c r="FU112" s="108"/>
      <c r="FV112" s="108"/>
      <c r="FW112" s="108"/>
      <c r="FX112" s="108"/>
      <c r="FY112" s="108"/>
      <c r="FZ112" s="108"/>
      <c r="GA112" s="108"/>
      <c r="GB112" s="108"/>
      <c r="GC112" s="108"/>
      <c r="GD112" s="108"/>
      <c r="GE112" s="108"/>
      <c r="GF112" s="108"/>
      <c r="GG112" s="108"/>
      <c r="GH112" s="108"/>
      <c r="GI112" s="108"/>
      <c r="GJ112" s="108"/>
      <c r="GK112" s="108"/>
      <c r="GL112" s="108"/>
      <c r="GM112" s="108"/>
      <c r="GN112" s="108"/>
      <c r="GO112" s="108"/>
      <c r="GP112" s="108"/>
      <c r="GQ112" s="108"/>
      <c r="GR112" s="108"/>
      <c r="GS112" s="108"/>
      <c r="GT112" s="108"/>
      <c r="GU112" s="108"/>
      <c r="GV112" s="108"/>
      <c r="GW112" s="108"/>
      <c r="GX112" s="108"/>
      <c r="GY112" s="108"/>
      <c r="GZ112" s="108"/>
      <c r="HA112" s="108"/>
      <c r="HB112" s="108"/>
      <c r="HC112" s="108"/>
      <c r="HD112" s="108"/>
      <c r="HE112" s="108"/>
      <c r="HF112" s="108"/>
      <c r="HG112" s="108"/>
      <c r="HH112" s="108"/>
      <c r="HI112" s="108"/>
      <c r="HJ112" s="108"/>
      <c r="HK112" s="108"/>
      <c r="HL112" s="108"/>
      <c r="HM112" s="108"/>
      <c r="HN112" s="108"/>
      <c r="HO112" s="108"/>
      <c r="HP112" s="108"/>
      <c r="HQ112" s="108"/>
      <c r="HR112" s="108"/>
      <c r="HS112" s="108"/>
      <c r="HT112" s="108"/>
      <c r="HU112" s="108"/>
      <c r="HV112" s="108"/>
      <c r="HW112" s="108"/>
      <c r="HX112" s="108"/>
      <c r="HY112" s="108"/>
      <c r="HZ112" s="108"/>
      <c r="IA112" s="108"/>
      <c r="IB112" s="108"/>
      <c r="IC112" s="108"/>
      <c r="ID112" s="108"/>
      <c r="IE112" s="108"/>
      <c r="IF112" s="108"/>
      <c r="IG112" s="108"/>
      <c r="IH112" s="108"/>
      <c r="II112" s="108"/>
      <c r="IJ112" s="108"/>
      <c r="IK112" s="108"/>
      <c r="IL112" s="108"/>
      <c r="IM112" s="108"/>
      <c r="IN112" s="108"/>
      <c r="IO112" s="108"/>
      <c r="IP112" s="108"/>
      <c r="IQ112" s="108"/>
      <c r="IR112" s="108"/>
      <c r="IS112" s="108"/>
      <c r="IT112" s="108"/>
      <c r="IU112" s="108"/>
      <c r="IV112" s="108"/>
      <c r="IW112" s="108"/>
    </row>
    <row r="113" spans="1:257" x14ac:dyDescent="0.3">
      <c r="A113" s="158"/>
      <c r="B113" s="158"/>
      <c r="C113" s="158"/>
      <c r="D113" s="158"/>
      <c r="E113" s="158"/>
      <c r="F113" s="158"/>
      <c r="G113" s="158"/>
      <c r="H113" s="158"/>
      <c r="I113" s="158"/>
      <c r="J113" s="158"/>
      <c r="K113" s="158"/>
      <c r="L113" s="158"/>
      <c r="M113" s="158"/>
      <c r="N113" s="158"/>
      <c r="O113" s="108"/>
      <c r="P113" s="108"/>
      <c r="Q113" s="108"/>
      <c r="R113" s="108"/>
      <c r="S113" s="108"/>
      <c r="T113" s="108"/>
      <c r="U113" s="108"/>
      <c r="V113" s="108"/>
      <c r="W113" s="108"/>
      <c r="X113" s="108"/>
      <c r="Y113" s="108"/>
      <c r="Z113" s="108"/>
      <c r="AA113" s="108"/>
      <c r="AB113" s="108"/>
      <c r="AC113" s="108"/>
      <c r="AD113" s="108"/>
      <c r="AE113" s="108"/>
      <c r="AF113" s="108"/>
      <c r="AG113" s="108"/>
      <c r="AH113" s="108"/>
      <c r="AI113" s="108"/>
      <c r="AJ113" s="108"/>
      <c r="AK113" s="108"/>
      <c r="AL113" s="108"/>
      <c r="AM113" s="108"/>
      <c r="AN113" s="108"/>
      <c r="AO113" s="108"/>
      <c r="AP113" s="108"/>
      <c r="AQ113" s="108"/>
      <c r="AR113" s="108"/>
      <c r="AS113" s="108"/>
      <c r="AT113" s="108"/>
      <c r="AU113" s="108"/>
      <c r="AV113" s="108"/>
      <c r="AW113" s="108"/>
      <c r="AX113" s="108"/>
      <c r="AY113" s="108"/>
      <c r="AZ113" s="108"/>
      <c r="BA113" s="108"/>
      <c r="BB113" s="108"/>
      <c r="BC113" s="108"/>
      <c r="BD113" s="108"/>
      <c r="BE113" s="108"/>
      <c r="BF113" s="108"/>
      <c r="BG113" s="108"/>
      <c r="BH113" s="108"/>
      <c r="BI113" s="108"/>
      <c r="BJ113" s="108"/>
      <c r="BK113" s="108"/>
      <c r="BL113" s="108"/>
      <c r="BM113" s="108"/>
      <c r="BN113" s="108"/>
      <c r="BO113" s="108"/>
      <c r="BP113" s="108"/>
      <c r="BQ113" s="108"/>
      <c r="BR113" s="108"/>
      <c r="BS113" s="108"/>
      <c r="BT113" s="108"/>
      <c r="BU113" s="108"/>
      <c r="BV113" s="108"/>
      <c r="BW113" s="108"/>
      <c r="BX113" s="108"/>
      <c r="BY113" s="108"/>
      <c r="BZ113" s="108"/>
      <c r="CA113" s="108"/>
      <c r="CB113" s="108"/>
      <c r="CC113" s="108"/>
      <c r="CD113" s="108"/>
      <c r="CE113" s="108"/>
      <c r="CF113" s="108"/>
      <c r="CG113" s="108"/>
      <c r="CH113" s="108"/>
      <c r="CI113" s="108"/>
      <c r="CJ113" s="108"/>
      <c r="CK113" s="108"/>
      <c r="CL113" s="108"/>
      <c r="CM113" s="108"/>
      <c r="CN113" s="108"/>
      <c r="CO113" s="108"/>
      <c r="CP113" s="108"/>
      <c r="CQ113" s="108"/>
      <c r="CR113" s="108"/>
      <c r="CS113" s="108"/>
      <c r="CT113" s="108"/>
      <c r="CU113" s="108"/>
      <c r="CV113" s="108"/>
      <c r="CW113" s="108"/>
      <c r="CX113" s="108"/>
      <c r="CY113" s="108"/>
      <c r="CZ113" s="108"/>
      <c r="DA113" s="108"/>
      <c r="DB113" s="108"/>
      <c r="DC113" s="108"/>
      <c r="DD113" s="108"/>
      <c r="DE113" s="108"/>
      <c r="DF113" s="108"/>
      <c r="DG113" s="108"/>
      <c r="DH113" s="108"/>
      <c r="DI113" s="108"/>
      <c r="DJ113" s="108"/>
      <c r="DK113" s="108"/>
      <c r="DL113" s="108"/>
      <c r="DM113" s="108"/>
      <c r="DN113" s="108"/>
      <c r="DO113" s="108"/>
      <c r="DP113" s="108"/>
      <c r="DQ113" s="108"/>
      <c r="DR113" s="108"/>
      <c r="DS113" s="108"/>
      <c r="DT113" s="108"/>
      <c r="DU113" s="108"/>
      <c r="DV113" s="108"/>
      <c r="DW113" s="108"/>
      <c r="DX113" s="108"/>
      <c r="DY113" s="108"/>
      <c r="DZ113" s="108"/>
      <c r="EA113" s="108"/>
      <c r="EB113" s="108"/>
      <c r="EC113" s="108"/>
      <c r="ED113" s="108"/>
      <c r="EE113" s="108"/>
      <c r="EF113" s="108"/>
      <c r="EG113" s="108"/>
      <c r="EH113" s="108"/>
      <c r="EI113" s="108"/>
      <c r="EJ113" s="108"/>
      <c r="EK113" s="108"/>
      <c r="EL113" s="108"/>
      <c r="EM113" s="108"/>
      <c r="EN113" s="108"/>
      <c r="EO113" s="108"/>
      <c r="EP113" s="108"/>
      <c r="EQ113" s="108"/>
      <c r="ER113" s="108"/>
      <c r="ES113" s="108"/>
      <c r="ET113" s="108"/>
      <c r="EU113" s="108"/>
      <c r="EV113" s="108"/>
      <c r="EW113" s="108"/>
      <c r="EX113" s="108"/>
      <c r="EY113" s="108"/>
      <c r="EZ113" s="108"/>
      <c r="FA113" s="108"/>
      <c r="FB113" s="108"/>
      <c r="FC113" s="108"/>
      <c r="FD113" s="108"/>
      <c r="FE113" s="108"/>
      <c r="FF113" s="108"/>
      <c r="FG113" s="108"/>
      <c r="FH113" s="108"/>
      <c r="FI113" s="108"/>
      <c r="FJ113" s="108"/>
      <c r="FK113" s="108"/>
      <c r="FL113" s="108"/>
      <c r="FM113" s="108"/>
      <c r="FN113" s="108"/>
      <c r="FO113" s="108"/>
      <c r="FP113" s="108"/>
      <c r="FQ113" s="108"/>
      <c r="FR113" s="108"/>
      <c r="FS113" s="108"/>
      <c r="FT113" s="108"/>
      <c r="FU113" s="108"/>
      <c r="FV113" s="108"/>
      <c r="FW113" s="108"/>
      <c r="FX113" s="108"/>
      <c r="FY113" s="108"/>
      <c r="FZ113" s="108"/>
      <c r="GA113" s="108"/>
      <c r="GB113" s="108"/>
      <c r="GC113" s="108"/>
      <c r="GD113" s="108"/>
      <c r="GE113" s="108"/>
      <c r="GF113" s="108"/>
      <c r="GG113" s="108"/>
      <c r="GH113" s="108"/>
      <c r="GI113" s="108"/>
      <c r="GJ113" s="108"/>
      <c r="GK113" s="108"/>
      <c r="GL113" s="108"/>
      <c r="GM113" s="108"/>
      <c r="GN113" s="108"/>
      <c r="GO113" s="108"/>
      <c r="GP113" s="108"/>
      <c r="GQ113" s="108"/>
      <c r="GR113" s="108"/>
      <c r="GS113" s="108"/>
      <c r="GT113" s="108"/>
      <c r="GU113" s="108"/>
      <c r="GV113" s="108"/>
      <c r="GW113" s="108"/>
      <c r="GX113" s="108"/>
      <c r="GY113" s="108"/>
      <c r="GZ113" s="108"/>
      <c r="HA113" s="108"/>
      <c r="HB113" s="108"/>
      <c r="HC113" s="108"/>
      <c r="HD113" s="108"/>
      <c r="HE113" s="108"/>
      <c r="HF113" s="108"/>
      <c r="HG113" s="108"/>
      <c r="HH113" s="108"/>
      <c r="HI113" s="108"/>
      <c r="HJ113" s="108"/>
      <c r="HK113" s="108"/>
      <c r="HL113" s="108"/>
      <c r="HM113" s="108"/>
      <c r="HN113" s="108"/>
      <c r="HO113" s="108"/>
      <c r="HP113" s="108"/>
      <c r="HQ113" s="108"/>
      <c r="HR113" s="108"/>
      <c r="HS113" s="108"/>
      <c r="HT113" s="108"/>
      <c r="HU113" s="108"/>
      <c r="HV113" s="108"/>
      <c r="HW113" s="108"/>
      <c r="HX113" s="108"/>
      <c r="HY113" s="108"/>
      <c r="HZ113" s="108"/>
      <c r="IA113" s="108"/>
      <c r="IB113" s="108"/>
      <c r="IC113" s="108"/>
      <c r="ID113" s="108"/>
      <c r="IE113" s="108"/>
      <c r="IF113" s="108"/>
      <c r="IG113" s="108"/>
      <c r="IH113" s="108"/>
      <c r="II113" s="108"/>
      <c r="IJ113" s="108"/>
      <c r="IK113" s="108"/>
      <c r="IL113" s="108"/>
      <c r="IM113" s="108"/>
      <c r="IN113" s="108"/>
      <c r="IO113" s="108"/>
      <c r="IP113" s="108"/>
      <c r="IQ113" s="108"/>
      <c r="IR113" s="108"/>
      <c r="IS113" s="108"/>
      <c r="IT113" s="108"/>
      <c r="IU113" s="108"/>
      <c r="IV113" s="108"/>
      <c r="IW113" s="108"/>
    </row>
    <row r="114" spans="1:257" x14ac:dyDescent="0.3">
      <c r="A114" s="158"/>
      <c r="B114" s="158"/>
      <c r="C114" s="158"/>
      <c r="D114" s="158"/>
      <c r="E114" s="158"/>
      <c r="F114" s="158"/>
      <c r="G114" s="158"/>
      <c r="H114" s="158"/>
      <c r="I114" s="158"/>
      <c r="J114" s="158"/>
      <c r="K114" s="158"/>
      <c r="L114" s="158"/>
      <c r="M114" s="158"/>
      <c r="N114" s="158"/>
      <c r="O114" s="108"/>
      <c r="P114" s="108"/>
      <c r="Q114" s="108"/>
      <c r="R114" s="108"/>
      <c r="S114" s="108"/>
      <c r="T114" s="108"/>
      <c r="U114" s="108"/>
      <c r="V114" s="108"/>
      <c r="W114" s="108"/>
      <c r="X114" s="108"/>
      <c r="Y114" s="108"/>
      <c r="Z114" s="108"/>
      <c r="AA114" s="108"/>
      <c r="AB114" s="108"/>
      <c r="AC114" s="108"/>
      <c r="AD114" s="108"/>
      <c r="AE114" s="108"/>
      <c r="AF114" s="108"/>
      <c r="AG114" s="108"/>
      <c r="AH114" s="108"/>
      <c r="AI114" s="108"/>
      <c r="AJ114" s="108"/>
      <c r="AK114" s="108"/>
      <c r="AL114" s="108"/>
      <c r="AM114" s="108"/>
      <c r="AN114" s="108"/>
      <c r="AO114" s="108"/>
      <c r="AP114" s="108"/>
      <c r="AQ114" s="108"/>
      <c r="AR114" s="108"/>
      <c r="AS114" s="108"/>
      <c r="AT114" s="108"/>
      <c r="AU114" s="108"/>
      <c r="AV114" s="108"/>
      <c r="AW114" s="108"/>
      <c r="AX114" s="108"/>
      <c r="AY114" s="108"/>
      <c r="AZ114" s="108"/>
      <c r="BA114" s="108"/>
      <c r="BB114" s="108"/>
      <c r="BC114" s="108"/>
      <c r="BD114" s="108"/>
      <c r="BE114" s="108"/>
      <c r="BF114" s="108"/>
      <c r="BG114" s="108"/>
      <c r="BH114" s="108"/>
      <c r="BI114" s="108"/>
      <c r="BJ114" s="108"/>
      <c r="BK114" s="108"/>
      <c r="BL114" s="108"/>
      <c r="BM114" s="108"/>
      <c r="BN114" s="108"/>
      <c r="BO114" s="108"/>
      <c r="BP114" s="108"/>
      <c r="BQ114" s="108"/>
      <c r="BR114" s="108"/>
      <c r="BS114" s="108"/>
      <c r="BT114" s="108"/>
      <c r="BU114" s="108"/>
      <c r="BV114" s="108"/>
      <c r="BW114" s="108"/>
      <c r="BX114" s="108"/>
      <c r="BY114" s="108"/>
      <c r="BZ114" s="108"/>
      <c r="CA114" s="108"/>
      <c r="CB114" s="108"/>
      <c r="CC114" s="108"/>
      <c r="CD114" s="108"/>
      <c r="CE114" s="108"/>
      <c r="CF114" s="108"/>
      <c r="CG114" s="108"/>
      <c r="CH114" s="108"/>
      <c r="CI114" s="108"/>
      <c r="CJ114" s="108"/>
      <c r="CK114" s="108"/>
      <c r="CL114" s="108"/>
      <c r="CM114" s="108"/>
      <c r="CN114" s="108"/>
      <c r="CO114" s="108"/>
      <c r="CP114" s="108"/>
      <c r="CQ114" s="108"/>
      <c r="CR114" s="108"/>
      <c r="CS114" s="108"/>
      <c r="CT114" s="108"/>
      <c r="CU114" s="108"/>
      <c r="CV114" s="108"/>
      <c r="CW114" s="108"/>
      <c r="CX114" s="108"/>
      <c r="CY114" s="108"/>
      <c r="CZ114" s="108"/>
      <c r="DA114" s="108"/>
      <c r="DB114" s="108"/>
      <c r="DC114" s="108"/>
      <c r="DD114" s="108"/>
      <c r="DE114" s="108"/>
      <c r="DF114" s="108"/>
      <c r="DG114" s="108"/>
      <c r="DH114" s="108"/>
      <c r="DI114" s="108"/>
      <c r="DJ114" s="108"/>
      <c r="DK114" s="108"/>
      <c r="DL114" s="108"/>
      <c r="DM114" s="108"/>
      <c r="DN114" s="108"/>
      <c r="DO114" s="108"/>
      <c r="DP114" s="108"/>
      <c r="DQ114" s="108"/>
      <c r="DR114" s="108"/>
      <c r="DS114" s="108"/>
      <c r="DT114" s="108"/>
      <c r="DU114" s="108"/>
      <c r="DV114" s="108"/>
      <c r="DW114" s="108"/>
      <c r="DX114" s="108"/>
      <c r="DY114" s="108"/>
      <c r="DZ114" s="108"/>
      <c r="EA114" s="108"/>
      <c r="EB114" s="108"/>
      <c r="EC114" s="108"/>
      <c r="ED114" s="108"/>
      <c r="EE114" s="108"/>
      <c r="EF114" s="108"/>
      <c r="EG114" s="108"/>
      <c r="EH114" s="108"/>
      <c r="EI114" s="108"/>
      <c r="EJ114" s="108"/>
      <c r="EK114" s="108"/>
      <c r="EL114" s="108"/>
      <c r="EM114" s="108"/>
      <c r="EN114" s="108"/>
      <c r="EO114" s="108"/>
      <c r="EP114" s="108"/>
      <c r="EQ114" s="108"/>
      <c r="ER114" s="108"/>
      <c r="ES114" s="108"/>
      <c r="ET114" s="108"/>
      <c r="EU114" s="108"/>
      <c r="EV114" s="108"/>
      <c r="EW114" s="108"/>
      <c r="EX114" s="108"/>
      <c r="EY114" s="108"/>
      <c r="EZ114" s="108"/>
      <c r="FA114" s="108"/>
      <c r="FB114" s="108"/>
      <c r="FC114" s="108"/>
      <c r="FD114" s="108"/>
      <c r="FE114" s="108"/>
      <c r="FF114" s="108"/>
      <c r="FG114" s="108"/>
      <c r="FH114" s="108"/>
      <c r="FI114" s="108"/>
      <c r="FJ114" s="108"/>
      <c r="FK114" s="108"/>
      <c r="FL114" s="108"/>
      <c r="FM114" s="108"/>
      <c r="FN114" s="108"/>
      <c r="FO114" s="108"/>
      <c r="FP114" s="108"/>
      <c r="FQ114" s="108"/>
      <c r="FR114" s="108"/>
      <c r="FS114" s="108"/>
      <c r="FT114" s="108"/>
      <c r="FU114" s="108"/>
      <c r="FV114" s="108"/>
      <c r="FW114" s="108"/>
      <c r="FX114" s="108"/>
      <c r="FY114" s="108"/>
      <c r="FZ114" s="108"/>
      <c r="GA114" s="108"/>
      <c r="GB114" s="108"/>
      <c r="GC114" s="108"/>
      <c r="GD114" s="108"/>
      <c r="GE114" s="108"/>
      <c r="GF114" s="108"/>
      <c r="GG114" s="108"/>
      <c r="GH114" s="108"/>
      <c r="GI114" s="108"/>
      <c r="GJ114" s="108"/>
      <c r="GK114" s="108"/>
      <c r="GL114" s="108"/>
      <c r="GM114" s="108"/>
      <c r="GN114" s="108"/>
      <c r="GO114" s="108"/>
      <c r="GP114" s="108"/>
      <c r="GQ114" s="108"/>
      <c r="GR114" s="108"/>
      <c r="GS114" s="108"/>
      <c r="GT114" s="108"/>
      <c r="GU114" s="108"/>
      <c r="GV114" s="108"/>
      <c r="GW114" s="108"/>
      <c r="GX114" s="108"/>
      <c r="GY114" s="108"/>
      <c r="GZ114" s="108"/>
      <c r="HA114" s="108"/>
      <c r="HB114" s="108"/>
      <c r="HC114" s="108"/>
      <c r="HD114" s="108"/>
      <c r="HE114" s="108"/>
      <c r="HF114" s="108"/>
      <c r="HG114" s="108"/>
      <c r="HH114" s="108"/>
      <c r="HI114" s="108"/>
      <c r="HJ114" s="108"/>
      <c r="HK114" s="108"/>
      <c r="HL114" s="108"/>
      <c r="HM114" s="108"/>
      <c r="HN114" s="108"/>
      <c r="HO114" s="108"/>
      <c r="HP114" s="108"/>
      <c r="HQ114" s="108"/>
      <c r="HR114" s="108"/>
      <c r="HS114" s="108"/>
      <c r="HT114" s="108"/>
      <c r="HU114" s="108"/>
      <c r="HV114" s="108"/>
      <c r="HW114" s="108"/>
      <c r="HX114" s="108"/>
      <c r="HY114" s="108"/>
      <c r="HZ114" s="108"/>
      <c r="IA114" s="108"/>
      <c r="IB114" s="108"/>
      <c r="IC114" s="108"/>
      <c r="ID114" s="108"/>
      <c r="IE114" s="108"/>
      <c r="IF114" s="108"/>
      <c r="IG114" s="108"/>
      <c r="IH114" s="108"/>
      <c r="II114" s="108"/>
      <c r="IJ114" s="108"/>
      <c r="IK114" s="108"/>
      <c r="IL114" s="108"/>
      <c r="IM114" s="108"/>
      <c r="IN114" s="108"/>
      <c r="IO114" s="108"/>
      <c r="IP114" s="108"/>
      <c r="IQ114" s="108"/>
      <c r="IR114" s="108"/>
      <c r="IS114" s="108"/>
      <c r="IT114" s="108"/>
      <c r="IU114" s="108"/>
      <c r="IV114" s="108"/>
      <c r="IW114" s="108"/>
    </row>
    <row r="115" spans="1:257" x14ac:dyDescent="0.3">
      <c r="A115" s="158"/>
      <c r="B115" s="158"/>
      <c r="C115" s="158"/>
      <c r="D115" s="158"/>
      <c r="E115" s="158"/>
      <c r="F115" s="158"/>
      <c r="G115" s="158"/>
      <c r="H115" s="158"/>
      <c r="I115" s="158"/>
      <c r="J115" s="158"/>
      <c r="K115" s="158"/>
      <c r="L115" s="158"/>
      <c r="M115" s="158"/>
      <c r="N115" s="158"/>
      <c r="O115" s="108"/>
      <c r="P115" s="108"/>
      <c r="Q115" s="108"/>
      <c r="R115" s="108"/>
      <c r="S115" s="108"/>
      <c r="T115" s="108"/>
      <c r="U115" s="108"/>
      <c r="V115" s="108"/>
      <c r="W115" s="108"/>
      <c r="X115" s="108"/>
      <c r="Y115" s="108"/>
      <c r="Z115" s="108"/>
      <c r="AA115" s="108"/>
      <c r="AB115" s="108"/>
      <c r="AC115" s="108"/>
      <c r="AD115" s="108"/>
      <c r="AE115" s="108"/>
      <c r="AF115" s="108"/>
      <c r="AG115" s="108"/>
      <c r="AH115" s="108"/>
      <c r="AI115" s="108"/>
      <c r="AJ115" s="108"/>
      <c r="AK115" s="108"/>
      <c r="AL115" s="108"/>
      <c r="AM115" s="108"/>
      <c r="AN115" s="108"/>
      <c r="AO115" s="108"/>
      <c r="AP115" s="108"/>
      <c r="AQ115" s="108"/>
      <c r="AR115" s="108"/>
      <c r="AS115" s="108"/>
      <c r="AT115" s="108"/>
      <c r="AU115" s="108"/>
      <c r="AV115" s="108"/>
      <c r="AW115" s="108"/>
      <c r="AX115" s="108"/>
      <c r="AY115" s="108"/>
      <c r="AZ115" s="108"/>
      <c r="BA115" s="108"/>
      <c r="BB115" s="108"/>
      <c r="BC115" s="108"/>
      <c r="BD115" s="108"/>
      <c r="BE115" s="108"/>
      <c r="BF115" s="108"/>
      <c r="BG115" s="108"/>
      <c r="BH115" s="108"/>
      <c r="BI115" s="108"/>
      <c r="BJ115" s="108"/>
      <c r="BK115" s="108"/>
      <c r="BL115" s="108"/>
      <c r="BM115" s="108"/>
      <c r="BN115" s="108"/>
      <c r="BO115" s="108"/>
      <c r="BP115" s="108"/>
      <c r="BQ115" s="108"/>
      <c r="BR115" s="108"/>
      <c r="BS115" s="108"/>
      <c r="BT115" s="108"/>
      <c r="BU115" s="108"/>
      <c r="BV115" s="108"/>
      <c r="BW115" s="108"/>
      <c r="BX115" s="108"/>
      <c r="BY115" s="108"/>
      <c r="BZ115" s="108"/>
      <c r="CA115" s="108"/>
      <c r="CB115" s="108"/>
      <c r="CC115" s="108"/>
      <c r="CD115" s="108"/>
      <c r="CE115" s="108"/>
      <c r="CF115" s="108"/>
      <c r="CG115" s="108"/>
      <c r="CH115" s="108"/>
      <c r="CI115" s="108"/>
      <c r="CJ115" s="108"/>
      <c r="CK115" s="108"/>
      <c r="CL115" s="108"/>
      <c r="CM115" s="108"/>
      <c r="CN115" s="108"/>
      <c r="CO115" s="108"/>
      <c r="CP115" s="108"/>
      <c r="CQ115" s="108"/>
      <c r="CR115" s="108"/>
      <c r="CS115" s="108"/>
      <c r="CT115" s="108"/>
      <c r="CU115" s="108"/>
      <c r="CV115" s="108"/>
      <c r="CW115" s="108"/>
      <c r="CX115" s="108"/>
      <c r="CY115" s="108"/>
      <c r="CZ115" s="108"/>
      <c r="DA115" s="108"/>
      <c r="DB115" s="108"/>
      <c r="DC115" s="108"/>
      <c r="DD115" s="108"/>
      <c r="DE115" s="108"/>
      <c r="DF115" s="108"/>
      <c r="DG115" s="108"/>
      <c r="DH115" s="108"/>
      <c r="DI115" s="108"/>
      <c r="DJ115" s="108"/>
      <c r="DK115" s="108"/>
      <c r="DL115" s="108"/>
      <c r="DM115" s="108"/>
      <c r="DN115" s="108"/>
      <c r="DO115" s="108"/>
      <c r="DP115" s="108"/>
      <c r="DQ115" s="108"/>
      <c r="DR115" s="108"/>
      <c r="DS115" s="108"/>
      <c r="DT115" s="108"/>
      <c r="DU115" s="108"/>
      <c r="DV115" s="108"/>
      <c r="DW115" s="108"/>
      <c r="DX115" s="108"/>
      <c r="DY115" s="108"/>
      <c r="DZ115" s="108"/>
      <c r="EA115" s="108"/>
      <c r="EB115" s="108"/>
      <c r="EC115" s="108"/>
      <c r="ED115" s="108"/>
      <c r="EE115" s="108"/>
      <c r="EF115" s="108"/>
      <c r="EG115" s="108"/>
      <c r="EH115" s="108"/>
      <c r="EI115" s="108"/>
      <c r="EJ115" s="108"/>
      <c r="EK115" s="108"/>
      <c r="EL115" s="108"/>
      <c r="EM115" s="108"/>
      <c r="EN115" s="108"/>
      <c r="EO115" s="108"/>
      <c r="EP115" s="108"/>
      <c r="EQ115" s="108"/>
      <c r="ER115" s="108"/>
      <c r="ES115" s="108"/>
      <c r="ET115" s="108"/>
      <c r="EU115" s="108"/>
      <c r="EV115" s="108"/>
      <c r="EW115" s="108"/>
      <c r="EX115" s="108"/>
      <c r="EY115" s="108"/>
      <c r="EZ115" s="108"/>
      <c r="FA115" s="108"/>
      <c r="FB115" s="108"/>
      <c r="FC115" s="108"/>
      <c r="FD115" s="108"/>
      <c r="FE115" s="108"/>
      <c r="FF115" s="108"/>
      <c r="FG115" s="108"/>
      <c r="FH115" s="108"/>
      <c r="FI115" s="108"/>
      <c r="FJ115" s="108"/>
      <c r="FK115" s="108"/>
      <c r="FL115" s="108"/>
      <c r="FM115" s="108"/>
      <c r="FN115" s="108"/>
      <c r="FO115" s="108"/>
      <c r="FP115" s="108"/>
      <c r="FQ115" s="108"/>
      <c r="FR115" s="108"/>
      <c r="FS115" s="108"/>
      <c r="FT115" s="108"/>
      <c r="FU115" s="108"/>
      <c r="FV115" s="108"/>
      <c r="FW115" s="108"/>
      <c r="FX115" s="108"/>
      <c r="FY115" s="108"/>
      <c r="FZ115" s="108"/>
      <c r="GA115" s="108"/>
      <c r="GB115" s="108"/>
      <c r="GC115" s="108"/>
      <c r="GD115" s="108"/>
      <c r="GE115" s="108"/>
      <c r="GF115" s="108"/>
      <c r="GG115" s="108"/>
      <c r="GH115" s="108"/>
      <c r="GI115" s="108"/>
      <c r="GJ115" s="108"/>
      <c r="GK115" s="108"/>
      <c r="GL115" s="108"/>
      <c r="GM115" s="108"/>
      <c r="GN115" s="108"/>
      <c r="GO115" s="108"/>
      <c r="GP115" s="108"/>
      <c r="GQ115" s="108"/>
      <c r="GR115" s="108"/>
      <c r="GS115" s="108"/>
      <c r="GT115" s="108"/>
      <c r="GU115" s="108"/>
      <c r="GV115" s="108"/>
      <c r="GW115" s="108"/>
      <c r="GX115" s="108"/>
      <c r="GY115" s="108"/>
      <c r="GZ115" s="108"/>
      <c r="HA115" s="108"/>
      <c r="HB115" s="108"/>
      <c r="HC115" s="108"/>
      <c r="HD115" s="108"/>
      <c r="HE115" s="108"/>
      <c r="HF115" s="108"/>
      <c r="HG115" s="108"/>
      <c r="HH115" s="108"/>
      <c r="HI115" s="108"/>
      <c r="HJ115" s="108"/>
      <c r="HK115" s="108"/>
      <c r="HL115" s="108"/>
      <c r="HM115" s="108"/>
      <c r="HN115" s="108"/>
      <c r="HO115" s="108"/>
      <c r="HP115" s="108"/>
      <c r="HQ115" s="108"/>
      <c r="HR115" s="108"/>
      <c r="HS115" s="108"/>
      <c r="HT115" s="108"/>
      <c r="HU115" s="108"/>
      <c r="HV115" s="108"/>
      <c r="HW115" s="108"/>
      <c r="HX115" s="108"/>
      <c r="HY115" s="108"/>
      <c r="HZ115" s="108"/>
      <c r="IA115" s="108"/>
      <c r="IB115" s="108"/>
      <c r="IC115" s="108"/>
      <c r="ID115" s="108"/>
      <c r="IE115" s="108"/>
      <c r="IF115" s="108"/>
      <c r="IG115" s="108"/>
      <c r="IH115" s="108"/>
      <c r="II115" s="108"/>
      <c r="IJ115" s="108"/>
      <c r="IK115" s="108"/>
      <c r="IL115" s="108"/>
      <c r="IM115" s="108"/>
      <c r="IN115" s="108"/>
      <c r="IO115" s="108"/>
      <c r="IP115" s="108"/>
      <c r="IQ115" s="108"/>
      <c r="IR115" s="108"/>
      <c r="IS115" s="108"/>
      <c r="IT115" s="108"/>
      <c r="IU115" s="108"/>
      <c r="IV115" s="108"/>
      <c r="IW115" s="108"/>
    </row>
    <row r="116" spans="1:257" x14ac:dyDescent="0.3">
      <c r="A116" s="158"/>
      <c r="B116" s="158"/>
      <c r="C116" s="158"/>
      <c r="D116" s="158"/>
      <c r="E116" s="158"/>
      <c r="F116" s="158"/>
      <c r="G116" s="158"/>
      <c r="H116" s="158"/>
      <c r="I116" s="158"/>
      <c r="J116" s="158"/>
      <c r="K116" s="158"/>
      <c r="L116" s="158"/>
      <c r="M116" s="158"/>
      <c r="N116" s="158"/>
      <c r="O116" s="108"/>
      <c r="P116" s="108"/>
      <c r="Q116" s="108"/>
      <c r="R116" s="108"/>
      <c r="S116" s="108"/>
      <c r="T116" s="108"/>
      <c r="U116" s="108"/>
      <c r="V116" s="108"/>
      <c r="W116" s="108"/>
      <c r="X116" s="108"/>
      <c r="Y116" s="108"/>
      <c r="Z116" s="108"/>
      <c r="AA116" s="108"/>
      <c r="AB116" s="108"/>
      <c r="AC116" s="108"/>
      <c r="AD116" s="108"/>
      <c r="AE116" s="108"/>
      <c r="AF116" s="108"/>
      <c r="AG116" s="108"/>
      <c r="AH116" s="108"/>
      <c r="AI116" s="108"/>
      <c r="AJ116" s="108"/>
      <c r="AK116" s="108"/>
      <c r="AL116" s="108"/>
      <c r="AM116" s="108"/>
      <c r="AN116" s="108"/>
      <c r="AO116" s="108"/>
      <c r="AP116" s="108"/>
      <c r="AQ116" s="108"/>
      <c r="AR116" s="108"/>
      <c r="AS116" s="108"/>
      <c r="AT116" s="108"/>
      <c r="AU116" s="108"/>
      <c r="AV116" s="108"/>
      <c r="AW116" s="108"/>
      <c r="AX116" s="108"/>
      <c r="AY116" s="108"/>
      <c r="AZ116" s="108"/>
      <c r="BA116" s="108"/>
      <c r="BB116" s="108"/>
      <c r="BC116" s="108"/>
      <c r="BD116" s="108"/>
      <c r="BE116" s="108"/>
      <c r="BF116" s="108"/>
      <c r="BG116" s="108"/>
      <c r="BH116" s="108"/>
      <c r="BI116" s="108"/>
      <c r="BJ116" s="108"/>
      <c r="BK116" s="108"/>
      <c r="BL116" s="108"/>
      <c r="BM116" s="108"/>
      <c r="BN116" s="108"/>
      <c r="BO116" s="108"/>
      <c r="BP116" s="108"/>
      <c r="BQ116" s="108"/>
      <c r="BR116" s="108"/>
      <c r="BS116" s="108"/>
      <c r="BT116" s="108"/>
      <c r="BU116" s="108"/>
      <c r="BV116" s="108"/>
      <c r="BW116" s="108"/>
      <c r="BX116" s="108"/>
      <c r="BY116" s="108"/>
      <c r="BZ116" s="108"/>
      <c r="CA116" s="108"/>
      <c r="CB116" s="108"/>
      <c r="CC116" s="108"/>
      <c r="CD116" s="108"/>
      <c r="CE116" s="108"/>
      <c r="CF116" s="108"/>
      <c r="CG116" s="108"/>
      <c r="CH116" s="108"/>
      <c r="CI116" s="108"/>
      <c r="CJ116" s="108"/>
      <c r="CK116" s="108"/>
      <c r="CL116" s="108"/>
      <c r="CM116" s="108"/>
      <c r="CN116" s="108"/>
      <c r="CO116" s="108"/>
      <c r="CP116" s="108"/>
      <c r="CQ116" s="108"/>
      <c r="CR116" s="108"/>
      <c r="CS116" s="108"/>
      <c r="CT116" s="108"/>
      <c r="CU116" s="108"/>
      <c r="CV116" s="108"/>
      <c r="CW116" s="108"/>
      <c r="CX116" s="108"/>
      <c r="CY116" s="108"/>
      <c r="CZ116" s="108"/>
      <c r="DA116" s="108"/>
      <c r="DB116" s="108"/>
      <c r="DC116" s="108"/>
      <c r="DD116" s="108"/>
      <c r="DE116" s="108"/>
      <c r="DF116" s="108"/>
      <c r="DG116" s="108"/>
      <c r="DH116" s="108"/>
      <c r="DI116" s="108"/>
      <c r="DJ116" s="108"/>
      <c r="DK116" s="108"/>
      <c r="DL116" s="108"/>
      <c r="DM116" s="108"/>
      <c r="DN116" s="108"/>
      <c r="DO116" s="108"/>
      <c r="DP116" s="108"/>
      <c r="DQ116" s="108"/>
      <c r="DR116" s="108"/>
      <c r="DS116" s="108"/>
      <c r="DT116" s="108"/>
      <c r="DU116" s="108"/>
      <c r="DV116" s="108"/>
      <c r="DW116" s="108"/>
      <c r="DX116" s="108"/>
      <c r="DY116" s="108"/>
      <c r="DZ116" s="108"/>
      <c r="EA116" s="108"/>
      <c r="EB116" s="108"/>
      <c r="EC116" s="108"/>
      <c r="ED116" s="108"/>
      <c r="EE116" s="108"/>
      <c r="EF116" s="108"/>
      <c r="EG116" s="108"/>
      <c r="EH116" s="108"/>
      <c r="EI116" s="108"/>
      <c r="EJ116" s="108"/>
      <c r="EK116" s="108"/>
      <c r="EL116" s="108"/>
      <c r="EM116" s="108"/>
      <c r="EN116" s="108"/>
      <c r="EO116" s="108"/>
      <c r="EP116" s="108"/>
      <c r="EQ116" s="108"/>
      <c r="ER116" s="108"/>
      <c r="ES116" s="108"/>
      <c r="ET116" s="108"/>
      <c r="EU116" s="108"/>
      <c r="EV116" s="108"/>
      <c r="EW116" s="108"/>
      <c r="EX116" s="108"/>
      <c r="EY116" s="108"/>
      <c r="EZ116" s="108"/>
      <c r="FA116" s="108"/>
      <c r="FB116" s="108"/>
      <c r="FC116" s="108"/>
      <c r="FD116" s="108"/>
      <c r="FE116" s="108"/>
      <c r="FF116" s="108"/>
      <c r="FG116" s="108"/>
      <c r="FH116" s="108"/>
      <c r="FI116" s="108"/>
      <c r="FJ116" s="108"/>
      <c r="FK116" s="108"/>
      <c r="FL116" s="108"/>
      <c r="FM116" s="108"/>
      <c r="FN116" s="108"/>
      <c r="FO116" s="108"/>
      <c r="FP116" s="108"/>
      <c r="FQ116" s="108"/>
      <c r="FR116" s="108"/>
      <c r="FS116" s="108"/>
      <c r="FT116" s="108"/>
      <c r="FU116" s="108"/>
      <c r="FV116" s="108"/>
      <c r="FW116" s="108"/>
      <c r="FX116" s="108"/>
      <c r="FY116" s="108"/>
      <c r="FZ116" s="108"/>
      <c r="GA116" s="108"/>
      <c r="GB116" s="108"/>
      <c r="GC116" s="108"/>
      <c r="GD116" s="108"/>
      <c r="GE116" s="108"/>
      <c r="GF116" s="108"/>
      <c r="GG116" s="108"/>
      <c r="GH116" s="108"/>
      <c r="GI116" s="108"/>
      <c r="GJ116" s="108"/>
      <c r="GK116" s="108"/>
      <c r="GL116" s="108"/>
      <c r="GM116" s="108"/>
      <c r="GN116" s="108"/>
      <c r="GO116" s="108"/>
      <c r="GP116" s="108"/>
      <c r="GQ116" s="108"/>
      <c r="GR116" s="108"/>
      <c r="GS116" s="108"/>
      <c r="GT116" s="108"/>
      <c r="GU116" s="108"/>
      <c r="GV116" s="108"/>
      <c r="GW116" s="108"/>
      <c r="GX116" s="108"/>
      <c r="GY116" s="108"/>
      <c r="GZ116" s="108"/>
      <c r="HA116" s="108"/>
      <c r="HB116" s="108"/>
      <c r="HC116" s="108"/>
      <c r="HD116" s="108"/>
      <c r="HE116" s="108"/>
      <c r="HF116" s="108"/>
      <c r="HG116" s="108"/>
      <c r="HH116" s="108"/>
      <c r="HI116" s="108"/>
      <c r="HJ116" s="108"/>
      <c r="HK116" s="108"/>
      <c r="HL116" s="108"/>
      <c r="HM116" s="108"/>
      <c r="HN116" s="108"/>
      <c r="HO116" s="108"/>
      <c r="HP116" s="108"/>
      <c r="HQ116" s="108"/>
      <c r="HR116" s="108"/>
      <c r="HS116" s="108"/>
      <c r="HT116" s="108"/>
      <c r="HU116" s="108"/>
      <c r="HV116" s="108"/>
      <c r="HW116" s="108"/>
      <c r="HX116" s="108"/>
      <c r="HY116" s="108"/>
      <c r="HZ116" s="108"/>
      <c r="IA116" s="108"/>
      <c r="IB116" s="108"/>
      <c r="IC116" s="108"/>
      <c r="ID116" s="108"/>
      <c r="IE116" s="108"/>
      <c r="IF116" s="108"/>
      <c r="IG116" s="108"/>
      <c r="IH116" s="108"/>
      <c r="II116" s="108"/>
      <c r="IJ116" s="108"/>
      <c r="IK116" s="108"/>
      <c r="IL116" s="108"/>
      <c r="IM116" s="108"/>
      <c r="IN116" s="108"/>
      <c r="IO116" s="108"/>
      <c r="IP116" s="108"/>
      <c r="IQ116" s="108"/>
      <c r="IR116" s="108"/>
      <c r="IS116" s="108"/>
      <c r="IT116" s="108"/>
      <c r="IU116" s="108"/>
      <c r="IV116" s="108"/>
      <c r="IW116" s="108"/>
    </row>
    <row r="117" spans="1:257" x14ac:dyDescent="0.3">
      <c r="A117" s="158"/>
      <c r="B117" s="158"/>
      <c r="C117" s="158"/>
      <c r="D117" s="158"/>
      <c r="E117" s="158"/>
      <c r="F117" s="158"/>
      <c r="G117" s="158"/>
      <c r="H117" s="158"/>
      <c r="I117" s="158"/>
      <c r="J117" s="158"/>
      <c r="K117" s="158"/>
      <c r="L117" s="158"/>
      <c r="M117" s="158"/>
      <c r="N117" s="158"/>
      <c r="O117" s="108"/>
      <c r="P117" s="108"/>
      <c r="Q117" s="108"/>
      <c r="R117" s="108"/>
      <c r="S117" s="108"/>
      <c r="T117" s="108"/>
      <c r="U117" s="108"/>
      <c r="V117" s="108"/>
      <c r="W117" s="108"/>
      <c r="X117" s="108"/>
      <c r="Y117" s="108"/>
      <c r="Z117" s="108"/>
      <c r="AA117" s="108"/>
      <c r="AB117" s="108"/>
      <c r="AC117" s="108"/>
      <c r="AD117" s="108"/>
      <c r="AE117" s="108"/>
      <c r="AF117" s="108"/>
      <c r="AG117" s="108"/>
      <c r="AH117" s="108"/>
      <c r="AI117" s="108"/>
      <c r="AJ117" s="108"/>
      <c r="AK117" s="108"/>
      <c r="AL117" s="108"/>
      <c r="AM117" s="108"/>
      <c r="AN117" s="108"/>
      <c r="AO117" s="108"/>
      <c r="AP117" s="108"/>
      <c r="AQ117" s="108"/>
      <c r="AR117" s="108"/>
      <c r="AS117" s="108"/>
      <c r="AT117" s="108"/>
      <c r="AU117" s="108"/>
      <c r="AV117" s="108"/>
      <c r="AW117" s="108"/>
      <c r="AX117" s="108"/>
      <c r="AY117" s="108"/>
      <c r="AZ117" s="108"/>
      <c r="BA117" s="108"/>
      <c r="BB117" s="108"/>
      <c r="BC117" s="108"/>
      <c r="BD117" s="108"/>
      <c r="BE117" s="108"/>
      <c r="BF117" s="108"/>
      <c r="BG117" s="108"/>
      <c r="BH117" s="108"/>
      <c r="BI117" s="108"/>
      <c r="BJ117" s="108"/>
      <c r="BK117" s="108"/>
      <c r="BL117" s="108"/>
      <c r="BM117" s="108"/>
      <c r="BN117" s="108"/>
      <c r="BO117" s="108"/>
      <c r="BP117" s="108"/>
      <c r="BQ117" s="108"/>
      <c r="BR117" s="108"/>
      <c r="BS117" s="108"/>
      <c r="BT117" s="108"/>
      <c r="BU117" s="108"/>
      <c r="BV117" s="108"/>
      <c r="BW117" s="108"/>
      <c r="BX117" s="108"/>
      <c r="BY117" s="108"/>
      <c r="BZ117" s="108"/>
      <c r="CA117" s="108"/>
      <c r="CB117" s="108"/>
      <c r="CC117" s="108"/>
      <c r="CD117" s="108"/>
      <c r="CE117" s="108"/>
      <c r="CF117" s="108"/>
      <c r="CG117" s="108"/>
      <c r="CH117" s="108"/>
      <c r="CI117" s="108"/>
      <c r="CJ117" s="108"/>
      <c r="CK117" s="108"/>
      <c r="CL117" s="108"/>
      <c r="CM117" s="108"/>
      <c r="CN117" s="108"/>
      <c r="CO117" s="108"/>
      <c r="CP117" s="108"/>
      <c r="CQ117" s="108"/>
      <c r="CR117" s="108"/>
      <c r="CS117" s="108"/>
      <c r="CT117" s="108"/>
      <c r="CU117" s="108"/>
      <c r="CV117" s="108"/>
      <c r="CW117" s="108"/>
      <c r="CX117" s="108"/>
      <c r="CY117" s="108"/>
      <c r="CZ117" s="108"/>
      <c r="DA117" s="108"/>
      <c r="DB117" s="108"/>
      <c r="DC117" s="108"/>
      <c r="DD117" s="108"/>
      <c r="DE117" s="108"/>
      <c r="DF117" s="108"/>
      <c r="DG117" s="108"/>
      <c r="DH117" s="108"/>
      <c r="DI117" s="108"/>
      <c r="DJ117" s="108"/>
      <c r="DK117" s="108"/>
      <c r="DL117" s="108"/>
      <c r="DM117" s="108"/>
      <c r="DN117" s="108"/>
      <c r="DO117" s="108"/>
      <c r="DP117" s="108"/>
      <c r="DQ117" s="108"/>
      <c r="DR117" s="108"/>
      <c r="DS117" s="108"/>
      <c r="DT117" s="108"/>
      <c r="DU117" s="108"/>
      <c r="DV117" s="108"/>
      <c r="DW117" s="108"/>
      <c r="DX117" s="108"/>
      <c r="DY117" s="108"/>
      <c r="DZ117" s="108"/>
      <c r="EA117" s="108"/>
      <c r="EB117" s="108"/>
      <c r="EC117" s="108"/>
      <c r="ED117" s="108"/>
      <c r="EE117" s="108"/>
      <c r="EF117" s="108"/>
      <c r="EG117" s="108"/>
      <c r="EH117" s="108"/>
      <c r="EI117" s="108"/>
      <c r="EJ117" s="108"/>
      <c r="EK117" s="108"/>
      <c r="EL117" s="108"/>
      <c r="EM117" s="108"/>
      <c r="EN117" s="108"/>
      <c r="EO117" s="108"/>
      <c r="EP117" s="108"/>
      <c r="EQ117" s="108"/>
      <c r="ER117" s="108"/>
      <c r="ES117" s="108"/>
      <c r="ET117" s="108"/>
      <c r="EU117" s="108"/>
      <c r="EV117" s="108"/>
      <c r="EW117" s="108"/>
      <c r="EX117" s="108"/>
      <c r="EY117" s="108"/>
      <c r="EZ117" s="108"/>
      <c r="FA117" s="108"/>
      <c r="FB117" s="108"/>
      <c r="FC117" s="108"/>
      <c r="FD117" s="108"/>
      <c r="FE117" s="108"/>
      <c r="FF117" s="108"/>
      <c r="FG117" s="108"/>
      <c r="FH117" s="108"/>
      <c r="FI117" s="108"/>
      <c r="FJ117" s="108"/>
      <c r="FK117" s="108"/>
      <c r="FL117" s="108"/>
      <c r="FM117" s="108"/>
      <c r="FN117" s="108"/>
      <c r="FO117" s="108"/>
      <c r="FP117" s="108"/>
      <c r="FQ117" s="108"/>
      <c r="FR117" s="108"/>
      <c r="FS117" s="108"/>
      <c r="FT117" s="108"/>
      <c r="FU117" s="108"/>
      <c r="FV117" s="108"/>
      <c r="FW117" s="108"/>
      <c r="FX117" s="108"/>
      <c r="FY117" s="108"/>
      <c r="FZ117" s="108"/>
      <c r="GA117" s="108"/>
      <c r="GB117" s="108"/>
      <c r="GC117" s="108"/>
      <c r="GD117" s="108"/>
      <c r="GE117" s="108"/>
      <c r="GF117" s="108"/>
      <c r="GG117" s="108"/>
      <c r="GH117" s="108"/>
      <c r="GI117" s="108"/>
      <c r="GJ117" s="108"/>
      <c r="GK117" s="108"/>
      <c r="GL117" s="108"/>
      <c r="GM117" s="108"/>
      <c r="GN117" s="108"/>
      <c r="GO117" s="108"/>
      <c r="GP117" s="108"/>
      <c r="GQ117" s="108"/>
      <c r="GR117" s="108"/>
      <c r="GS117" s="108"/>
      <c r="GT117" s="108"/>
      <c r="GU117" s="108"/>
      <c r="GV117" s="108"/>
      <c r="GW117" s="108"/>
      <c r="GX117" s="108"/>
      <c r="GY117" s="108"/>
      <c r="GZ117" s="108"/>
      <c r="HA117" s="108"/>
      <c r="HB117" s="108"/>
      <c r="HC117" s="108"/>
      <c r="HD117" s="108"/>
      <c r="HE117" s="108"/>
      <c r="HF117" s="108"/>
      <c r="HG117" s="108"/>
      <c r="HH117" s="108"/>
      <c r="HI117" s="108"/>
      <c r="HJ117" s="108"/>
      <c r="HK117" s="108"/>
      <c r="HL117" s="108"/>
      <c r="HM117" s="108"/>
      <c r="HN117" s="108"/>
      <c r="HO117" s="108"/>
      <c r="HP117" s="108"/>
      <c r="HQ117" s="108"/>
      <c r="HR117" s="108"/>
      <c r="HS117" s="108"/>
      <c r="HT117" s="108"/>
      <c r="HU117" s="108"/>
      <c r="HV117" s="108"/>
      <c r="HW117" s="108"/>
      <c r="HX117" s="108"/>
      <c r="HY117" s="108"/>
      <c r="HZ117" s="108"/>
      <c r="IA117" s="108"/>
      <c r="IB117" s="108"/>
      <c r="IC117" s="108"/>
      <c r="ID117" s="108"/>
      <c r="IE117" s="108"/>
      <c r="IF117" s="108"/>
      <c r="IG117" s="108"/>
      <c r="IH117" s="108"/>
      <c r="II117" s="108"/>
      <c r="IJ117" s="108"/>
      <c r="IK117" s="108"/>
      <c r="IL117" s="108"/>
      <c r="IM117" s="108"/>
      <c r="IN117" s="108"/>
      <c r="IO117" s="108"/>
      <c r="IP117" s="108"/>
      <c r="IQ117" s="108"/>
      <c r="IR117" s="108"/>
      <c r="IS117" s="108"/>
      <c r="IT117" s="108"/>
      <c r="IU117" s="108"/>
      <c r="IV117" s="108"/>
      <c r="IW117" s="108"/>
    </row>
    <row r="118" spans="1:257" x14ac:dyDescent="0.3">
      <c r="A118" s="158"/>
      <c r="B118" s="158"/>
      <c r="C118" s="158"/>
      <c r="D118" s="158"/>
      <c r="E118" s="158"/>
      <c r="F118" s="158"/>
      <c r="G118" s="158"/>
      <c r="H118" s="158"/>
      <c r="I118" s="158"/>
      <c r="J118" s="158"/>
      <c r="K118" s="158"/>
      <c r="L118" s="158"/>
      <c r="M118" s="158"/>
      <c r="N118" s="158"/>
      <c r="O118" s="108"/>
      <c r="P118" s="108"/>
      <c r="Q118" s="108"/>
      <c r="R118" s="108"/>
      <c r="S118" s="108"/>
      <c r="T118" s="108"/>
      <c r="U118" s="108"/>
      <c r="V118" s="108"/>
      <c r="W118" s="108"/>
      <c r="X118" s="108"/>
      <c r="Y118" s="108"/>
      <c r="Z118" s="108"/>
      <c r="AA118" s="108"/>
      <c r="AB118" s="108"/>
      <c r="AC118" s="108"/>
      <c r="AD118" s="108"/>
      <c r="AE118" s="108"/>
      <c r="AF118" s="108"/>
      <c r="AG118" s="108"/>
      <c r="AH118" s="108"/>
      <c r="AI118" s="108"/>
      <c r="AJ118" s="108"/>
      <c r="AK118" s="108"/>
      <c r="AL118" s="108"/>
      <c r="AM118" s="108"/>
      <c r="AN118" s="108"/>
      <c r="AO118" s="108"/>
      <c r="AP118" s="108"/>
      <c r="AQ118" s="108"/>
      <c r="AR118" s="108"/>
      <c r="AS118" s="108"/>
      <c r="AT118" s="108"/>
      <c r="AU118" s="108"/>
      <c r="AV118" s="108"/>
      <c r="AW118" s="108"/>
      <c r="AX118" s="108"/>
      <c r="AY118" s="108"/>
      <c r="AZ118" s="108"/>
      <c r="BA118" s="108"/>
      <c r="BB118" s="108"/>
      <c r="BC118" s="108"/>
      <c r="BD118" s="108"/>
      <c r="BE118" s="108"/>
      <c r="BF118" s="108"/>
      <c r="BG118" s="108"/>
      <c r="BH118" s="108"/>
      <c r="BI118" s="108"/>
      <c r="BJ118" s="108"/>
      <c r="BK118" s="108"/>
      <c r="BL118" s="108"/>
      <c r="BM118" s="108"/>
      <c r="BN118" s="108"/>
      <c r="BO118" s="108"/>
      <c r="BP118" s="108"/>
      <c r="BQ118" s="108"/>
      <c r="BR118" s="108"/>
      <c r="BS118" s="108"/>
      <c r="BT118" s="108"/>
      <c r="BU118" s="108"/>
      <c r="BV118" s="108"/>
      <c r="BW118" s="108"/>
      <c r="BX118" s="108"/>
      <c r="BY118" s="108"/>
      <c r="BZ118" s="108"/>
      <c r="CA118" s="108"/>
      <c r="CB118" s="108"/>
      <c r="CC118" s="108"/>
      <c r="CD118" s="108"/>
      <c r="CE118" s="108"/>
      <c r="CF118" s="108"/>
      <c r="CG118" s="108"/>
      <c r="CH118" s="108"/>
      <c r="CI118" s="108"/>
      <c r="CJ118" s="108"/>
      <c r="CK118" s="108"/>
      <c r="CL118" s="108"/>
      <c r="CM118" s="108"/>
      <c r="CN118" s="108"/>
      <c r="CO118" s="108"/>
      <c r="CP118" s="108"/>
      <c r="CQ118" s="108"/>
      <c r="CR118" s="108"/>
      <c r="CS118" s="108"/>
      <c r="CT118" s="108"/>
      <c r="CU118" s="108"/>
      <c r="CV118" s="108"/>
      <c r="CW118" s="108"/>
      <c r="CX118" s="108"/>
      <c r="CY118" s="108"/>
      <c r="CZ118" s="108"/>
      <c r="DA118" s="108"/>
      <c r="DB118" s="108"/>
      <c r="DC118" s="108"/>
      <c r="DD118" s="108"/>
      <c r="DE118" s="108"/>
      <c r="DF118" s="108"/>
      <c r="DG118" s="108"/>
      <c r="DH118" s="108"/>
      <c r="DI118" s="108"/>
      <c r="DJ118" s="108"/>
      <c r="DK118" s="108"/>
      <c r="DL118" s="108"/>
      <c r="DM118" s="108"/>
      <c r="DN118" s="108"/>
      <c r="DO118" s="108"/>
      <c r="DP118" s="108"/>
      <c r="DQ118" s="108"/>
      <c r="DR118" s="108"/>
      <c r="DS118" s="108"/>
      <c r="DT118" s="108"/>
      <c r="DU118" s="108"/>
      <c r="DV118" s="108"/>
      <c r="DW118" s="108"/>
      <c r="DX118" s="108"/>
      <c r="DY118" s="108"/>
      <c r="DZ118" s="108"/>
      <c r="EA118" s="108"/>
      <c r="EB118" s="108"/>
      <c r="EC118" s="108"/>
      <c r="ED118" s="108"/>
      <c r="EE118" s="108"/>
      <c r="EF118" s="108"/>
      <c r="EG118" s="108"/>
      <c r="EH118" s="108"/>
      <c r="EI118" s="108"/>
      <c r="EJ118" s="108"/>
      <c r="EK118" s="108"/>
      <c r="EL118" s="108"/>
      <c r="EM118" s="108"/>
      <c r="EN118" s="108"/>
      <c r="EO118" s="108"/>
      <c r="EP118" s="108"/>
      <c r="EQ118" s="108"/>
      <c r="ER118" s="108"/>
      <c r="ES118" s="108"/>
      <c r="ET118" s="108"/>
      <c r="EU118" s="108"/>
      <c r="EV118" s="108"/>
      <c r="EW118" s="108"/>
      <c r="EX118" s="108"/>
      <c r="EY118" s="108"/>
      <c r="EZ118" s="108"/>
      <c r="FA118" s="108"/>
      <c r="FB118" s="108"/>
      <c r="FC118" s="108"/>
      <c r="FD118" s="108"/>
      <c r="FE118" s="108"/>
      <c r="FF118" s="108"/>
      <c r="FG118" s="108"/>
      <c r="FH118" s="108"/>
      <c r="FI118" s="108"/>
      <c r="FJ118" s="108"/>
      <c r="FK118" s="108"/>
      <c r="FL118" s="108"/>
      <c r="FM118" s="108"/>
      <c r="FN118" s="108"/>
      <c r="FO118" s="108"/>
      <c r="FP118" s="108"/>
      <c r="FQ118" s="108"/>
      <c r="FR118" s="108"/>
      <c r="FS118" s="108"/>
      <c r="FT118" s="108"/>
      <c r="FU118" s="108"/>
      <c r="FV118" s="108"/>
      <c r="FW118" s="108"/>
      <c r="FX118" s="108"/>
      <c r="FY118" s="108"/>
      <c r="FZ118" s="108"/>
      <c r="GA118" s="108"/>
      <c r="GB118" s="108"/>
      <c r="GC118" s="108"/>
      <c r="GD118" s="108"/>
      <c r="GE118" s="108"/>
      <c r="GF118" s="108"/>
      <c r="GG118" s="108"/>
      <c r="GH118" s="108"/>
      <c r="GI118" s="108"/>
      <c r="GJ118" s="108"/>
      <c r="GK118" s="108"/>
      <c r="GL118" s="108"/>
      <c r="GM118" s="108"/>
      <c r="GN118" s="108"/>
      <c r="GO118" s="108"/>
      <c r="GP118" s="108"/>
      <c r="GQ118" s="108"/>
      <c r="GR118" s="108"/>
      <c r="GS118" s="108"/>
      <c r="GT118" s="108"/>
      <c r="GU118" s="108"/>
      <c r="GV118" s="108"/>
      <c r="GW118" s="108"/>
      <c r="GX118" s="108"/>
      <c r="GY118" s="108"/>
      <c r="GZ118" s="108"/>
      <c r="HA118" s="108"/>
      <c r="HB118" s="108"/>
      <c r="HC118" s="108"/>
      <c r="HD118" s="108"/>
      <c r="HE118" s="108"/>
      <c r="HF118" s="108"/>
      <c r="HG118" s="108"/>
      <c r="HH118" s="108"/>
      <c r="HI118" s="108"/>
      <c r="HJ118" s="108"/>
      <c r="HK118" s="108"/>
      <c r="HL118" s="108"/>
      <c r="HM118" s="108"/>
      <c r="HN118" s="108"/>
      <c r="HO118" s="108"/>
      <c r="HP118" s="108"/>
      <c r="HQ118" s="108"/>
      <c r="HR118" s="108"/>
      <c r="HS118" s="108"/>
      <c r="HT118" s="108"/>
      <c r="HU118" s="108"/>
      <c r="HV118" s="108"/>
      <c r="HW118" s="108"/>
      <c r="HX118" s="108"/>
      <c r="HY118" s="108"/>
      <c r="HZ118" s="108"/>
      <c r="IA118" s="108"/>
      <c r="IB118" s="108"/>
      <c r="IC118" s="108"/>
      <c r="ID118" s="108"/>
      <c r="IE118" s="108"/>
      <c r="IF118" s="108"/>
      <c r="IG118" s="108"/>
      <c r="IH118" s="108"/>
      <c r="II118" s="108"/>
      <c r="IJ118" s="108"/>
      <c r="IK118" s="108"/>
      <c r="IL118" s="108"/>
      <c r="IM118" s="108"/>
      <c r="IN118" s="108"/>
      <c r="IO118" s="108"/>
      <c r="IP118" s="108"/>
      <c r="IQ118" s="108"/>
      <c r="IR118" s="108"/>
      <c r="IS118" s="108"/>
      <c r="IT118" s="108"/>
      <c r="IU118" s="108"/>
      <c r="IV118" s="108"/>
      <c r="IW118" s="108"/>
    </row>
    <row r="119" spans="1:257" x14ac:dyDescent="0.3">
      <c r="A119" s="158"/>
      <c r="B119" s="158"/>
      <c r="C119" s="158"/>
      <c r="D119" s="158"/>
      <c r="E119" s="158"/>
      <c r="F119" s="158"/>
      <c r="G119" s="158"/>
      <c r="H119" s="158"/>
      <c r="I119" s="158"/>
      <c r="J119" s="158"/>
      <c r="K119" s="158"/>
      <c r="L119" s="158"/>
      <c r="M119" s="158"/>
      <c r="N119" s="158"/>
      <c r="O119" s="108"/>
      <c r="P119" s="108"/>
      <c r="Q119" s="108"/>
      <c r="R119" s="108"/>
      <c r="S119" s="108"/>
      <c r="T119" s="108"/>
      <c r="U119" s="108"/>
      <c r="V119" s="108"/>
      <c r="W119" s="108"/>
      <c r="X119" s="108"/>
      <c r="Y119" s="108"/>
      <c r="Z119" s="108"/>
      <c r="AA119" s="108"/>
      <c r="AB119" s="108"/>
      <c r="AC119" s="108"/>
      <c r="AD119" s="108"/>
      <c r="AE119" s="108"/>
      <c r="AF119" s="108"/>
      <c r="AG119" s="108"/>
      <c r="AH119" s="108"/>
      <c r="AI119" s="108"/>
      <c r="AJ119" s="108"/>
      <c r="AK119" s="108"/>
      <c r="AL119" s="108"/>
      <c r="AM119" s="108"/>
      <c r="AN119" s="108"/>
      <c r="AO119" s="108"/>
      <c r="AP119" s="108"/>
      <c r="AQ119" s="108"/>
      <c r="AR119" s="108"/>
      <c r="AS119" s="108"/>
      <c r="AT119" s="108"/>
      <c r="AU119" s="108"/>
      <c r="AV119" s="108"/>
      <c r="AW119" s="108"/>
      <c r="AX119" s="108"/>
      <c r="AY119" s="108"/>
      <c r="AZ119" s="108"/>
      <c r="BA119" s="108"/>
      <c r="BB119" s="108"/>
      <c r="BC119" s="108"/>
      <c r="BD119" s="108"/>
      <c r="BE119" s="108"/>
      <c r="BF119" s="108"/>
      <c r="BG119" s="108"/>
      <c r="BH119" s="108"/>
      <c r="BI119" s="108"/>
      <c r="BJ119" s="108"/>
      <c r="BK119" s="108"/>
      <c r="BL119" s="108"/>
      <c r="BM119" s="108"/>
      <c r="BN119" s="108"/>
      <c r="BO119" s="108"/>
      <c r="BP119" s="108"/>
      <c r="BQ119" s="108"/>
      <c r="BR119" s="108"/>
      <c r="BS119" s="108"/>
      <c r="BT119" s="108"/>
      <c r="BU119" s="108"/>
      <c r="BV119" s="108"/>
      <c r="BW119" s="108"/>
      <c r="BX119" s="108"/>
      <c r="BY119" s="108"/>
      <c r="BZ119" s="108"/>
      <c r="CA119" s="108"/>
      <c r="CB119" s="108"/>
      <c r="CC119" s="108"/>
      <c r="CD119" s="108"/>
      <c r="CE119" s="108"/>
      <c r="CF119" s="108"/>
      <c r="CG119" s="108"/>
      <c r="CH119" s="108"/>
      <c r="CI119" s="108"/>
      <c r="CJ119" s="108"/>
      <c r="CK119" s="108"/>
      <c r="CL119" s="108"/>
      <c r="CM119" s="108"/>
      <c r="CN119" s="108"/>
      <c r="CO119" s="108"/>
      <c r="CP119" s="108"/>
      <c r="CQ119" s="108"/>
      <c r="CR119" s="108"/>
      <c r="CS119" s="108"/>
      <c r="CT119" s="108"/>
      <c r="CU119" s="108"/>
      <c r="CV119" s="108"/>
      <c r="CW119" s="108"/>
      <c r="CX119" s="108"/>
      <c r="CY119" s="108"/>
      <c r="CZ119" s="108"/>
      <c r="DA119" s="108"/>
      <c r="DB119" s="108"/>
      <c r="DC119" s="108"/>
      <c r="DD119" s="108"/>
      <c r="DE119" s="108"/>
      <c r="DF119" s="108"/>
      <c r="DG119" s="108"/>
      <c r="DH119" s="108"/>
      <c r="DI119" s="108"/>
      <c r="DJ119" s="108"/>
      <c r="DK119" s="108"/>
      <c r="DL119" s="108"/>
      <c r="DM119" s="108"/>
      <c r="DN119" s="108"/>
      <c r="DO119" s="108"/>
      <c r="DP119" s="108"/>
      <c r="DQ119" s="108"/>
      <c r="DR119" s="108"/>
      <c r="DS119" s="108"/>
      <c r="DT119" s="108"/>
      <c r="DU119" s="108"/>
      <c r="DV119" s="108"/>
      <c r="DW119" s="108"/>
      <c r="DX119" s="108"/>
      <c r="DY119" s="108"/>
      <c r="DZ119" s="108"/>
      <c r="EA119" s="108"/>
      <c r="EB119" s="108"/>
      <c r="EC119" s="108"/>
      <c r="ED119" s="108"/>
      <c r="EE119" s="108"/>
      <c r="EF119" s="108"/>
      <c r="EG119" s="108"/>
      <c r="EH119" s="108"/>
      <c r="EI119" s="108"/>
      <c r="EJ119" s="108"/>
      <c r="EK119" s="108"/>
      <c r="EL119" s="108"/>
      <c r="EM119" s="108"/>
      <c r="EN119" s="108"/>
      <c r="EO119" s="108"/>
      <c r="EP119" s="108"/>
      <c r="EQ119" s="108"/>
      <c r="ER119" s="108"/>
      <c r="ES119" s="108"/>
      <c r="ET119" s="108"/>
      <c r="EU119" s="108"/>
      <c r="EV119" s="108"/>
      <c r="EW119" s="108"/>
      <c r="EX119" s="108"/>
      <c r="EY119" s="108"/>
      <c r="EZ119" s="108"/>
      <c r="FA119" s="108"/>
      <c r="FB119" s="108"/>
      <c r="FC119" s="108"/>
      <c r="FD119" s="108"/>
      <c r="FE119" s="108"/>
      <c r="FF119" s="108"/>
      <c r="FG119" s="108"/>
      <c r="FH119" s="108"/>
      <c r="FI119" s="108"/>
      <c r="FJ119" s="108"/>
      <c r="FK119" s="108"/>
      <c r="FL119" s="108"/>
      <c r="FM119" s="108"/>
      <c r="FN119" s="108"/>
      <c r="FO119" s="108"/>
      <c r="FP119" s="108"/>
      <c r="FQ119" s="108"/>
      <c r="FR119" s="108"/>
      <c r="FS119" s="108"/>
      <c r="FT119" s="108"/>
      <c r="FU119" s="108"/>
      <c r="FV119" s="108"/>
      <c r="FW119" s="108"/>
      <c r="FX119" s="108"/>
      <c r="FY119" s="108"/>
      <c r="FZ119" s="108"/>
      <c r="GA119" s="108"/>
      <c r="GB119" s="108"/>
      <c r="GC119" s="108"/>
      <c r="GD119" s="108"/>
      <c r="GE119" s="108"/>
      <c r="GF119" s="108"/>
      <c r="GG119" s="108"/>
      <c r="GH119" s="108"/>
      <c r="GI119" s="108"/>
      <c r="GJ119" s="108"/>
      <c r="GK119" s="108"/>
      <c r="GL119" s="108"/>
      <c r="GM119" s="108"/>
      <c r="GN119" s="108"/>
      <c r="GO119" s="108"/>
      <c r="GP119" s="108"/>
      <c r="GQ119" s="108"/>
      <c r="GR119" s="108"/>
      <c r="GS119" s="108"/>
      <c r="GT119" s="108"/>
      <c r="GU119" s="108"/>
      <c r="GV119" s="108"/>
      <c r="GW119" s="108"/>
      <c r="GX119" s="108"/>
      <c r="GY119" s="108"/>
      <c r="GZ119" s="108"/>
      <c r="HA119" s="108"/>
      <c r="HB119" s="108"/>
      <c r="HC119" s="108"/>
      <c r="HD119" s="108"/>
      <c r="HE119" s="108"/>
      <c r="HF119" s="108"/>
      <c r="HG119" s="108"/>
      <c r="HH119" s="108"/>
      <c r="HI119" s="108"/>
      <c r="HJ119" s="108"/>
      <c r="HK119" s="108"/>
      <c r="HL119" s="108"/>
      <c r="HM119" s="108"/>
      <c r="HN119" s="108"/>
      <c r="HO119" s="108"/>
      <c r="HP119" s="108"/>
      <c r="HQ119" s="108"/>
      <c r="HR119" s="108"/>
      <c r="HS119" s="108"/>
      <c r="HT119" s="108"/>
      <c r="HU119" s="108"/>
      <c r="HV119" s="108"/>
      <c r="HW119" s="108"/>
      <c r="HX119" s="108"/>
      <c r="HY119" s="108"/>
      <c r="HZ119" s="108"/>
      <c r="IA119" s="108"/>
      <c r="IB119" s="108"/>
      <c r="IC119" s="108"/>
      <c r="ID119" s="108"/>
      <c r="IE119" s="108"/>
      <c r="IF119" s="108"/>
      <c r="IG119" s="108"/>
      <c r="IH119" s="108"/>
      <c r="II119" s="108"/>
      <c r="IJ119" s="108"/>
      <c r="IK119" s="108"/>
      <c r="IL119" s="108"/>
      <c r="IM119" s="108"/>
      <c r="IN119" s="108"/>
      <c r="IO119" s="108"/>
      <c r="IP119" s="108"/>
      <c r="IQ119" s="108"/>
      <c r="IR119" s="108"/>
      <c r="IS119" s="108"/>
      <c r="IT119" s="108"/>
      <c r="IU119" s="108"/>
      <c r="IV119" s="108"/>
      <c r="IW119" s="108"/>
    </row>
    <row r="120" spans="1:257" x14ac:dyDescent="0.3">
      <c r="A120" s="158"/>
      <c r="B120" s="158"/>
      <c r="C120" s="158"/>
      <c r="D120" s="158"/>
      <c r="E120" s="158"/>
      <c r="F120" s="158"/>
      <c r="G120" s="158"/>
      <c r="H120" s="158"/>
      <c r="I120" s="158"/>
      <c r="J120" s="158"/>
      <c r="K120" s="158"/>
      <c r="L120" s="158"/>
      <c r="M120" s="158"/>
      <c r="N120" s="158"/>
      <c r="O120" s="108"/>
      <c r="P120" s="108"/>
      <c r="Q120" s="108"/>
      <c r="R120" s="108"/>
      <c r="S120" s="108"/>
      <c r="T120" s="108"/>
      <c r="U120" s="108"/>
      <c r="V120" s="108"/>
      <c r="W120" s="108"/>
      <c r="X120" s="108"/>
      <c r="Y120" s="108"/>
      <c r="Z120" s="108"/>
      <c r="AA120" s="108"/>
      <c r="AB120" s="108"/>
      <c r="AC120" s="108"/>
      <c r="AD120" s="108"/>
      <c r="AE120" s="108"/>
      <c r="AF120" s="108"/>
      <c r="AG120" s="108"/>
      <c r="AH120" s="108"/>
      <c r="AI120" s="108"/>
      <c r="AJ120" s="108"/>
      <c r="AK120" s="108"/>
      <c r="AL120" s="108"/>
      <c r="AM120" s="108"/>
      <c r="AN120" s="108"/>
      <c r="AO120" s="108"/>
      <c r="AP120" s="108"/>
      <c r="AQ120" s="108"/>
      <c r="AR120" s="108"/>
      <c r="AS120" s="108"/>
      <c r="AT120" s="108"/>
      <c r="AU120" s="108"/>
      <c r="AV120" s="108"/>
      <c r="AW120" s="108"/>
      <c r="AX120" s="108"/>
      <c r="AY120" s="108"/>
      <c r="AZ120" s="108"/>
      <c r="BA120" s="108"/>
      <c r="BB120" s="108"/>
      <c r="BC120" s="108"/>
      <c r="BD120" s="108"/>
      <c r="BE120" s="108"/>
      <c r="BF120" s="108"/>
      <c r="BG120" s="108"/>
      <c r="BH120" s="108"/>
      <c r="BI120" s="108"/>
      <c r="BJ120" s="108"/>
      <c r="BK120" s="108"/>
      <c r="BL120" s="108"/>
      <c r="BM120" s="108"/>
      <c r="BN120" s="108"/>
      <c r="BO120" s="108"/>
      <c r="BP120" s="108"/>
      <c r="BQ120" s="108"/>
      <c r="BR120" s="108"/>
      <c r="BS120" s="108"/>
      <c r="BT120" s="108"/>
      <c r="BU120" s="108"/>
      <c r="BV120" s="108"/>
      <c r="BW120" s="108"/>
      <c r="BX120" s="108"/>
      <c r="BY120" s="108"/>
      <c r="BZ120" s="108"/>
      <c r="CA120" s="108"/>
      <c r="CB120" s="108"/>
      <c r="CC120" s="108"/>
      <c r="CD120" s="108"/>
      <c r="CE120" s="108"/>
      <c r="CF120" s="108"/>
      <c r="CG120" s="108"/>
      <c r="CH120" s="108"/>
      <c r="CI120" s="108"/>
      <c r="CJ120" s="108"/>
      <c r="CK120" s="108"/>
      <c r="CL120" s="108"/>
      <c r="CM120" s="108"/>
      <c r="CN120" s="108"/>
      <c r="CO120" s="108"/>
      <c r="CP120" s="108"/>
      <c r="CQ120" s="108"/>
      <c r="CR120" s="108"/>
      <c r="CS120" s="108"/>
      <c r="CT120" s="108"/>
      <c r="CU120" s="108"/>
      <c r="CV120" s="108"/>
      <c r="CW120" s="108"/>
      <c r="CX120" s="108"/>
      <c r="CY120" s="108"/>
      <c r="CZ120" s="108"/>
      <c r="DA120" s="108"/>
      <c r="DB120" s="108"/>
      <c r="DC120" s="108"/>
      <c r="DD120" s="108"/>
      <c r="DE120" s="108"/>
      <c r="DF120" s="108"/>
      <c r="DG120" s="108"/>
      <c r="DH120" s="108"/>
      <c r="DI120" s="108"/>
      <c r="DJ120" s="108"/>
      <c r="DK120" s="108"/>
      <c r="DL120" s="108"/>
      <c r="DM120" s="108"/>
      <c r="DN120" s="108"/>
      <c r="DO120" s="108"/>
      <c r="DP120" s="108"/>
      <c r="DQ120" s="108"/>
      <c r="DR120" s="108"/>
      <c r="DS120" s="108"/>
      <c r="DT120" s="108"/>
      <c r="DU120" s="108"/>
      <c r="DV120" s="108"/>
      <c r="DW120" s="108"/>
      <c r="DX120" s="108"/>
      <c r="DY120" s="108"/>
      <c r="DZ120" s="108"/>
      <c r="EA120" s="108"/>
      <c r="EB120" s="108"/>
      <c r="EC120" s="108"/>
      <c r="ED120" s="108"/>
      <c r="EE120" s="108"/>
      <c r="EF120" s="108"/>
      <c r="EG120" s="108"/>
      <c r="EH120" s="108"/>
      <c r="EI120" s="108"/>
      <c r="EJ120" s="108"/>
      <c r="EK120" s="108"/>
      <c r="EL120" s="108"/>
      <c r="EM120" s="108"/>
      <c r="EN120" s="108"/>
      <c r="EO120" s="108"/>
      <c r="EP120" s="108"/>
      <c r="EQ120" s="108"/>
      <c r="ER120" s="108"/>
      <c r="ES120" s="108"/>
      <c r="ET120" s="108"/>
      <c r="EU120" s="108"/>
      <c r="EV120" s="108"/>
      <c r="EW120" s="108"/>
      <c r="EX120" s="108"/>
      <c r="EY120" s="108"/>
      <c r="EZ120" s="108"/>
      <c r="FA120" s="108"/>
      <c r="FB120" s="108"/>
      <c r="FC120" s="108"/>
      <c r="FD120" s="108"/>
      <c r="FE120" s="108"/>
      <c r="FF120" s="108"/>
      <c r="FG120" s="108"/>
      <c r="FH120" s="108"/>
      <c r="FI120" s="108"/>
      <c r="FJ120" s="108"/>
      <c r="FK120" s="108"/>
      <c r="FL120" s="108"/>
      <c r="FM120" s="108"/>
      <c r="FN120" s="108"/>
      <c r="FO120" s="108"/>
      <c r="FP120" s="108"/>
      <c r="FQ120" s="108"/>
      <c r="FR120" s="108"/>
      <c r="FS120" s="108"/>
      <c r="FT120" s="108"/>
      <c r="FU120" s="108"/>
      <c r="FV120" s="108"/>
      <c r="FW120" s="108"/>
      <c r="FX120" s="108"/>
      <c r="FY120" s="108"/>
      <c r="FZ120" s="108"/>
      <c r="GA120" s="108"/>
      <c r="GB120" s="108"/>
      <c r="GC120" s="108"/>
      <c r="GD120" s="108"/>
      <c r="GE120" s="108"/>
      <c r="GF120" s="108"/>
      <c r="GG120" s="108"/>
      <c r="GH120" s="108"/>
      <c r="GI120" s="108"/>
      <c r="GJ120" s="108"/>
      <c r="GK120" s="108"/>
      <c r="GL120" s="108"/>
      <c r="GM120" s="108"/>
      <c r="GN120" s="108"/>
      <c r="GO120" s="108"/>
      <c r="GP120" s="108"/>
      <c r="GQ120" s="108"/>
      <c r="GR120" s="108"/>
      <c r="GS120" s="108"/>
      <c r="GT120" s="108"/>
      <c r="GU120" s="108"/>
      <c r="GV120" s="108"/>
      <c r="GW120" s="108"/>
      <c r="GX120" s="108"/>
      <c r="GY120" s="108"/>
      <c r="GZ120" s="108"/>
      <c r="HA120" s="108"/>
      <c r="HB120" s="108"/>
      <c r="HC120" s="108"/>
      <c r="HD120" s="108"/>
      <c r="HE120" s="108"/>
      <c r="HF120" s="108"/>
      <c r="HG120" s="108"/>
      <c r="HH120" s="108"/>
      <c r="HI120" s="108"/>
      <c r="HJ120" s="108"/>
      <c r="HK120" s="108"/>
      <c r="HL120" s="108"/>
      <c r="HM120" s="108"/>
      <c r="HN120" s="108"/>
      <c r="HO120" s="108"/>
      <c r="HP120" s="108"/>
      <c r="HQ120" s="108"/>
      <c r="HR120" s="108"/>
      <c r="HS120" s="108"/>
      <c r="HT120" s="108"/>
      <c r="HU120" s="108"/>
      <c r="HV120" s="108"/>
      <c r="HW120" s="108"/>
      <c r="HX120" s="108"/>
      <c r="HY120" s="108"/>
      <c r="HZ120" s="108"/>
      <c r="IA120" s="108"/>
      <c r="IB120" s="108"/>
      <c r="IC120" s="108"/>
      <c r="ID120" s="108"/>
      <c r="IE120" s="108"/>
      <c r="IF120" s="108"/>
      <c r="IG120" s="108"/>
      <c r="IH120" s="108"/>
      <c r="II120" s="108"/>
      <c r="IJ120" s="108"/>
      <c r="IK120" s="108"/>
      <c r="IL120" s="108"/>
      <c r="IM120" s="108"/>
      <c r="IN120" s="108"/>
      <c r="IO120" s="108"/>
      <c r="IP120" s="108"/>
      <c r="IQ120" s="108"/>
      <c r="IR120" s="108"/>
      <c r="IS120" s="108"/>
      <c r="IT120" s="108"/>
      <c r="IU120" s="108"/>
      <c r="IV120" s="108"/>
      <c r="IW120" s="108"/>
    </row>
    <row r="121" spans="1:257" x14ac:dyDescent="0.3">
      <c r="A121" s="158"/>
      <c r="B121" s="158"/>
      <c r="C121" s="158"/>
      <c r="D121" s="158"/>
      <c r="E121" s="158"/>
      <c r="F121" s="158"/>
      <c r="G121" s="158"/>
      <c r="H121" s="158"/>
      <c r="I121" s="158"/>
      <c r="J121" s="158"/>
      <c r="K121" s="158"/>
      <c r="L121" s="158"/>
      <c r="M121" s="158"/>
      <c r="N121" s="158"/>
      <c r="O121" s="108"/>
      <c r="P121" s="108"/>
      <c r="Q121" s="108"/>
      <c r="R121" s="108"/>
      <c r="S121" s="108"/>
      <c r="T121" s="108"/>
      <c r="U121" s="108"/>
      <c r="V121" s="108"/>
      <c r="W121" s="108"/>
      <c r="X121" s="108"/>
      <c r="Y121" s="108"/>
      <c r="Z121" s="108"/>
      <c r="AA121" s="108"/>
      <c r="AB121" s="108"/>
      <c r="AC121" s="108"/>
      <c r="AD121" s="108"/>
      <c r="AE121" s="108"/>
      <c r="AF121" s="108"/>
      <c r="AG121" s="108"/>
      <c r="AH121" s="108"/>
      <c r="AI121" s="108"/>
      <c r="AJ121" s="108"/>
      <c r="AK121" s="108"/>
      <c r="AL121" s="108"/>
      <c r="AM121" s="108"/>
      <c r="AN121" s="108"/>
      <c r="AO121" s="108"/>
      <c r="AP121" s="108"/>
      <c r="AQ121" s="108"/>
      <c r="AR121" s="108"/>
      <c r="AS121" s="108"/>
      <c r="AT121" s="108"/>
      <c r="AU121" s="108"/>
      <c r="AV121" s="108"/>
      <c r="AW121" s="108"/>
      <c r="AX121" s="108"/>
      <c r="AY121" s="108"/>
      <c r="AZ121" s="108"/>
      <c r="BA121" s="108"/>
      <c r="BB121" s="108"/>
      <c r="BC121" s="108"/>
      <c r="BD121" s="108"/>
      <c r="BE121" s="108"/>
      <c r="BF121" s="108"/>
      <c r="BG121" s="108"/>
      <c r="BH121" s="108"/>
      <c r="BI121" s="108"/>
      <c r="BJ121" s="108"/>
      <c r="BK121" s="108"/>
      <c r="BL121" s="108"/>
      <c r="BM121" s="108"/>
      <c r="BN121" s="108"/>
      <c r="BO121" s="108"/>
      <c r="BP121" s="108"/>
      <c r="BQ121" s="108"/>
      <c r="BR121" s="108"/>
      <c r="BS121" s="108"/>
      <c r="BT121" s="108"/>
      <c r="BU121" s="108"/>
      <c r="BV121" s="108"/>
      <c r="BW121" s="108"/>
      <c r="BX121" s="108"/>
      <c r="BY121" s="108"/>
      <c r="BZ121" s="108"/>
      <c r="CA121" s="108"/>
      <c r="CB121" s="108"/>
      <c r="CC121" s="108"/>
      <c r="CD121" s="108"/>
      <c r="CE121" s="108"/>
      <c r="CF121" s="108"/>
      <c r="CG121" s="108"/>
      <c r="CH121" s="108"/>
      <c r="CI121" s="108"/>
      <c r="CJ121" s="108"/>
      <c r="CK121" s="108"/>
      <c r="CL121" s="108"/>
      <c r="CM121" s="108"/>
      <c r="CN121" s="108"/>
      <c r="CO121" s="108"/>
      <c r="CP121" s="108"/>
      <c r="CQ121" s="108"/>
      <c r="CR121" s="108"/>
      <c r="CS121" s="108"/>
      <c r="CT121" s="108"/>
      <c r="CU121" s="108"/>
      <c r="CV121" s="108"/>
      <c r="CW121" s="108"/>
      <c r="CX121" s="108"/>
      <c r="CY121" s="108"/>
      <c r="CZ121" s="108"/>
      <c r="DA121" s="108"/>
      <c r="DB121" s="108"/>
      <c r="DC121" s="108"/>
      <c r="DD121" s="108"/>
      <c r="DE121" s="108"/>
      <c r="DF121" s="108"/>
      <c r="DG121" s="108"/>
      <c r="DH121" s="108"/>
      <c r="DI121" s="108"/>
      <c r="DJ121" s="108"/>
      <c r="DK121" s="108"/>
      <c r="DL121" s="108"/>
      <c r="DM121" s="108"/>
      <c r="DN121" s="108"/>
      <c r="DO121" s="108"/>
      <c r="DP121" s="108"/>
      <c r="DQ121" s="108"/>
      <c r="DR121" s="108"/>
      <c r="DS121" s="108"/>
      <c r="DT121" s="108"/>
      <c r="DU121" s="108"/>
      <c r="DV121" s="108"/>
      <c r="DW121" s="108"/>
      <c r="DX121" s="108"/>
      <c r="DY121" s="108"/>
      <c r="DZ121" s="108"/>
      <c r="EA121" s="108"/>
      <c r="EB121" s="108"/>
      <c r="EC121" s="108"/>
      <c r="ED121" s="108"/>
      <c r="EE121" s="108"/>
      <c r="EF121" s="108"/>
      <c r="EG121" s="108"/>
      <c r="EH121" s="108"/>
      <c r="EI121" s="108"/>
      <c r="EJ121" s="108"/>
      <c r="EK121" s="108"/>
      <c r="EL121" s="108"/>
      <c r="EM121" s="108"/>
      <c r="EN121" s="108"/>
      <c r="EO121" s="108"/>
      <c r="EP121" s="108"/>
      <c r="EQ121" s="108"/>
      <c r="ER121" s="108"/>
      <c r="ES121" s="108"/>
      <c r="ET121" s="108"/>
      <c r="EU121" s="108"/>
      <c r="EV121" s="108"/>
      <c r="EW121" s="108"/>
      <c r="EX121" s="108"/>
      <c r="EY121" s="108"/>
      <c r="EZ121" s="108"/>
      <c r="FA121" s="108"/>
      <c r="FB121" s="108"/>
      <c r="FC121" s="108"/>
      <c r="FD121" s="108"/>
      <c r="FE121" s="108"/>
      <c r="FF121" s="108"/>
      <c r="FG121" s="108"/>
      <c r="FH121" s="108"/>
      <c r="FI121" s="108"/>
      <c r="FJ121" s="108"/>
      <c r="FK121" s="108"/>
      <c r="FL121" s="108"/>
      <c r="FM121" s="108"/>
      <c r="FN121" s="108"/>
      <c r="FO121" s="108"/>
      <c r="FP121" s="108"/>
      <c r="FQ121" s="108"/>
      <c r="FR121" s="108"/>
      <c r="FS121" s="108"/>
      <c r="FT121" s="108"/>
      <c r="FU121" s="108"/>
      <c r="FV121" s="108"/>
      <c r="FW121" s="108"/>
      <c r="FX121" s="108"/>
      <c r="FY121" s="108"/>
      <c r="FZ121" s="108"/>
      <c r="GA121" s="108"/>
      <c r="GB121" s="108"/>
      <c r="GC121" s="108"/>
      <c r="GD121" s="108"/>
      <c r="GE121" s="108"/>
      <c r="GF121" s="108"/>
      <c r="GG121" s="108"/>
      <c r="GH121" s="108"/>
      <c r="GI121" s="108"/>
      <c r="GJ121" s="108"/>
      <c r="GK121" s="108"/>
      <c r="GL121" s="108"/>
      <c r="GM121" s="108"/>
      <c r="GN121" s="108"/>
      <c r="GO121" s="108"/>
      <c r="GP121" s="108"/>
      <c r="GQ121" s="108"/>
      <c r="GR121" s="108"/>
      <c r="GS121" s="108"/>
      <c r="GT121" s="108"/>
      <c r="GU121" s="108"/>
      <c r="GV121" s="108"/>
      <c r="GW121" s="108"/>
      <c r="GX121" s="108"/>
      <c r="GY121" s="108"/>
      <c r="GZ121" s="108"/>
      <c r="HA121" s="108"/>
      <c r="HB121" s="108"/>
      <c r="HC121" s="108"/>
      <c r="HD121" s="108"/>
      <c r="HE121" s="108"/>
      <c r="HF121" s="108"/>
      <c r="HG121" s="108"/>
      <c r="HH121" s="108"/>
      <c r="HI121" s="108"/>
      <c r="HJ121" s="108"/>
      <c r="HK121" s="108"/>
      <c r="HL121" s="108"/>
      <c r="HM121" s="108"/>
      <c r="HN121" s="108"/>
      <c r="HO121" s="108"/>
      <c r="HP121" s="108"/>
      <c r="HQ121" s="108"/>
      <c r="HR121" s="108"/>
      <c r="HS121" s="108"/>
      <c r="HT121" s="108"/>
      <c r="HU121" s="108"/>
      <c r="HV121" s="108"/>
      <c r="HW121" s="108"/>
      <c r="HX121" s="108"/>
      <c r="HY121" s="108"/>
      <c r="HZ121" s="108"/>
      <c r="IA121" s="108"/>
      <c r="IB121" s="108"/>
      <c r="IC121" s="108"/>
      <c r="ID121" s="108"/>
      <c r="IE121" s="108"/>
      <c r="IF121" s="108"/>
      <c r="IG121" s="108"/>
      <c r="IH121" s="108"/>
      <c r="II121" s="108"/>
      <c r="IJ121" s="108"/>
      <c r="IK121" s="108"/>
      <c r="IL121" s="108"/>
      <c r="IM121" s="108"/>
      <c r="IN121" s="108"/>
      <c r="IO121" s="108"/>
      <c r="IP121" s="108"/>
      <c r="IQ121" s="108"/>
      <c r="IR121" s="108"/>
      <c r="IS121" s="108"/>
      <c r="IT121" s="108"/>
      <c r="IU121" s="108"/>
      <c r="IV121" s="108"/>
      <c r="IW121" s="108"/>
    </row>
    <row r="122" spans="1:257" x14ac:dyDescent="0.3">
      <c r="A122" s="158"/>
      <c r="B122" s="158"/>
      <c r="C122" s="158"/>
      <c r="D122" s="158"/>
      <c r="E122" s="158"/>
      <c r="F122" s="158"/>
      <c r="G122" s="158"/>
      <c r="H122" s="158"/>
      <c r="I122" s="158"/>
      <c r="J122" s="158"/>
      <c r="K122" s="158"/>
      <c r="L122" s="158"/>
      <c r="M122" s="158"/>
      <c r="N122" s="158"/>
      <c r="O122" s="108"/>
      <c r="P122" s="108"/>
      <c r="Q122" s="108"/>
      <c r="R122" s="108"/>
      <c r="S122" s="108"/>
      <c r="T122" s="108"/>
      <c r="U122" s="108"/>
      <c r="V122" s="108"/>
      <c r="W122" s="108"/>
      <c r="X122" s="108"/>
      <c r="Y122" s="108"/>
      <c r="Z122" s="108"/>
      <c r="AA122" s="108"/>
      <c r="AB122" s="108"/>
      <c r="AC122" s="108"/>
      <c r="AD122" s="108"/>
      <c r="AE122" s="108"/>
      <c r="AF122" s="108"/>
      <c r="AG122" s="108"/>
      <c r="AH122" s="108"/>
      <c r="AI122" s="108"/>
      <c r="AJ122" s="108"/>
      <c r="AK122" s="108"/>
      <c r="AL122" s="108"/>
      <c r="AM122" s="108"/>
      <c r="AN122" s="108"/>
      <c r="AO122" s="108"/>
      <c r="AP122" s="108"/>
      <c r="AQ122" s="108"/>
      <c r="AR122" s="108"/>
      <c r="AS122" s="108"/>
      <c r="AT122" s="108"/>
      <c r="AU122" s="108"/>
      <c r="AV122" s="108"/>
      <c r="AW122" s="108"/>
      <c r="AX122" s="108"/>
      <c r="AY122" s="108"/>
      <c r="AZ122" s="108"/>
      <c r="BA122" s="108"/>
      <c r="BB122" s="108"/>
      <c r="BC122" s="108"/>
      <c r="BD122" s="108"/>
      <c r="BE122" s="108"/>
      <c r="BF122" s="108"/>
      <c r="BG122" s="108"/>
      <c r="BH122" s="108"/>
      <c r="BI122" s="108"/>
      <c r="BJ122" s="108"/>
      <c r="BK122" s="108"/>
      <c r="BL122" s="108"/>
      <c r="BM122" s="108"/>
      <c r="BN122" s="108"/>
      <c r="BO122" s="108"/>
      <c r="BP122" s="108"/>
      <c r="BQ122" s="108"/>
      <c r="BR122" s="108"/>
      <c r="BS122" s="108"/>
      <c r="BT122" s="108"/>
      <c r="BU122" s="108"/>
      <c r="BV122" s="108"/>
      <c r="BW122" s="108"/>
      <c r="BX122" s="108"/>
      <c r="BY122" s="108"/>
      <c r="BZ122" s="108"/>
      <c r="CA122" s="108"/>
      <c r="CB122" s="108"/>
      <c r="CC122" s="108"/>
      <c r="CD122" s="108"/>
      <c r="CE122" s="108"/>
      <c r="CF122" s="108"/>
      <c r="CG122" s="108"/>
      <c r="CH122" s="108"/>
      <c r="CI122" s="108"/>
      <c r="CJ122" s="108"/>
      <c r="CK122" s="108"/>
      <c r="CL122" s="108"/>
      <c r="CM122" s="108"/>
      <c r="CN122" s="108"/>
      <c r="CO122" s="108"/>
      <c r="CP122" s="108"/>
      <c r="CQ122" s="108"/>
      <c r="CR122" s="108"/>
      <c r="CS122" s="108"/>
      <c r="CT122" s="108"/>
      <c r="CU122" s="108"/>
      <c r="CV122" s="108"/>
      <c r="CW122" s="108"/>
      <c r="CX122" s="108"/>
      <c r="CY122" s="108"/>
      <c r="CZ122" s="108"/>
      <c r="DA122" s="108"/>
      <c r="DB122" s="108"/>
      <c r="DC122" s="108"/>
      <c r="DD122" s="108"/>
      <c r="DE122" s="108"/>
      <c r="DF122" s="108"/>
      <c r="DG122" s="108"/>
      <c r="DH122" s="108"/>
      <c r="DI122" s="108"/>
      <c r="DJ122" s="108"/>
      <c r="DK122" s="108"/>
      <c r="DL122" s="108"/>
      <c r="DM122" s="108"/>
      <c r="DN122" s="108"/>
      <c r="DO122" s="108"/>
      <c r="DP122" s="108"/>
      <c r="DQ122" s="108"/>
      <c r="DR122" s="108"/>
      <c r="DS122" s="108"/>
      <c r="DT122" s="108"/>
      <c r="DU122" s="108"/>
      <c r="DV122" s="108"/>
      <c r="DW122" s="108"/>
      <c r="DX122" s="108"/>
      <c r="DY122" s="108"/>
      <c r="DZ122" s="108"/>
      <c r="EA122" s="108"/>
      <c r="EB122" s="108"/>
      <c r="EC122" s="108"/>
      <c r="ED122" s="108"/>
      <c r="EE122" s="108"/>
      <c r="EF122" s="108"/>
      <c r="EG122" s="108"/>
      <c r="EH122" s="108"/>
      <c r="EI122" s="108"/>
      <c r="EJ122" s="108"/>
      <c r="EK122" s="108"/>
      <c r="EL122" s="108"/>
      <c r="EM122" s="108"/>
      <c r="EN122" s="108"/>
      <c r="EO122" s="108"/>
      <c r="EP122" s="108"/>
      <c r="EQ122" s="108"/>
      <c r="ER122" s="108"/>
      <c r="ES122" s="108"/>
      <c r="ET122" s="108"/>
      <c r="EU122" s="108"/>
      <c r="EV122" s="108"/>
      <c r="EW122" s="108"/>
      <c r="EX122" s="108"/>
      <c r="EY122" s="108"/>
      <c r="EZ122" s="108"/>
      <c r="FA122" s="108"/>
      <c r="FB122" s="108"/>
      <c r="FC122" s="108"/>
      <c r="FD122" s="108"/>
      <c r="FE122" s="108"/>
      <c r="FF122" s="108"/>
      <c r="FG122" s="108"/>
      <c r="FH122" s="108"/>
      <c r="FI122" s="108"/>
      <c r="FJ122" s="108"/>
      <c r="FK122" s="108"/>
      <c r="FL122" s="108"/>
      <c r="FM122" s="108"/>
      <c r="FN122" s="108"/>
      <c r="FO122" s="108"/>
      <c r="FP122" s="108"/>
      <c r="FQ122" s="108"/>
      <c r="FR122" s="108"/>
      <c r="FS122" s="108"/>
      <c r="FT122" s="108"/>
      <c r="FU122" s="108"/>
      <c r="FV122" s="108"/>
      <c r="FW122" s="108"/>
      <c r="FX122" s="108"/>
      <c r="FY122" s="108"/>
      <c r="FZ122" s="108"/>
      <c r="GA122" s="108"/>
      <c r="GB122" s="108"/>
      <c r="GC122" s="108"/>
      <c r="GD122" s="108"/>
      <c r="GE122" s="108"/>
      <c r="GF122" s="108"/>
      <c r="GG122" s="108"/>
      <c r="GH122" s="108"/>
      <c r="GI122" s="108"/>
      <c r="GJ122" s="108"/>
      <c r="GK122" s="108"/>
      <c r="GL122" s="108"/>
      <c r="GM122" s="108"/>
      <c r="GN122" s="108"/>
      <c r="GO122" s="108"/>
      <c r="GP122" s="108"/>
      <c r="GQ122" s="108"/>
      <c r="GR122" s="108"/>
      <c r="GS122" s="108"/>
      <c r="GT122" s="108"/>
      <c r="GU122" s="108"/>
      <c r="GV122" s="108"/>
      <c r="GW122" s="108"/>
      <c r="GX122" s="108"/>
      <c r="GY122" s="108"/>
      <c r="GZ122" s="108"/>
      <c r="HA122" s="108"/>
      <c r="HB122" s="108"/>
      <c r="HC122" s="108"/>
      <c r="HD122" s="108"/>
      <c r="HE122" s="108"/>
      <c r="HF122" s="108"/>
      <c r="HG122" s="108"/>
      <c r="HH122" s="108"/>
      <c r="HI122" s="108"/>
      <c r="HJ122" s="108"/>
      <c r="HK122" s="108"/>
      <c r="HL122" s="108"/>
      <c r="HM122" s="108"/>
      <c r="HN122" s="108"/>
      <c r="HO122" s="108"/>
      <c r="HP122" s="108"/>
      <c r="HQ122" s="108"/>
      <c r="HR122" s="108"/>
      <c r="HS122" s="108"/>
      <c r="HT122" s="108"/>
      <c r="HU122" s="108"/>
      <c r="HV122" s="108"/>
      <c r="HW122" s="108"/>
      <c r="HX122" s="108"/>
      <c r="HY122" s="108"/>
      <c r="HZ122" s="108"/>
      <c r="IA122" s="108"/>
      <c r="IB122" s="108"/>
      <c r="IC122" s="108"/>
      <c r="ID122" s="108"/>
      <c r="IE122" s="108"/>
      <c r="IF122" s="108"/>
      <c r="IG122" s="108"/>
      <c r="IH122" s="108"/>
      <c r="II122" s="108"/>
      <c r="IJ122" s="108"/>
      <c r="IK122" s="108"/>
      <c r="IL122" s="108"/>
      <c r="IM122" s="108"/>
      <c r="IN122" s="108"/>
      <c r="IO122" s="108"/>
      <c r="IP122" s="108"/>
      <c r="IQ122" s="108"/>
      <c r="IR122" s="108"/>
      <c r="IS122" s="108"/>
      <c r="IT122" s="108"/>
      <c r="IU122" s="108"/>
      <c r="IV122" s="108"/>
      <c r="IW122" s="108"/>
    </row>
    <row r="123" spans="1:257" x14ac:dyDescent="0.3">
      <c r="A123" s="158"/>
      <c r="B123" s="158"/>
      <c r="C123" s="158"/>
      <c r="D123" s="158"/>
      <c r="E123" s="158"/>
      <c r="F123" s="158"/>
      <c r="G123" s="158"/>
      <c r="H123" s="158"/>
      <c r="I123" s="158"/>
      <c r="J123" s="158"/>
      <c r="K123" s="158"/>
      <c r="L123" s="158"/>
      <c r="M123" s="158"/>
      <c r="N123" s="158"/>
      <c r="O123" s="108"/>
      <c r="P123" s="108"/>
      <c r="Q123" s="108"/>
      <c r="R123" s="108"/>
      <c r="S123" s="108"/>
      <c r="T123" s="108"/>
      <c r="U123" s="108"/>
      <c r="V123" s="108"/>
      <c r="W123" s="108"/>
      <c r="X123" s="108"/>
      <c r="Y123" s="108"/>
      <c r="Z123" s="108"/>
      <c r="AA123" s="108"/>
      <c r="AB123" s="108"/>
      <c r="AC123" s="108"/>
      <c r="AD123" s="108"/>
      <c r="AE123" s="108"/>
      <c r="AF123" s="108"/>
      <c r="AG123" s="108"/>
      <c r="AH123" s="108"/>
      <c r="AI123" s="108"/>
      <c r="AJ123" s="108"/>
      <c r="AK123" s="108"/>
      <c r="AL123" s="108"/>
      <c r="AM123" s="108"/>
      <c r="AN123" s="108"/>
      <c r="AO123" s="108"/>
      <c r="AP123" s="108"/>
      <c r="AQ123" s="108"/>
      <c r="AR123" s="108"/>
      <c r="AS123" s="108"/>
      <c r="AT123" s="108"/>
      <c r="AU123" s="108"/>
      <c r="AV123" s="108"/>
      <c r="AW123" s="108"/>
      <c r="AX123" s="108"/>
      <c r="AY123" s="108"/>
      <c r="AZ123" s="108"/>
      <c r="BA123" s="108"/>
      <c r="BB123" s="108"/>
      <c r="BC123" s="108"/>
      <c r="BD123" s="108"/>
      <c r="BE123" s="108"/>
      <c r="BF123" s="108"/>
      <c r="BG123" s="108"/>
      <c r="BH123" s="108"/>
      <c r="BI123" s="108"/>
      <c r="BJ123" s="108"/>
      <c r="BK123" s="108"/>
      <c r="BL123" s="108"/>
      <c r="BM123" s="108"/>
      <c r="BN123" s="108"/>
      <c r="BO123" s="108"/>
      <c r="BP123" s="108"/>
      <c r="BQ123" s="108"/>
      <c r="BR123" s="108"/>
      <c r="BS123" s="108"/>
      <c r="BT123" s="108"/>
      <c r="BU123" s="108"/>
      <c r="BV123" s="108"/>
      <c r="BW123" s="108"/>
      <c r="BX123" s="108"/>
      <c r="BY123" s="108"/>
      <c r="BZ123" s="108"/>
      <c r="CA123" s="108"/>
      <c r="CB123" s="108"/>
      <c r="CC123" s="108"/>
      <c r="CD123" s="108"/>
      <c r="CE123" s="108"/>
      <c r="CF123" s="108"/>
      <c r="CG123" s="108"/>
      <c r="CH123" s="108"/>
      <c r="CI123" s="108"/>
      <c r="CJ123" s="108"/>
      <c r="CK123" s="108"/>
      <c r="CL123" s="108"/>
      <c r="CM123" s="108"/>
      <c r="CN123" s="108"/>
      <c r="CO123" s="108"/>
      <c r="CP123" s="108"/>
      <c r="CQ123" s="108"/>
      <c r="CR123" s="108"/>
      <c r="CS123" s="108"/>
      <c r="CT123" s="108"/>
      <c r="CU123" s="108"/>
      <c r="CV123" s="108"/>
      <c r="CW123" s="108"/>
      <c r="CX123" s="108"/>
      <c r="CY123" s="108"/>
      <c r="CZ123" s="108"/>
      <c r="DA123" s="108"/>
      <c r="DB123" s="108"/>
      <c r="DC123" s="108"/>
      <c r="DD123" s="108"/>
      <c r="DE123" s="108"/>
      <c r="DF123" s="108"/>
      <c r="DG123" s="108"/>
      <c r="DH123" s="108"/>
      <c r="DI123" s="108"/>
      <c r="DJ123" s="108"/>
      <c r="DK123" s="108"/>
      <c r="DL123" s="108"/>
      <c r="DM123" s="108"/>
      <c r="DN123" s="108"/>
      <c r="DO123" s="108"/>
      <c r="DP123" s="108"/>
      <c r="DQ123" s="108"/>
      <c r="DR123" s="108"/>
      <c r="DS123" s="108"/>
      <c r="DT123" s="108"/>
      <c r="DU123" s="108"/>
      <c r="DV123" s="108"/>
      <c r="DW123" s="108"/>
      <c r="DX123" s="108"/>
      <c r="DY123" s="108"/>
      <c r="DZ123" s="108"/>
      <c r="EA123" s="108"/>
      <c r="EB123" s="108"/>
      <c r="EC123" s="108"/>
      <c r="ED123" s="108"/>
      <c r="EE123" s="108"/>
      <c r="EF123" s="108"/>
      <c r="EG123" s="108"/>
      <c r="EH123" s="108"/>
      <c r="EI123" s="108"/>
      <c r="EJ123" s="108"/>
      <c r="EK123" s="108"/>
      <c r="EL123" s="108"/>
      <c r="EM123" s="108"/>
      <c r="EN123" s="108"/>
      <c r="EO123" s="108"/>
      <c r="EP123" s="108"/>
      <c r="EQ123" s="108"/>
      <c r="ER123" s="108"/>
      <c r="ES123" s="108"/>
      <c r="ET123" s="108"/>
      <c r="EU123" s="108"/>
      <c r="EV123" s="108"/>
      <c r="EW123" s="108"/>
      <c r="EX123" s="108"/>
      <c r="EY123" s="108"/>
      <c r="EZ123" s="108"/>
      <c r="FA123" s="108"/>
      <c r="FB123" s="108"/>
      <c r="FC123" s="108"/>
      <c r="FD123" s="108"/>
      <c r="FE123" s="108"/>
      <c r="FF123" s="108"/>
      <c r="FG123" s="108"/>
      <c r="FH123" s="108"/>
      <c r="FI123" s="108"/>
      <c r="FJ123" s="108"/>
      <c r="FK123" s="108"/>
      <c r="FL123" s="108"/>
      <c r="FM123" s="108"/>
      <c r="FN123" s="108"/>
      <c r="FO123" s="108"/>
      <c r="FP123" s="108"/>
      <c r="FQ123" s="108"/>
      <c r="FR123" s="108"/>
      <c r="FS123" s="108"/>
      <c r="FT123" s="108"/>
      <c r="FU123" s="108"/>
      <c r="FV123" s="108"/>
      <c r="FW123" s="108"/>
      <c r="FX123" s="108"/>
      <c r="FY123" s="108"/>
      <c r="FZ123" s="108"/>
      <c r="GA123" s="108"/>
      <c r="GB123" s="108"/>
      <c r="GC123" s="108"/>
      <c r="GD123" s="108"/>
      <c r="GE123" s="108"/>
      <c r="GF123" s="108"/>
      <c r="GG123" s="108"/>
      <c r="GH123" s="108"/>
      <c r="GI123" s="108"/>
      <c r="GJ123" s="108"/>
      <c r="GK123" s="108"/>
      <c r="GL123" s="108"/>
      <c r="GM123" s="108"/>
      <c r="GN123" s="108"/>
      <c r="GO123" s="108"/>
      <c r="GP123" s="108"/>
      <c r="GQ123" s="108"/>
      <c r="GR123" s="108"/>
      <c r="GS123" s="108"/>
      <c r="GT123" s="108"/>
      <c r="GU123" s="108"/>
      <c r="GV123" s="108"/>
      <c r="GW123" s="108"/>
      <c r="GX123" s="108"/>
      <c r="GY123" s="108"/>
      <c r="GZ123" s="108"/>
      <c r="HA123" s="108"/>
      <c r="HB123" s="108"/>
      <c r="HC123" s="108"/>
      <c r="HD123" s="108"/>
      <c r="HE123" s="108"/>
      <c r="HF123" s="108"/>
      <c r="HG123" s="108"/>
      <c r="HH123" s="108"/>
      <c r="HI123" s="108"/>
      <c r="HJ123" s="108"/>
      <c r="HK123" s="108"/>
      <c r="HL123" s="108"/>
      <c r="HM123" s="108"/>
      <c r="HN123" s="108"/>
      <c r="HO123" s="108"/>
      <c r="HP123" s="108"/>
      <c r="HQ123" s="108"/>
      <c r="HR123" s="108"/>
      <c r="HS123" s="108"/>
      <c r="HT123" s="108"/>
      <c r="HU123" s="108"/>
      <c r="HV123" s="108"/>
      <c r="HW123" s="108"/>
      <c r="HX123" s="108"/>
      <c r="HY123" s="108"/>
      <c r="HZ123" s="108"/>
      <c r="IA123" s="108"/>
      <c r="IB123" s="108"/>
      <c r="IC123" s="108"/>
      <c r="ID123" s="108"/>
      <c r="IE123" s="108"/>
      <c r="IF123" s="108"/>
      <c r="IG123" s="108"/>
      <c r="IH123" s="108"/>
      <c r="II123" s="108"/>
      <c r="IJ123" s="108"/>
      <c r="IK123" s="108"/>
      <c r="IL123" s="108"/>
      <c r="IM123" s="108"/>
      <c r="IN123" s="108"/>
      <c r="IO123" s="108"/>
      <c r="IP123" s="108"/>
      <c r="IQ123" s="108"/>
      <c r="IR123" s="108"/>
      <c r="IS123" s="108"/>
      <c r="IT123" s="108"/>
      <c r="IU123" s="108"/>
      <c r="IV123" s="108"/>
      <c r="IW123" s="108"/>
    </row>
    <row r="124" spans="1:257" x14ac:dyDescent="0.3">
      <c r="A124" s="158"/>
      <c r="B124" s="158"/>
      <c r="C124" s="158"/>
      <c r="D124" s="158"/>
      <c r="E124" s="158"/>
      <c r="F124" s="158"/>
      <c r="G124" s="158"/>
      <c r="H124" s="158"/>
      <c r="I124" s="158"/>
      <c r="J124" s="158"/>
      <c r="K124" s="158"/>
      <c r="L124" s="158"/>
      <c r="M124" s="158"/>
      <c r="N124" s="158"/>
      <c r="O124" s="108"/>
      <c r="P124" s="108"/>
      <c r="Q124" s="108"/>
      <c r="R124" s="108"/>
      <c r="S124" s="108"/>
      <c r="T124" s="108"/>
      <c r="U124" s="108"/>
      <c r="V124" s="108"/>
      <c r="W124" s="108"/>
      <c r="X124" s="108"/>
      <c r="Y124" s="108"/>
      <c r="Z124" s="108"/>
      <c r="AA124" s="108"/>
      <c r="AB124" s="108"/>
      <c r="AC124" s="108"/>
      <c r="AD124" s="108"/>
      <c r="AE124" s="108"/>
      <c r="AF124" s="108"/>
      <c r="AG124" s="108"/>
      <c r="AH124" s="108"/>
      <c r="AI124" s="108"/>
      <c r="AJ124" s="108"/>
      <c r="AK124" s="108"/>
      <c r="AL124" s="108"/>
      <c r="AM124" s="108"/>
      <c r="AN124" s="108"/>
      <c r="AO124" s="108"/>
      <c r="AP124" s="108"/>
      <c r="AQ124" s="108"/>
      <c r="AR124" s="108"/>
      <c r="AS124" s="108"/>
      <c r="AT124" s="108"/>
      <c r="AU124" s="108"/>
      <c r="AV124" s="108"/>
      <c r="AW124" s="108"/>
      <c r="AX124" s="108"/>
      <c r="AY124" s="108"/>
      <c r="AZ124" s="108"/>
      <c r="BA124" s="108"/>
      <c r="BB124" s="108"/>
      <c r="BC124" s="108"/>
      <c r="BD124" s="108"/>
      <c r="BE124" s="108"/>
      <c r="BF124" s="108"/>
      <c r="BG124" s="108"/>
      <c r="BH124" s="108"/>
      <c r="BI124" s="108"/>
      <c r="BJ124" s="108"/>
      <c r="BK124" s="108"/>
      <c r="BL124" s="108"/>
      <c r="BM124" s="108"/>
      <c r="BN124" s="108"/>
      <c r="BO124" s="108"/>
      <c r="BP124" s="108"/>
      <c r="BQ124" s="108"/>
      <c r="BR124" s="108"/>
      <c r="BS124" s="108"/>
      <c r="BT124" s="108"/>
      <c r="BU124" s="108"/>
      <c r="BV124" s="108"/>
      <c r="BW124" s="108"/>
      <c r="BX124" s="108"/>
      <c r="BY124" s="108"/>
      <c r="BZ124" s="108"/>
      <c r="CA124" s="108"/>
      <c r="CB124" s="108"/>
      <c r="CC124" s="108"/>
      <c r="CD124" s="108"/>
      <c r="CE124" s="108"/>
      <c r="CF124" s="108"/>
      <c r="CG124" s="108"/>
      <c r="CH124" s="108"/>
      <c r="CI124" s="108"/>
      <c r="CJ124" s="108"/>
      <c r="CK124" s="108"/>
      <c r="CL124" s="108"/>
      <c r="CM124" s="108"/>
      <c r="CN124" s="108"/>
      <c r="CO124" s="108"/>
      <c r="CP124" s="108"/>
      <c r="CQ124" s="108"/>
      <c r="CR124" s="108"/>
      <c r="CS124" s="108"/>
      <c r="CT124" s="108"/>
      <c r="CU124" s="108"/>
      <c r="CV124" s="108"/>
      <c r="CW124" s="108"/>
      <c r="CX124" s="108"/>
      <c r="CY124" s="108"/>
      <c r="CZ124" s="108"/>
      <c r="DA124" s="108"/>
      <c r="DB124" s="108"/>
      <c r="DC124" s="108"/>
      <c r="DD124" s="108"/>
      <c r="DE124" s="108"/>
      <c r="DF124" s="108"/>
      <c r="DG124" s="108"/>
      <c r="DH124" s="108"/>
      <c r="DI124" s="108"/>
      <c r="DJ124" s="108"/>
      <c r="DK124" s="108"/>
      <c r="DL124" s="108"/>
      <c r="DM124" s="108"/>
      <c r="DN124" s="108"/>
      <c r="DO124" s="108"/>
      <c r="DP124" s="108"/>
      <c r="DQ124" s="108"/>
      <c r="DR124" s="108"/>
      <c r="DS124" s="108"/>
      <c r="DT124" s="108"/>
      <c r="DU124" s="108"/>
      <c r="DV124" s="108"/>
      <c r="DW124" s="108"/>
      <c r="DX124" s="108"/>
      <c r="DY124" s="108"/>
      <c r="DZ124" s="108"/>
      <c r="EA124" s="108"/>
      <c r="EB124" s="108"/>
      <c r="EC124" s="108"/>
      <c r="ED124" s="108"/>
      <c r="EE124" s="108"/>
      <c r="EF124" s="108"/>
      <c r="EG124" s="108"/>
      <c r="EH124" s="108"/>
      <c r="EI124" s="108"/>
      <c r="EJ124" s="108"/>
      <c r="EK124" s="108"/>
      <c r="EL124" s="108"/>
      <c r="EM124" s="108"/>
      <c r="EN124" s="108"/>
      <c r="EO124" s="108"/>
      <c r="EP124" s="108"/>
      <c r="EQ124" s="108"/>
      <c r="ER124" s="108"/>
      <c r="ES124" s="108"/>
      <c r="ET124" s="108"/>
      <c r="EU124" s="108"/>
      <c r="EV124" s="108"/>
      <c r="EW124" s="108"/>
      <c r="EX124" s="108"/>
      <c r="EY124" s="108"/>
      <c r="EZ124" s="108"/>
      <c r="FA124" s="108"/>
      <c r="FB124" s="108"/>
      <c r="FC124" s="108"/>
      <c r="FD124" s="108"/>
      <c r="FE124" s="108"/>
      <c r="FF124" s="108"/>
      <c r="FG124" s="108"/>
      <c r="FH124" s="108"/>
      <c r="FI124" s="108"/>
      <c r="FJ124" s="108"/>
      <c r="FK124" s="108"/>
      <c r="FL124" s="108"/>
      <c r="FM124" s="108"/>
      <c r="FN124" s="108"/>
      <c r="FO124" s="108"/>
      <c r="FP124" s="108"/>
      <c r="FQ124" s="108"/>
      <c r="FR124" s="108"/>
      <c r="FS124" s="108"/>
      <c r="FT124" s="108"/>
      <c r="FU124" s="108"/>
      <c r="FV124" s="108"/>
      <c r="FW124" s="108"/>
      <c r="FX124" s="108"/>
      <c r="FY124" s="108"/>
      <c r="FZ124" s="108"/>
      <c r="GA124" s="108"/>
      <c r="GB124" s="108"/>
      <c r="GC124" s="108"/>
      <c r="GD124" s="108"/>
      <c r="GE124" s="108"/>
      <c r="GF124" s="108"/>
      <c r="GG124" s="108"/>
      <c r="GH124" s="108"/>
      <c r="GI124" s="108"/>
      <c r="GJ124" s="108"/>
      <c r="GK124" s="108"/>
      <c r="GL124" s="108"/>
      <c r="GM124" s="108"/>
      <c r="GN124" s="108"/>
      <c r="GO124" s="108"/>
      <c r="GP124" s="108"/>
      <c r="GQ124" s="108"/>
      <c r="GR124" s="108"/>
      <c r="GS124" s="108"/>
      <c r="GT124" s="108"/>
      <c r="GU124" s="108"/>
      <c r="GV124" s="108"/>
      <c r="GW124" s="108"/>
      <c r="GX124" s="108"/>
      <c r="GY124" s="108"/>
      <c r="GZ124" s="108"/>
      <c r="HA124" s="108"/>
      <c r="HB124" s="108"/>
      <c r="HC124" s="108"/>
      <c r="HD124" s="108"/>
      <c r="HE124" s="108"/>
      <c r="HF124" s="108"/>
      <c r="HG124" s="108"/>
      <c r="HH124" s="108"/>
      <c r="HI124" s="108"/>
      <c r="HJ124" s="108"/>
      <c r="HK124" s="108"/>
      <c r="HL124" s="108"/>
      <c r="HM124" s="108"/>
      <c r="HN124" s="108"/>
      <c r="HO124" s="108"/>
      <c r="HP124" s="108"/>
      <c r="HQ124" s="108"/>
      <c r="HR124" s="108"/>
      <c r="HS124" s="108"/>
      <c r="HT124" s="108"/>
      <c r="HU124" s="108"/>
      <c r="HV124" s="108"/>
      <c r="HW124" s="108"/>
      <c r="HX124" s="108"/>
      <c r="HY124" s="108"/>
      <c r="HZ124" s="108"/>
      <c r="IA124" s="108"/>
      <c r="IB124" s="108"/>
      <c r="IC124" s="108"/>
      <c r="ID124" s="108"/>
      <c r="IE124" s="108"/>
      <c r="IF124" s="108"/>
      <c r="IG124" s="108"/>
      <c r="IH124" s="108"/>
      <c r="II124" s="108"/>
      <c r="IJ124" s="108"/>
      <c r="IK124" s="108"/>
      <c r="IL124" s="108"/>
      <c r="IM124" s="108"/>
      <c r="IN124" s="108"/>
      <c r="IO124" s="108"/>
      <c r="IP124" s="108"/>
      <c r="IQ124" s="108"/>
      <c r="IR124" s="108"/>
      <c r="IS124" s="108"/>
      <c r="IT124" s="108"/>
      <c r="IU124" s="108"/>
      <c r="IV124" s="108"/>
      <c r="IW124" s="108"/>
    </row>
    <row r="125" spans="1:257" x14ac:dyDescent="0.3">
      <c r="A125" s="158"/>
      <c r="B125" s="158"/>
      <c r="C125" s="158"/>
      <c r="D125" s="158"/>
      <c r="E125" s="158"/>
      <c r="F125" s="158"/>
      <c r="G125" s="158"/>
      <c r="H125" s="158"/>
      <c r="I125" s="158"/>
      <c r="J125" s="158"/>
      <c r="K125" s="158"/>
      <c r="L125" s="158"/>
      <c r="M125" s="158"/>
      <c r="N125" s="158"/>
      <c r="O125" s="108"/>
      <c r="P125" s="108"/>
      <c r="Q125" s="108"/>
      <c r="R125" s="108"/>
      <c r="S125" s="108"/>
      <c r="T125" s="108"/>
      <c r="U125" s="108"/>
      <c r="V125" s="108"/>
      <c r="W125" s="108"/>
      <c r="X125" s="108"/>
      <c r="Y125" s="108"/>
      <c r="Z125" s="108"/>
      <c r="AA125" s="108"/>
      <c r="AB125" s="108"/>
      <c r="AC125" s="108"/>
      <c r="AD125" s="108"/>
      <c r="AE125" s="108"/>
      <c r="AF125" s="108"/>
      <c r="AG125" s="108"/>
      <c r="AH125" s="108"/>
      <c r="AI125" s="108"/>
      <c r="AJ125" s="108"/>
      <c r="AK125" s="108"/>
      <c r="AL125" s="108"/>
      <c r="AM125" s="108"/>
      <c r="AN125" s="108"/>
      <c r="AO125" s="108"/>
      <c r="AP125" s="108"/>
      <c r="AQ125" s="108"/>
      <c r="AR125" s="108"/>
      <c r="AS125" s="108"/>
      <c r="AT125" s="108"/>
      <c r="AU125" s="108"/>
      <c r="AV125" s="108"/>
      <c r="AW125" s="108"/>
      <c r="AX125" s="108"/>
      <c r="AY125" s="108"/>
      <c r="AZ125" s="108"/>
      <c r="BA125" s="108"/>
      <c r="BB125" s="108"/>
      <c r="BC125" s="108"/>
      <c r="BD125" s="108"/>
      <c r="BE125" s="108"/>
      <c r="BF125" s="108"/>
      <c r="BG125" s="108"/>
      <c r="BH125" s="108"/>
      <c r="BI125" s="108"/>
      <c r="BJ125" s="108"/>
      <c r="BK125" s="108"/>
      <c r="BL125" s="108"/>
      <c r="BM125" s="108"/>
      <c r="BN125" s="108"/>
      <c r="BO125" s="108"/>
      <c r="BP125" s="108"/>
      <c r="BQ125" s="108"/>
      <c r="BR125" s="108"/>
      <c r="BS125" s="108"/>
      <c r="BT125" s="108"/>
      <c r="BU125" s="108"/>
      <c r="BV125" s="108"/>
      <c r="BW125" s="108"/>
      <c r="BX125" s="108"/>
      <c r="BY125" s="108"/>
      <c r="BZ125" s="108"/>
      <c r="CA125" s="108"/>
      <c r="CB125" s="108"/>
      <c r="CC125" s="108"/>
      <c r="CD125" s="108"/>
      <c r="CE125" s="108"/>
      <c r="CF125" s="108"/>
      <c r="CG125" s="108"/>
      <c r="CH125" s="108"/>
      <c r="CI125" s="108"/>
      <c r="CJ125" s="108"/>
      <c r="CK125" s="108"/>
      <c r="CL125" s="108"/>
      <c r="CM125" s="108"/>
      <c r="CN125" s="108"/>
      <c r="CO125" s="108"/>
      <c r="CP125" s="108"/>
      <c r="CQ125" s="108"/>
      <c r="CR125" s="108"/>
      <c r="CS125" s="108"/>
      <c r="CT125" s="108"/>
      <c r="CU125" s="108"/>
      <c r="CV125" s="108"/>
      <c r="CW125" s="108"/>
      <c r="CX125" s="108"/>
      <c r="CY125" s="108"/>
      <c r="CZ125" s="108"/>
      <c r="DA125" s="108"/>
      <c r="DB125" s="108"/>
      <c r="DC125" s="108"/>
      <c r="DD125" s="108"/>
      <c r="DE125" s="108"/>
      <c r="DF125" s="108"/>
      <c r="DG125" s="108"/>
      <c r="DH125" s="108"/>
      <c r="DI125" s="108"/>
      <c r="DJ125" s="108"/>
      <c r="DK125" s="108"/>
      <c r="DL125" s="108"/>
      <c r="DM125" s="108"/>
      <c r="DN125" s="108"/>
      <c r="DO125" s="108"/>
      <c r="DP125" s="108"/>
      <c r="DQ125" s="108"/>
      <c r="DR125" s="108"/>
      <c r="DS125" s="108"/>
      <c r="DT125" s="108"/>
      <c r="DU125" s="108"/>
      <c r="DV125" s="108"/>
      <c r="DW125" s="108"/>
      <c r="DX125" s="108"/>
      <c r="DY125" s="108"/>
      <c r="DZ125" s="108"/>
      <c r="EA125" s="108"/>
      <c r="EB125" s="108"/>
      <c r="EC125" s="108"/>
      <c r="ED125" s="108"/>
      <c r="EE125" s="108"/>
      <c r="EF125" s="108"/>
      <c r="EG125" s="108"/>
      <c r="EH125" s="108"/>
      <c r="EI125" s="108"/>
      <c r="EJ125" s="108"/>
      <c r="EK125" s="108"/>
      <c r="EL125" s="108"/>
      <c r="EM125" s="108"/>
      <c r="EN125" s="108"/>
      <c r="EO125" s="108"/>
      <c r="EP125" s="108"/>
      <c r="EQ125" s="108"/>
      <c r="ER125" s="108"/>
      <c r="ES125" s="108"/>
      <c r="ET125" s="108"/>
      <c r="EU125" s="108"/>
      <c r="EV125" s="108"/>
      <c r="EW125" s="108"/>
      <c r="EX125" s="108"/>
      <c r="EY125" s="108"/>
      <c r="EZ125" s="108"/>
      <c r="FA125" s="108"/>
      <c r="FB125" s="108"/>
      <c r="FC125" s="108"/>
      <c r="FD125" s="108"/>
      <c r="FE125" s="108"/>
      <c r="FF125" s="108"/>
      <c r="FG125" s="108"/>
      <c r="FH125" s="108"/>
      <c r="FI125" s="108"/>
      <c r="FJ125" s="108"/>
      <c r="FK125" s="108"/>
      <c r="FL125" s="108"/>
      <c r="FM125" s="108"/>
      <c r="FN125" s="108"/>
      <c r="FO125" s="108"/>
      <c r="FP125" s="108"/>
      <c r="FQ125" s="108"/>
      <c r="FR125" s="108"/>
      <c r="FS125" s="108"/>
      <c r="FT125" s="108"/>
      <c r="FU125" s="108"/>
      <c r="FV125" s="108"/>
      <c r="FW125" s="108"/>
      <c r="FX125" s="108"/>
      <c r="FY125" s="108"/>
      <c r="FZ125" s="108"/>
      <c r="GA125" s="108"/>
      <c r="GB125" s="108"/>
      <c r="GC125" s="108"/>
      <c r="GD125" s="108"/>
      <c r="GE125" s="108"/>
      <c r="GF125" s="108"/>
      <c r="GG125" s="108"/>
      <c r="GH125" s="108"/>
      <c r="GI125" s="108"/>
      <c r="GJ125" s="108"/>
      <c r="GK125" s="108"/>
      <c r="GL125" s="108"/>
      <c r="GM125" s="108"/>
      <c r="GN125" s="108"/>
      <c r="GO125" s="108"/>
      <c r="GP125" s="108"/>
      <c r="GQ125" s="108"/>
      <c r="GR125" s="108"/>
      <c r="GS125" s="108"/>
      <c r="GT125" s="108"/>
      <c r="GU125" s="108"/>
      <c r="GV125" s="108"/>
      <c r="GW125" s="108"/>
      <c r="GX125" s="108"/>
      <c r="GY125" s="108"/>
      <c r="GZ125" s="108"/>
      <c r="HA125" s="108"/>
      <c r="HB125" s="108"/>
      <c r="HC125" s="108"/>
      <c r="HD125" s="108"/>
      <c r="HE125" s="108"/>
      <c r="HF125" s="108"/>
      <c r="HG125" s="108"/>
      <c r="HH125" s="108"/>
      <c r="HI125" s="108"/>
      <c r="HJ125" s="108"/>
      <c r="HK125" s="108"/>
      <c r="HL125" s="108"/>
      <c r="HM125" s="108"/>
      <c r="HN125" s="108"/>
      <c r="HO125" s="108"/>
      <c r="HP125" s="108"/>
      <c r="HQ125" s="108"/>
      <c r="HR125" s="108"/>
      <c r="HS125" s="108"/>
      <c r="HT125" s="108"/>
      <c r="HU125" s="108"/>
      <c r="HV125" s="108"/>
      <c r="HW125" s="108"/>
      <c r="HX125" s="108"/>
      <c r="HY125" s="108"/>
      <c r="HZ125" s="108"/>
      <c r="IA125" s="108"/>
      <c r="IB125" s="108"/>
      <c r="IC125" s="108"/>
      <c r="ID125" s="108"/>
      <c r="IE125" s="108"/>
      <c r="IF125" s="108"/>
      <c r="IG125" s="108"/>
      <c r="IH125" s="108"/>
      <c r="II125" s="108"/>
      <c r="IJ125" s="108"/>
      <c r="IK125" s="108"/>
      <c r="IL125" s="108"/>
      <c r="IM125" s="108"/>
      <c r="IN125" s="108"/>
      <c r="IO125" s="108"/>
      <c r="IP125" s="108"/>
      <c r="IQ125" s="108"/>
      <c r="IR125" s="108"/>
      <c r="IS125" s="108"/>
      <c r="IT125" s="108"/>
      <c r="IU125" s="108"/>
      <c r="IV125" s="108"/>
      <c r="IW125" s="108"/>
    </row>
    <row r="126" spans="1:257" x14ac:dyDescent="0.3">
      <c r="A126" s="158"/>
      <c r="B126" s="158"/>
      <c r="C126" s="158"/>
      <c r="D126" s="158"/>
      <c r="E126" s="158"/>
      <c r="F126" s="158"/>
      <c r="G126" s="158"/>
      <c r="H126" s="158"/>
      <c r="I126" s="158"/>
      <c r="J126" s="158"/>
      <c r="K126" s="158"/>
      <c r="L126" s="158"/>
      <c r="M126" s="158"/>
      <c r="N126" s="158"/>
      <c r="O126" s="108"/>
      <c r="P126" s="108"/>
      <c r="Q126" s="108"/>
      <c r="R126" s="108"/>
      <c r="S126" s="108"/>
      <c r="T126" s="108"/>
      <c r="U126" s="108"/>
      <c r="V126" s="108"/>
      <c r="W126" s="108"/>
      <c r="X126" s="108"/>
      <c r="Y126" s="108"/>
      <c r="Z126" s="108"/>
      <c r="AA126" s="108"/>
      <c r="AB126" s="108"/>
      <c r="AC126" s="108"/>
      <c r="AD126" s="108"/>
      <c r="AE126" s="108"/>
      <c r="AF126" s="108"/>
      <c r="AG126" s="108"/>
      <c r="AH126" s="108"/>
      <c r="AI126" s="108"/>
      <c r="AJ126" s="108"/>
      <c r="AK126" s="108"/>
      <c r="AL126" s="108"/>
      <c r="AM126" s="108"/>
      <c r="AN126" s="108"/>
      <c r="AO126" s="108"/>
      <c r="AP126" s="108"/>
      <c r="AQ126" s="108"/>
      <c r="AR126" s="108"/>
      <c r="AS126" s="108"/>
      <c r="AT126" s="108"/>
      <c r="AU126" s="108"/>
      <c r="AV126" s="108"/>
      <c r="AW126" s="108"/>
      <c r="AX126" s="108"/>
      <c r="AY126" s="108"/>
      <c r="AZ126" s="108"/>
      <c r="BA126" s="108"/>
      <c r="BB126" s="108"/>
      <c r="BC126" s="108"/>
      <c r="BD126" s="108"/>
      <c r="BE126" s="108"/>
      <c r="BF126" s="108"/>
      <c r="BG126" s="108"/>
      <c r="BH126" s="108"/>
      <c r="BI126" s="108"/>
      <c r="BJ126" s="108"/>
      <c r="BK126" s="108"/>
      <c r="BL126" s="108"/>
      <c r="BM126" s="108"/>
      <c r="BN126" s="108"/>
      <c r="BO126" s="108"/>
      <c r="BP126" s="108"/>
      <c r="BQ126" s="108"/>
      <c r="BR126" s="108"/>
      <c r="BS126" s="108"/>
      <c r="BT126" s="108"/>
      <c r="BU126" s="108"/>
      <c r="BV126" s="108"/>
      <c r="BW126" s="108"/>
      <c r="BX126" s="108"/>
      <c r="BY126" s="108"/>
      <c r="BZ126" s="108"/>
      <c r="CA126" s="108"/>
      <c r="CB126" s="108"/>
      <c r="CC126" s="108"/>
      <c r="CD126" s="108"/>
      <c r="CE126" s="108"/>
      <c r="CF126" s="108"/>
      <c r="CG126" s="108"/>
      <c r="CH126" s="108"/>
      <c r="CI126" s="108"/>
      <c r="CJ126" s="108"/>
      <c r="CK126" s="108"/>
      <c r="CL126" s="108"/>
      <c r="CM126" s="108"/>
      <c r="CN126" s="108"/>
      <c r="CO126" s="108"/>
      <c r="CP126" s="108"/>
      <c r="CQ126" s="108"/>
      <c r="CR126" s="108"/>
      <c r="CS126" s="108"/>
      <c r="CT126" s="108"/>
      <c r="CU126" s="108"/>
      <c r="CV126" s="108"/>
      <c r="CW126" s="108"/>
      <c r="CX126" s="108"/>
      <c r="CY126" s="108"/>
      <c r="CZ126" s="108"/>
      <c r="DA126" s="108"/>
      <c r="DB126" s="108"/>
      <c r="DC126" s="108"/>
      <c r="DD126" s="108"/>
      <c r="DE126" s="108"/>
      <c r="DF126" s="108"/>
      <c r="DG126" s="108"/>
      <c r="DH126" s="108"/>
      <c r="DI126" s="108"/>
      <c r="DJ126" s="108"/>
      <c r="DK126" s="108"/>
      <c r="DL126" s="108"/>
      <c r="DM126" s="108"/>
      <c r="DN126" s="108"/>
      <c r="DO126" s="108"/>
      <c r="DP126" s="108"/>
      <c r="DQ126" s="108"/>
      <c r="DR126" s="108"/>
      <c r="DS126" s="108"/>
      <c r="DT126" s="108"/>
      <c r="DU126" s="108"/>
      <c r="DV126" s="108"/>
      <c r="DW126" s="108"/>
      <c r="DX126" s="108"/>
      <c r="DY126" s="108"/>
      <c r="DZ126" s="108"/>
      <c r="EA126" s="108"/>
      <c r="EB126" s="108"/>
      <c r="EC126" s="108"/>
      <c r="ED126" s="108"/>
      <c r="EE126" s="108"/>
      <c r="EF126" s="108"/>
      <c r="EG126" s="108"/>
      <c r="EH126" s="108"/>
      <c r="EI126" s="108"/>
      <c r="EJ126" s="108"/>
      <c r="EK126" s="108"/>
      <c r="EL126" s="108"/>
      <c r="EM126" s="108"/>
      <c r="EN126" s="108"/>
      <c r="EO126" s="108"/>
      <c r="EP126" s="108"/>
      <c r="EQ126" s="108"/>
      <c r="ER126" s="108"/>
      <c r="ES126" s="108"/>
      <c r="ET126" s="108"/>
      <c r="EU126" s="108"/>
      <c r="EV126" s="108"/>
      <c r="EW126" s="108"/>
      <c r="EX126" s="108"/>
      <c r="EY126" s="108"/>
      <c r="EZ126" s="108"/>
      <c r="FA126" s="108"/>
      <c r="FB126" s="108"/>
      <c r="FC126" s="108"/>
      <c r="FD126" s="108"/>
      <c r="FE126" s="108"/>
      <c r="FF126" s="108"/>
      <c r="FG126" s="108"/>
      <c r="FH126" s="108"/>
      <c r="FI126" s="108"/>
      <c r="FJ126" s="108"/>
      <c r="FK126" s="108"/>
      <c r="FL126" s="108"/>
      <c r="FM126" s="108"/>
      <c r="FN126" s="108"/>
      <c r="FO126" s="108"/>
      <c r="FP126" s="108"/>
      <c r="FQ126" s="108"/>
      <c r="FR126" s="108"/>
      <c r="FS126" s="108"/>
      <c r="FT126" s="108"/>
      <c r="FU126" s="108"/>
      <c r="FV126" s="108"/>
      <c r="FW126" s="108"/>
      <c r="FX126" s="108"/>
      <c r="FY126" s="108"/>
      <c r="FZ126" s="108"/>
      <c r="GA126" s="108"/>
      <c r="GB126" s="108"/>
      <c r="GC126" s="108"/>
      <c r="GD126" s="108"/>
      <c r="GE126" s="108"/>
      <c r="GF126" s="108"/>
      <c r="GG126" s="108"/>
      <c r="GH126" s="108"/>
      <c r="GI126" s="108"/>
      <c r="GJ126" s="108"/>
      <c r="GK126" s="108"/>
      <c r="GL126" s="108"/>
      <c r="GM126" s="108"/>
      <c r="GN126" s="108"/>
      <c r="GO126" s="108"/>
      <c r="GP126" s="108"/>
      <c r="GQ126" s="108"/>
      <c r="GR126" s="108"/>
      <c r="GS126" s="108"/>
      <c r="GT126" s="108"/>
      <c r="GU126" s="108"/>
      <c r="GV126" s="108"/>
      <c r="GW126" s="108"/>
      <c r="GX126" s="108"/>
      <c r="GY126" s="108"/>
      <c r="GZ126" s="108"/>
      <c r="HA126" s="108"/>
      <c r="HB126" s="108"/>
      <c r="HC126" s="108"/>
      <c r="HD126" s="108"/>
      <c r="HE126" s="108"/>
      <c r="HF126" s="108"/>
      <c r="HG126" s="108"/>
      <c r="HH126" s="108"/>
      <c r="HI126" s="108"/>
      <c r="HJ126" s="108"/>
      <c r="HK126" s="108"/>
      <c r="HL126" s="108"/>
      <c r="HM126" s="108"/>
      <c r="HN126" s="108"/>
      <c r="HO126" s="108"/>
      <c r="HP126" s="108"/>
      <c r="HQ126" s="108"/>
      <c r="HR126" s="108"/>
      <c r="HS126" s="108"/>
      <c r="HT126" s="108"/>
      <c r="HU126" s="108"/>
      <c r="HV126" s="108"/>
      <c r="HW126" s="108"/>
      <c r="HX126" s="108"/>
      <c r="HY126" s="108"/>
      <c r="HZ126" s="108"/>
      <c r="IA126" s="108"/>
      <c r="IB126" s="108"/>
      <c r="IC126" s="108"/>
      <c r="ID126" s="108"/>
      <c r="IE126" s="108"/>
      <c r="IF126" s="108"/>
      <c r="IG126" s="108"/>
      <c r="IH126" s="108"/>
      <c r="II126" s="108"/>
      <c r="IJ126" s="108"/>
      <c r="IK126" s="108"/>
      <c r="IL126" s="108"/>
      <c r="IM126" s="108"/>
      <c r="IN126" s="108"/>
      <c r="IO126" s="108"/>
      <c r="IP126" s="108"/>
      <c r="IQ126" s="108"/>
      <c r="IR126" s="108"/>
      <c r="IS126" s="108"/>
      <c r="IT126" s="108"/>
      <c r="IU126" s="108"/>
      <c r="IV126" s="108"/>
      <c r="IW126" s="108"/>
    </row>
    <row r="127" spans="1:257" x14ac:dyDescent="0.3">
      <c r="A127" s="158"/>
      <c r="B127" s="158"/>
      <c r="C127" s="158"/>
      <c r="D127" s="158"/>
      <c r="E127" s="158"/>
      <c r="F127" s="158"/>
      <c r="G127" s="158"/>
      <c r="H127" s="158"/>
      <c r="I127" s="158"/>
      <c r="J127" s="158"/>
      <c r="K127" s="158"/>
      <c r="L127" s="158"/>
      <c r="M127" s="158"/>
      <c r="N127" s="158"/>
      <c r="O127" s="108"/>
      <c r="P127" s="108"/>
      <c r="Q127" s="108"/>
      <c r="R127" s="108"/>
      <c r="S127" s="108"/>
      <c r="T127" s="108"/>
      <c r="U127" s="108"/>
      <c r="V127" s="108"/>
      <c r="W127" s="108"/>
      <c r="X127" s="108"/>
      <c r="Y127" s="108"/>
      <c r="Z127" s="108"/>
      <c r="AA127" s="108"/>
      <c r="AB127" s="108"/>
      <c r="AC127" s="108"/>
      <c r="AD127" s="108"/>
      <c r="AE127" s="108"/>
      <c r="AF127" s="108"/>
      <c r="AG127" s="108"/>
      <c r="AH127" s="108"/>
      <c r="AI127" s="108"/>
      <c r="AJ127" s="108"/>
      <c r="AK127" s="108"/>
      <c r="AL127" s="108"/>
      <c r="AM127" s="108"/>
      <c r="AN127" s="108"/>
      <c r="AO127" s="108"/>
      <c r="AP127" s="108"/>
      <c r="AQ127" s="108"/>
      <c r="AR127" s="108"/>
      <c r="AS127" s="108"/>
      <c r="AT127" s="108"/>
      <c r="AU127" s="108"/>
      <c r="AV127" s="108"/>
      <c r="AW127" s="108"/>
      <c r="AX127" s="108"/>
      <c r="AY127" s="108"/>
      <c r="AZ127" s="108"/>
      <c r="BA127" s="108"/>
      <c r="BB127" s="108"/>
      <c r="BC127" s="108"/>
      <c r="BD127" s="108"/>
      <c r="BE127" s="108"/>
      <c r="BF127" s="108"/>
      <c r="BG127" s="108"/>
      <c r="BH127" s="108"/>
      <c r="BI127" s="108"/>
      <c r="BJ127" s="108"/>
      <c r="BK127" s="108"/>
      <c r="BL127" s="108"/>
      <c r="BM127" s="108"/>
      <c r="BN127" s="108"/>
      <c r="BO127" s="108"/>
      <c r="BP127" s="108"/>
      <c r="BQ127" s="108"/>
      <c r="BR127" s="108"/>
      <c r="BS127" s="108"/>
      <c r="BT127" s="108"/>
      <c r="BU127" s="108"/>
      <c r="BV127" s="108"/>
      <c r="BW127" s="108"/>
      <c r="BX127" s="108"/>
      <c r="BY127" s="108"/>
      <c r="BZ127" s="108"/>
      <c r="CA127" s="108"/>
      <c r="CB127" s="108"/>
      <c r="CC127" s="108"/>
      <c r="CD127" s="108"/>
      <c r="CE127" s="108"/>
      <c r="CF127" s="108"/>
      <c r="CG127" s="108"/>
      <c r="CH127" s="108"/>
      <c r="CI127" s="108"/>
      <c r="CJ127" s="108"/>
      <c r="CK127" s="108"/>
      <c r="CL127" s="108"/>
      <c r="CM127" s="108"/>
      <c r="CN127" s="108"/>
      <c r="CO127" s="108"/>
      <c r="CP127" s="108"/>
      <c r="CQ127" s="108"/>
      <c r="CR127" s="108"/>
      <c r="CS127" s="108"/>
      <c r="CT127" s="108"/>
      <c r="CU127" s="108"/>
      <c r="CV127" s="108"/>
      <c r="CW127" s="108"/>
      <c r="CX127" s="108"/>
      <c r="CY127" s="108"/>
      <c r="CZ127" s="108"/>
      <c r="DA127" s="108"/>
      <c r="DB127" s="108"/>
      <c r="DC127" s="108"/>
      <c r="DD127" s="108"/>
      <c r="DE127" s="108"/>
      <c r="DF127" s="108"/>
      <c r="DG127" s="108"/>
      <c r="DH127" s="108"/>
      <c r="DI127" s="108"/>
      <c r="DJ127" s="108"/>
      <c r="DK127" s="108"/>
      <c r="DL127" s="108"/>
      <c r="DM127" s="108"/>
      <c r="DN127" s="108"/>
      <c r="DO127" s="108"/>
      <c r="DP127" s="108"/>
      <c r="DQ127" s="108"/>
      <c r="DR127" s="108"/>
      <c r="DS127" s="108"/>
      <c r="DT127" s="108"/>
      <c r="DU127" s="108"/>
      <c r="DV127" s="108"/>
      <c r="DW127" s="108"/>
      <c r="DX127" s="108"/>
      <c r="DY127" s="108"/>
      <c r="DZ127" s="108"/>
      <c r="EA127" s="108"/>
      <c r="EB127" s="108"/>
      <c r="EC127" s="108"/>
      <c r="ED127" s="108"/>
      <c r="EE127" s="108"/>
      <c r="EF127" s="108"/>
      <c r="EG127" s="108"/>
      <c r="EH127" s="108"/>
      <c r="EI127" s="108"/>
      <c r="EJ127" s="108"/>
      <c r="EK127" s="108"/>
      <c r="EL127" s="108"/>
      <c r="EM127" s="108"/>
      <c r="EN127" s="108"/>
      <c r="EO127" s="108"/>
      <c r="EP127" s="108"/>
      <c r="EQ127" s="108"/>
      <c r="ER127" s="108"/>
      <c r="ES127" s="108"/>
      <c r="ET127" s="108"/>
      <c r="EU127" s="108"/>
      <c r="EV127" s="108"/>
      <c r="EW127" s="108"/>
      <c r="EX127" s="108"/>
      <c r="EY127" s="108"/>
      <c r="EZ127" s="108"/>
      <c r="FA127" s="108"/>
      <c r="FB127" s="108"/>
      <c r="FC127" s="108"/>
      <c r="FD127" s="108"/>
      <c r="FE127" s="108"/>
      <c r="FF127" s="108"/>
      <c r="FG127" s="108"/>
      <c r="FH127" s="108"/>
      <c r="FI127" s="108"/>
      <c r="FJ127" s="108"/>
      <c r="FK127" s="108"/>
      <c r="FL127" s="108"/>
      <c r="FM127" s="108"/>
      <c r="FN127" s="108"/>
      <c r="FO127" s="108"/>
      <c r="FP127" s="108"/>
      <c r="FQ127" s="108"/>
      <c r="FR127" s="108"/>
      <c r="FS127" s="108"/>
      <c r="FT127" s="108"/>
      <c r="FU127" s="108"/>
      <c r="FV127" s="108"/>
      <c r="FW127" s="108"/>
      <c r="FX127" s="108"/>
      <c r="FY127" s="108"/>
      <c r="FZ127" s="108"/>
      <c r="GA127" s="108"/>
      <c r="GB127" s="108"/>
      <c r="GC127" s="108"/>
      <c r="GD127" s="108"/>
      <c r="GE127" s="108"/>
      <c r="GF127" s="108"/>
      <c r="GG127" s="108"/>
      <c r="GH127" s="108"/>
      <c r="GI127" s="108"/>
      <c r="GJ127" s="108"/>
      <c r="GK127" s="108"/>
      <c r="GL127" s="108"/>
      <c r="GM127" s="108"/>
      <c r="GN127" s="108"/>
      <c r="GO127" s="108"/>
      <c r="GP127" s="108"/>
      <c r="GQ127" s="108"/>
      <c r="GR127" s="108"/>
      <c r="GS127" s="108"/>
      <c r="GT127" s="108"/>
      <c r="GU127" s="108"/>
      <c r="GV127" s="108"/>
      <c r="GW127" s="108"/>
      <c r="GX127" s="108"/>
      <c r="GY127" s="108"/>
      <c r="GZ127" s="108"/>
      <c r="HA127" s="108"/>
      <c r="HB127" s="108"/>
      <c r="HC127" s="108"/>
      <c r="HD127" s="108"/>
      <c r="HE127" s="108"/>
      <c r="HF127" s="108"/>
      <c r="HG127" s="108"/>
      <c r="HH127" s="108"/>
      <c r="HI127" s="108"/>
      <c r="HJ127" s="108"/>
      <c r="HK127" s="108"/>
      <c r="HL127" s="108"/>
      <c r="HM127" s="108"/>
      <c r="HN127" s="108"/>
      <c r="HO127" s="108"/>
      <c r="HP127" s="108"/>
      <c r="HQ127" s="108"/>
      <c r="HR127" s="108"/>
      <c r="HS127" s="108"/>
      <c r="HT127" s="108"/>
      <c r="HU127" s="108"/>
      <c r="HV127" s="108"/>
      <c r="HW127" s="108"/>
      <c r="HX127" s="108"/>
      <c r="HY127" s="108"/>
      <c r="HZ127" s="108"/>
      <c r="IA127" s="108"/>
      <c r="IB127" s="108"/>
      <c r="IC127" s="108"/>
      <c r="ID127" s="108"/>
      <c r="IE127" s="108"/>
      <c r="IF127" s="108"/>
      <c r="IG127" s="108"/>
      <c r="IH127" s="108"/>
      <c r="II127" s="108"/>
      <c r="IJ127" s="108"/>
      <c r="IK127" s="108"/>
      <c r="IL127" s="108"/>
      <c r="IM127" s="108"/>
      <c r="IN127" s="108"/>
      <c r="IO127" s="108"/>
      <c r="IP127" s="108"/>
      <c r="IQ127" s="108"/>
      <c r="IR127" s="108"/>
      <c r="IS127" s="108"/>
      <c r="IT127" s="108"/>
      <c r="IU127" s="108"/>
      <c r="IV127" s="108"/>
      <c r="IW127" s="108"/>
    </row>
    <row r="128" spans="1:257" x14ac:dyDescent="0.3">
      <c r="A128" s="158"/>
      <c r="B128" s="158"/>
      <c r="C128" s="158"/>
      <c r="D128" s="158"/>
      <c r="E128" s="158"/>
      <c r="F128" s="158"/>
      <c r="G128" s="158"/>
      <c r="H128" s="158"/>
      <c r="I128" s="158"/>
      <c r="J128" s="158"/>
      <c r="K128" s="158"/>
      <c r="L128" s="158"/>
      <c r="M128" s="158"/>
      <c r="N128" s="158"/>
      <c r="O128" s="108"/>
      <c r="P128" s="108"/>
      <c r="Q128" s="108"/>
      <c r="R128" s="108"/>
      <c r="S128" s="108"/>
      <c r="T128" s="108"/>
      <c r="U128" s="108"/>
      <c r="V128" s="108"/>
      <c r="W128" s="108"/>
      <c r="X128" s="108"/>
      <c r="Y128" s="108"/>
      <c r="Z128" s="108"/>
      <c r="AA128" s="108"/>
      <c r="AB128" s="108"/>
      <c r="AC128" s="108"/>
      <c r="AD128" s="108"/>
      <c r="AE128" s="108"/>
      <c r="AF128" s="108"/>
      <c r="AG128" s="108"/>
      <c r="AH128" s="108"/>
      <c r="AI128" s="108"/>
      <c r="AJ128" s="108"/>
      <c r="AK128" s="108"/>
      <c r="AL128" s="108"/>
      <c r="AM128" s="108"/>
      <c r="AN128" s="108"/>
      <c r="AO128" s="108"/>
      <c r="AP128" s="108"/>
      <c r="AQ128" s="108"/>
      <c r="AR128" s="108"/>
      <c r="AS128" s="108"/>
      <c r="AT128" s="108"/>
      <c r="AU128" s="108"/>
      <c r="AV128" s="108"/>
      <c r="AW128" s="108"/>
      <c r="AX128" s="108"/>
      <c r="AY128" s="108"/>
      <c r="AZ128" s="108"/>
      <c r="BA128" s="108"/>
      <c r="BB128" s="108"/>
      <c r="BC128" s="108"/>
      <c r="BD128" s="108"/>
      <c r="BE128" s="108"/>
      <c r="BF128" s="108"/>
      <c r="BG128" s="108"/>
      <c r="BH128" s="108"/>
      <c r="BI128" s="108"/>
      <c r="BJ128" s="108"/>
      <c r="BK128" s="108"/>
      <c r="BL128" s="108"/>
      <c r="BM128" s="108"/>
      <c r="BN128" s="108"/>
      <c r="BO128" s="108"/>
      <c r="BP128" s="108"/>
      <c r="BQ128" s="108"/>
      <c r="BR128" s="108"/>
      <c r="BS128" s="108"/>
      <c r="BT128" s="108"/>
      <c r="BU128" s="108"/>
      <c r="BV128" s="108"/>
      <c r="BW128" s="108"/>
      <c r="BX128" s="108"/>
      <c r="BY128" s="108"/>
      <c r="BZ128" s="108"/>
      <c r="CA128" s="108"/>
      <c r="CB128" s="108"/>
      <c r="CC128" s="108"/>
      <c r="CD128" s="108"/>
      <c r="CE128" s="108"/>
      <c r="CF128" s="108"/>
      <c r="CG128" s="108"/>
      <c r="CH128" s="108"/>
      <c r="CI128" s="108"/>
      <c r="CJ128" s="108"/>
      <c r="CK128" s="108"/>
      <c r="CL128" s="108"/>
      <c r="CM128" s="108"/>
      <c r="CN128" s="108"/>
      <c r="CO128" s="108"/>
      <c r="CP128" s="108"/>
      <c r="CQ128" s="108"/>
      <c r="CR128" s="108"/>
      <c r="CS128" s="108"/>
      <c r="CT128" s="108"/>
      <c r="CU128" s="108"/>
      <c r="CV128" s="108"/>
      <c r="CW128" s="108"/>
      <c r="CX128" s="108"/>
      <c r="CY128" s="108"/>
      <c r="CZ128" s="108"/>
      <c r="DA128" s="108"/>
      <c r="DB128" s="108"/>
      <c r="DC128" s="108"/>
      <c r="DD128" s="108"/>
      <c r="DE128" s="108"/>
      <c r="DF128" s="108"/>
      <c r="DG128" s="108"/>
      <c r="DH128" s="108"/>
      <c r="DI128" s="108"/>
      <c r="DJ128" s="108"/>
      <c r="DK128" s="108"/>
      <c r="DL128" s="108"/>
      <c r="DM128" s="108"/>
      <c r="DN128" s="108"/>
      <c r="DO128" s="108"/>
      <c r="DP128" s="108"/>
      <c r="DQ128" s="108"/>
      <c r="DR128" s="108"/>
      <c r="DS128" s="108"/>
      <c r="DT128" s="108"/>
      <c r="DU128" s="108"/>
      <c r="DV128" s="108"/>
      <c r="DW128" s="108"/>
      <c r="DX128" s="108"/>
      <c r="DY128" s="108"/>
      <c r="DZ128" s="108"/>
      <c r="EA128" s="108"/>
      <c r="EB128" s="108"/>
      <c r="EC128" s="108"/>
      <c r="ED128" s="108"/>
      <c r="EE128" s="108"/>
      <c r="EF128" s="108"/>
      <c r="EG128" s="108"/>
      <c r="EH128" s="108"/>
      <c r="EI128" s="108"/>
      <c r="EJ128" s="108"/>
      <c r="EK128" s="108"/>
      <c r="EL128" s="108"/>
      <c r="EM128" s="108"/>
      <c r="EN128" s="108"/>
      <c r="EO128" s="108"/>
      <c r="EP128" s="108"/>
      <c r="EQ128" s="108"/>
      <c r="ER128" s="108"/>
      <c r="ES128" s="108"/>
      <c r="ET128" s="108"/>
      <c r="EU128" s="108"/>
      <c r="EV128" s="108"/>
      <c r="EW128" s="108"/>
      <c r="EX128" s="108"/>
      <c r="EY128" s="108"/>
      <c r="EZ128" s="108"/>
      <c r="FA128" s="108"/>
      <c r="FB128" s="108"/>
      <c r="FC128" s="108"/>
      <c r="FD128" s="108"/>
      <c r="FE128" s="108"/>
      <c r="FF128" s="108"/>
      <c r="FG128" s="108"/>
      <c r="FH128" s="108"/>
      <c r="FI128" s="108"/>
      <c r="FJ128" s="108"/>
      <c r="FK128" s="108"/>
      <c r="FL128" s="108"/>
      <c r="FM128" s="108"/>
      <c r="FN128" s="108"/>
      <c r="FO128" s="108"/>
      <c r="FP128" s="108"/>
      <c r="FQ128" s="108"/>
      <c r="FR128" s="108"/>
      <c r="FS128" s="108"/>
      <c r="FT128" s="108"/>
      <c r="FU128" s="108"/>
      <c r="FV128" s="108"/>
      <c r="FW128" s="108"/>
      <c r="FX128" s="108"/>
      <c r="FY128" s="108"/>
      <c r="FZ128" s="108"/>
      <c r="GA128" s="108"/>
      <c r="GB128" s="108"/>
      <c r="GC128" s="108"/>
      <c r="GD128" s="108"/>
      <c r="GE128" s="108"/>
      <c r="GF128" s="108"/>
      <c r="GG128" s="108"/>
      <c r="GH128" s="108"/>
      <c r="GI128" s="108"/>
      <c r="GJ128" s="108"/>
      <c r="GK128" s="108"/>
      <c r="GL128" s="108"/>
      <c r="GM128" s="108"/>
      <c r="GN128" s="108"/>
      <c r="GO128" s="108"/>
      <c r="GP128" s="108"/>
      <c r="GQ128" s="108"/>
      <c r="GR128" s="108"/>
      <c r="GS128" s="108"/>
      <c r="GT128" s="108"/>
      <c r="GU128" s="108"/>
      <c r="GV128" s="108"/>
      <c r="GW128" s="108"/>
      <c r="GX128" s="108"/>
      <c r="GY128" s="108"/>
      <c r="GZ128" s="108"/>
      <c r="HA128" s="108"/>
      <c r="HB128" s="108"/>
      <c r="HC128" s="108"/>
      <c r="HD128" s="108"/>
      <c r="HE128" s="108"/>
      <c r="HF128" s="108"/>
      <c r="HG128" s="108"/>
      <c r="HH128" s="108"/>
      <c r="HI128" s="108"/>
      <c r="HJ128" s="108"/>
      <c r="HK128" s="108"/>
      <c r="HL128" s="108"/>
      <c r="HM128" s="108"/>
      <c r="HN128" s="108"/>
      <c r="HO128" s="108"/>
      <c r="HP128" s="108"/>
      <c r="HQ128" s="108"/>
      <c r="HR128" s="108"/>
      <c r="HS128" s="108"/>
      <c r="HT128" s="108"/>
      <c r="HU128" s="108"/>
      <c r="HV128" s="108"/>
      <c r="HW128" s="108"/>
      <c r="HX128" s="108"/>
      <c r="HY128" s="108"/>
      <c r="HZ128" s="108"/>
      <c r="IA128" s="108"/>
      <c r="IB128" s="108"/>
      <c r="IC128" s="108"/>
      <c r="ID128" s="108"/>
      <c r="IE128" s="108"/>
      <c r="IF128" s="108"/>
      <c r="IG128" s="108"/>
      <c r="IH128" s="108"/>
      <c r="II128" s="108"/>
      <c r="IJ128" s="108"/>
      <c r="IK128" s="108"/>
      <c r="IL128" s="108"/>
      <c r="IM128" s="108"/>
      <c r="IN128" s="108"/>
      <c r="IO128" s="108"/>
      <c r="IP128" s="108"/>
      <c r="IQ128" s="108"/>
      <c r="IR128" s="108"/>
      <c r="IS128" s="108"/>
      <c r="IT128" s="108"/>
      <c r="IU128" s="108"/>
      <c r="IV128" s="108"/>
      <c r="IW128" s="108"/>
    </row>
    <row r="129" spans="1:257" x14ac:dyDescent="0.3">
      <c r="A129" s="158"/>
      <c r="B129" s="158"/>
      <c r="C129" s="158"/>
      <c r="D129" s="158"/>
      <c r="E129" s="158"/>
      <c r="F129" s="158"/>
      <c r="G129" s="158"/>
      <c r="H129" s="158"/>
      <c r="I129" s="158"/>
      <c r="J129" s="158"/>
      <c r="K129" s="158"/>
      <c r="L129" s="158"/>
      <c r="M129" s="158"/>
      <c r="N129" s="158"/>
      <c r="O129" s="108"/>
      <c r="P129" s="108"/>
      <c r="Q129" s="108"/>
      <c r="R129" s="108"/>
      <c r="S129" s="108"/>
      <c r="T129" s="108"/>
      <c r="U129" s="108"/>
      <c r="V129" s="108"/>
      <c r="W129" s="108"/>
      <c r="X129" s="108"/>
      <c r="Y129" s="108"/>
      <c r="Z129" s="108"/>
      <c r="AA129" s="108"/>
      <c r="AB129" s="108"/>
      <c r="AC129" s="108"/>
      <c r="AD129" s="108"/>
      <c r="AE129" s="108"/>
      <c r="AF129" s="108"/>
      <c r="AG129" s="108"/>
      <c r="AH129" s="108"/>
      <c r="AI129" s="108"/>
      <c r="AJ129" s="108"/>
      <c r="AK129" s="108"/>
      <c r="AL129" s="108"/>
      <c r="AM129" s="108"/>
      <c r="AN129" s="108"/>
      <c r="AO129" s="108"/>
      <c r="AP129" s="108"/>
      <c r="AQ129" s="108"/>
      <c r="AR129" s="108"/>
      <c r="AS129" s="108"/>
      <c r="AT129" s="108"/>
      <c r="AU129" s="108"/>
      <c r="AV129" s="108"/>
      <c r="AW129" s="108"/>
      <c r="AX129" s="108"/>
      <c r="AY129" s="108"/>
      <c r="AZ129" s="108"/>
      <c r="BA129" s="108"/>
      <c r="BB129" s="108"/>
      <c r="BC129" s="108"/>
      <c r="BD129" s="108"/>
      <c r="BE129" s="108"/>
      <c r="BF129" s="108"/>
      <c r="BG129" s="108"/>
      <c r="BH129" s="108"/>
      <c r="BI129" s="108"/>
      <c r="BJ129" s="108"/>
      <c r="BK129" s="108"/>
      <c r="BL129" s="108"/>
      <c r="BM129" s="108"/>
      <c r="BN129" s="108"/>
      <c r="BO129" s="108"/>
      <c r="BP129" s="108"/>
      <c r="BQ129" s="108"/>
      <c r="BR129" s="108"/>
      <c r="BS129" s="108"/>
      <c r="BT129" s="108"/>
      <c r="BU129" s="108"/>
      <c r="BV129" s="108"/>
      <c r="BW129" s="108"/>
      <c r="BX129" s="108"/>
      <c r="BY129" s="108"/>
      <c r="BZ129" s="108"/>
      <c r="CA129" s="108"/>
      <c r="CB129" s="108"/>
      <c r="CC129" s="108"/>
      <c r="CD129" s="108"/>
      <c r="CE129" s="108"/>
      <c r="CF129" s="108"/>
      <c r="CG129" s="108"/>
      <c r="CH129" s="108"/>
      <c r="CI129" s="108"/>
      <c r="CJ129" s="108"/>
      <c r="CK129" s="108"/>
      <c r="CL129" s="108"/>
      <c r="CM129" s="108"/>
      <c r="CN129" s="108"/>
      <c r="CO129" s="108"/>
      <c r="CP129" s="108"/>
      <c r="CQ129" s="108"/>
      <c r="CR129" s="108"/>
      <c r="CS129" s="108"/>
      <c r="CT129" s="108"/>
      <c r="CU129" s="108"/>
      <c r="CV129" s="108"/>
      <c r="CW129" s="108"/>
      <c r="CX129" s="108"/>
      <c r="CY129" s="108"/>
      <c r="CZ129" s="108"/>
      <c r="DA129" s="108"/>
      <c r="DB129" s="108"/>
      <c r="DC129" s="108"/>
      <c r="DD129" s="108"/>
      <c r="DE129" s="108"/>
      <c r="DF129" s="108"/>
      <c r="DG129" s="108"/>
      <c r="DH129" s="108"/>
      <c r="DI129" s="108"/>
      <c r="DJ129" s="108"/>
      <c r="DK129" s="108"/>
      <c r="DL129" s="108"/>
      <c r="DM129" s="108"/>
      <c r="DN129" s="108"/>
      <c r="DO129" s="108"/>
      <c r="DP129" s="108"/>
      <c r="DQ129" s="108"/>
      <c r="DR129" s="108"/>
      <c r="DS129" s="108"/>
      <c r="DT129" s="108"/>
      <c r="DU129" s="108"/>
      <c r="DV129" s="108"/>
      <c r="DW129" s="108"/>
      <c r="DX129" s="108"/>
      <c r="DY129" s="108"/>
      <c r="DZ129" s="108"/>
      <c r="EA129" s="108"/>
      <c r="EB129" s="108"/>
      <c r="EC129" s="108"/>
      <c r="ED129" s="108"/>
      <c r="EE129" s="108"/>
      <c r="EF129" s="108"/>
      <c r="EG129" s="108"/>
      <c r="EH129" s="108"/>
      <c r="EI129" s="108"/>
      <c r="EJ129" s="108"/>
      <c r="EK129" s="108"/>
      <c r="EL129" s="108"/>
      <c r="EM129" s="108"/>
      <c r="EN129" s="108"/>
      <c r="EO129" s="108"/>
      <c r="EP129" s="108"/>
      <c r="EQ129" s="108"/>
      <c r="ER129" s="108"/>
      <c r="ES129" s="108"/>
      <c r="ET129" s="108"/>
      <c r="EU129" s="108"/>
      <c r="EV129" s="108"/>
      <c r="EW129" s="108"/>
      <c r="EX129" s="108"/>
      <c r="EY129" s="108"/>
      <c r="EZ129" s="108"/>
      <c r="FA129" s="108"/>
      <c r="FB129" s="108"/>
      <c r="FC129" s="108"/>
      <c r="FD129" s="108"/>
      <c r="FE129" s="108"/>
      <c r="FF129" s="108"/>
      <c r="FG129" s="108"/>
      <c r="FH129" s="108"/>
      <c r="FI129" s="108"/>
      <c r="FJ129" s="108"/>
      <c r="FK129" s="108"/>
      <c r="FL129" s="108"/>
      <c r="FM129" s="108"/>
      <c r="FN129" s="108"/>
      <c r="FO129" s="108"/>
      <c r="FP129" s="108"/>
      <c r="FQ129" s="108"/>
      <c r="FR129" s="108"/>
      <c r="FS129" s="108"/>
      <c r="FT129" s="108"/>
      <c r="FU129" s="108"/>
      <c r="FV129" s="108"/>
      <c r="FW129" s="108"/>
      <c r="FX129" s="108"/>
      <c r="FY129" s="108"/>
      <c r="FZ129" s="108"/>
      <c r="GA129" s="108"/>
      <c r="GB129" s="108"/>
      <c r="GC129" s="108"/>
      <c r="GD129" s="108"/>
      <c r="GE129" s="108"/>
      <c r="GF129" s="108"/>
      <c r="GG129" s="108"/>
      <c r="GH129" s="108"/>
      <c r="GI129" s="108"/>
      <c r="GJ129" s="108"/>
      <c r="GK129" s="108"/>
      <c r="GL129" s="108"/>
      <c r="GM129" s="108"/>
      <c r="GN129" s="108"/>
      <c r="GO129" s="108"/>
      <c r="GP129" s="108"/>
      <c r="GQ129" s="108"/>
      <c r="GR129" s="108"/>
      <c r="GS129" s="108"/>
      <c r="GT129" s="108"/>
      <c r="GU129" s="108"/>
      <c r="GV129" s="108"/>
      <c r="GW129" s="108"/>
      <c r="GX129" s="108"/>
      <c r="GY129" s="108"/>
      <c r="GZ129" s="108"/>
      <c r="HA129" s="108"/>
      <c r="HB129" s="108"/>
      <c r="HC129" s="108"/>
      <c r="HD129" s="108"/>
      <c r="HE129" s="108"/>
      <c r="HF129" s="108"/>
      <c r="HG129" s="108"/>
      <c r="HH129" s="108"/>
      <c r="HI129" s="108"/>
      <c r="HJ129" s="108"/>
      <c r="HK129" s="108"/>
      <c r="HL129" s="108"/>
      <c r="HM129" s="108"/>
      <c r="HN129" s="108"/>
      <c r="HO129" s="108"/>
      <c r="HP129" s="108"/>
      <c r="HQ129" s="108"/>
      <c r="HR129" s="108"/>
      <c r="HS129" s="108"/>
      <c r="HT129" s="108"/>
      <c r="HU129" s="108"/>
      <c r="HV129" s="108"/>
      <c r="HW129" s="108"/>
      <c r="HX129" s="108"/>
      <c r="HY129" s="108"/>
      <c r="HZ129" s="108"/>
      <c r="IA129" s="108"/>
      <c r="IB129" s="108"/>
      <c r="IC129" s="108"/>
      <c r="ID129" s="108"/>
      <c r="IE129" s="108"/>
      <c r="IF129" s="108"/>
      <c r="IG129" s="108"/>
      <c r="IH129" s="108"/>
      <c r="II129" s="108"/>
      <c r="IJ129" s="108"/>
      <c r="IK129" s="108"/>
      <c r="IL129" s="108"/>
      <c r="IM129" s="108"/>
      <c r="IN129" s="108"/>
      <c r="IO129" s="108"/>
      <c r="IP129" s="108"/>
      <c r="IQ129" s="108"/>
      <c r="IR129" s="108"/>
      <c r="IS129" s="108"/>
      <c r="IT129" s="108"/>
      <c r="IU129" s="108"/>
      <c r="IV129" s="108"/>
      <c r="IW129" s="108"/>
    </row>
    <row r="130" spans="1:257" x14ac:dyDescent="0.3">
      <c r="A130" s="158"/>
      <c r="B130" s="158"/>
      <c r="C130" s="158"/>
      <c r="D130" s="158"/>
      <c r="E130" s="158"/>
      <c r="F130" s="158"/>
      <c r="G130" s="158"/>
      <c r="H130" s="158"/>
      <c r="I130" s="158"/>
      <c r="J130" s="158"/>
      <c r="K130" s="158"/>
      <c r="L130" s="158"/>
      <c r="M130" s="158"/>
      <c r="N130" s="158"/>
      <c r="O130" s="108"/>
      <c r="P130" s="108"/>
      <c r="Q130" s="108"/>
      <c r="R130" s="108"/>
      <c r="S130" s="108"/>
      <c r="T130" s="108"/>
      <c r="U130" s="108"/>
      <c r="V130" s="108"/>
      <c r="W130" s="108"/>
      <c r="X130" s="108"/>
      <c r="Y130" s="108"/>
      <c r="Z130" s="108"/>
      <c r="AA130" s="108"/>
      <c r="AB130" s="108"/>
      <c r="AC130" s="108"/>
      <c r="AD130" s="108"/>
      <c r="AE130" s="108"/>
      <c r="AF130" s="108"/>
      <c r="AG130" s="108"/>
      <c r="AH130" s="108"/>
      <c r="AI130" s="108"/>
      <c r="AJ130" s="108"/>
      <c r="AK130" s="108"/>
      <c r="AL130" s="108"/>
      <c r="AM130" s="108"/>
      <c r="AN130" s="108"/>
      <c r="AO130" s="108"/>
      <c r="AP130" s="108"/>
      <c r="AQ130" s="108"/>
      <c r="AR130" s="108"/>
      <c r="AS130" s="108"/>
      <c r="AT130" s="108"/>
      <c r="AU130" s="108"/>
      <c r="AV130" s="108"/>
      <c r="AW130" s="108"/>
      <c r="AX130" s="108"/>
      <c r="AY130" s="108"/>
      <c r="AZ130" s="108"/>
      <c r="BA130" s="108"/>
      <c r="BB130" s="108"/>
      <c r="BC130" s="108"/>
      <c r="BD130" s="108"/>
      <c r="BE130" s="108"/>
      <c r="BF130" s="108"/>
      <c r="BG130" s="108"/>
      <c r="BH130" s="108"/>
      <c r="BI130" s="108"/>
      <c r="BJ130" s="108"/>
      <c r="BK130" s="108"/>
      <c r="BL130" s="108"/>
      <c r="BM130" s="108"/>
      <c r="BN130" s="108"/>
      <c r="BO130" s="108"/>
      <c r="BP130" s="108"/>
      <c r="BQ130" s="108"/>
      <c r="BR130" s="108"/>
      <c r="BS130" s="108"/>
      <c r="BT130" s="108"/>
      <c r="BU130" s="108"/>
      <c r="BV130" s="108"/>
      <c r="BW130" s="108"/>
      <c r="BX130" s="108"/>
      <c r="BY130" s="108"/>
      <c r="BZ130" s="108"/>
      <c r="CA130" s="108"/>
      <c r="CB130" s="108"/>
      <c r="CC130" s="108"/>
      <c r="CD130" s="108"/>
      <c r="CE130" s="108"/>
      <c r="CF130" s="108"/>
      <c r="CG130" s="108"/>
      <c r="CH130" s="108"/>
      <c r="CI130" s="108"/>
      <c r="CJ130" s="108"/>
      <c r="CK130" s="108"/>
      <c r="CL130" s="108"/>
      <c r="CM130" s="108"/>
      <c r="CN130" s="108"/>
      <c r="CO130" s="108"/>
      <c r="CP130" s="108"/>
      <c r="CQ130" s="108"/>
      <c r="CR130" s="108"/>
      <c r="CS130" s="108"/>
      <c r="CT130" s="108"/>
      <c r="CU130" s="108"/>
      <c r="CV130" s="108"/>
      <c r="CW130" s="108"/>
      <c r="CX130" s="108"/>
      <c r="CY130" s="108"/>
      <c r="CZ130" s="108"/>
      <c r="DA130" s="108"/>
      <c r="DB130" s="108"/>
      <c r="DC130" s="108"/>
      <c r="DD130" s="108"/>
      <c r="DE130" s="108"/>
      <c r="DF130" s="108"/>
      <c r="DG130" s="108"/>
      <c r="DH130" s="108"/>
      <c r="DI130" s="108"/>
      <c r="DJ130" s="108"/>
      <c r="DK130" s="108"/>
      <c r="DL130" s="108"/>
      <c r="DM130" s="108"/>
      <c r="DN130" s="108"/>
      <c r="DO130" s="108"/>
      <c r="DP130" s="108"/>
      <c r="DQ130" s="108"/>
      <c r="DR130" s="108"/>
      <c r="DS130" s="108"/>
      <c r="DT130" s="108"/>
      <c r="DU130" s="108"/>
      <c r="DV130" s="108"/>
      <c r="DW130" s="108"/>
      <c r="DX130" s="108"/>
      <c r="DY130" s="108"/>
      <c r="DZ130" s="108"/>
      <c r="EA130" s="108"/>
      <c r="EB130" s="108"/>
      <c r="EC130" s="108"/>
      <c r="ED130" s="108"/>
      <c r="EE130" s="108"/>
      <c r="EF130" s="108"/>
      <c r="EG130" s="108"/>
      <c r="EH130" s="108"/>
      <c r="EI130" s="108"/>
      <c r="EJ130" s="108"/>
      <c r="EK130" s="108"/>
      <c r="EL130" s="108"/>
      <c r="EM130" s="108"/>
      <c r="EN130" s="108"/>
      <c r="EO130" s="108"/>
      <c r="EP130" s="108"/>
      <c r="EQ130" s="108"/>
      <c r="ER130" s="108"/>
      <c r="ES130" s="108"/>
      <c r="ET130" s="108"/>
      <c r="EU130" s="108"/>
      <c r="EV130" s="108"/>
      <c r="EW130" s="108"/>
      <c r="EX130" s="108"/>
      <c r="EY130" s="108"/>
      <c r="EZ130" s="108"/>
      <c r="FA130" s="108"/>
      <c r="FB130" s="108"/>
      <c r="FC130" s="108"/>
      <c r="FD130" s="108"/>
      <c r="FE130" s="108"/>
      <c r="FF130" s="108"/>
      <c r="FG130" s="108"/>
      <c r="FH130" s="108"/>
      <c r="FI130" s="108"/>
      <c r="FJ130" s="108"/>
      <c r="FK130" s="108"/>
      <c r="FL130" s="108"/>
      <c r="FM130" s="108"/>
      <c r="FN130" s="108"/>
      <c r="FO130" s="108"/>
      <c r="FP130" s="108"/>
      <c r="FQ130" s="108"/>
      <c r="FR130" s="108"/>
      <c r="FS130" s="108"/>
      <c r="FT130" s="108"/>
      <c r="FU130" s="108"/>
      <c r="FV130" s="108"/>
      <c r="FW130" s="108"/>
      <c r="FX130" s="108"/>
      <c r="FY130" s="108"/>
      <c r="FZ130" s="108"/>
      <c r="GA130" s="108"/>
      <c r="GB130" s="108"/>
      <c r="GC130" s="108"/>
      <c r="GD130" s="108"/>
      <c r="GE130" s="108"/>
      <c r="GF130" s="108"/>
      <c r="GG130" s="108"/>
      <c r="GH130" s="108"/>
      <c r="GI130" s="108"/>
      <c r="GJ130" s="108"/>
      <c r="GK130" s="108"/>
      <c r="GL130" s="108"/>
      <c r="GM130" s="108"/>
      <c r="GN130" s="108"/>
      <c r="GO130" s="108"/>
      <c r="GP130" s="108"/>
      <c r="GQ130" s="108"/>
      <c r="GR130" s="108"/>
      <c r="GS130" s="108"/>
      <c r="GT130" s="108"/>
      <c r="GU130" s="108"/>
      <c r="GV130" s="108"/>
      <c r="GW130" s="108"/>
      <c r="GX130" s="108"/>
      <c r="GY130" s="108"/>
      <c r="GZ130" s="108"/>
      <c r="HA130" s="108"/>
      <c r="HB130" s="108"/>
      <c r="HC130" s="108"/>
      <c r="HD130" s="108"/>
      <c r="HE130" s="108"/>
      <c r="HF130" s="108"/>
      <c r="HG130" s="108"/>
      <c r="HH130" s="108"/>
      <c r="HI130" s="108"/>
      <c r="HJ130" s="108"/>
      <c r="HK130" s="108"/>
      <c r="HL130" s="108"/>
      <c r="HM130" s="108"/>
      <c r="HN130" s="108"/>
      <c r="HO130" s="108"/>
      <c r="HP130" s="108"/>
      <c r="HQ130" s="108"/>
      <c r="HR130" s="108"/>
      <c r="HS130" s="108"/>
      <c r="HT130" s="108"/>
      <c r="HU130" s="108"/>
      <c r="HV130" s="108"/>
      <c r="HW130" s="108"/>
      <c r="HX130" s="108"/>
      <c r="HY130" s="108"/>
      <c r="HZ130" s="108"/>
      <c r="IA130" s="108"/>
      <c r="IB130" s="108"/>
      <c r="IC130" s="108"/>
      <c r="ID130" s="108"/>
      <c r="IE130" s="108"/>
      <c r="IF130" s="108"/>
      <c r="IG130" s="108"/>
      <c r="IH130" s="108"/>
      <c r="II130" s="108"/>
      <c r="IJ130" s="108"/>
      <c r="IK130" s="108"/>
      <c r="IL130" s="108"/>
      <c r="IM130" s="108"/>
      <c r="IN130" s="108"/>
      <c r="IO130" s="108"/>
      <c r="IP130" s="108"/>
      <c r="IQ130" s="108"/>
      <c r="IR130" s="108"/>
      <c r="IS130" s="108"/>
      <c r="IT130" s="108"/>
      <c r="IU130" s="108"/>
      <c r="IV130" s="108"/>
      <c r="IW130" s="108"/>
    </row>
    <row r="131" spans="1:257" x14ac:dyDescent="0.3">
      <c r="A131" s="158"/>
      <c r="B131" s="158"/>
      <c r="C131" s="158"/>
      <c r="D131" s="158"/>
      <c r="E131" s="158"/>
      <c r="F131" s="158"/>
      <c r="G131" s="158"/>
      <c r="H131" s="158"/>
      <c r="I131" s="158"/>
      <c r="J131" s="158"/>
      <c r="K131" s="158"/>
      <c r="L131" s="158"/>
      <c r="M131" s="158"/>
      <c r="N131" s="158"/>
      <c r="O131" s="108"/>
      <c r="P131" s="108"/>
      <c r="Q131" s="108"/>
      <c r="R131" s="108"/>
      <c r="S131" s="108"/>
      <c r="T131" s="108"/>
      <c r="U131" s="108"/>
      <c r="V131" s="108"/>
      <c r="W131" s="108"/>
      <c r="X131" s="108"/>
      <c r="Y131" s="108"/>
      <c r="Z131" s="108"/>
      <c r="AA131" s="108"/>
      <c r="AB131" s="108"/>
      <c r="AC131" s="108"/>
      <c r="AD131" s="108"/>
      <c r="AE131" s="108"/>
      <c r="AF131" s="108"/>
      <c r="AG131" s="108"/>
      <c r="AH131" s="108"/>
      <c r="AI131" s="108"/>
      <c r="AJ131" s="108"/>
      <c r="AK131" s="108"/>
      <c r="AL131" s="108"/>
      <c r="AM131" s="108"/>
      <c r="AN131" s="108"/>
      <c r="AO131" s="108"/>
      <c r="AP131" s="108"/>
      <c r="AQ131" s="108"/>
      <c r="AR131" s="108"/>
      <c r="AS131" s="108"/>
      <c r="AT131" s="108"/>
      <c r="AU131" s="108"/>
      <c r="AV131" s="108"/>
      <c r="AW131" s="108"/>
      <c r="AX131" s="108"/>
      <c r="AY131" s="108"/>
      <c r="AZ131" s="108"/>
      <c r="BA131" s="108"/>
      <c r="BB131" s="108"/>
      <c r="BC131" s="108"/>
      <c r="BD131" s="108"/>
      <c r="BE131" s="108"/>
      <c r="BF131" s="108"/>
      <c r="BG131" s="108"/>
      <c r="BH131" s="108"/>
      <c r="BI131" s="108"/>
      <c r="BJ131" s="108"/>
      <c r="BK131" s="108"/>
      <c r="BL131" s="108"/>
      <c r="BM131" s="108"/>
      <c r="BN131" s="108"/>
      <c r="BO131" s="108"/>
      <c r="BP131" s="108"/>
      <c r="BQ131" s="108"/>
      <c r="BR131" s="108"/>
      <c r="BS131" s="108"/>
      <c r="BT131" s="108"/>
      <c r="BU131" s="108"/>
      <c r="BV131" s="108"/>
      <c r="BW131" s="108"/>
      <c r="BX131" s="108"/>
      <c r="BY131" s="108"/>
      <c r="BZ131" s="108"/>
      <c r="CA131" s="108"/>
      <c r="CB131" s="108"/>
      <c r="CC131" s="108"/>
      <c r="CD131" s="108"/>
      <c r="CE131" s="108"/>
      <c r="CF131" s="108"/>
      <c r="CG131" s="108"/>
      <c r="CH131" s="108"/>
      <c r="CI131" s="108"/>
      <c r="CJ131" s="108"/>
      <c r="CK131" s="108"/>
      <c r="CL131" s="108"/>
      <c r="CM131" s="108"/>
      <c r="CN131" s="108"/>
      <c r="CO131" s="108"/>
      <c r="CP131" s="108"/>
      <c r="CQ131" s="108"/>
      <c r="CR131" s="108"/>
      <c r="CS131" s="108"/>
      <c r="CT131" s="108"/>
      <c r="CU131" s="108"/>
      <c r="CV131" s="108"/>
      <c r="CW131" s="108"/>
      <c r="CX131" s="108"/>
      <c r="CY131" s="108"/>
      <c r="CZ131" s="108"/>
      <c r="DA131" s="108"/>
      <c r="DB131" s="108"/>
      <c r="DC131" s="108"/>
      <c r="DD131" s="108"/>
      <c r="DE131" s="108"/>
      <c r="DF131" s="108"/>
      <c r="DG131" s="108"/>
      <c r="DH131" s="108"/>
      <c r="DI131" s="108"/>
      <c r="DJ131" s="108"/>
      <c r="DK131" s="108"/>
      <c r="DL131" s="108"/>
      <c r="DM131" s="108"/>
      <c r="DN131" s="108"/>
      <c r="DO131" s="108"/>
      <c r="DP131" s="108"/>
      <c r="DQ131" s="108"/>
      <c r="DR131" s="108"/>
      <c r="DS131" s="108"/>
      <c r="DT131" s="108"/>
      <c r="DU131" s="108"/>
      <c r="DV131" s="108"/>
      <c r="DW131" s="108"/>
      <c r="DX131" s="108"/>
      <c r="DY131" s="108"/>
      <c r="DZ131" s="108"/>
      <c r="EA131" s="108"/>
      <c r="EB131" s="108"/>
      <c r="EC131" s="108"/>
      <c r="ED131" s="108"/>
      <c r="EE131" s="108"/>
      <c r="EF131" s="108"/>
      <c r="EG131" s="108"/>
      <c r="EH131" s="108"/>
      <c r="EI131" s="108"/>
      <c r="EJ131" s="108"/>
      <c r="EK131" s="108"/>
      <c r="EL131" s="108"/>
      <c r="EM131" s="108"/>
      <c r="EN131" s="108"/>
      <c r="EO131" s="108"/>
      <c r="EP131" s="108"/>
      <c r="EQ131" s="108"/>
      <c r="ER131" s="108"/>
      <c r="ES131" s="108"/>
      <c r="ET131" s="108"/>
      <c r="EU131" s="108"/>
      <c r="EV131" s="108"/>
      <c r="EW131" s="108"/>
      <c r="EX131" s="108"/>
      <c r="EY131" s="108"/>
      <c r="EZ131" s="108"/>
      <c r="FA131" s="108"/>
      <c r="FB131" s="108"/>
      <c r="FC131" s="108"/>
      <c r="FD131" s="108"/>
      <c r="FE131" s="108"/>
      <c r="FF131" s="108"/>
      <c r="FG131" s="108"/>
      <c r="FH131" s="108"/>
      <c r="FI131" s="108"/>
      <c r="FJ131" s="108"/>
      <c r="FK131" s="108"/>
      <c r="FL131" s="108"/>
      <c r="FM131" s="108"/>
      <c r="FN131" s="108"/>
      <c r="FO131" s="108"/>
      <c r="FP131" s="108"/>
      <c r="FQ131" s="108"/>
      <c r="FR131" s="108"/>
      <c r="FS131" s="108"/>
      <c r="FT131" s="108"/>
      <c r="FU131" s="108"/>
      <c r="FV131" s="108"/>
      <c r="FW131" s="108"/>
      <c r="FX131" s="108"/>
      <c r="FY131" s="108"/>
      <c r="FZ131" s="108"/>
      <c r="GA131" s="108"/>
      <c r="GB131" s="108"/>
      <c r="GC131" s="108"/>
      <c r="GD131" s="108"/>
      <c r="GE131" s="108"/>
      <c r="GF131" s="108"/>
      <c r="GG131" s="108"/>
      <c r="GH131" s="108"/>
      <c r="GI131" s="108"/>
      <c r="GJ131" s="108"/>
      <c r="GK131" s="108"/>
      <c r="GL131" s="108"/>
      <c r="GM131" s="108"/>
      <c r="GN131" s="108"/>
      <c r="GO131" s="108"/>
      <c r="GP131" s="108"/>
      <c r="GQ131" s="108"/>
      <c r="GR131" s="108"/>
      <c r="GS131" s="108"/>
      <c r="GT131" s="108"/>
      <c r="GU131" s="108"/>
      <c r="GV131" s="108"/>
      <c r="GW131" s="108"/>
      <c r="GX131" s="108"/>
      <c r="GY131" s="108"/>
      <c r="GZ131" s="108"/>
      <c r="HA131" s="108"/>
      <c r="HB131" s="108"/>
      <c r="HC131" s="108"/>
      <c r="HD131" s="108"/>
      <c r="HE131" s="108"/>
      <c r="HF131" s="108"/>
      <c r="HG131" s="108"/>
      <c r="HH131" s="108"/>
      <c r="HI131" s="108"/>
      <c r="HJ131" s="108"/>
      <c r="HK131" s="108"/>
      <c r="HL131" s="108"/>
      <c r="HM131" s="108"/>
      <c r="HN131" s="108"/>
      <c r="HO131" s="108"/>
      <c r="HP131" s="108"/>
      <c r="HQ131" s="108"/>
      <c r="HR131" s="108"/>
      <c r="HS131" s="108"/>
      <c r="HT131" s="108"/>
      <c r="HU131" s="108"/>
      <c r="HV131" s="108"/>
      <c r="HW131" s="108"/>
      <c r="HX131" s="108"/>
      <c r="HY131" s="108"/>
      <c r="HZ131" s="108"/>
      <c r="IA131" s="108"/>
      <c r="IB131" s="108"/>
      <c r="IC131" s="108"/>
      <c r="ID131" s="108"/>
      <c r="IE131" s="108"/>
      <c r="IF131" s="108"/>
      <c r="IG131" s="108"/>
      <c r="IH131" s="108"/>
      <c r="II131" s="108"/>
      <c r="IJ131" s="108"/>
      <c r="IK131" s="108"/>
      <c r="IL131" s="108"/>
      <c r="IM131" s="108"/>
      <c r="IN131" s="108"/>
      <c r="IO131" s="108"/>
      <c r="IP131" s="108"/>
      <c r="IQ131" s="108"/>
      <c r="IR131" s="108"/>
      <c r="IS131" s="108"/>
      <c r="IT131" s="108"/>
      <c r="IU131" s="108"/>
      <c r="IV131" s="108"/>
      <c r="IW131" s="108"/>
    </row>
    <row r="132" spans="1:257" x14ac:dyDescent="0.3">
      <c r="A132" s="158"/>
      <c r="B132" s="158"/>
      <c r="C132" s="158"/>
      <c r="D132" s="158"/>
      <c r="E132" s="158"/>
      <c r="F132" s="158"/>
      <c r="G132" s="158"/>
      <c r="H132" s="158"/>
      <c r="I132" s="158"/>
      <c r="J132" s="158"/>
      <c r="K132" s="158"/>
      <c r="L132" s="158"/>
      <c r="M132" s="158"/>
      <c r="N132" s="158"/>
      <c r="O132" s="108"/>
      <c r="P132" s="108"/>
      <c r="Q132" s="108"/>
      <c r="R132" s="108"/>
      <c r="S132" s="108"/>
      <c r="T132" s="108"/>
      <c r="U132" s="108"/>
      <c r="V132" s="108"/>
      <c r="W132" s="108"/>
      <c r="X132" s="108"/>
      <c r="Y132" s="108"/>
      <c r="Z132" s="108"/>
      <c r="AA132" s="108"/>
      <c r="AB132" s="108"/>
      <c r="AC132" s="108"/>
      <c r="AD132" s="108"/>
      <c r="AE132" s="108"/>
      <c r="AF132" s="108"/>
      <c r="AG132" s="108"/>
      <c r="AH132" s="108"/>
      <c r="AI132" s="108"/>
      <c r="AJ132" s="108"/>
      <c r="AK132" s="108"/>
      <c r="AL132" s="108"/>
      <c r="AM132" s="108"/>
      <c r="AN132" s="108"/>
      <c r="AO132" s="108"/>
      <c r="AP132" s="108"/>
      <c r="AQ132" s="108"/>
      <c r="AR132" s="108"/>
      <c r="AS132" s="108"/>
      <c r="AT132" s="108"/>
      <c r="AU132" s="108"/>
      <c r="AV132" s="108"/>
      <c r="AW132" s="108"/>
      <c r="AX132" s="108"/>
      <c r="AY132" s="108"/>
      <c r="AZ132" s="108"/>
      <c r="BA132" s="108"/>
      <c r="BB132" s="108"/>
      <c r="BC132" s="108"/>
      <c r="BD132" s="108"/>
      <c r="BE132" s="108"/>
      <c r="BF132" s="108"/>
      <c r="BG132" s="108"/>
      <c r="BH132" s="108"/>
      <c r="BI132" s="108"/>
      <c r="BJ132" s="108"/>
      <c r="BK132" s="108"/>
      <c r="BL132" s="108"/>
      <c r="BM132" s="108"/>
      <c r="BN132" s="108"/>
      <c r="BO132" s="108"/>
      <c r="BP132" s="108"/>
      <c r="BQ132" s="108"/>
      <c r="BR132" s="108"/>
      <c r="BS132" s="108"/>
      <c r="BT132" s="108"/>
      <c r="BU132" s="108"/>
      <c r="BV132" s="108"/>
      <c r="BW132" s="108"/>
      <c r="BX132" s="108"/>
      <c r="BY132" s="108"/>
      <c r="BZ132" s="108"/>
      <c r="CA132" s="108"/>
      <c r="CB132" s="108"/>
      <c r="CC132" s="108"/>
      <c r="CD132" s="108"/>
      <c r="CE132" s="108"/>
      <c r="CF132" s="108"/>
      <c r="CG132" s="108"/>
      <c r="CH132" s="108"/>
      <c r="CI132" s="108"/>
      <c r="CJ132" s="108"/>
      <c r="CK132" s="108"/>
      <c r="CL132" s="108"/>
      <c r="CM132" s="108"/>
      <c r="CN132" s="108"/>
      <c r="CO132" s="108"/>
      <c r="CP132" s="108"/>
      <c r="CQ132" s="108"/>
      <c r="CR132" s="108"/>
      <c r="CS132" s="108"/>
      <c r="CT132" s="108"/>
      <c r="CU132" s="108"/>
      <c r="CV132" s="108"/>
      <c r="CW132" s="108"/>
      <c r="CX132" s="108"/>
      <c r="CY132" s="108"/>
      <c r="CZ132" s="108"/>
      <c r="DA132" s="108"/>
      <c r="DB132" s="108"/>
      <c r="DC132" s="108"/>
      <c r="DD132" s="108"/>
      <c r="DE132" s="108"/>
      <c r="DF132" s="108"/>
      <c r="DG132" s="108"/>
      <c r="DH132" s="108"/>
      <c r="DI132" s="108"/>
      <c r="DJ132" s="108"/>
      <c r="DK132" s="108"/>
      <c r="DL132" s="108"/>
      <c r="DM132" s="108"/>
      <c r="DN132" s="108"/>
      <c r="DO132" s="108"/>
      <c r="DP132" s="108"/>
      <c r="DQ132" s="108"/>
      <c r="DR132" s="108"/>
      <c r="DS132" s="108"/>
      <c r="DT132" s="108"/>
      <c r="DU132" s="108"/>
      <c r="DV132" s="108"/>
      <c r="DW132" s="108"/>
      <c r="DX132" s="108"/>
      <c r="DY132" s="108"/>
      <c r="DZ132" s="108"/>
      <c r="EA132" s="108"/>
      <c r="EB132" s="108"/>
      <c r="EC132" s="108"/>
      <c r="ED132" s="108"/>
      <c r="EE132" s="108"/>
      <c r="EF132" s="108"/>
      <c r="EG132" s="108"/>
      <c r="EH132" s="108"/>
      <c r="EI132" s="108"/>
      <c r="EJ132" s="108"/>
      <c r="EK132" s="108"/>
      <c r="EL132" s="108"/>
      <c r="EM132" s="108"/>
      <c r="EN132" s="108"/>
      <c r="EO132" s="108"/>
      <c r="EP132" s="108"/>
      <c r="EQ132" s="108"/>
      <c r="ER132" s="108"/>
      <c r="ES132" s="108"/>
      <c r="ET132" s="108"/>
      <c r="EU132" s="108"/>
      <c r="EV132" s="108"/>
      <c r="EW132" s="108"/>
      <c r="EX132" s="108"/>
      <c r="EY132" s="108"/>
      <c r="EZ132" s="108"/>
      <c r="FA132" s="108"/>
      <c r="FB132" s="108"/>
      <c r="FC132" s="108"/>
      <c r="FD132" s="108"/>
      <c r="FE132" s="108"/>
      <c r="FF132" s="108"/>
      <c r="FG132" s="108"/>
      <c r="FH132" s="108"/>
      <c r="FI132" s="108"/>
      <c r="FJ132" s="108"/>
      <c r="FK132" s="108"/>
      <c r="FL132" s="108"/>
      <c r="FM132" s="108"/>
      <c r="FN132" s="108"/>
      <c r="FO132" s="108"/>
      <c r="FP132" s="108"/>
      <c r="FQ132" s="108"/>
      <c r="FR132" s="108"/>
      <c r="FS132" s="108"/>
      <c r="FT132" s="108"/>
      <c r="FU132" s="108"/>
      <c r="FV132" s="108"/>
      <c r="FW132" s="108"/>
      <c r="FX132" s="108"/>
      <c r="FY132" s="108"/>
      <c r="FZ132" s="108"/>
      <c r="GA132" s="108"/>
      <c r="GB132" s="108"/>
      <c r="GC132" s="108"/>
      <c r="GD132" s="108"/>
      <c r="GE132" s="108"/>
      <c r="GF132" s="108"/>
      <c r="GG132" s="108"/>
      <c r="GH132" s="108"/>
      <c r="GI132" s="108"/>
      <c r="GJ132" s="108"/>
      <c r="GK132" s="108"/>
      <c r="GL132" s="108"/>
      <c r="GM132" s="108"/>
      <c r="GN132" s="108"/>
      <c r="GO132" s="108"/>
      <c r="GP132" s="108"/>
      <c r="GQ132" s="108"/>
      <c r="GR132" s="108"/>
      <c r="GS132" s="108"/>
      <c r="GT132" s="108"/>
      <c r="GU132" s="108"/>
      <c r="GV132" s="108"/>
      <c r="GW132" s="108"/>
      <c r="GX132" s="108"/>
      <c r="GY132" s="108"/>
      <c r="GZ132" s="108"/>
      <c r="HA132" s="108"/>
      <c r="HB132" s="108"/>
      <c r="HC132" s="108"/>
      <c r="HD132" s="108"/>
      <c r="HE132" s="108"/>
      <c r="HF132" s="108"/>
      <c r="HG132" s="108"/>
      <c r="HH132" s="108"/>
      <c r="HI132" s="108"/>
      <c r="HJ132" s="108"/>
      <c r="HK132" s="108"/>
      <c r="HL132" s="108"/>
      <c r="HM132" s="108"/>
      <c r="HN132" s="108"/>
      <c r="HO132" s="108"/>
      <c r="HP132" s="108"/>
      <c r="HQ132" s="108"/>
      <c r="HR132" s="108"/>
      <c r="HS132" s="108"/>
      <c r="HT132" s="108"/>
      <c r="HU132" s="108"/>
      <c r="HV132" s="108"/>
      <c r="HW132" s="108"/>
      <c r="HX132" s="108"/>
      <c r="HY132" s="108"/>
      <c r="HZ132" s="108"/>
      <c r="IA132" s="108"/>
      <c r="IB132" s="108"/>
      <c r="IC132" s="108"/>
      <c r="ID132" s="108"/>
      <c r="IE132" s="108"/>
      <c r="IF132" s="108"/>
      <c r="IG132" s="108"/>
      <c r="IH132" s="108"/>
      <c r="II132" s="108"/>
      <c r="IJ132" s="108"/>
      <c r="IK132" s="108"/>
      <c r="IL132" s="108"/>
      <c r="IM132" s="108"/>
      <c r="IN132" s="108"/>
      <c r="IO132" s="108"/>
      <c r="IP132" s="108"/>
      <c r="IQ132" s="108"/>
      <c r="IR132" s="108"/>
      <c r="IS132" s="108"/>
      <c r="IT132" s="108"/>
      <c r="IU132" s="108"/>
      <c r="IV132" s="108"/>
      <c r="IW132" s="108"/>
    </row>
    <row r="133" spans="1:257" x14ac:dyDescent="0.3">
      <c r="A133" s="158"/>
      <c r="B133" s="158"/>
      <c r="C133" s="158"/>
      <c r="D133" s="158"/>
      <c r="E133" s="158"/>
      <c r="F133" s="158"/>
      <c r="G133" s="158"/>
      <c r="H133" s="158"/>
      <c r="I133" s="158"/>
      <c r="J133" s="158"/>
      <c r="K133" s="158"/>
      <c r="L133" s="158"/>
      <c r="M133" s="158"/>
      <c r="N133" s="158"/>
      <c r="O133" s="108"/>
      <c r="P133" s="108"/>
      <c r="Q133" s="108"/>
      <c r="R133" s="108"/>
      <c r="S133" s="108"/>
      <c r="T133" s="108"/>
      <c r="U133" s="108"/>
      <c r="V133" s="108"/>
      <c r="W133" s="108"/>
      <c r="X133" s="108"/>
      <c r="Y133" s="108"/>
      <c r="Z133" s="108"/>
      <c r="AA133" s="108"/>
      <c r="AB133" s="108"/>
      <c r="AC133" s="108"/>
      <c r="AD133" s="108"/>
      <c r="AE133" s="108"/>
      <c r="AF133" s="108"/>
      <c r="AG133" s="108"/>
      <c r="AH133" s="108"/>
      <c r="AI133" s="108"/>
      <c r="AJ133" s="108"/>
      <c r="AK133" s="108"/>
      <c r="AL133" s="108"/>
      <c r="AM133" s="108"/>
      <c r="AN133" s="108"/>
      <c r="AO133" s="108"/>
      <c r="AP133" s="108"/>
      <c r="AQ133" s="108"/>
      <c r="AR133" s="108"/>
      <c r="AS133" s="108"/>
      <c r="AT133" s="108"/>
      <c r="AU133" s="108"/>
      <c r="AV133" s="108"/>
      <c r="AW133" s="108"/>
      <c r="AX133" s="108"/>
      <c r="AY133" s="108"/>
      <c r="AZ133" s="108"/>
      <c r="BA133" s="108"/>
      <c r="BB133" s="108"/>
      <c r="BC133" s="108"/>
      <c r="BD133" s="108"/>
      <c r="BE133" s="108"/>
      <c r="BF133" s="108"/>
      <c r="BG133" s="108"/>
      <c r="BH133" s="108"/>
      <c r="BI133" s="108"/>
      <c r="BJ133" s="108"/>
      <c r="BK133" s="108"/>
      <c r="BL133" s="108"/>
      <c r="BM133" s="108"/>
      <c r="BN133" s="108"/>
      <c r="BO133" s="108"/>
      <c r="BP133" s="108"/>
      <c r="BQ133" s="108"/>
      <c r="BR133" s="108"/>
      <c r="BS133" s="108"/>
      <c r="BT133" s="108"/>
      <c r="BU133" s="108"/>
      <c r="BV133" s="108"/>
      <c r="BW133" s="108"/>
      <c r="BX133" s="108"/>
      <c r="BY133" s="108"/>
      <c r="BZ133" s="108"/>
      <c r="CA133" s="108"/>
      <c r="CB133" s="108"/>
      <c r="CC133" s="108"/>
      <c r="CD133" s="108"/>
      <c r="CE133" s="108"/>
      <c r="CF133" s="108"/>
      <c r="CG133" s="108"/>
      <c r="CH133" s="108"/>
      <c r="CI133" s="108"/>
      <c r="CJ133" s="108"/>
      <c r="CK133" s="108"/>
      <c r="CL133" s="108"/>
      <c r="CM133" s="108"/>
      <c r="CN133" s="108"/>
      <c r="CO133" s="108"/>
      <c r="CP133" s="108"/>
      <c r="CQ133" s="108"/>
      <c r="CR133" s="108"/>
      <c r="CS133" s="108"/>
      <c r="CT133" s="108"/>
      <c r="CU133" s="108"/>
      <c r="CV133" s="108"/>
      <c r="CW133" s="108"/>
      <c r="CX133" s="108"/>
      <c r="CY133" s="108"/>
      <c r="CZ133" s="108"/>
      <c r="DA133" s="108"/>
      <c r="DB133" s="108"/>
      <c r="DC133" s="108"/>
      <c r="DD133" s="108"/>
      <c r="DE133" s="108"/>
      <c r="DF133" s="108"/>
      <c r="DG133" s="108"/>
      <c r="DH133" s="108"/>
      <c r="DI133" s="108"/>
      <c r="DJ133" s="108"/>
      <c r="DK133" s="108"/>
      <c r="DL133" s="108"/>
      <c r="DM133" s="108"/>
      <c r="DN133" s="108"/>
      <c r="DO133" s="108"/>
      <c r="DP133" s="108"/>
      <c r="DQ133" s="108"/>
      <c r="DR133" s="108"/>
      <c r="DS133" s="108"/>
      <c r="DT133" s="108"/>
      <c r="DU133" s="108"/>
      <c r="DV133" s="108"/>
      <c r="DW133" s="108"/>
      <c r="DX133" s="108"/>
      <c r="DY133" s="108"/>
      <c r="DZ133" s="108"/>
      <c r="EA133" s="108"/>
      <c r="EB133" s="108"/>
      <c r="EC133" s="108"/>
      <c r="ED133" s="108"/>
      <c r="EE133" s="108"/>
      <c r="EF133" s="108"/>
      <c r="EG133" s="108"/>
      <c r="EH133" s="108"/>
      <c r="EI133" s="108"/>
      <c r="EJ133" s="108"/>
      <c r="EK133" s="108"/>
      <c r="EL133" s="108"/>
      <c r="EM133" s="108"/>
      <c r="EN133" s="108"/>
      <c r="EO133" s="108"/>
      <c r="EP133" s="108"/>
      <c r="EQ133" s="108"/>
      <c r="ER133" s="108"/>
      <c r="ES133" s="108"/>
      <c r="ET133" s="108"/>
      <c r="EU133" s="108"/>
      <c r="EV133" s="108"/>
      <c r="EW133" s="108"/>
      <c r="EX133" s="108"/>
      <c r="EY133" s="108"/>
      <c r="EZ133" s="108"/>
      <c r="FA133" s="108"/>
      <c r="FB133" s="108"/>
      <c r="FC133" s="108"/>
      <c r="FD133" s="108"/>
      <c r="FE133" s="108"/>
      <c r="FF133" s="108"/>
      <c r="FG133" s="108"/>
      <c r="FH133" s="108"/>
      <c r="FI133" s="108"/>
      <c r="FJ133" s="108"/>
      <c r="FK133" s="108"/>
      <c r="FL133" s="108"/>
      <c r="FM133" s="108"/>
      <c r="FN133" s="108"/>
      <c r="FO133" s="108"/>
      <c r="FP133" s="108"/>
      <c r="FQ133" s="108"/>
      <c r="FR133" s="108"/>
      <c r="FS133" s="108"/>
      <c r="FT133" s="108"/>
      <c r="FU133" s="108"/>
      <c r="FV133" s="108"/>
      <c r="FW133" s="108"/>
      <c r="FX133" s="108"/>
      <c r="FY133" s="108"/>
      <c r="FZ133" s="108"/>
      <c r="GA133" s="108"/>
      <c r="GB133" s="108"/>
      <c r="GC133" s="108"/>
      <c r="GD133" s="108"/>
      <c r="GE133" s="108"/>
      <c r="GF133" s="108"/>
      <c r="GG133" s="108"/>
      <c r="GH133" s="108"/>
      <c r="GI133" s="108"/>
      <c r="GJ133" s="108"/>
      <c r="GK133" s="108"/>
      <c r="GL133" s="108"/>
      <c r="GM133" s="108"/>
      <c r="GN133" s="108"/>
      <c r="GO133" s="108"/>
      <c r="GP133" s="108"/>
      <c r="GQ133" s="108"/>
      <c r="GR133" s="108"/>
      <c r="GS133" s="108"/>
      <c r="GT133" s="108"/>
      <c r="GU133" s="108"/>
      <c r="GV133" s="108"/>
      <c r="GW133" s="108"/>
      <c r="GX133" s="108"/>
      <c r="GY133" s="108"/>
      <c r="GZ133" s="108"/>
      <c r="HA133" s="108"/>
      <c r="HB133" s="108"/>
      <c r="HC133" s="108"/>
      <c r="HD133" s="108"/>
      <c r="HE133" s="108"/>
      <c r="HF133" s="108"/>
      <c r="HG133" s="108"/>
      <c r="HH133" s="108"/>
      <c r="HI133" s="108"/>
      <c r="HJ133" s="108"/>
      <c r="HK133" s="108"/>
      <c r="HL133" s="108"/>
      <c r="HM133" s="108"/>
      <c r="HN133" s="108"/>
      <c r="HO133" s="108"/>
      <c r="HP133" s="108"/>
      <c r="HQ133" s="108"/>
      <c r="HR133" s="108"/>
      <c r="HS133" s="108"/>
      <c r="HT133" s="108"/>
      <c r="HU133" s="108"/>
      <c r="HV133" s="108"/>
      <c r="HW133" s="108"/>
      <c r="HX133" s="108"/>
      <c r="HY133" s="108"/>
      <c r="HZ133" s="108"/>
      <c r="IA133" s="108"/>
      <c r="IB133" s="108"/>
      <c r="IC133" s="108"/>
      <c r="ID133" s="108"/>
      <c r="IE133" s="108"/>
      <c r="IF133" s="108"/>
      <c r="IG133" s="108"/>
      <c r="IH133" s="108"/>
      <c r="II133" s="108"/>
      <c r="IJ133" s="108"/>
      <c r="IK133" s="108"/>
      <c r="IL133" s="108"/>
      <c r="IM133" s="108"/>
      <c r="IN133" s="108"/>
      <c r="IO133" s="108"/>
      <c r="IP133" s="108"/>
      <c r="IQ133" s="108"/>
      <c r="IR133" s="108"/>
      <c r="IS133" s="108"/>
      <c r="IT133" s="108"/>
      <c r="IU133" s="108"/>
      <c r="IV133" s="108"/>
      <c r="IW133" s="108"/>
    </row>
  </sheetData>
  <sortState xmlns:xlrd2="http://schemas.microsoft.com/office/spreadsheetml/2017/richdata2" ref="I6:L45">
    <sortCondition descending="1" ref="L6:L45"/>
  </sortState>
  <mergeCells count="1">
    <mergeCell ref="B1:M1"/>
  </mergeCells>
  <pageMargins left="0.7" right="0.7" top="0.75" bottom="0.75" header="0.3" footer="0.3"/>
  <pageSetup paperSize="9" orientation="portrait" r:id="rId1"/>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FF0000"/>
  </sheetPr>
  <dimension ref="A1:IW133"/>
  <sheetViews>
    <sheetView zoomScale="55" zoomScaleNormal="55" workbookViewId="0">
      <selection activeCell="P34" sqref="P34"/>
    </sheetView>
  </sheetViews>
  <sheetFormatPr defaultColWidth="8.77734375" defaultRowHeight="14.4" x14ac:dyDescent="0.3"/>
  <cols>
    <col min="2" max="2" width="15.77734375" bestFit="1" customWidth="1"/>
    <col min="3" max="3" width="13.44140625" bestFit="1" customWidth="1"/>
    <col min="4" max="4" width="9" bestFit="1" customWidth="1"/>
    <col min="5" max="5" width="15.77734375" bestFit="1" customWidth="1"/>
    <col min="9" max="9" width="12" customWidth="1"/>
    <col min="10" max="10" width="10.5546875" bestFit="1" customWidth="1"/>
    <col min="11" max="11" width="9" bestFit="1" customWidth="1"/>
    <col min="12" max="12" width="15.77734375" bestFit="1" customWidth="1"/>
  </cols>
  <sheetData>
    <row r="1" spans="1:257" ht="15" thickBot="1" x14ac:dyDescent="0.35">
      <c r="A1" s="158"/>
      <c r="B1" s="213" t="s">
        <v>776</v>
      </c>
      <c r="C1" s="214"/>
      <c r="D1" s="214"/>
      <c r="E1" s="214"/>
      <c r="F1" s="214"/>
      <c r="G1" s="214"/>
      <c r="H1" s="214"/>
      <c r="I1" s="214"/>
      <c r="J1" s="214"/>
      <c r="K1" s="214"/>
      <c r="L1" s="214"/>
      <c r="M1" s="215"/>
      <c r="N1" s="158"/>
      <c r="O1" s="108"/>
      <c r="P1" s="108"/>
      <c r="Q1" s="108"/>
      <c r="R1" s="108"/>
      <c r="S1" s="108"/>
      <c r="T1" s="108"/>
      <c r="U1" s="108"/>
      <c r="V1" s="108"/>
      <c r="W1" s="108"/>
      <c r="X1" s="108"/>
      <c r="Y1" s="108"/>
      <c r="Z1" s="108"/>
      <c r="AA1" s="108"/>
      <c r="AB1" s="108"/>
      <c r="AC1" s="108"/>
      <c r="AD1" s="108"/>
      <c r="AE1" s="108"/>
      <c r="AF1" s="108"/>
      <c r="AG1" s="108"/>
      <c r="AH1" s="108"/>
      <c r="AI1" s="108"/>
      <c r="AJ1" s="108"/>
      <c r="AK1" s="108"/>
      <c r="AL1" s="108"/>
      <c r="AM1" s="108"/>
      <c r="AN1" s="108"/>
      <c r="AO1" s="108"/>
      <c r="AP1" s="108"/>
      <c r="AQ1" s="108"/>
      <c r="AR1" s="108"/>
      <c r="AS1" s="108"/>
      <c r="AT1" s="108"/>
      <c r="AU1" s="108"/>
      <c r="AV1" s="108"/>
      <c r="AW1" s="108"/>
      <c r="AX1" s="108"/>
      <c r="AY1" s="108"/>
      <c r="AZ1" s="108"/>
      <c r="BA1" s="108"/>
      <c r="BB1" s="108"/>
      <c r="BC1" s="108"/>
      <c r="BD1" s="108"/>
      <c r="BE1" s="108"/>
      <c r="BF1" s="108"/>
      <c r="BG1" s="108"/>
      <c r="BH1" s="108"/>
      <c r="BI1" s="108"/>
      <c r="BJ1" s="108"/>
      <c r="BK1" s="108"/>
      <c r="BL1" s="108"/>
      <c r="BM1" s="108"/>
      <c r="BN1" s="108"/>
      <c r="BO1" s="108"/>
      <c r="BP1" s="108"/>
      <c r="BQ1" s="108"/>
      <c r="BR1" s="108"/>
      <c r="BS1" s="108"/>
      <c r="BT1" s="108"/>
      <c r="BU1" s="108"/>
      <c r="BV1" s="108"/>
      <c r="BW1" s="108"/>
      <c r="BX1" s="108"/>
      <c r="BY1" s="108"/>
      <c r="BZ1" s="108"/>
      <c r="CA1" s="108"/>
      <c r="CB1" s="108"/>
      <c r="CC1" s="108"/>
      <c r="CD1" s="108"/>
      <c r="CE1" s="108"/>
      <c r="CF1" s="108"/>
      <c r="CG1" s="108"/>
      <c r="CH1" s="108"/>
      <c r="CI1" s="108"/>
      <c r="CJ1" s="108"/>
      <c r="CK1" s="108"/>
      <c r="CL1" s="108"/>
      <c r="CM1" s="108"/>
      <c r="CN1" s="108"/>
      <c r="CO1" s="108"/>
      <c r="CP1" s="108"/>
      <c r="CQ1" s="108"/>
      <c r="CR1" s="108"/>
      <c r="CS1" s="108"/>
      <c r="CT1" s="108"/>
      <c r="CU1" s="108"/>
      <c r="CV1" s="108"/>
      <c r="CW1" s="108"/>
      <c r="CX1" s="108"/>
      <c r="CY1" s="108"/>
      <c r="CZ1" s="108"/>
      <c r="DA1" s="108"/>
      <c r="DB1" s="108"/>
      <c r="DC1" s="108"/>
      <c r="DD1" s="108"/>
      <c r="DE1" s="108"/>
      <c r="DF1" s="108"/>
      <c r="DG1" s="108"/>
      <c r="DH1" s="108"/>
      <c r="DI1" s="108"/>
      <c r="DJ1" s="108"/>
      <c r="DK1" s="108"/>
      <c r="DL1" s="108"/>
      <c r="DM1" s="108"/>
      <c r="DN1" s="108"/>
      <c r="DO1" s="108"/>
      <c r="DP1" s="108"/>
      <c r="DQ1" s="108"/>
      <c r="DR1" s="108"/>
      <c r="DS1" s="108"/>
      <c r="DT1" s="108"/>
      <c r="DU1" s="108"/>
      <c r="DV1" s="108"/>
      <c r="DW1" s="108"/>
      <c r="DX1" s="108"/>
      <c r="DY1" s="108"/>
      <c r="DZ1" s="108"/>
      <c r="EA1" s="108"/>
      <c r="EB1" s="108"/>
      <c r="EC1" s="108"/>
      <c r="ED1" s="108"/>
      <c r="EE1" s="108"/>
      <c r="EF1" s="108"/>
      <c r="EG1" s="108"/>
      <c r="EH1" s="108"/>
      <c r="EI1" s="108"/>
      <c r="EJ1" s="108"/>
      <c r="EK1" s="108"/>
      <c r="EL1" s="108"/>
      <c r="EM1" s="108"/>
      <c r="EN1" s="108"/>
      <c r="EO1" s="108"/>
      <c r="EP1" s="108"/>
      <c r="EQ1" s="108"/>
      <c r="ER1" s="108"/>
      <c r="ES1" s="108"/>
      <c r="ET1" s="108"/>
      <c r="EU1" s="108"/>
      <c r="EV1" s="108"/>
      <c r="EW1" s="108"/>
      <c r="EX1" s="108"/>
      <c r="EY1" s="108"/>
      <c r="EZ1" s="108"/>
      <c r="FA1" s="108"/>
      <c r="FB1" s="108"/>
      <c r="FC1" s="108"/>
      <c r="FD1" s="108"/>
      <c r="FE1" s="108"/>
      <c r="FF1" s="108"/>
      <c r="FG1" s="108"/>
      <c r="FH1" s="108"/>
      <c r="FI1" s="108"/>
      <c r="FJ1" s="108"/>
      <c r="FK1" s="108"/>
      <c r="FL1" s="108"/>
      <c r="FM1" s="108"/>
      <c r="FN1" s="108"/>
      <c r="FO1" s="108"/>
      <c r="FP1" s="108"/>
      <c r="FQ1" s="108"/>
      <c r="FR1" s="108"/>
      <c r="FS1" s="108"/>
      <c r="FT1" s="108"/>
      <c r="FU1" s="108"/>
      <c r="FV1" s="108"/>
      <c r="FW1" s="108"/>
      <c r="FX1" s="108"/>
      <c r="FY1" s="108"/>
      <c r="FZ1" s="108"/>
      <c r="GA1" s="108"/>
      <c r="GB1" s="108"/>
      <c r="GC1" s="108"/>
      <c r="GD1" s="108"/>
      <c r="GE1" s="108"/>
      <c r="GF1" s="108"/>
      <c r="GG1" s="108"/>
      <c r="GH1" s="108"/>
      <c r="GI1" s="108"/>
      <c r="GJ1" s="108"/>
      <c r="GK1" s="108"/>
      <c r="GL1" s="108"/>
      <c r="GM1" s="108"/>
      <c r="GN1" s="108"/>
      <c r="GO1" s="108"/>
      <c r="GP1" s="108"/>
      <c r="GQ1" s="108"/>
      <c r="GR1" s="108"/>
      <c r="GS1" s="108"/>
      <c r="GT1" s="108"/>
      <c r="GU1" s="108"/>
      <c r="GV1" s="108"/>
      <c r="GW1" s="108"/>
      <c r="GX1" s="108"/>
      <c r="GY1" s="108"/>
      <c r="GZ1" s="108"/>
      <c r="HA1" s="108"/>
      <c r="HB1" s="108"/>
      <c r="HC1" s="108"/>
      <c r="HD1" s="108"/>
      <c r="HE1" s="108"/>
      <c r="HF1" s="108"/>
      <c r="HG1" s="108"/>
      <c r="HH1" s="108"/>
      <c r="HI1" s="108"/>
      <c r="HJ1" s="108"/>
      <c r="HK1" s="108"/>
      <c r="HL1" s="108"/>
      <c r="HM1" s="108"/>
      <c r="HN1" s="108"/>
      <c r="HO1" s="108"/>
      <c r="HP1" s="108"/>
      <c r="HQ1" s="108"/>
      <c r="HR1" s="108"/>
      <c r="HS1" s="108"/>
      <c r="HT1" s="108"/>
      <c r="HU1" s="108"/>
      <c r="HV1" s="108"/>
      <c r="HW1" s="108"/>
      <c r="HX1" s="108"/>
      <c r="HY1" s="108"/>
      <c r="HZ1" s="108"/>
      <c r="IA1" s="108"/>
      <c r="IB1" s="108"/>
      <c r="IC1" s="108"/>
      <c r="ID1" s="108"/>
      <c r="IE1" s="108"/>
      <c r="IF1" s="108"/>
      <c r="IG1" s="108"/>
      <c r="IH1" s="108"/>
      <c r="II1" s="108"/>
      <c r="IJ1" s="108"/>
      <c r="IK1" s="108"/>
      <c r="IL1" s="108"/>
      <c r="IM1" s="108"/>
      <c r="IN1" s="108"/>
      <c r="IO1" s="108"/>
      <c r="IP1" s="108"/>
      <c r="IQ1" s="108"/>
      <c r="IR1" s="108"/>
      <c r="IS1" s="108"/>
      <c r="IT1" s="108"/>
      <c r="IU1" s="108"/>
      <c r="IV1" s="108"/>
      <c r="IW1" s="108"/>
    </row>
    <row r="2" spans="1:257" ht="15" thickBot="1" x14ac:dyDescent="0.35">
      <c r="A2" s="158"/>
      <c r="B2" s="159"/>
      <c r="C2" s="160"/>
      <c r="D2" s="160"/>
      <c r="E2" s="160"/>
      <c r="F2" s="158"/>
      <c r="G2" s="158"/>
      <c r="H2" s="158"/>
      <c r="I2" s="158"/>
      <c r="J2" s="158"/>
      <c r="K2" s="158"/>
      <c r="L2" s="158"/>
      <c r="M2" s="158"/>
      <c r="N2" s="158"/>
      <c r="O2" s="108"/>
      <c r="P2" s="108"/>
      <c r="Q2" s="108"/>
      <c r="R2" s="108"/>
      <c r="S2" s="108"/>
      <c r="T2" s="108"/>
      <c r="U2" s="108"/>
      <c r="V2" s="108"/>
      <c r="W2" s="108"/>
      <c r="X2" s="108"/>
      <c r="Y2" s="108"/>
      <c r="Z2" s="108"/>
      <c r="AA2" s="108"/>
      <c r="AB2" s="108"/>
      <c r="AC2" s="108"/>
      <c r="AD2" s="108"/>
      <c r="AE2" s="108"/>
      <c r="AF2" s="108"/>
      <c r="AG2" s="108"/>
      <c r="AH2" s="108"/>
      <c r="AI2" s="108"/>
      <c r="AJ2" s="108"/>
      <c r="AK2" s="108"/>
      <c r="AL2" s="108"/>
      <c r="AM2" s="108"/>
      <c r="AN2" s="108"/>
      <c r="AO2" s="108"/>
      <c r="AP2" s="108"/>
      <c r="AQ2" s="108"/>
      <c r="AR2" s="108"/>
      <c r="AS2" s="108"/>
      <c r="AT2" s="108"/>
      <c r="AU2" s="108"/>
      <c r="AV2" s="108"/>
      <c r="AW2" s="108"/>
      <c r="AX2" s="108"/>
      <c r="AY2" s="108"/>
      <c r="AZ2" s="108"/>
      <c r="BA2" s="108"/>
      <c r="BB2" s="108"/>
      <c r="BC2" s="108"/>
      <c r="BD2" s="108"/>
      <c r="BE2" s="108"/>
      <c r="BF2" s="108"/>
      <c r="BG2" s="108"/>
      <c r="BH2" s="108"/>
      <c r="BI2" s="108"/>
      <c r="BJ2" s="108"/>
      <c r="BK2" s="108"/>
      <c r="BL2" s="108"/>
      <c r="BM2" s="108"/>
      <c r="BN2" s="108"/>
      <c r="BO2" s="108"/>
      <c r="BP2" s="108"/>
      <c r="BQ2" s="108"/>
      <c r="BR2" s="108"/>
      <c r="BS2" s="108"/>
      <c r="BT2" s="108"/>
      <c r="BU2" s="108"/>
      <c r="BV2" s="108"/>
      <c r="BW2" s="108"/>
      <c r="BX2" s="108"/>
      <c r="BY2" s="108"/>
      <c r="BZ2" s="108"/>
      <c r="CA2" s="108"/>
      <c r="CB2" s="108"/>
      <c r="CC2" s="108"/>
      <c r="CD2" s="108"/>
      <c r="CE2" s="108"/>
      <c r="CF2" s="108"/>
      <c r="CG2" s="108"/>
      <c r="CH2" s="108"/>
      <c r="CI2" s="108"/>
      <c r="CJ2" s="108"/>
      <c r="CK2" s="108"/>
      <c r="CL2" s="108"/>
      <c r="CM2" s="108"/>
      <c r="CN2" s="108"/>
      <c r="CO2" s="108"/>
      <c r="CP2" s="108"/>
      <c r="CQ2" s="108"/>
      <c r="CR2" s="108"/>
      <c r="CS2" s="108"/>
      <c r="CT2" s="108"/>
      <c r="CU2" s="108"/>
      <c r="CV2" s="108"/>
      <c r="CW2" s="108"/>
      <c r="CX2" s="108"/>
      <c r="CY2" s="108"/>
      <c r="CZ2" s="108"/>
      <c r="DA2" s="108"/>
      <c r="DB2" s="108"/>
      <c r="DC2" s="108"/>
      <c r="DD2" s="108"/>
      <c r="DE2" s="108"/>
      <c r="DF2" s="108"/>
      <c r="DG2" s="108"/>
      <c r="DH2" s="108"/>
      <c r="DI2" s="108"/>
      <c r="DJ2" s="108"/>
      <c r="DK2" s="108"/>
      <c r="DL2" s="108"/>
      <c r="DM2" s="108"/>
      <c r="DN2" s="108"/>
      <c r="DO2" s="108"/>
      <c r="DP2" s="108"/>
      <c r="DQ2" s="108"/>
      <c r="DR2" s="108"/>
      <c r="DS2" s="108"/>
      <c r="DT2" s="108"/>
      <c r="DU2" s="108"/>
      <c r="DV2" s="108"/>
      <c r="DW2" s="108"/>
      <c r="DX2" s="108"/>
      <c r="DY2" s="108"/>
      <c r="DZ2" s="108"/>
      <c r="EA2" s="108"/>
      <c r="EB2" s="108"/>
      <c r="EC2" s="108"/>
      <c r="ED2" s="108"/>
      <c r="EE2" s="108"/>
      <c r="EF2" s="108"/>
      <c r="EG2" s="108"/>
      <c r="EH2" s="108"/>
      <c r="EI2" s="108"/>
      <c r="EJ2" s="108"/>
      <c r="EK2" s="108"/>
      <c r="EL2" s="108"/>
      <c r="EM2" s="108"/>
      <c r="EN2" s="108"/>
      <c r="EO2" s="108"/>
      <c r="EP2" s="108"/>
      <c r="EQ2" s="108"/>
      <c r="ER2" s="108"/>
      <c r="ES2" s="108"/>
      <c r="ET2" s="108"/>
      <c r="EU2" s="108"/>
      <c r="EV2" s="108"/>
      <c r="EW2" s="108"/>
      <c r="EX2" s="108"/>
      <c r="EY2" s="108"/>
      <c r="EZ2" s="108"/>
      <c r="FA2" s="108"/>
      <c r="FB2" s="108"/>
      <c r="FC2" s="108"/>
      <c r="FD2" s="108"/>
      <c r="FE2" s="108"/>
      <c r="FF2" s="108"/>
      <c r="FG2" s="108"/>
      <c r="FH2" s="108"/>
      <c r="FI2" s="108"/>
      <c r="FJ2" s="108"/>
      <c r="FK2" s="108"/>
      <c r="FL2" s="108"/>
      <c r="FM2" s="108"/>
      <c r="FN2" s="108"/>
      <c r="FO2" s="108"/>
      <c r="FP2" s="108"/>
      <c r="FQ2" s="108"/>
      <c r="FR2" s="108"/>
      <c r="FS2" s="108"/>
      <c r="FT2" s="108"/>
      <c r="FU2" s="108"/>
      <c r="FV2" s="108"/>
      <c r="FW2" s="108"/>
      <c r="FX2" s="108"/>
      <c r="FY2" s="108"/>
      <c r="FZ2" s="108"/>
      <c r="GA2" s="108"/>
      <c r="GB2" s="108"/>
      <c r="GC2" s="108"/>
      <c r="GD2" s="108"/>
      <c r="GE2" s="108"/>
      <c r="GF2" s="108"/>
      <c r="GG2" s="108"/>
      <c r="GH2" s="108"/>
      <c r="GI2" s="108"/>
      <c r="GJ2" s="108"/>
      <c r="GK2" s="108"/>
      <c r="GL2" s="108"/>
      <c r="GM2" s="108"/>
      <c r="GN2" s="108"/>
      <c r="GO2" s="108"/>
      <c r="GP2" s="108"/>
      <c r="GQ2" s="108"/>
      <c r="GR2" s="108"/>
      <c r="GS2" s="108"/>
      <c r="GT2" s="108"/>
      <c r="GU2" s="108"/>
      <c r="GV2" s="108"/>
      <c r="GW2" s="108"/>
      <c r="GX2" s="108"/>
      <c r="GY2" s="108"/>
      <c r="GZ2" s="108"/>
      <c r="HA2" s="108"/>
      <c r="HB2" s="108"/>
      <c r="HC2" s="108"/>
      <c r="HD2" s="108"/>
      <c r="HE2" s="108"/>
      <c r="HF2" s="108"/>
      <c r="HG2" s="108"/>
      <c r="HH2" s="108"/>
      <c r="HI2" s="108"/>
      <c r="HJ2" s="108"/>
      <c r="HK2" s="108"/>
      <c r="HL2" s="108"/>
      <c r="HM2" s="108"/>
      <c r="HN2" s="108"/>
      <c r="HO2" s="108"/>
      <c r="HP2" s="108"/>
      <c r="HQ2" s="108"/>
      <c r="HR2" s="108"/>
      <c r="HS2" s="108"/>
      <c r="HT2" s="108"/>
      <c r="HU2" s="108"/>
      <c r="HV2" s="108"/>
      <c r="HW2" s="108"/>
      <c r="HX2" s="108"/>
      <c r="HY2" s="108"/>
      <c r="HZ2" s="108"/>
      <c r="IA2" s="108"/>
      <c r="IB2" s="108"/>
      <c r="IC2" s="108"/>
      <c r="ID2" s="108"/>
      <c r="IE2" s="108"/>
      <c r="IF2" s="108"/>
      <c r="IG2" s="108"/>
      <c r="IH2" s="108"/>
      <c r="II2" s="108"/>
      <c r="IJ2" s="108"/>
      <c r="IK2" s="108"/>
      <c r="IL2" s="108"/>
      <c r="IM2" s="108"/>
      <c r="IN2" s="108"/>
      <c r="IO2" s="108"/>
      <c r="IP2" s="108"/>
      <c r="IQ2" s="108"/>
      <c r="IR2" s="108"/>
      <c r="IS2" s="108"/>
      <c r="IT2" s="108"/>
      <c r="IU2" s="108"/>
      <c r="IV2" s="108"/>
      <c r="IW2" s="108"/>
    </row>
    <row r="3" spans="1:257" ht="16.8" thickBot="1" x14ac:dyDescent="0.4">
      <c r="A3" s="158"/>
      <c r="B3" s="161" t="s">
        <v>784</v>
      </c>
      <c r="C3" s="162">
        <f>'Sensitivity analysis'!C6</f>
        <v>36158.435234355231</v>
      </c>
      <c r="D3" s="160"/>
      <c r="E3" s="160"/>
      <c r="F3" s="158"/>
      <c r="G3" s="158"/>
      <c r="H3" s="158"/>
      <c r="I3" s="163" t="s">
        <v>783</v>
      </c>
      <c r="J3" s="158"/>
      <c r="K3" s="158"/>
      <c r="L3" s="158"/>
      <c r="M3" s="158"/>
      <c r="N3" s="158"/>
      <c r="O3" s="108"/>
      <c r="P3" s="108"/>
      <c r="Q3" s="108"/>
      <c r="R3" s="108"/>
      <c r="S3" s="108"/>
      <c r="T3" s="108"/>
      <c r="U3" s="108"/>
      <c r="V3" s="108"/>
      <c r="W3" s="108"/>
      <c r="X3" s="108"/>
      <c r="Y3" s="108"/>
      <c r="Z3" s="108"/>
      <c r="AA3" s="108"/>
      <c r="AB3" s="108"/>
      <c r="AC3" s="108"/>
      <c r="AD3" s="108"/>
      <c r="AE3" s="108"/>
      <c r="AF3" s="108"/>
      <c r="AG3" s="108"/>
      <c r="AH3" s="108"/>
      <c r="AI3" s="108"/>
      <c r="AJ3" s="108"/>
      <c r="AK3" s="108"/>
      <c r="AL3" s="108"/>
      <c r="AM3" s="108"/>
      <c r="AN3" s="108"/>
      <c r="AO3" s="108"/>
      <c r="AP3" s="108"/>
      <c r="AQ3" s="108"/>
      <c r="AR3" s="108"/>
      <c r="AS3" s="108"/>
      <c r="AT3" s="108"/>
      <c r="AU3" s="108"/>
      <c r="AV3" s="108"/>
      <c r="AW3" s="108"/>
      <c r="AX3" s="108"/>
      <c r="AY3" s="108"/>
      <c r="AZ3" s="108"/>
      <c r="BA3" s="108"/>
      <c r="BB3" s="108"/>
      <c r="BC3" s="108"/>
      <c r="BD3" s="108"/>
      <c r="BE3" s="108"/>
      <c r="BF3" s="108"/>
      <c r="BG3" s="108"/>
      <c r="BH3" s="108"/>
      <c r="BI3" s="108"/>
      <c r="BJ3" s="108"/>
      <c r="BK3" s="108"/>
      <c r="BL3" s="108"/>
      <c r="BM3" s="108"/>
      <c r="BN3" s="108"/>
      <c r="BO3" s="108"/>
      <c r="BP3" s="108"/>
      <c r="BQ3" s="108"/>
      <c r="BR3" s="108"/>
      <c r="BS3" s="108"/>
      <c r="BT3" s="108"/>
      <c r="BU3" s="108"/>
      <c r="BV3" s="108"/>
      <c r="BW3" s="108"/>
      <c r="BX3" s="108"/>
      <c r="BY3" s="108"/>
      <c r="BZ3" s="108"/>
      <c r="CA3" s="108"/>
      <c r="CB3" s="108"/>
      <c r="CC3" s="108"/>
      <c r="CD3" s="108"/>
      <c r="CE3" s="108"/>
      <c r="CF3" s="108"/>
      <c r="CG3" s="108"/>
      <c r="CH3" s="108"/>
      <c r="CI3" s="108"/>
      <c r="CJ3" s="108"/>
      <c r="CK3" s="108"/>
      <c r="CL3" s="108"/>
      <c r="CM3" s="108"/>
      <c r="CN3" s="108"/>
      <c r="CO3" s="108"/>
      <c r="CP3" s="108"/>
      <c r="CQ3" s="108"/>
      <c r="CR3" s="108"/>
      <c r="CS3" s="108"/>
      <c r="CT3" s="108"/>
      <c r="CU3" s="108"/>
      <c r="CV3" s="108"/>
      <c r="CW3" s="108"/>
      <c r="CX3" s="108"/>
      <c r="CY3" s="108"/>
      <c r="CZ3" s="108"/>
      <c r="DA3" s="108"/>
      <c r="DB3" s="108"/>
      <c r="DC3" s="108"/>
      <c r="DD3" s="108"/>
      <c r="DE3" s="108"/>
      <c r="DF3" s="108"/>
      <c r="DG3" s="108"/>
      <c r="DH3" s="108"/>
      <c r="DI3" s="108"/>
      <c r="DJ3" s="108"/>
      <c r="DK3" s="108"/>
      <c r="DL3" s="108"/>
      <c r="DM3" s="108"/>
      <c r="DN3" s="108"/>
      <c r="DO3" s="108"/>
      <c r="DP3" s="108"/>
      <c r="DQ3" s="108"/>
      <c r="DR3" s="108"/>
      <c r="DS3" s="108"/>
      <c r="DT3" s="108"/>
      <c r="DU3" s="108"/>
      <c r="DV3" s="108"/>
      <c r="DW3" s="108"/>
      <c r="DX3" s="108"/>
      <c r="DY3" s="108"/>
      <c r="DZ3" s="108"/>
      <c r="EA3" s="108"/>
      <c r="EB3" s="108"/>
      <c r="EC3" s="108"/>
      <c r="ED3" s="108"/>
      <c r="EE3" s="108"/>
      <c r="EF3" s="108"/>
      <c r="EG3" s="108"/>
      <c r="EH3" s="108"/>
      <c r="EI3" s="108"/>
      <c r="EJ3" s="108"/>
      <c r="EK3" s="108"/>
      <c r="EL3" s="108"/>
      <c r="EM3" s="108"/>
      <c r="EN3" s="108"/>
      <c r="EO3" s="108"/>
      <c r="EP3" s="108"/>
      <c r="EQ3" s="108"/>
      <c r="ER3" s="108"/>
      <c r="ES3" s="108"/>
      <c r="ET3" s="108"/>
      <c r="EU3" s="108"/>
      <c r="EV3" s="108"/>
      <c r="EW3" s="108"/>
      <c r="EX3" s="108"/>
      <c r="EY3" s="108"/>
      <c r="EZ3" s="108"/>
      <c r="FA3" s="108"/>
      <c r="FB3" s="108"/>
      <c r="FC3" s="108"/>
      <c r="FD3" s="108"/>
      <c r="FE3" s="108"/>
      <c r="FF3" s="108"/>
      <c r="FG3" s="108"/>
      <c r="FH3" s="108"/>
      <c r="FI3" s="108"/>
      <c r="FJ3" s="108"/>
      <c r="FK3" s="108"/>
      <c r="FL3" s="108"/>
      <c r="FM3" s="108"/>
      <c r="FN3" s="108"/>
      <c r="FO3" s="108"/>
      <c r="FP3" s="108"/>
      <c r="FQ3" s="108"/>
      <c r="FR3" s="108"/>
      <c r="FS3" s="108"/>
      <c r="FT3" s="108"/>
      <c r="FU3" s="108"/>
      <c r="FV3" s="108"/>
      <c r="FW3" s="108"/>
      <c r="FX3" s="108"/>
      <c r="FY3" s="108"/>
      <c r="FZ3" s="108"/>
      <c r="GA3" s="108"/>
      <c r="GB3" s="108"/>
      <c r="GC3" s="108"/>
      <c r="GD3" s="108"/>
      <c r="GE3" s="108"/>
      <c r="GF3" s="108"/>
      <c r="GG3" s="108"/>
      <c r="GH3" s="108"/>
      <c r="GI3" s="108"/>
      <c r="GJ3" s="108"/>
      <c r="GK3" s="108"/>
      <c r="GL3" s="108"/>
      <c r="GM3" s="108"/>
      <c r="GN3" s="108"/>
      <c r="GO3" s="108"/>
      <c r="GP3" s="108"/>
      <c r="GQ3" s="108"/>
      <c r="GR3" s="108"/>
      <c r="GS3" s="108"/>
      <c r="GT3" s="108"/>
      <c r="GU3" s="108"/>
      <c r="GV3" s="108"/>
      <c r="GW3" s="108"/>
      <c r="GX3" s="108"/>
      <c r="GY3" s="108"/>
      <c r="GZ3" s="108"/>
      <c r="HA3" s="108"/>
      <c r="HB3" s="108"/>
      <c r="HC3" s="108"/>
      <c r="HD3" s="108"/>
      <c r="HE3" s="108"/>
      <c r="HF3" s="108"/>
      <c r="HG3" s="108"/>
      <c r="HH3" s="108"/>
      <c r="HI3" s="108"/>
      <c r="HJ3" s="108"/>
      <c r="HK3" s="108"/>
      <c r="HL3" s="108"/>
      <c r="HM3" s="108"/>
      <c r="HN3" s="108"/>
      <c r="HO3" s="108"/>
      <c r="HP3" s="108"/>
      <c r="HQ3" s="108"/>
      <c r="HR3" s="108"/>
      <c r="HS3" s="108"/>
      <c r="HT3" s="108"/>
      <c r="HU3" s="108"/>
      <c r="HV3" s="108"/>
      <c r="HW3" s="108"/>
      <c r="HX3" s="108"/>
      <c r="HY3" s="108"/>
      <c r="HZ3" s="108"/>
      <c r="IA3" s="108"/>
      <c r="IB3" s="108"/>
      <c r="IC3" s="108"/>
      <c r="ID3" s="108"/>
      <c r="IE3" s="108"/>
      <c r="IF3" s="108"/>
      <c r="IG3" s="108"/>
      <c r="IH3" s="108"/>
      <c r="II3" s="108"/>
      <c r="IJ3" s="108"/>
      <c r="IK3" s="108"/>
      <c r="IL3" s="108"/>
      <c r="IM3" s="108"/>
      <c r="IN3" s="108"/>
      <c r="IO3" s="108"/>
      <c r="IP3" s="108"/>
      <c r="IQ3" s="108"/>
      <c r="IR3" s="108"/>
      <c r="IS3" s="108"/>
      <c r="IT3" s="108"/>
      <c r="IU3" s="108"/>
      <c r="IV3" s="108"/>
      <c r="IW3" s="108"/>
    </row>
    <row r="4" spans="1:257" ht="16.2" x14ac:dyDescent="0.35">
      <c r="A4" s="164"/>
      <c r="B4" s="165"/>
      <c r="C4" s="165"/>
      <c r="D4" s="165"/>
      <c r="E4" s="165"/>
      <c r="F4" s="165"/>
      <c r="G4" s="165"/>
      <c r="H4" s="165"/>
      <c r="I4" s="165"/>
      <c r="J4" s="165"/>
      <c r="K4" s="165"/>
      <c r="L4" s="165"/>
      <c r="M4" s="165"/>
      <c r="N4" s="164"/>
      <c r="O4" s="108"/>
      <c r="P4" s="108"/>
      <c r="Q4" s="108"/>
      <c r="R4" s="108"/>
      <c r="S4" s="108"/>
      <c r="T4" s="108"/>
      <c r="U4" s="108"/>
      <c r="V4" s="108"/>
      <c r="W4" s="108"/>
      <c r="X4" s="108"/>
      <c r="Y4" s="108"/>
      <c r="Z4" s="108"/>
      <c r="AA4" s="108"/>
      <c r="AB4" s="108"/>
      <c r="AC4" s="108"/>
      <c r="AD4" s="108"/>
      <c r="AE4" s="108"/>
      <c r="AF4" s="108"/>
      <c r="AG4" s="108"/>
      <c r="AH4" s="108"/>
      <c r="AI4" s="108"/>
      <c r="AJ4" s="108"/>
      <c r="AK4" s="108"/>
      <c r="AL4" s="108"/>
      <c r="AM4" s="108"/>
      <c r="AN4" s="108"/>
      <c r="AO4" s="108"/>
      <c r="AP4" s="108"/>
      <c r="AQ4" s="108"/>
      <c r="AR4" s="108"/>
      <c r="AS4" s="108"/>
      <c r="AT4" s="108"/>
      <c r="AU4" s="108"/>
      <c r="AV4" s="108"/>
      <c r="AW4" s="108"/>
      <c r="AX4" s="108"/>
      <c r="AY4" s="108"/>
      <c r="AZ4" s="108"/>
      <c r="BA4" s="108"/>
      <c r="BB4" s="108"/>
      <c r="BC4" s="108"/>
      <c r="BD4" s="108"/>
      <c r="BE4" s="108"/>
      <c r="BF4" s="108"/>
      <c r="BG4" s="108"/>
      <c r="BH4" s="108"/>
      <c r="BI4" s="108"/>
      <c r="BJ4" s="108"/>
      <c r="BK4" s="108"/>
      <c r="BL4" s="108"/>
      <c r="BM4" s="108"/>
      <c r="BN4" s="108"/>
      <c r="BO4" s="108"/>
      <c r="BP4" s="108"/>
      <c r="BQ4" s="108"/>
      <c r="BR4" s="108"/>
      <c r="BS4" s="108"/>
      <c r="BT4" s="108"/>
      <c r="BU4" s="108"/>
      <c r="BV4" s="108"/>
      <c r="BW4" s="108"/>
      <c r="BX4" s="108"/>
      <c r="BY4" s="108"/>
      <c r="BZ4" s="108"/>
      <c r="CA4" s="108"/>
      <c r="CB4" s="108"/>
      <c r="CC4" s="108"/>
      <c r="CD4" s="108"/>
      <c r="CE4" s="108"/>
      <c r="CF4" s="108"/>
      <c r="CG4" s="108"/>
      <c r="CH4" s="108"/>
      <c r="CI4" s="108"/>
      <c r="CJ4" s="108"/>
      <c r="CK4" s="108"/>
      <c r="CL4" s="108"/>
      <c r="CM4" s="108"/>
      <c r="CN4" s="108"/>
      <c r="CO4" s="108"/>
      <c r="CP4" s="108"/>
      <c r="CQ4" s="108"/>
      <c r="CR4" s="108"/>
      <c r="CS4" s="108"/>
      <c r="CT4" s="108"/>
      <c r="CU4" s="108"/>
      <c r="CV4" s="108"/>
      <c r="CW4" s="108"/>
      <c r="CX4" s="108"/>
      <c r="CY4" s="108"/>
      <c r="CZ4" s="108"/>
      <c r="DA4" s="108"/>
      <c r="DB4" s="108"/>
      <c r="DC4" s="108"/>
      <c r="DD4" s="108"/>
      <c r="DE4" s="108"/>
      <c r="DF4" s="108"/>
      <c r="DG4" s="108"/>
      <c r="DH4" s="108"/>
      <c r="DI4" s="108"/>
      <c r="DJ4" s="108"/>
      <c r="DK4" s="108"/>
      <c r="DL4" s="108"/>
      <c r="DM4" s="108"/>
      <c r="DN4" s="108"/>
      <c r="DO4" s="108"/>
      <c r="DP4" s="108"/>
      <c r="DQ4" s="108"/>
      <c r="DR4" s="108"/>
      <c r="DS4" s="108"/>
      <c r="DT4" s="108"/>
      <c r="DU4" s="108"/>
      <c r="DV4" s="108"/>
      <c r="DW4" s="108"/>
      <c r="DX4" s="108"/>
      <c r="DY4" s="108"/>
      <c r="DZ4" s="108"/>
      <c r="EA4" s="108"/>
      <c r="EB4" s="108"/>
      <c r="EC4" s="108"/>
      <c r="ED4" s="108"/>
      <c r="EE4" s="108"/>
      <c r="EF4" s="108"/>
      <c r="EG4" s="108"/>
      <c r="EH4" s="108"/>
      <c r="EI4" s="108"/>
      <c r="EJ4" s="108"/>
      <c r="EK4" s="108"/>
      <c r="EL4" s="108"/>
      <c r="EM4" s="108"/>
      <c r="EN4" s="108"/>
      <c r="EO4" s="108"/>
      <c r="EP4" s="108"/>
      <c r="EQ4" s="108"/>
      <c r="ER4" s="108"/>
      <c r="ES4" s="108"/>
      <c r="ET4" s="108"/>
      <c r="EU4" s="108"/>
      <c r="EV4" s="108"/>
      <c r="EW4" s="108"/>
      <c r="EX4" s="108"/>
      <c r="EY4" s="108"/>
      <c r="EZ4" s="108"/>
      <c r="FA4" s="108"/>
      <c r="FB4" s="108"/>
      <c r="FC4" s="108"/>
      <c r="FD4" s="108"/>
      <c r="FE4" s="108"/>
      <c r="FF4" s="108"/>
      <c r="FG4" s="108"/>
      <c r="FH4" s="108"/>
      <c r="FI4" s="108"/>
      <c r="FJ4" s="108"/>
      <c r="FK4" s="108"/>
      <c r="FL4" s="108"/>
      <c r="FM4" s="108"/>
      <c r="FN4" s="108"/>
      <c r="FO4" s="108"/>
      <c r="FP4" s="108"/>
      <c r="FQ4" s="108"/>
      <c r="FR4" s="108"/>
      <c r="FS4" s="108"/>
      <c r="FT4" s="108"/>
      <c r="FU4" s="108"/>
      <c r="FV4" s="108"/>
      <c r="FW4" s="108"/>
      <c r="FX4" s="108"/>
      <c r="FY4" s="108"/>
      <c r="FZ4" s="108"/>
      <c r="GA4" s="108"/>
      <c r="GB4" s="108"/>
      <c r="GC4" s="108"/>
      <c r="GD4" s="108"/>
      <c r="GE4" s="108"/>
      <c r="GF4" s="108"/>
      <c r="GG4" s="108"/>
      <c r="GH4" s="108"/>
      <c r="GI4" s="108"/>
      <c r="GJ4" s="108"/>
      <c r="GK4" s="108"/>
      <c r="GL4" s="108"/>
      <c r="GM4" s="108"/>
      <c r="GN4" s="108"/>
      <c r="GO4" s="108"/>
      <c r="GP4" s="108"/>
      <c r="GQ4" s="108"/>
      <c r="GR4" s="108"/>
      <c r="GS4" s="108"/>
      <c r="GT4" s="108"/>
      <c r="GU4" s="108"/>
      <c r="GV4" s="108"/>
      <c r="GW4" s="108"/>
      <c r="GX4" s="108"/>
      <c r="GY4" s="108"/>
      <c r="GZ4" s="108"/>
      <c r="HA4" s="108"/>
      <c r="HB4" s="108"/>
      <c r="HC4" s="108"/>
      <c r="HD4" s="108"/>
      <c r="HE4" s="108"/>
      <c r="HF4" s="108"/>
      <c r="HG4" s="108"/>
      <c r="HH4" s="108"/>
      <c r="HI4" s="108"/>
      <c r="HJ4" s="108"/>
      <c r="HK4" s="108"/>
      <c r="HL4" s="108"/>
      <c r="HM4" s="108"/>
      <c r="HN4" s="108"/>
      <c r="HO4" s="108"/>
      <c r="HP4" s="108"/>
      <c r="HQ4" s="108"/>
      <c r="HR4" s="108"/>
      <c r="HS4" s="108"/>
      <c r="HT4" s="108"/>
      <c r="HU4" s="108"/>
      <c r="HV4" s="108"/>
      <c r="HW4" s="108"/>
      <c r="HX4" s="108"/>
      <c r="HY4" s="108"/>
      <c r="HZ4" s="108"/>
      <c r="IA4" s="108"/>
      <c r="IB4" s="108"/>
      <c r="IC4" s="108"/>
      <c r="ID4" s="108"/>
      <c r="IE4" s="108"/>
      <c r="IF4" s="108"/>
      <c r="IG4" s="108"/>
      <c r="IH4" s="108"/>
      <c r="II4" s="108"/>
      <c r="IJ4" s="108"/>
      <c r="IK4" s="108"/>
      <c r="IL4" s="108"/>
      <c r="IM4" s="108"/>
      <c r="IN4" s="108"/>
      <c r="IO4" s="108"/>
      <c r="IP4" s="108"/>
      <c r="IQ4" s="108"/>
      <c r="IR4" s="108"/>
      <c r="IS4" s="108"/>
      <c r="IT4" s="108"/>
      <c r="IU4" s="108"/>
      <c r="IV4" s="108"/>
      <c r="IW4" s="108"/>
    </row>
    <row r="5" spans="1:257" ht="15" thickBot="1" x14ac:dyDescent="0.35">
      <c r="A5" s="158"/>
      <c r="B5" s="166" t="s">
        <v>777</v>
      </c>
      <c r="C5" s="167" t="s">
        <v>778</v>
      </c>
      <c r="D5" s="168" t="s">
        <v>779</v>
      </c>
      <c r="E5" s="169" t="s">
        <v>780</v>
      </c>
      <c r="F5" s="158"/>
      <c r="G5" s="158"/>
      <c r="H5" s="158"/>
      <c r="I5" s="166" t="s">
        <v>777</v>
      </c>
      <c r="J5" s="167" t="s">
        <v>826</v>
      </c>
      <c r="K5" s="168" t="s">
        <v>827</v>
      </c>
      <c r="L5" s="169" t="s">
        <v>780</v>
      </c>
      <c r="M5" s="158"/>
      <c r="N5" s="158"/>
      <c r="O5" s="108"/>
      <c r="P5" s="108"/>
      <c r="Q5" s="108"/>
      <c r="R5" s="108"/>
      <c r="S5" s="108"/>
      <c r="T5" s="108"/>
      <c r="U5" s="108"/>
      <c r="V5" s="108"/>
      <c r="W5" s="108"/>
      <c r="X5" s="108"/>
      <c r="Y5" s="108"/>
      <c r="Z5" s="108"/>
      <c r="AA5" s="108"/>
      <c r="AB5" s="108"/>
      <c r="AC5" s="108"/>
      <c r="AD5" s="108"/>
      <c r="AE5" s="108"/>
      <c r="AF5" s="108"/>
      <c r="AG5" s="108"/>
      <c r="AH5" s="108"/>
      <c r="AI5" s="108"/>
      <c r="AJ5" s="108"/>
      <c r="AK5" s="108"/>
      <c r="AL5" s="108"/>
      <c r="AM5" s="108"/>
      <c r="AN5" s="108"/>
      <c r="AO5" s="108"/>
      <c r="AP5" s="108"/>
      <c r="AQ5" s="108"/>
      <c r="AR5" s="108"/>
      <c r="AS5" s="108"/>
      <c r="AT5" s="108"/>
      <c r="AU5" s="108"/>
      <c r="AV5" s="108"/>
      <c r="AW5" s="108"/>
      <c r="AX5" s="108"/>
      <c r="AY5" s="108"/>
      <c r="AZ5" s="108"/>
      <c r="BA5" s="108"/>
      <c r="BB5" s="108"/>
      <c r="BC5" s="108"/>
      <c r="BD5" s="108"/>
      <c r="BE5" s="108"/>
      <c r="BF5" s="108"/>
      <c r="BG5" s="108"/>
      <c r="BH5" s="108"/>
      <c r="BI5" s="108"/>
      <c r="BJ5" s="108"/>
      <c r="BK5" s="108"/>
      <c r="BL5" s="108"/>
      <c r="BM5" s="108"/>
      <c r="BN5" s="108"/>
      <c r="BO5" s="108"/>
      <c r="BP5" s="108"/>
      <c r="BQ5" s="108"/>
      <c r="BR5" s="108"/>
      <c r="BS5" s="108"/>
      <c r="BT5" s="108"/>
      <c r="BU5" s="108"/>
      <c r="BV5" s="108"/>
      <c r="BW5" s="108"/>
      <c r="BX5" s="108"/>
      <c r="BY5" s="108"/>
      <c r="BZ5" s="108"/>
      <c r="CA5" s="108"/>
      <c r="CB5" s="108"/>
      <c r="CC5" s="108"/>
      <c r="CD5" s="108"/>
      <c r="CE5" s="108"/>
      <c r="CF5" s="108"/>
      <c r="CG5" s="108"/>
      <c r="CH5" s="108"/>
      <c r="CI5" s="108"/>
      <c r="CJ5" s="108"/>
      <c r="CK5" s="108"/>
      <c r="CL5" s="108"/>
      <c r="CM5" s="108"/>
      <c r="CN5" s="108"/>
      <c r="CO5" s="108"/>
      <c r="CP5" s="108"/>
      <c r="CQ5" s="108"/>
      <c r="CR5" s="108"/>
      <c r="CS5" s="108"/>
      <c r="CT5" s="108"/>
      <c r="CU5" s="108"/>
      <c r="CV5" s="108"/>
      <c r="CW5" s="108"/>
      <c r="CX5" s="108"/>
      <c r="CY5" s="108"/>
      <c r="CZ5" s="108"/>
      <c r="DA5" s="108"/>
      <c r="DB5" s="108"/>
      <c r="DC5" s="108"/>
      <c r="DD5" s="108"/>
      <c r="DE5" s="108"/>
      <c r="DF5" s="108"/>
      <c r="DG5" s="108"/>
      <c r="DH5" s="108"/>
      <c r="DI5" s="108"/>
      <c r="DJ5" s="108"/>
      <c r="DK5" s="108"/>
      <c r="DL5" s="108"/>
      <c r="DM5" s="108"/>
      <c r="DN5" s="108"/>
      <c r="DO5" s="108"/>
      <c r="DP5" s="108"/>
      <c r="DQ5" s="108"/>
      <c r="DR5" s="108"/>
      <c r="DS5" s="108"/>
      <c r="DT5" s="108"/>
      <c r="DU5" s="108"/>
      <c r="DV5" s="108"/>
      <c r="DW5" s="108"/>
      <c r="DX5" s="108"/>
      <c r="DY5" s="108"/>
      <c r="DZ5" s="108"/>
      <c r="EA5" s="108"/>
      <c r="EB5" s="108"/>
      <c r="EC5" s="108"/>
      <c r="ED5" s="108"/>
      <c r="EE5" s="108"/>
      <c r="EF5" s="108"/>
      <c r="EG5" s="108"/>
      <c r="EH5" s="108"/>
      <c r="EI5" s="108"/>
      <c r="EJ5" s="108"/>
      <c r="EK5" s="108"/>
      <c r="EL5" s="108"/>
      <c r="EM5" s="108"/>
      <c r="EN5" s="108"/>
      <c r="EO5" s="108"/>
      <c r="EP5" s="108"/>
      <c r="EQ5" s="108"/>
      <c r="ER5" s="108"/>
      <c r="ES5" s="108"/>
      <c r="ET5" s="108"/>
      <c r="EU5" s="108"/>
      <c r="EV5" s="108"/>
      <c r="EW5" s="108"/>
      <c r="EX5" s="108"/>
      <c r="EY5" s="108"/>
      <c r="EZ5" s="108"/>
      <c r="FA5" s="108"/>
      <c r="FB5" s="108"/>
      <c r="FC5" s="108"/>
      <c r="FD5" s="108"/>
      <c r="FE5" s="108"/>
      <c r="FF5" s="108"/>
      <c r="FG5" s="108"/>
      <c r="FH5" s="108"/>
      <c r="FI5" s="108"/>
      <c r="FJ5" s="108"/>
      <c r="FK5" s="108"/>
      <c r="FL5" s="108"/>
      <c r="FM5" s="108"/>
      <c r="FN5" s="108"/>
      <c r="FO5" s="108"/>
      <c r="FP5" s="108"/>
      <c r="FQ5" s="108"/>
      <c r="FR5" s="108"/>
      <c r="FS5" s="108"/>
      <c r="FT5" s="108"/>
      <c r="FU5" s="108"/>
      <c r="FV5" s="108"/>
      <c r="FW5" s="108"/>
      <c r="FX5" s="108"/>
      <c r="FY5" s="108"/>
      <c r="FZ5" s="108"/>
      <c r="GA5" s="108"/>
      <c r="GB5" s="108"/>
      <c r="GC5" s="108"/>
      <c r="GD5" s="108"/>
      <c r="GE5" s="108"/>
      <c r="GF5" s="108"/>
      <c r="GG5" s="108"/>
      <c r="GH5" s="108"/>
      <c r="GI5" s="108"/>
      <c r="GJ5" s="108"/>
      <c r="GK5" s="108"/>
      <c r="GL5" s="108"/>
      <c r="GM5" s="108"/>
      <c r="GN5" s="108"/>
      <c r="GO5" s="108"/>
      <c r="GP5" s="108"/>
      <c r="GQ5" s="108"/>
      <c r="GR5" s="108"/>
      <c r="GS5" s="108"/>
      <c r="GT5" s="108"/>
      <c r="GU5" s="108"/>
      <c r="GV5" s="108"/>
      <c r="GW5" s="108"/>
      <c r="GX5" s="108"/>
      <c r="GY5" s="108"/>
      <c r="GZ5" s="108"/>
      <c r="HA5" s="108"/>
      <c r="HB5" s="108"/>
      <c r="HC5" s="108"/>
      <c r="HD5" s="108"/>
      <c r="HE5" s="108"/>
      <c r="HF5" s="108"/>
      <c r="HG5" s="108"/>
      <c r="HH5" s="108"/>
      <c r="HI5" s="108"/>
      <c r="HJ5" s="108"/>
      <c r="HK5" s="108"/>
      <c r="HL5" s="108"/>
      <c r="HM5" s="108"/>
      <c r="HN5" s="108"/>
      <c r="HO5" s="108"/>
      <c r="HP5" s="108"/>
      <c r="HQ5" s="108"/>
      <c r="HR5" s="108"/>
      <c r="HS5" s="108"/>
      <c r="HT5" s="108"/>
      <c r="HU5" s="108"/>
      <c r="HV5" s="108"/>
      <c r="HW5" s="108"/>
      <c r="HX5" s="108"/>
      <c r="HY5" s="108"/>
      <c r="HZ5" s="108"/>
      <c r="IA5" s="108"/>
      <c r="IB5" s="108"/>
      <c r="IC5" s="108"/>
      <c r="ID5" s="108"/>
      <c r="IE5" s="108"/>
      <c r="IF5" s="108"/>
      <c r="IG5" s="108"/>
      <c r="IH5" s="108"/>
      <c r="II5" s="108"/>
      <c r="IJ5" s="108"/>
      <c r="IK5" s="108"/>
      <c r="IL5" s="108"/>
      <c r="IM5" s="108"/>
      <c r="IN5" s="108"/>
      <c r="IO5" s="108"/>
      <c r="IP5" s="108"/>
      <c r="IQ5" s="108"/>
      <c r="IR5" s="108"/>
      <c r="IS5" s="108"/>
      <c r="IT5" s="108"/>
      <c r="IU5" s="108"/>
      <c r="IV5" s="108"/>
      <c r="IW5" s="108"/>
    </row>
    <row r="6" spans="1:257" ht="15" thickBot="1" x14ac:dyDescent="0.35">
      <c r="A6" s="158"/>
      <c r="B6" s="113" t="str">
        <f>'Sensitivity analysis'!B165</f>
        <v>PSG cost</v>
      </c>
      <c r="C6" s="170">
        <f>'Sensitivity analysis'!G165</f>
        <v>37308.435234355216</v>
      </c>
      <c r="D6" s="171">
        <f>'Sensitivity analysis'!H165</f>
        <v>35008.435234355129</v>
      </c>
      <c r="E6" s="172">
        <f>ABS(D6-C6)</f>
        <v>2300.0000000000873</v>
      </c>
      <c r="F6" s="158"/>
      <c r="G6" s="158"/>
      <c r="H6" s="158"/>
      <c r="I6" s="173" t="s">
        <v>790</v>
      </c>
      <c r="J6" s="174">
        <v>16936.22825962519</v>
      </c>
      <c r="K6" s="171">
        <v>54099.161744103461</v>
      </c>
      <c r="L6" s="172">
        <v>37162.933484478272</v>
      </c>
      <c r="M6" s="158"/>
      <c r="N6" s="158"/>
      <c r="O6" s="108"/>
      <c r="P6" s="108"/>
      <c r="Q6" s="108"/>
      <c r="R6" s="108"/>
      <c r="S6" s="108"/>
      <c r="T6" s="108"/>
      <c r="U6" s="108"/>
      <c r="V6" s="108"/>
      <c r="W6" s="108"/>
      <c r="X6" s="108"/>
      <c r="Y6" s="108"/>
      <c r="Z6" s="108"/>
      <c r="AA6" s="108"/>
      <c r="AB6" s="108"/>
      <c r="AC6" s="108"/>
      <c r="AD6" s="108"/>
      <c r="AE6" s="108"/>
      <c r="AF6" s="108"/>
      <c r="AG6" s="108"/>
      <c r="AH6" s="108"/>
      <c r="AI6" s="108"/>
      <c r="AJ6" s="108"/>
      <c r="AK6" s="108"/>
      <c r="AL6" s="108"/>
      <c r="AM6" s="108"/>
      <c r="AN6" s="108"/>
      <c r="AO6" s="108"/>
      <c r="AP6" s="108"/>
      <c r="AQ6" s="108"/>
      <c r="AR6" s="108"/>
      <c r="AS6" s="108"/>
      <c r="AT6" s="108"/>
      <c r="AU6" s="108"/>
      <c r="AV6" s="108"/>
      <c r="AW6" s="108"/>
      <c r="AX6" s="108"/>
      <c r="AY6" s="108"/>
      <c r="AZ6" s="108"/>
      <c r="BA6" s="108"/>
      <c r="BB6" s="108"/>
      <c r="BC6" s="108"/>
      <c r="BD6" s="108"/>
      <c r="BE6" s="108"/>
      <c r="BF6" s="108"/>
      <c r="BG6" s="108"/>
      <c r="BH6" s="108"/>
      <c r="BI6" s="108"/>
      <c r="BJ6" s="108"/>
      <c r="BK6" s="108"/>
      <c r="BL6" s="108"/>
      <c r="BM6" s="108"/>
      <c r="BN6" s="108"/>
      <c r="BO6" s="108"/>
      <c r="BP6" s="108"/>
      <c r="BQ6" s="108"/>
      <c r="BR6" s="108"/>
      <c r="BS6" s="108"/>
      <c r="BT6" s="108"/>
      <c r="BU6" s="108"/>
      <c r="BV6" s="108"/>
      <c r="BW6" s="108"/>
      <c r="BX6" s="108"/>
      <c r="BY6" s="108"/>
      <c r="BZ6" s="108"/>
      <c r="CA6" s="108"/>
      <c r="CB6" s="108"/>
      <c r="CC6" s="108"/>
      <c r="CD6" s="108"/>
      <c r="CE6" s="108"/>
      <c r="CF6" s="108"/>
      <c r="CG6" s="108"/>
      <c r="CH6" s="108"/>
      <c r="CI6" s="108"/>
      <c r="CJ6" s="108"/>
      <c r="CK6" s="108"/>
      <c r="CL6" s="108"/>
      <c r="CM6" s="108"/>
      <c r="CN6" s="108"/>
      <c r="CO6" s="108"/>
      <c r="CP6" s="108"/>
      <c r="CQ6" s="108"/>
      <c r="CR6" s="108"/>
      <c r="CS6" s="108"/>
      <c r="CT6" s="108"/>
      <c r="CU6" s="108"/>
      <c r="CV6" s="108"/>
      <c r="CW6" s="108"/>
      <c r="CX6" s="108"/>
      <c r="CY6" s="108"/>
      <c r="CZ6" s="108"/>
      <c r="DA6" s="108"/>
      <c r="DB6" s="108"/>
      <c r="DC6" s="108"/>
      <c r="DD6" s="108"/>
      <c r="DE6" s="108"/>
      <c r="DF6" s="108"/>
      <c r="DG6" s="108"/>
      <c r="DH6" s="108"/>
      <c r="DI6" s="108"/>
      <c r="DJ6" s="108"/>
      <c r="DK6" s="108"/>
      <c r="DL6" s="108"/>
      <c r="DM6" s="108"/>
      <c r="DN6" s="108"/>
      <c r="DO6" s="108"/>
      <c r="DP6" s="108"/>
      <c r="DQ6" s="108"/>
      <c r="DR6" s="108"/>
      <c r="DS6" s="108"/>
      <c r="DT6" s="108"/>
      <c r="DU6" s="108"/>
      <c r="DV6" s="108"/>
      <c r="DW6" s="108"/>
      <c r="DX6" s="108"/>
      <c r="DY6" s="108"/>
      <c r="DZ6" s="108"/>
      <c r="EA6" s="108"/>
      <c r="EB6" s="108"/>
      <c r="EC6" s="108"/>
      <c r="ED6" s="108"/>
      <c r="EE6" s="108"/>
      <c r="EF6" s="108"/>
      <c r="EG6" s="108"/>
      <c r="EH6" s="108"/>
      <c r="EI6" s="108"/>
      <c r="EJ6" s="108"/>
      <c r="EK6" s="108"/>
      <c r="EL6" s="108"/>
      <c r="EM6" s="108"/>
      <c r="EN6" s="108"/>
      <c r="EO6" s="108"/>
      <c r="EP6" s="108"/>
      <c r="EQ6" s="108"/>
      <c r="ER6" s="108"/>
      <c r="ES6" s="108"/>
      <c r="ET6" s="108"/>
      <c r="EU6" s="108"/>
      <c r="EV6" s="108"/>
      <c r="EW6" s="108"/>
      <c r="EX6" s="108"/>
      <c r="EY6" s="108"/>
      <c r="EZ6" s="108"/>
      <c r="FA6" s="108"/>
      <c r="FB6" s="108"/>
      <c r="FC6" s="108"/>
      <c r="FD6" s="108"/>
      <c r="FE6" s="108"/>
      <c r="FF6" s="108"/>
      <c r="FG6" s="108"/>
      <c r="FH6" s="108"/>
      <c r="FI6" s="108"/>
      <c r="FJ6" s="108"/>
      <c r="FK6" s="108"/>
      <c r="FL6" s="108"/>
      <c r="FM6" s="108"/>
      <c r="FN6" s="108"/>
      <c r="FO6" s="108"/>
      <c r="FP6" s="108"/>
      <c r="FQ6" s="108"/>
      <c r="FR6" s="108"/>
      <c r="FS6" s="108"/>
      <c r="FT6" s="108"/>
      <c r="FU6" s="108"/>
      <c r="FV6" s="108"/>
      <c r="FW6" s="108"/>
      <c r="FX6" s="108"/>
      <c r="FY6" s="108"/>
      <c r="FZ6" s="108"/>
      <c r="GA6" s="108"/>
      <c r="GB6" s="108"/>
      <c r="GC6" s="108"/>
      <c r="GD6" s="108"/>
      <c r="GE6" s="108"/>
      <c r="GF6" s="108"/>
      <c r="GG6" s="108"/>
      <c r="GH6" s="108"/>
      <c r="GI6" s="108"/>
      <c r="GJ6" s="108"/>
      <c r="GK6" s="108"/>
      <c r="GL6" s="108"/>
      <c r="GM6" s="108"/>
      <c r="GN6" s="108"/>
      <c r="GO6" s="108"/>
      <c r="GP6" s="108"/>
      <c r="GQ6" s="108"/>
      <c r="GR6" s="108"/>
      <c r="GS6" s="108"/>
      <c r="GT6" s="108"/>
      <c r="GU6" s="108"/>
      <c r="GV6" s="108"/>
      <c r="GW6" s="108"/>
      <c r="GX6" s="108"/>
      <c r="GY6" s="108"/>
      <c r="GZ6" s="108"/>
      <c r="HA6" s="108"/>
      <c r="HB6" s="108"/>
      <c r="HC6" s="108"/>
      <c r="HD6" s="108"/>
      <c r="HE6" s="108"/>
      <c r="HF6" s="108"/>
      <c r="HG6" s="108"/>
      <c r="HH6" s="108"/>
      <c r="HI6" s="108"/>
      <c r="HJ6" s="108"/>
      <c r="HK6" s="108"/>
      <c r="HL6" s="108"/>
      <c r="HM6" s="108"/>
      <c r="HN6" s="108"/>
      <c r="HO6" s="108"/>
      <c r="HP6" s="108"/>
      <c r="HQ6" s="108"/>
      <c r="HR6" s="108"/>
      <c r="HS6" s="108"/>
      <c r="HT6" s="108"/>
      <c r="HU6" s="108"/>
      <c r="HV6" s="108"/>
      <c r="HW6" s="108"/>
      <c r="HX6" s="108"/>
      <c r="HY6" s="108"/>
      <c r="HZ6" s="108"/>
      <c r="IA6" s="108"/>
      <c r="IB6" s="108"/>
      <c r="IC6" s="108"/>
      <c r="ID6" s="108"/>
      <c r="IE6" s="108"/>
      <c r="IF6" s="108"/>
      <c r="IG6" s="108"/>
      <c r="IH6" s="108"/>
      <c r="II6" s="108"/>
      <c r="IJ6" s="108"/>
      <c r="IK6" s="108"/>
      <c r="IL6" s="108"/>
      <c r="IM6" s="108"/>
      <c r="IN6" s="108"/>
      <c r="IO6" s="108"/>
      <c r="IP6" s="108"/>
      <c r="IQ6" s="108"/>
      <c r="IR6" s="108"/>
      <c r="IS6" s="108"/>
      <c r="IT6" s="108"/>
      <c r="IU6" s="108"/>
      <c r="IV6" s="108"/>
      <c r="IW6" s="108"/>
    </row>
    <row r="7" spans="1:257" ht="15" thickBot="1" x14ac:dyDescent="0.35">
      <c r="A7" s="158"/>
      <c r="B7" s="113" t="str">
        <f>'Sensitivity analysis'!B166</f>
        <v>Increase in antenatal first visit coverage with a PSG</v>
      </c>
      <c r="C7" s="170">
        <f>'Sensitivity analysis'!G166</f>
        <v>34947.055673458271</v>
      </c>
      <c r="D7" s="171">
        <f>'Sensitivity analysis'!H166</f>
        <v>37369.814795252161</v>
      </c>
      <c r="E7" s="172">
        <f t="shared" ref="E7:E45" si="0">ABS(D7-C7)</f>
        <v>2422.7591217938898</v>
      </c>
      <c r="F7" s="158"/>
      <c r="G7" s="158"/>
      <c r="H7" s="158"/>
      <c r="I7" s="173" t="s">
        <v>816</v>
      </c>
      <c r="J7" s="170">
        <v>16759.549132432574</v>
      </c>
      <c r="K7" s="175">
        <v>40734.787653307838</v>
      </c>
      <c r="L7" s="172">
        <v>23975.238520875264</v>
      </c>
      <c r="M7" s="158"/>
      <c r="N7" s="158"/>
      <c r="O7" s="108"/>
      <c r="P7" s="108"/>
      <c r="Q7" s="108"/>
      <c r="R7" s="108"/>
      <c r="S7" s="108"/>
      <c r="T7" s="108"/>
      <c r="U7" s="108"/>
      <c r="V7" s="108"/>
      <c r="W7" s="108"/>
      <c r="X7" s="108"/>
      <c r="Y7" s="108"/>
      <c r="Z7" s="108"/>
      <c r="AA7" s="108"/>
      <c r="AB7" s="108"/>
      <c r="AC7" s="108"/>
      <c r="AD7" s="108"/>
      <c r="AE7" s="108"/>
      <c r="AF7" s="108"/>
      <c r="AG7" s="108"/>
      <c r="AH7" s="108"/>
      <c r="AI7" s="108"/>
      <c r="AJ7" s="108"/>
      <c r="AK7" s="108"/>
      <c r="AL7" s="108"/>
      <c r="AM7" s="108"/>
      <c r="AN7" s="108"/>
      <c r="AO7" s="108"/>
      <c r="AP7" s="108"/>
      <c r="AQ7" s="108"/>
      <c r="AR7" s="108"/>
      <c r="AS7" s="108"/>
      <c r="AT7" s="108"/>
      <c r="AU7" s="108"/>
      <c r="AV7" s="108"/>
      <c r="AW7" s="108"/>
      <c r="AX7" s="108"/>
      <c r="AY7" s="108"/>
      <c r="AZ7" s="108"/>
      <c r="BA7" s="108"/>
      <c r="BB7" s="108"/>
      <c r="BC7" s="108"/>
      <c r="BD7" s="108"/>
      <c r="BE7" s="108"/>
      <c r="BF7" s="108"/>
      <c r="BG7" s="108"/>
      <c r="BH7" s="108"/>
      <c r="BI7" s="108"/>
      <c r="BJ7" s="108"/>
      <c r="BK7" s="108"/>
      <c r="BL7" s="108"/>
      <c r="BM7" s="108"/>
      <c r="BN7" s="108"/>
      <c r="BO7" s="108"/>
      <c r="BP7" s="108"/>
      <c r="BQ7" s="108"/>
      <c r="BR7" s="108"/>
      <c r="BS7" s="108"/>
      <c r="BT7" s="108"/>
      <c r="BU7" s="108"/>
      <c r="BV7" s="108"/>
      <c r="BW7" s="108"/>
      <c r="BX7" s="108"/>
      <c r="BY7" s="108"/>
      <c r="BZ7" s="108"/>
      <c r="CA7" s="108"/>
      <c r="CB7" s="108"/>
      <c r="CC7" s="108"/>
      <c r="CD7" s="108"/>
      <c r="CE7" s="108"/>
      <c r="CF7" s="108"/>
      <c r="CG7" s="108"/>
      <c r="CH7" s="108"/>
      <c r="CI7" s="108"/>
      <c r="CJ7" s="108"/>
      <c r="CK7" s="108"/>
      <c r="CL7" s="108"/>
      <c r="CM7" s="108"/>
      <c r="CN7" s="108"/>
      <c r="CO7" s="108"/>
      <c r="CP7" s="108"/>
      <c r="CQ7" s="108"/>
      <c r="CR7" s="108"/>
      <c r="CS7" s="108"/>
      <c r="CT7" s="108"/>
      <c r="CU7" s="108"/>
      <c r="CV7" s="108"/>
      <c r="CW7" s="108"/>
      <c r="CX7" s="108"/>
      <c r="CY7" s="108"/>
      <c r="CZ7" s="108"/>
      <c r="DA7" s="108"/>
      <c r="DB7" s="108"/>
      <c r="DC7" s="108"/>
      <c r="DD7" s="108"/>
      <c r="DE7" s="108"/>
      <c r="DF7" s="108"/>
      <c r="DG7" s="108"/>
      <c r="DH7" s="108"/>
      <c r="DI7" s="108"/>
      <c r="DJ7" s="108"/>
      <c r="DK7" s="108"/>
      <c r="DL7" s="108"/>
      <c r="DM7" s="108"/>
      <c r="DN7" s="108"/>
      <c r="DO7" s="108"/>
      <c r="DP7" s="108"/>
      <c r="DQ7" s="108"/>
      <c r="DR7" s="108"/>
      <c r="DS7" s="108"/>
      <c r="DT7" s="108"/>
      <c r="DU7" s="108"/>
      <c r="DV7" s="108"/>
      <c r="DW7" s="108"/>
      <c r="DX7" s="108"/>
      <c r="DY7" s="108"/>
      <c r="DZ7" s="108"/>
      <c r="EA7" s="108"/>
      <c r="EB7" s="108"/>
      <c r="EC7" s="108"/>
      <c r="ED7" s="108"/>
      <c r="EE7" s="108"/>
      <c r="EF7" s="108"/>
      <c r="EG7" s="108"/>
      <c r="EH7" s="108"/>
      <c r="EI7" s="108"/>
      <c r="EJ7" s="108"/>
      <c r="EK7" s="108"/>
      <c r="EL7" s="108"/>
      <c r="EM7" s="108"/>
      <c r="EN7" s="108"/>
      <c r="EO7" s="108"/>
      <c r="EP7" s="108"/>
      <c r="EQ7" s="108"/>
      <c r="ER7" s="108"/>
      <c r="ES7" s="108"/>
      <c r="ET7" s="108"/>
      <c r="EU7" s="108"/>
      <c r="EV7" s="108"/>
      <c r="EW7" s="108"/>
      <c r="EX7" s="108"/>
      <c r="EY7" s="108"/>
      <c r="EZ7" s="108"/>
      <c r="FA7" s="108"/>
      <c r="FB7" s="108"/>
      <c r="FC7" s="108"/>
      <c r="FD7" s="108"/>
      <c r="FE7" s="108"/>
      <c r="FF7" s="108"/>
      <c r="FG7" s="108"/>
      <c r="FH7" s="108"/>
      <c r="FI7" s="108"/>
      <c r="FJ7" s="108"/>
      <c r="FK7" s="108"/>
      <c r="FL7" s="108"/>
      <c r="FM7" s="108"/>
      <c r="FN7" s="108"/>
      <c r="FO7" s="108"/>
      <c r="FP7" s="108"/>
      <c r="FQ7" s="108"/>
      <c r="FR7" s="108"/>
      <c r="FS7" s="108"/>
      <c r="FT7" s="108"/>
      <c r="FU7" s="108"/>
      <c r="FV7" s="108"/>
      <c r="FW7" s="108"/>
      <c r="FX7" s="108"/>
      <c r="FY7" s="108"/>
      <c r="FZ7" s="108"/>
      <c r="GA7" s="108"/>
      <c r="GB7" s="108"/>
      <c r="GC7" s="108"/>
      <c r="GD7" s="108"/>
      <c r="GE7" s="108"/>
      <c r="GF7" s="108"/>
      <c r="GG7" s="108"/>
      <c r="GH7" s="108"/>
      <c r="GI7" s="108"/>
      <c r="GJ7" s="108"/>
      <c r="GK7" s="108"/>
      <c r="GL7" s="108"/>
      <c r="GM7" s="108"/>
      <c r="GN7" s="108"/>
      <c r="GO7" s="108"/>
      <c r="GP7" s="108"/>
      <c r="GQ7" s="108"/>
      <c r="GR7" s="108"/>
      <c r="GS7" s="108"/>
      <c r="GT7" s="108"/>
      <c r="GU7" s="108"/>
      <c r="GV7" s="108"/>
      <c r="GW7" s="108"/>
      <c r="GX7" s="108"/>
      <c r="GY7" s="108"/>
      <c r="GZ7" s="108"/>
      <c r="HA7" s="108"/>
      <c r="HB7" s="108"/>
      <c r="HC7" s="108"/>
      <c r="HD7" s="108"/>
      <c r="HE7" s="108"/>
      <c r="HF7" s="108"/>
      <c r="HG7" s="108"/>
      <c r="HH7" s="108"/>
      <c r="HI7" s="108"/>
      <c r="HJ7" s="108"/>
      <c r="HK7" s="108"/>
      <c r="HL7" s="108"/>
      <c r="HM7" s="108"/>
      <c r="HN7" s="108"/>
      <c r="HO7" s="108"/>
      <c r="HP7" s="108"/>
      <c r="HQ7" s="108"/>
      <c r="HR7" s="108"/>
      <c r="HS7" s="108"/>
      <c r="HT7" s="108"/>
      <c r="HU7" s="108"/>
      <c r="HV7" s="108"/>
      <c r="HW7" s="108"/>
      <c r="HX7" s="108"/>
      <c r="HY7" s="108"/>
      <c r="HZ7" s="108"/>
      <c r="IA7" s="108"/>
      <c r="IB7" s="108"/>
      <c r="IC7" s="108"/>
      <c r="ID7" s="108"/>
      <c r="IE7" s="108"/>
      <c r="IF7" s="108"/>
      <c r="IG7" s="108"/>
      <c r="IH7" s="108"/>
      <c r="II7" s="108"/>
      <c r="IJ7" s="108"/>
      <c r="IK7" s="108"/>
      <c r="IL7" s="108"/>
      <c r="IM7" s="108"/>
      <c r="IN7" s="108"/>
      <c r="IO7" s="108"/>
      <c r="IP7" s="108"/>
      <c r="IQ7" s="108"/>
      <c r="IR7" s="108"/>
      <c r="IS7" s="108"/>
      <c r="IT7" s="108"/>
      <c r="IU7" s="108"/>
      <c r="IV7" s="108"/>
      <c r="IW7" s="108"/>
    </row>
    <row r="8" spans="1:257" ht="15" thickBot="1" x14ac:dyDescent="0.35">
      <c r="A8" s="158"/>
      <c r="B8" s="113" t="str">
        <f>'Sensitivity analysis'!B167</f>
        <v xml:space="preserve">Reduction in preterm birth with a PSG </v>
      </c>
      <c r="C8" s="170">
        <f>'Sensitivity analysis'!G167</f>
        <v>37436.502366306653</v>
      </c>
      <c r="D8" s="171">
        <f>'Sensitivity analysis'!H167</f>
        <v>34789.077592978749</v>
      </c>
      <c r="E8" s="172">
        <f t="shared" si="0"/>
        <v>2647.4247733279044</v>
      </c>
      <c r="F8" s="158"/>
      <c r="G8" s="158"/>
      <c r="H8" s="158"/>
      <c r="I8" s="173" t="s">
        <v>810</v>
      </c>
      <c r="J8" s="170">
        <v>44197.104095223527</v>
      </c>
      <c r="K8" s="171">
        <v>25105.26555066129</v>
      </c>
      <c r="L8" s="172">
        <v>19091.838544562237</v>
      </c>
      <c r="M8" s="158"/>
      <c r="N8" s="158"/>
      <c r="O8" s="108"/>
      <c r="P8" s="108"/>
      <c r="Q8" s="108"/>
      <c r="R8" s="108"/>
      <c r="S8" s="108"/>
      <c r="T8" s="108"/>
      <c r="U8" s="108"/>
      <c r="V8" s="108"/>
      <c r="W8" s="108"/>
      <c r="X8" s="108"/>
      <c r="Y8" s="108"/>
      <c r="Z8" s="108"/>
      <c r="AA8" s="108"/>
      <c r="AB8" s="108"/>
      <c r="AC8" s="108"/>
      <c r="AD8" s="108"/>
      <c r="AE8" s="108"/>
      <c r="AF8" s="108"/>
      <c r="AG8" s="108"/>
      <c r="AH8" s="108"/>
      <c r="AI8" s="108"/>
      <c r="AJ8" s="108"/>
      <c r="AK8" s="108"/>
      <c r="AL8" s="108"/>
      <c r="AM8" s="108"/>
      <c r="AN8" s="108"/>
      <c r="AO8" s="108"/>
      <c r="AP8" s="108"/>
      <c r="AQ8" s="108"/>
      <c r="AR8" s="108"/>
      <c r="AS8" s="108"/>
      <c r="AT8" s="108"/>
      <c r="AU8" s="108"/>
      <c r="AV8" s="108"/>
      <c r="AW8" s="108"/>
      <c r="AX8" s="108"/>
      <c r="AY8" s="108"/>
      <c r="AZ8" s="108"/>
      <c r="BA8" s="108"/>
      <c r="BB8" s="108"/>
      <c r="BC8" s="108"/>
      <c r="BD8" s="108"/>
      <c r="BE8" s="108"/>
      <c r="BF8" s="108"/>
      <c r="BG8" s="108"/>
      <c r="BH8" s="108"/>
      <c r="BI8" s="108"/>
      <c r="BJ8" s="108"/>
      <c r="BK8" s="108"/>
      <c r="BL8" s="108"/>
      <c r="BM8" s="108"/>
      <c r="BN8" s="108"/>
      <c r="BO8" s="108"/>
      <c r="BP8" s="108"/>
      <c r="BQ8" s="108"/>
      <c r="BR8" s="108"/>
      <c r="BS8" s="108"/>
      <c r="BT8" s="108"/>
      <c r="BU8" s="108"/>
      <c r="BV8" s="108"/>
      <c r="BW8" s="108"/>
      <c r="BX8" s="108"/>
      <c r="BY8" s="108"/>
      <c r="BZ8" s="108"/>
      <c r="CA8" s="108"/>
      <c r="CB8" s="108"/>
      <c r="CC8" s="108"/>
      <c r="CD8" s="108"/>
      <c r="CE8" s="108"/>
      <c r="CF8" s="108"/>
      <c r="CG8" s="108"/>
      <c r="CH8" s="108"/>
      <c r="CI8" s="108"/>
      <c r="CJ8" s="108"/>
      <c r="CK8" s="108"/>
      <c r="CL8" s="108"/>
      <c r="CM8" s="108"/>
      <c r="CN8" s="108"/>
      <c r="CO8" s="108"/>
      <c r="CP8" s="108"/>
      <c r="CQ8" s="108"/>
      <c r="CR8" s="108"/>
      <c r="CS8" s="108"/>
      <c r="CT8" s="108"/>
      <c r="CU8" s="108"/>
      <c r="CV8" s="108"/>
      <c r="CW8" s="108"/>
      <c r="CX8" s="108"/>
      <c r="CY8" s="108"/>
      <c r="CZ8" s="108"/>
      <c r="DA8" s="108"/>
      <c r="DB8" s="108"/>
      <c r="DC8" s="108"/>
      <c r="DD8" s="108"/>
      <c r="DE8" s="108"/>
      <c r="DF8" s="108"/>
      <c r="DG8" s="108"/>
      <c r="DH8" s="108"/>
      <c r="DI8" s="108"/>
      <c r="DJ8" s="108"/>
      <c r="DK8" s="108"/>
      <c r="DL8" s="108"/>
      <c r="DM8" s="108"/>
      <c r="DN8" s="108"/>
      <c r="DO8" s="108"/>
      <c r="DP8" s="108"/>
      <c r="DQ8" s="108"/>
      <c r="DR8" s="108"/>
      <c r="DS8" s="108"/>
      <c r="DT8" s="108"/>
      <c r="DU8" s="108"/>
      <c r="DV8" s="108"/>
      <c r="DW8" s="108"/>
      <c r="DX8" s="108"/>
      <c r="DY8" s="108"/>
      <c r="DZ8" s="108"/>
      <c r="EA8" s="108"/>
      <c r="EB8" s="108"/>
      <c r="EC8" s="108"/>
      <c r="ED8" s="108"/>
      <c r="EE8" s="108"/>
      <c r="EF8" s="108"/>
      <c r="EG8" s="108"/>
      <c r="EH8" s="108"/>
      <c r="EI8" s="108"/>
      <c r="EJ8" s="108"/>
      <c r="EK8" s="108"/>
      <c r="EL8" s="108"/>
      <c r="EM8" s="108"/>
      <c r="EN8" s="108"/>
      <c r="EO8" s="108"/>
      <c r="EP8" s="108"/>
      <c r="EQ8" s="108"/>
      <c r="ER8" s="108"/>
      <c r="ES8" s="108"/>
      <c r="ET8" s="108"/>
      <c r="EU8" s="108"/>
      <c r="EV8" s="108"/>
      <c r="EW8" s="108"/>
      <c r="EX8" s="108"/>
      <c r="EY8" s="108"/>
      <c r="EZ8" s="108"/>
      <c r="FA8" s="108"/>
      <c r="FB8" s="108"/>
      <c r="FC8" s="108"/>
      <c r="FD8" s="108"/>
      <c r="FE8" s="108"/>
      <c r="FF8" s="108"/>
      <c r="FG8" s="108"/>
      <c r="FH8" s="108"/>
      <c r="FI8" s="108"/>
      <c r="FJ8" s="108"/>
      <c r="FK8" s="108"/>
      <c r="FL8" s="108"/>
      <c r="FM8" s="108"/>
      <c r="FN8" s="108"/>
      <c r="FO8" s="108"/>
      <c r="FP8" s="108"/>
      <c r="FQ8" s="108"/>
      <c r="FR8" s="108"/>
      <c r="FS8" s="108"/>
      <c r="FT8" s="108"/>
      <c r="FU8" s="108"/>
      <c r="FV8" s="108"/>
      <c r="FW8" s="108"/>
      <c r="FX8" s="108"/>
      <c r="FY8" s="108"/>
      <c r="FZ8" s="108"/>
      <c r="GA8" s="108"/>
      <c r="GB8" s="108"/>
      <c r="GC8" s="108"/>
      <c r="GD8" s="108"/>
      <c r="GE8" s="108"/>
      <c r="GF8" s="108"/>
      <c r="GG8" s="108"/>
      <c r="GH8" s="108"/>
      <c r="GI8" s="108"/>
      <c r="GJ8" s="108"/>
      <c r="GK8" s="108"/>
      <c r="GL8" s="108"/>
      <c r="GM8" s="108"/>
      <c r="GN8" s="108"/>
      <c r="GO8" s="108"/>
      <c r="GP8" s="108"/>
      <c r="GQ8" s="108"/>
      <c r="GR8" s="108"/>
      <c r="GS8" s="108"/>
      <c r="GT8" s="108"/>
      <c r="GU8" s="108"/>
      <c r="GV8" s="108"/>
      <c r="GW8" s="108"/>
      <c r="GX8" s="108"/>
      <c r="GY8" s="108"/>
      <c r="GZ8" s="108"/>
      <c r="HA8" s="108"/>
      <c r="HB8" s="108"/>
      <c r="HC8" s="108"/>
      <c r="HD8" s="108"/>
      <c r="HE8" s="108"/>
      <c r="HF8" s="108"/>
      <c r="HG8" s="108"/>
      <c r="HH8" s="108"/>
      <c r="HI8" s="108"/>
      <c r="HJ8" s="108"/>
      <c r="HK8" s="108"/>
      <c r="HL8" s="108"/>
      <c r="HM8" s="108"/>
      <c r="HN8" s="108"/>
      <c r="HO8" s="108"/>
      <c r="HP8" s="108"/>
      <c r="HQ8" s="108"/>
      <c r="HR8" s="108"/>
      <c r="HS8" s="108"/>
      <c r="HT8" s="108"/>
      <c r="HU8" s="108"/>
      <c r="HV8" s="108"/>
      <c r="HW8" s="108"/>
      <c r="HX8" s="108"/>
      <c r="HY8" s="108"/>
      <c r="HZ8" s="108"/>
      <c r="IA8" s="108"/>
      <c r="IB8" s="108"/>
      <c r="IC8" s="108"/>
      <c r="ID8" s="108"/>
      <c r="IE8" s="108"/>
      <c r="IF8" s="108"/>
      <c r="IG8" s="108"/>
      <c r="IH8" s="108"/>
      <c r="II8" s="108"/>
      <c r="IJ8" s="108"/>
      <c r="IK8" s="108"/>
      <c r="IL8" s="108"/>
      <c r="IM8" s="108"/>
      <c r="IN8" s="108"/>
      <c r="IO8" s="108"/>
      <c r="IP8" s="108"/>
      <c r="IQ8" s="108"/>
      <c r="IR8" s="108"/>
      <c r="IS8" s="108"/>
      <c r="IT8" s="108"/>
      <c r="IU8" s="108"/>
      <c r="IV8" s="108"/>
      <c r="IW8" s="108"/>
    </row>
    <row r="9" spans="1:257" ht="15" thickBot="1" x14ac:dyDescent="0.35">
      <c r="A9" s="158"/>
      <c r="B9" s="113" t="str">
        <f>'Sensitivity analysis'!B168</f>
        <v xml:space="preserve">Reduction in LBW with a PSG </v>
      </c>
      <c r="C9" s="170">
        <f>'Sensitivity analysis'!G168</f>
        <v>44197.104095223527</v>
      </c>
      <c r="D9" s="171">
        <f>'Sensitivity analysis'!H168</f>
        <v>25105.26555066129</v>
      </c>
      <c r="E9" s="172">
        <f>ABS(D9-C9)</f>
        <v>19091.838544562237</v>
      </c>
      <c r="F9" s="158"/>
      <c r="G9" s="158"/>
      <c r="H9" s="158"/>
      <c r="I9" s="173" t="s">
        <v>793</v>
      </c>
      <c r="J9" s="170">
        <v>26768.623433254281</v>
      </c>
      <c r="K9" s="175">
        <v>45548.247035456348</v>
      </c>
      <c r="L9" s="172">
        <v>18779.623602202068</v>
      </c>
      <c r="M9" s="158"/>
      <c r="N9" s="158"/>
      <c r="O9" s="108"/>
      <c r="P9" s="108"/>
      <c r="Q9" s="108"/>
      <c r="R9" s="108"/>
      <c r="S9" s="108"/>
      <c r="T9" s="108"/>
      <c r="U9" s="108"/>
      <c r="V9" s="108"/>
      <c r="W9" s="108"/>
      <c r="X9" s="108"/>
      <c r="Y9" s="108"/>
      <c r="Z9" s="108"/>
      <c r="AA9" s="108"/>
      <c r="AB9" s="108"/>
      <c r="AC9" s="108"/>
      <c r="AD9" s="108"/>
      <c r="AE9" s="108"/>
      <c r="AF9" s="108"/>
      <c r="AG9" s="108"/>
      <c r="AH9" s="108"/>
      <c r="AI9" s="108"/>
      <c r="AJ9" s="108"/>
      <c r="AK9" s="108"/>
      <c r="AL9" s="108"/>
      <c r="AM9" s="108"/>
      <c r="AN9" s="108"/>
      <c r="AO9" s="108"/>
      <c r="AP9" s="108"/>
      <c r="AQ9" s="108"/>
      <c r="AR9" s="108"/>
      <c r="AS9" s="108"/>
      <c r="AT9" s="108"/>
      <c r="AU9" s="108"/>
      <c r="AV9" s="108"/>
      <c r="AW9" s="108"/>
      <c r="AX9" s="108"/>
      <c r="AY9" s="108"/>
      <c r="AZ9" s="108"/>
      <c r="BA9" s="108"/>
      <c r="BB9" s="108"/>
      <c r="BC9" s="108"/>
      <c r="BD9" s="108"/>
      <c r="BE9" s="108"/>
      <c r="BF9" s="108"/>
      <c r="BG9" s="108"/>
      <c r="BH9" s="108"/>
      <c r="BI9" s="108"/>
      <c r="BJ9" s="108"/>
      <c r="BK9" s="108"/>
      <c r="BL9" s="108"/>
      <c r="BM9" s="108"/>
      <c r="BN9" s="108"/>
      <c r="BO9" s="108"/>
      <c r="BP9" s="108"/>
      <c r="BQ9" s="108"/>
      <c r="BR9" s="108"/>
      <c r="BS9" s="108"/>
      <c r="BT9" s="108"/>
      <c r="BU9" s="108"/>
      <c r="BV9" s="108"/>
      <c r="BW9" s="108"/>
      <c r="BX9" s="108"/>
      <c r="BY9" s="108"/>
      <c r="BZ9" s="108"/>
      <c r="CA9" s="108"/>
      <c r="CB9" s="108"/>
      <c r="CC9" s="108"/>
      <c r="CD9" s="108"/>
      <c r="CE9" s="108"/>
      <c r="CF9" s="108"/>
      <c r="CG9" s="108"/>
      <c r="CH9" s="108"/>
      <c r="CI9" s="108"/>
      <c r="CJ9" s="108"/>
      <c r="CK9" s="108"/>
      <c r="CL9" s="108"/>
      <c r="CM9" s="108"/>
      <c r="CN9" s="108"/>
      <c r="CO9" s="108"/>
      <c r="CP9" s="108"/>
      <c r="CQ9" s="108"/>
      <c r="CR9" s="108"/>
      <c r="CS9" s="108"/>
      <c r="CT9" s="108"/>
      <c r="CU9" s="108"/>
      <c r="CV9" s="108"/>
      <c r="CW9" s="108"/>
      <c r="CX9" s="108"/>
      <c r="CY9" s="108"/>
      <c r="CZ9" s="108"/>
      <c r="DA9" s="108"/>
      <c r="DB9" s="108"/>
      <c r="DC9" s="108"/>
      <c r="DD9" s="108"/>
      <c r="DE9" s="108"/>
      <c r="DF9" s="108"/>
      <c r="DG9" s="108"/>
      <c r="DH9" s="108"/>
      <c r="DI9" s="108"/>
      <c r="DJ9" s="108"/>
      <c r="DK9" s="108"/>
      <c r="DL9" s="108"/>
      <c r="DM9" s="108"/>
      <c r="DN9" s="108"/>
      <c r="DO9" s="108"/>
      <c r="DP9" s="108"/>
      <c r="DQ9" s="108"/>
      <c r="DR9" s="108"/>
      <c r="DS9" s="108"/>
      <c r="DT9" s="108"/>
      <c r="DU9" s="108"/>
      <c r="DV9" s="108"/>
      <c r="DW9" s="108"/>
      <c r="DX9" s="108"/>
      <c r="DY9" s="108"/>
      <c r="DZ9" s="108"/>
      <c r="EA9" s="108"/>
      <c r="EB9" s="108"/>
      <c r="EC9" s="108"/>
      <c r="ED9" s="108"/>
      <c r="EE9" s="108"/>
      <c r="EF9" s="108"/>
      <c r="EG9" s="108"/>
      <c r="EH9" s="108"/>
      <c r="EI9" s="108"/>
      <c r="EJ9" s="108"/>
      <c r="EK9" s="108"/>
      <c r="EL9" s="108"/>
      <c r="EM9" s="108"/>
      <c r="EN9" s="108"/>
      <c r="EO9" s="108"/>
      <c r="EP9" s="108"/>
      <c r="EQ9" s="108"/>
      <c r="ER9" s="108"/>
      <c r="ES9" s="108"/>
      <c r="ET9" s="108"/>
      <c r="EU9" s="108"/>
      <c r="EV9" s="108"/>
      <c r="EW9" s="108"/>
      <c r="EX9" s="108"/>
      <c r="EY9" s="108"/>
      <c r="EZ9" s="108"/>
      <c r="FA9" s="108"/>
      <c r="FB9" s="108"/>
      <c r="FC9" s="108"/>
      <c r="FD9" s="108"/>
      <c r="FE9" s="108"/>
      <c r="FF9" s="108"/>
      <c r="FG9" s="108"/>
      <c r="FH9" s="108"/>
      <c r="FI9" s="108"/>
      <c r="FJ9" s="108"/>
      <c r="FK9" s="108"/>
      <c r="FL9" s="108"/>
      <c r="FM9" s="108"/>
      <c r="FN9" s="108"/>
      <c r="FO9" s="108"/>
      <c r="FP9" s="108"/>
      <c r="FQ9" s="108"/>
      <c r="FR9" s="108"/>
      <c r="FS9" s="108"/>
      <c r="FT9" s="108"/>
      <c r="FU9" s="108"/>
      <c r="FV9" s="108"/>
      <c r="FW9" s="108"/>
      <c r="FX9" s="108"/>
      <c r="FY9" s="108"/>
      <c r="FZ9" s="108"/>
      <c r="GA9" s="108"/>
      <c r="GB9" s="108"/>
      <c r="GC9" s="108"/>
      <c r="GD9" s="108"/>
      <c r="GE9" s="108"/>
      <c r="GF9" s="108"/>
      <c r="GG9" s="108"/>
      <c r="GH9" s="108"/>
      <c r="GI9" s="108"/>
      <c r="GJ9" s="108"/>
      <c r="GK9" s="108"/>
      <c r="GL9" s="108"/>
      <c r="GM9" s="108"/>
      <c r="GN9" s="108"/>
      <c r="GO9" s="108"/>
      <c r="GP9" s="108"/>
      <c r="GQ9" s="108"/>
      <c r="GR9" s="108"/>
      <c r="GS9" s="108"/>
      <c r="GT9" s="108"/>
      <c r="GU9" s="108"/>
      <c r="GV9" s="108"/>
      <c r="GW9" s="108"/>
      <c r="GX9" s="108"/>
      <c r="GY9" s="108"/>
      <c r="GZ9" s="108"/>
      <c r="HA9" s="108"/>
      <c r="HB9" s="108"/>
      <c r="HC9" s="108"/>
      <c r="HD9" s="108"/>
      <c r="HE9" s="108"/>
      <c r="HF9" s="108"/>
      <c r="HG9" s="108"/>
      <c r="HH9" s="108"/>
      <c r="HI9" s="108"/>
      <c r="HJ9" s="108"/>
      <c r="HK9" s="108"/>
      <c r="HL9" s="108"/>
      <c r="HM9" s="108"/>
      <c r="HN9" s="108"/>
      <c r="HO9" s="108"/>
      <c r="HP9" s="108"/>
      <c r="HQ9" s="108"/>
      <c r="HR9" s="108"/>
      <c r="HS9" s="108"/>
      <c r="HT9" s="108"/>
      <c r="HU9" s="108"/>
      <c r="HV9" s="108"/>
      <c r="HW9" s="108"/>
      <c r="HX9" s="108"/>
      <c r="HY9" s="108"/>
      <c r="HZ9" s="108"/>
      <c r="IA9" s="108"/>
      <c r="IB9" s="108"/>
      <c r="IC9" s="108"/>
      <c r="ID9" s="108"/>
      <c r="IE9" s="108"/>
      <c r="IF9" s="108"/>
      <c r="IG9" s="108"/>
      <c r="IH9" s="108"/>
      <c r="II9" s="108"/>
      <c r="IJ9" s="108"/>
      <c r="IK9" s="108"/>
      <c r="IL9" s="108"/>
      <c r="IM9" s="108"/>
      <c r="IN9" s="108"/>
      <c r="IO9" s="108"/>
      <c r="IP9" s="108"/>
      <c r="IQ9" s="108"/>
      <c r="IR9" s="108"/>
      <c r="IS9" s="108"/>
      <c r="IT9" s="108"/>
      <c r="IU9" s="108"/>
      <c r="IV9" s="108"/>
      <c r="IW9" s="108"/>
    </row>
    <row r="10" spans="1:257" ht="15" thickBot="1" x14ac:dyDescent="0.35">
      <c r="A10" s="158"/>
      <c r="B10" s="113" t="str">
        <f>'Sensitivity analysis'!B169</f>
        <v xml:space="preserve">Reduction in SGA with a PSG </v>
      </c>
      <c r="C10" s="170">
        <f>'Sensitivity analysis'!G169</f>
        <v>36448.687458326043</v>
      </c>
      <c r="D10" s="171">
        <f>'Sensitivity analysis'!H169</f>
        <v>35852.46101491939</v>
      </c>
      <c r="E10" s="172">
        <f>ABS(D10-C10)</f>
        <v>596.22644340665283</v>
      </c>
      <c r="F10" s="158"/>
      <c r="G10" s="158"/>
      <c r="H10" s="158"/>
      <c r="I10" s="173" t="s">
        <v>792</v>
      </c>
      <c r="J10" s="170">
        <v>29347.255018886386</v>
      </c>
      <c r="K10" s="175">
        <v>42515.536768792794</v>
      </c>
      <c r="L10" s="172">
        <v>13168.281749906408</v>
      </c>
      <c r="M10" s="158"/>
      <c r="N10" s="158"/>
      <c r="O10" s="108"/>
      <c r="P10" s="108"/>
      <c r="Q10" s="108"/>
      <c r="R10" s="108"/>
      <c r="S10" s="108"/>
      <c r="T10" s="108"/>
      <c r="U10" s="108"/>
      <c r="V10" s="108"/>
      <c r="W10" s="108"/>
      <c r="X10" s="108"/>
      <c r="Y10" s="108"/>
      <c r="Z10" s="108"/>
      <c r="AA10" s="108"/>
      <c r="AB10" s="108"/>
      <c r="AC10" s="108"/>
      <c r="AD10" s="108"/>
      <c r="AE10" s="108"/>
      <c r="AF10" s="108"/>
      <c r="AG10" s="108"/>
      <c r="AH10" s="108"/>
      <c r="AI10" s="108"/>
      <c r="AJ10" s="108"/>
      <c r="AK10" s="108"/>
      <c r="AL10" s="108"/>
      <c r="AM10" s="108"/>
      <c r="AN10" s="108"/>
      <c r="AO10" s="108"/>
      <c r="AP10" s="108"/>
      <c r="AQ10" s="108"/>
      <c r="AR10" s="108"/>
      <c r="AS10" s="108"/>
      <c r="AT10" s="108"/>
      <c r="AU10" s="108"/>
      <c r="AV10" s="108"/>
      <c r="AW10" s="108"/>
      <c r="AX10" s="108"/>
      <c r="AY10" s="108"/>
      <c r="AZ10" s="108"/>
      <c r="BA10" s="108"/>
      <c r="BB10" s="108"/>
      <c r="BC10" s="108"/>
      <c r="BD10" s="108"/>
      <c r="BE10" s="108"/>
      <c r="BF10" s="108"/>
      <c r="BG10" s="108"/>
      <c r="BH10" s="108"/>
      <c r="BI10" s="108"/>
      <c r="BJ10" s="108"/>
      <c r="BK10" s="108"/>
      <c r="BL10" s="108"/>
      <c r="BM10" s="108"/>
      <c r="BN10" s="108"/>
      <c r="BO10" s="108"/>
      <c r="BP10" s="108"/>
      <c r="BQ10" s="108"/>
      <c r="BR10" s="108"/>
      <c r="BS10" s="108"/>
      <c r="BT10" s="108"/>
      <c r="BU10" s="108"/>
      <c r="BV10" s="108"/>
      <c r="BW10" s="108"/>
      <c r="BX10" s="108"/>
      <c r="BY10" s="108"/>
      <c r="BZ10" s="108"/>
      <c r="CA10" s="108"/>
      <c r="CB10" s="108"/>
      <c r="CC10" s="108"/>
      <c r="CD10" s="108"/>
      <c r="CE10" s="108"/>
      <c r="CF10" s="108"/>
      <c r="CG10" s="108"/>
      <c r="CH10" s="108"/>
      <c r="CI10" s="108"/>
      <c r="CJ10" s="108"/>
      <c r="CK10" s="108"/>
      <c r="CL10" s="108"/>
      <c r="CM10" s="108"/>
      <c r="CN10" s="108"/>
      <c r="CO10" s="108"/>
      <c r="CP10" s="108"/>
      <c r="CQ10" s="108"/>
      <c r="CR10" s="108"/>
      <c r="CS10" s="108"/>
      <c r="CT10" s="108"/>
      <c r="CU10" s="108"/>
      <c r="CV10" s="108"/>
      <c r="CW10" s="108"/>
      <c r="CX10" s="108"/>
      <c r="CY10" s="108"/>
      <c r="CZ10" s="108"/>
      <c r="DA10" s="108"/>
      <c r="DB10" s="108"/>
      <c r="DC10" s="108"/>
      <c r="DD10" s="108"/>
      <c r="DE10" s="108"/>
      <c r="DF10" s="108"/>
      <c r="DG10" s="108"/>
      <c r="DH10" s="108"/>
      <c r="DI10" s="108"/>
      <c r="DJ10" s="108"/>
      <c r="DK10" s="108"/>
      <c r="DL10" s="108"/>
      <c r="DM10" s="108"/>
      <c r="DN10" s="108"/>
      <c r="DO10" s="108"/>
      <c r="DP10" s="108"/>
      <c r="DQ10" s="108"/>
      <c r="DR10" s="108"/>
      <c r="DS10" s="108"/>
      <c r="DT10" s="108"/>
      <c r="DU10" s="108"/>
      <c r="DV10" s="108"/>
      <c r="DW10" s="108"/>
      <c r="DX10" s="108"/>
      <c r="DY10" s="108"/>
      <c r="DZ10" s="108"/>
      <c r="EA10" s="108"/>
      <c r="EB10" s="108"/>
      <c r="EC10" s="108"/>
      <c r="ED10" s="108"/>
      <c r="EE10" s="108"/>
      <c r="EF10" s="108"/>
      <c r="EG10" s="108"/>
      <c r="EH10" s="108"/>
      <c r="EI10" s="108"/>
      <c r="EJ10" s="108"/>
      <c r="EK10" s="108"/>
      <c r="EL10" s="108"/>
      <c r="EM10" s="108"/>
      <c r="EN10" s="108"/>
      <c r="EO10" s="108"/>
      <c r="EP10" s="108"/>
      <c r="EQ10" s="108"/>
      <c r="ER10" s="108"/>
      <c r="ES10" s="108"/>
      <c r="ET10" s="108"/>
      <c r="EU10" s="108"/>
      <c r="EV10" s="108"/>
      <c r="EW10" s="108"/>
      <c r="EX10" s="108"/>
      <c r="EY10" s="108"/>
      <c r="EZ10" s="108"/>
      <c r="FA10" s="108"/>
      <c r="FB10" s="108"/>
      <c r="FC10" s="108"/>
      <c r="FD10" s="108"/>
      <c r="FE10" s="108"/>
      <c r="FF10" s="108"/>
      <c r="FG10" s="108"/>
      <c r="FH10" s="108"/>
      <c r="FI10" s="108"/>
      <c r="FJ10" s="108"/>
      <c r="FK10" s="108"/>
      <c r="FL10" s="108"/>
      <c r="FM10" s="108"/>
      <c r="FN10" s="108"/>
      <c r="FO10" s="108"/>
      <c r="FP10" s="108"/>
      <c r="FQ10" s="108"/>
      <c r="FR10" s="108"/>
      <c r="FS10" s="108"/>
      <c r="FT10" s="108"/>
      <c r="FU10" s="108"/>
      <c r="FV10" s="108"/>
      <c r="FW10" s="108"/>
      <c r="FX10" s="108"/>
      <c r="FY10" s="108"/>
      <c r="FZ10" s="108"/>
      <c r="GA10" s="108"/>
      <c r="GB10" s="108"/>
      <c r="GC10" s="108"/>
      <c r="GD10" s="108"/>
      <c r="GE10" s="108"/>
      <c r="GF10" s="108"/>
      <c r="GG10" s="108"/>
      <c r="GH10" s="108"/>
      <c r="GI10" s="108"/>
      <c r="GJ10" s="108"/>
      <c r="GK10" s="108"/>
      <c r="GL10" s="108"/>
      <c r="GM10" s="108"/>
      <c r="GN10" s="108"/>
      <c r="GO10" s="108"/>
      <c r="GP10" s="108"/>
      <c r="GQ10" s="108"/>
      <c r="GR10" s="108"/>
      <c r="GS10" s="108"/>
      <c r="GT10" s="108"/>
      <c r="GU10" s="108"/>
      <c r="GV10" s="108"/>
      <c r="GW10" s="108"/>
      <c r="GX10" s="108"/>
      <c r="GY10" s="108"/>
      <c r="GZ10" s="108"/>
      <c r="HA10" s="108"/>
      <c r="HB10" s="108"/>
      <c r="HC10" s="108"/>
      <c r="HD10" s="108"/>
      <c r="HE10" s="108"/>
      <c r="HF10" s="108"/>
      <c r="HG10" s="108"/>
      <c r="HH10" s="108"/>
      <c r="HI10" s="108"/>
      <c r="HJ10" s="108"/>
      <c r="HK10" s="108"/>
      <c r="HL10" s="108"/>
      <c r="HM10" s="108"/>
      <c r="HN10" s="108"/>
      <c r="HO10" s="108"/>
      <c r="HP10" s="108"/>
      <c r="HQ10" s="108"/>
      <c r="HR10" s="108"/>
      <c r="HS10" s="108"/>
      <c r="HT10" s="108"/>
      <c r="HU10" s="108"/>
      <c r="HV10" s="108"/>
      <c r="HW10" s="108"/>
      <c r="HX10" s="108"/>
      <c r="HY10" s="108"/>
      <c r="HZ10" s="108"/>
      <c r="IA10" s="108"/>
      <c r="IB10" s="108"/>
      <c r="IC10" s="108"/>
      <c r="ID10" s="108"/>
      <c r="IE10" s="108"/>
      <c r="IF10" s="108"/>
      <c r="IG10" s="108"/>
      <c r="IH10" s="108"/>
      <c r="II10" s="108"/>
      <c r="IJ10" s="108"/>
      <c r="IK10" s="108"/>
      <c r="IL10" s="108"/>
      <c r="IM10" s="108"/>
      <c r="IN10" s="108"/>
      <c r="IO10" s="108"/>
      <c r="IP10" s="108"/>
      <c r="IQ10" s="108"/>
      <c r="IR10" s="108"/>
      <c r="IS10" s="108"/>
      <c r="IT10" s="108"/>
      <c r="IU10" s="108"/>
      <c r="IV10" s="108"/>
      <c r="IW10" s="108"/>
    </row>
    <row r="11" spans="1:257" ht="15" thickBot="1" x14ac:dyDescent="0.35">
      <c r="A11" s="158"/>
      <c r="B11" s="113" t="str">
        <f>'Sensitivity analysis'!B170</f>
        <v>Reduction in infant death with a PSG</v>
      </c>
      <c r="C11" s="170">
        <f>'Sensitivity analysis'!G170</f>
        <v>35734.730543923462</v>
      </c>
      <c r="D11" s="171">
        <f>'Sensitivity analysis'!H170</f>
        <v>36553.892945424843</v>
      </c>
      <c r="E11" s="172">
        <f t="shared" si="0"/>
        <v>819.16240150138037</v>
      </c>
      <c r="F11" s="158"/>
      <c r="G11" s="158"/>
      <c r="H11" s="158"/>
      <c r="I11" s="173" t="s">
        <v>791</v>
      </c>
      <c r="J11" s="174">
        <v>31729.202190471973</v>
      </c>
      <c r="K11" s="171">
        <v>40587.668278238503</v>
      </c>
      <c r="L11" s="172">
        <v>8858.4660877665301</v>
      </c>
      <c r="M11" s="158"/>
      <c r="N11" s="158"/>
      <c r="O11" s="108"/>
      <c r="P11" s="108"/>
      <c r="Q11" s="108"/>
      <c r="R11" s="108"/>
      <c r="S11" s="108"/>
      <c r="T11" s="108"/>
      <c r="U11" s="108"/>
      <c r="V11" s="108"/>
      <c r="W11" s="108"/>
      <c r="X11" s="108"/>
      <c r="Y11" s="108"/>
      <c r="Z11" s="108"/>
      <c r="AA11" s="108"/>
      <c r="AB11" s="108"/>
      <c r="AC11" s="108"/>
      <c r="AD11" s="108"/>
      <c r="AE11" s="108"/>
      <c r="AF11" s="108"/>
      <c r="AG11" s="108"/>
      <c r="AH11" s="108"/>
      <c r="AI11" s="108"/>
      <c r="AJ11" s="108"/>
      <c r="AK11" s="108"/>
      <c r="AL11" s="108"/>
      <c r="AM11" s="108"/>
      <c r="AN11" s="108"/>
      <c r="AO11" s="108"/>
      <c r="AP11" s="108"/>
      <c r="AQ11" s="108"/>
      <c r="AR11" s="108"/>
      <c r="AS11" s="108"/>
      <c r="AT11" s="108"/>
      <c r="AU11" s="108"/>
      <c r="AV11" s="108"/>
      <c r="AW11" s="108"/>
      <c r="AX11" s="108"/>
      <c r="AY11" s="108"/>
      <c r="AZ11" s="108"/>
      <c r="BA11" s="108"/>
      <c r="BB11" s="108"/>
      <c r="BC11" s="108"/>
      <c r="BD11" s="108"/>
      <c r="BE11" s="108"/>
      <c r="BF11" s="108"/>
      <c r="BG11" s="108"/>
      <c r="BH11" s="108"/>
      <c r="BI11" s="108"/>
      <c r="BJ11" s="108"/>
      <c r="BK11" s="108"/>
      <c r="BL11" s="108"/>
      <c r="BM11" s="108"/>
      <c r="BN11" s="108"/>
      <c r="BO11" s="108"/>
      <c r="BP11" s="108"/>
      <c r="BQ11" s="108"/>
      <c r="BR11" s="108"/>
      <c r="BS11" s="108"/>
      <c r="BT11" s="108"/>
      <c r="BU11" s="108"/>
      <c r="BV11" s="108"/>
      <c r="BW11" s="108"/>
      <c r="BX11" s="108"/>
      <c r="BY11" s="108"/>
      <c r="BZ11" s="108"/>
      <c r="CA11" s="108"/>
      <c r="CB11" s="108"/>
      <c r="CC11" s="108"/>
      <c r="CD11" s="108"/>
      <c r="CE11" s="108"/>
      <c r="CF11" s="108"/>
      <c r="CG11" s="108"/>
      <c r="CH11" s="108"/>
      <c r="CI11" s="108"/>
      <c r="CJ11" s="108"/>
      <c r="CK11" s="108"/>
      <c r="CL11" s="108"/>
      <c r="CM11" s="108"/>
      <c r="CN11" s="108"/>
      <c r="CO11" s="108"/>
      <c r="CP11" s="108"/>
      <c r="CQ11" s="108"/>
      <c r="CR11" s="108"/>
      <c r="CS11" s="108"/>
      <c r="CT11" s="108"/>
      <c r="CU11" s="108"/>
      <c r="CV11" s="108"/>
      <c r="CW11" s="108"/>
      <c r="CX11" s="108"/>
      <c r="CY11" s="108"/>
      <c r="CZ11" s="108"/>
      <c r="DA11" s="108"/>
      <c r="DB11" s="108"/>
      <c r="DC11" s="108"/>
      <c r="DD11" s="108"/>
      <c r="DE11" s="108"/>
      <c r="DF11" s="108"/>
      <c r="DG11" s="108"/>
      <c r="DH11" s="108"/>
      <c r="DI11" s="108"/>
      <c r="DJ11" s="108"/>
      <c r="DK11" s="108"/>
      <c r="DL11" s="108"/>
      <c r="DM11" s="108"/>
      <c r="DN11" s="108"/>
      <c r="DO11" s="108"/>
      <c r="DP11" s="108"/>
      <c r="DQ11" s="108"/>
      <c r="DR11" s="108"/>
      <c r="DS11" s="108"/>
      <c r="DT11" s="108"/>
      <c r="DU11" s="108"/>
      <c r="DV11" s="108"/>
      <c r="DW11" s="108"/>
      <c r="DX11" s="108"/>
      <c r="DY11" s="108"/>
      <c r="DZ11" s="108"/>
      <c r="EA11" s="108"/>
      <c r="EB11" s="108"/>
      <c r="EC11" s="108"/>
      <c r="ED11" s="108"/>
      <c r="EE11" s="108"/>
      <c r="EF11" s="108"/>
      <c r="EG11" s="108"/>
      <c r="EH11" s="108"/>
      <c r="EI11" s="108"/>
      <c r="EJ11" s="108"/>
      <c r="EK11" s="108"/>
      <c r="EL11" s="108"/>
      <c r="EM11" s="108"/>
      <c r="EN11" s="108"/>
      <c r="EO11" s="108"/>
      <c r="EP11" s="108"/>
      <c r="EQ11" s="108"/>
      <c r="ER11" s="108"/>
      <c r="ES11" s="108"/>
      <c r="ET11" s="108"/>
      <c r="EU11" s="108"/>
      <c r="EV11" s="108"/>
      <c r="EW11" s="108"/>
      <c r="EX11" s="108"/>
      <c r="EY11" s="108"/>
      <c r="EZ11" s="108"/>
      <c r="FA11" s="108"/>
      <c r="FB11" s="108"/>
      <c r="FC11" s="108"/>
      <c r="FD11" s="108"/>
      <c r="FE11" s="108"/>
      <c r="FF11" s="108"/>
      <c r="FG11" s="108"/>
      <c r="FH11" s="108"/>
      <c r="FI11" s="108"/>
      <c r="FJ11" s="108"/>
      <c r="FK11" s="108"/>
      <c r="FL11" s="108"/>
      <c r="FM11" s="108"/>
      <c r="FN11" s="108"/>
      <c r="FO11" s="108"/>
      <c r="FP11" s="108"/>
      <c r="FQ11" s="108"/>
      <c r="FR11" s="108"/>
      <c r="FS11" s="108"/>
      <c r="FT11" s="108"/>
      <c r="FU11" s="108"/>
      <c r="FV11" s="108"/>
      <c r="FW11" s="108"/>
      <c r="FX11" s="108"/>
      <c r="FY11" s="108"/>
      <c r="FZ11" s="108"/>
      <c r="GA11" s="108"/>
      <c r="GB11" s="108"/>
      <c r="GC11" s="108"/>
      <c r="GD11" s="108"/>
      <c r="GE11" s="108"/>
      <c r="GF11" s="108"/>
      <c r="GG11" s="108"/>
      <c r="GH11" s="108"/>
      <c r="GI11" s="108"/>
      <c r="GJ11" s="108"/>
      <c r="GK11" s="108"/>
      <c r="GL11" s="108"/>
      <c r="GM11" s="108"/>
      <c r="GN11" s="108"/>
      <c r="GO11" s="108"/>
      <c r="GP11" s="108"/>
      <c r="GQ11" s="108"/>
      <c r="GR11" s="108"/>
      <c r="GS11" s="108"/>
      <c r="GT11" s="108"/>
      <c r="GU11" s="108"/>
      <c r="GV11" s="108"/>
      <c r="GW11" s="108"/>
      <c r="GX11" s="108"/>
      <c r="GY11" s="108"/>
      <c r="GZ11" s="108"/>
      <c r="HA11" s="108"/>
      <c r="HB11" s="108"/>
      <c r="HC11" s="108"/>
      <c r="HD11" s="108"/>
      <c r="HE11" s="108"/>
      <c r="HF11" s="108"/>
      <c r="HG11" s="108"/>
      <c r="HH11" s="108"/>
      <c r="HI11" s="108"/>
      <c r="HJ11" s="108"/>
      <c r="HK11" s="108"/>
      <c r="HL11" s="108"/>
      <c r="HM11" s="108"/>
      <c r="HN11" s="108"/>
      <c r="HO11" s="108"/>
      <c r="HP11" s="108"/>
      <c r="HQ11" s="108"/>
      <c r="HR11" s="108"/>
      <c r="HS11" s="108"/>
      <c r="HT11" s="108"/>
      <c r="HU11" s="108"/>
      <c r="HV11" s="108"/>
      <c r="HW11" s="108"/>
      <c r="HX11" s="108"/>
      <c r="HY11" s="108"/>
      <c r="HZ11" s="108"/>
      <c r="IA11" s="108"/>
      <c r="IB11" s="108"/>
      <c r="IC11" s="108"/>
      <c r="ID11" s="108"/>
      <c r="IE11" s="108"/>
      <c r="IF11" s="108"/>
      <c r="IG11" s="108"/>
      <c r="IH11" s="108"/>
      <c r="II11" s="108"/>
      <c r="IJ11" s="108"/>
      <c r="IK11" s="108"/>
      <c r="IL11" s="108"/>
      <c r="IM11" s="108"/>
      <c r="IN11" s="108"/>
      <c r="IO11" s="108"/>
      <c r="IP11" s="108"/>
      <c r="IQ11" s="108"/>
      <c r="IR11" s="108"/>
      <c r="IS11" s="108"/>
      <c r="IT11" s="108"/>
      <c r="IU11" s="108"/>
      <c r="IV11" s="108"/>
      <c r="IW11" s="108"/>
    </row>
    <row r="12" spans="1:257" ht="15" thickBot="1" x14ac:dyDescent="0.35">
      <c r="A12" s="158"/>
      <c r="B12" s="113" t="str">
        <f>'Sensitivity analysis'!B171</f>
        <v>Chronic lung disease DW</v>
      </c>
      <c r="C12" s="170">
        <f>'Sensitivity analysis'!G171</f>
        <v>35924.618769112858</v>
      </c>
      <c r="D12" s="171">
        <f>'Sensitivity analysis'!H171</f>
        <v>36451.949520510563</v>
      </c>
      <c r="E12" s="172">
        <f t="shared" si="0"/>
        <v>527.33075139770517</v>
      </c>
      <c r="F12" s="158"/>
      <c r="G12" s="158"/>
      <c r="H12" s="158"/>
      <c r="I12" s="173" t="s">
        <v>809</v>
      </c>
      <c r="J12" s="174">
        <v>37436.502366306653</v>
      </c>
      <c r="K12" s="171">
        <v>34789.077592978749</v>
      </c>
      <c r="L12" s="172">
        <v>2647.4247733279044</v>
      </c>
      <c r="M12" s="158"/>
      <c r="N12" s="158"/>
      <c r="O12" s="108"/>
      <c r="P12" s="108"/>
      <c r="Q12" s="108"/>
      <c r="R12" s="108"/>
      <c r="S12" s="108"/>
      <c r="T12" s="108"/>
      <c r="U12" s="108"/>
      <c r="V12" s="108"/>
      <c r="W12" s="108"/>
      <c r="X12" s="108"/>
      <c r="Y12" s="108"/>
      <c r="Z12" s="108"/>
      <c r="AA12" s="108"/>
      <c r="AB12" s="108"/>
      <c r="AC12" s="108"/>
      <c r="AD12" s="108"/>
      <c r="AE12" s="108"/>
      <c r="AF12" s="108"/>
      <c r="AG12" s="108"/>
      <c r="AH12" s="108"/>
      <c r="AI12" s="108"/>
      <c r="AJ12" s="108"/>
      <c r="AK12" s="108"/>
      <c r="AL12" s="108"/>
      <c r="AM12" s="108"/>
      <c r="AN12" s="108"/>
      <c r="AO12" s="108"/>
      <c r="AP12" s="108"/>
      <c r="AQ12" s="108"/>
      <c r="AR12" s="108"/>
      <c r="AS12" s="108"/>
      <c r="AT12" s="108"/>
      <c r="AU12" s="108"/>
      <c r="AV12" s="108"/>
      <c r="AW12" s="108"/>
      <c r="AX12" s="108"/>
      <c r="AY12" s="108"/>
      <c r="AZ12" s="108"/>
      <c r="BA12" s="108"/>
      <c r="BB12" s="108"/>
      <c r="BC12" s="108"/>
      <c r="BD12" s="108"/>
      <c r="BE12" s="108"/>
      <c r="BF12" s="108"/>
      <c r="BG12" s="108"/>
      <c r="BH12" s="108"/>
      <c r="BI12" s="108"/>
      <c r="BJ12" s="108"/>
      <c r="BK12" s="108"/>
      <c r="BL12" s="108"/>
      <c r="BM12" s="108"/>
      <c r="BN12" s="108"/>
      <c r="BO12" s="108"/>
      <c r="BP12" s="108"/>
      <c r="BQ12" s="108"/>
      <c r="BR12" s="108"/>
      <c r="BS12" s="108"/>
      <c r="BT12" s="108"/>
      <c r="BU12" s="108"/>
      <c r="BV12" s="108"/>
      <c r="BW12" s="108"/>
      <c r="BX12" s="108"/>
      <c r="BY12" s="108"/>
      <c r="BZ12" s="108"/>
      <c r="CA12" s="108"/>
      <c r="CB12" s="108"/>
      <c r="CC12" s="108"/>
      <c r="CD12" s="108"/>
      <c r="CE12" s="108"/>
      <c r="CF12" s="108"/>
      <c r="CG12" s="108"/>
      <c r="CH12" s="108"/>
      <c r="CI12" s="108"/>
      <c r="CJ12" s="108"/>
      <c r="CK12" s="108"/>
      <c r="CL12" s="108"/>
      <c r="CM12" s="108"/>
      <c r="CN12" s="108"/>
      <c r="CO12" s="108"/>
      <c r="CP12" s="108"/>
      <c r="CQ12" s="108"/>
      <c r="CR12" s="108"/>
      <c r="CS12" s="108"/>
      <c r="CT12" s="108"/>
      <c r="CU12" s="108"/>
      <c r="CV12" s="108"/>
      <c r="CW12" s="108"/>
      <c r="CX12" s="108"/>
      <c r="CY12" s="108"/>
      <c r="CZ12" s="108"/>
      <c r="DA12" s="108"/>
      <c r="DB12" s="108"/>
      <c r="DC12" s="108"/>
      <c r="DD12" s="108"/>
      <c r="DE12" s="108"/>
      <c r="DF12" s="108"/>
      <c r="DG12" s="108"/>
      <c r="DH12" s="108"/>
      <c r="DI12" s="108"/>
      <c r="DJ12" s="108"/>
      <c r="DK12" s="108"/>
      <c r="DL12" s="108"/>
      <c r="DM12" s="108"/>
      <c r="DN12" s="108"/>
      <c r="DO12" s="108"/>
      <c r="DP12" s="108"/>
      <c r="DQ12" s="108"/>
      <c r="DR12" s="108"/>
      <c r="DS12" s="108"/>
      <c r="DT12" s="108"/>
      <c r="DU12" s="108"/>
      <c r="DV12" s="108"/>
      <c r="DW12" s="108"/>
      <c r="DX12" s="108"/>
      <c r="DY12" s="108"/>
      <c r="DZ12" s="108"/>
      <c r="EA12" s="108"/>
      <c r="EB12" s="108"/>
      <c r="EC12" s="108"/>
      <c r="ED12" s="108"/>
      <c r="EE12" s="108"/>
      <c r="EF12" s="108"/>
      <c r="EG12" s="108"/>
      <c r="EH12" s="108"/>
      <c r="EI12" s="108"/>
      <c r="EJ12" s="108"/>
      <c r="EK12" s="108"/>
      <c r="EL12" s="108"/>
      <c r="EM12" s="108"/>
      <c r="EN12" s="108"/>
      <c r="EO12" s="108"/>
      <c r="EP12" s="108"/>
      <c r="EQ12" s="108"/>
      <c r="ER12" s="108"/>
      <c r="ES12" s="108"/>
      <c r="ET12" s="108"/>
      <c r="EU12" s="108"/>
      <c r="EV12" s="108"/>
      <c r="EW12" s="108"/>
      <c r="EX12" s="108"/>
      <c r="EY12" s="108"/>
      <c r="EZ12" s="108"/>
      <c r="FA12" s="108"/>
      <c r="FB12" s="108"/>
      <c r="FC12" s="108"/>
      <c r="FD12" s="108"/>
      <c r="FE12" s="108"/>
      <c r="FF12" s="108"/>
      <c r="FG12" s="108"/>
      <c r="FH12" s="108"/>
      <c r="FI12" s="108"/>
      <c r="FJ12" s="108"/>
      <c r="FK12" s="108"/>
      <c r="FL12" s="108"/>
      <c r="FM12" s="108"/>
      <c r="FN12" s="108"/>
      <c r="FO12" s="108"/>
      <c r="FP12" s="108"/>
      <c r="FQ12" s="108"/>
      <c r="FR12" s="108"/>
      <c r="FS12" s="108"/>
      <c r="FT12" s="108"/>
      <c r="FU12" s="108"/>
      <c r="FV12" s="108"/>
      <c r="FW12" s="108"/>
      <c r="FX12" s="108"/>
      <c r="FY12" s="108"/>
      <c r="FZ12" s="108"/>
      <c r="GA12" s="108"/>
      <c r="GB12" s="108"/>
      <c r="GC12" s="108"/>
      <c r="GD12" s="108"/>
      <c r="GE12" s="108"/>
      <c r="GF12" s="108"/>
      <c r="GG12" s="108"/>
      <c r="GH12" s="108"/>
      <c r="GI12" s="108"/>
      <c r="GJ12" s="108"/>
      <c r="GK12" s="108"/>
      <c r="GL12" s="108"/>
      <c r="GM12" s="108"/>
      <c r="GN12" s="108"/>
      <c r="GO12" s="108"/>
      <c r="GP12" s="108"/>
      <c r="GQ12" s="108"/>
      <c r="GR12" s="108"/>
      <c r="GS12" s="108"/>
      <c r="GT12" s="108"/>
      <c r="GU12" s="108"/>
      <c r="GV12" s="108"/>
      <c r="GW12" s="108"/>
      <c r="GX12" s="108"/>
      <c r="GY12" s="108"/>
      <c r="GZ12" s="108"/>
      <c r="HA12" s="108"/>
      <c r="HB12" s="108"/>
      <c r="HC12" s="108"/>
      <c r="HD12" s="108"/>
      <c r="HE12" s="108"/>
      <c r="HF12" s="108"/>
      <c r="HG12" s="108"/>
      <c r="HH12" s="108"/>
      <c r="HI12" s="108"/>
      <c r="HJ12" s="108"/>
      <c r="HK12" s="108"/>
      <c r="HL12" s="108"/>
      <c r="HM12" s="108"/>
      <c r="HN12" s="108"/>
      <c r="HO12" s="108"/>
      <c r="HP12" s="108"/>
      <c r="HQ12" s="108"/>
      <c r="HR12" s="108"/>
      <c r="HS12" s="108"/>
      <c r="HT12" s="108"/>
      <c r="HU12" s="108"/>
      <c r="HV12" s="108"/>
      <c r="HW12" s="108"/>
      <c r="HX12" s="108"/>
      <c r="HY12" s="108"/>
      <c r="HZ12" s="108"/>
      <c r="IA12" s="108"/>
      <c r="IB12" s="108"/>
      <c r="IC12" s="108"/>
      <c r="ID12" s="108"/>
      <c r="IE12" s="108"/>
      <c r="IF12" s="108"/>
      <c r="IG12" s="108"/>
      <c r="IH12" s="108"/>
      <c r="II12" s="108"/>
      <c r="IJ12" s="108"/>
      <c r="IK12" s="108"/>
      <c r="IL12" s="108"/>
      <c r="IM12" s="108"/>
      <c r="IN12" s="108"/>
      <c r="IO12" s="108"/>
      <c r="IP12" s="108"/>
      <c r="IQ12" s="108"/>
      <c r="IR12" s="108"/>
      <c r="IS12" s="108"/>
      <c r="IT12" s="108"/>
      <c r="IU12" s="108"/>
      <c r="IV12" s="108"/>
      <c r="IW12" s="108"/>
    </row>
    <row r="13" spans="1:257" ht="15" thickBot="1" x14ac:dyDescent="0.35">
      <c r="A13" s="158"/>
      <c r="B13" s="113" t="str">
        <f>'Sensitivity analysis'!B172</f>
        <v>Motor impairment DW</v>
      </c>
      <c r="C13" s="170">
        <f>'Sensitivity analysis'!G172</f>
        <v>36154.069349905738</v>
      </c>
      <c r="D13" s="171">
        <f>'Sensitivity analysis'!H172</f>
        <v>36163.916844830768</v>
      </c>
      <c r="E13" s="172">
        <f t="shared" si="0"/>
        <v>9.8474949250303325</v>
      </c>
      <c r="F13" s="158"/>
      <c r="G13" s="158"/>
      <c r="H13" s="158"/>
      <c r="I13" s="173" t="s">
        <v>788</v>
      </c>
      <c r="J13" s="170">
        <v>34802.806837220167</v>
      </c>
      <c r="K13" s="175">
        <v>37423.65671196513</v>
      </c>
      <c r="L13" s="172">
        <v>2620.849874744963</v>
      </c>
      <c r="M13" s="158"/>
      <c r="N13" s="158"/>
      <c r="O13" s="108"/>
      <c r="P13" s="108"/>
      <c r="Q13" s="108"/>
      <c r="R13" s="108"/>
      <c r="S13" s="108"/>
      <c r="T13" s="108"/>
      <c r="U13" s="108"/>
      <c r="V13" s="108"/>
      <c r="W13" s="108"/>
      <c r="X13" s="108"/>
      <c r="Y13" s="108"/>
      <c r="Z13" s="108"/>
      <c r="AA13" s="108"/>
      <c r="AB13" s="108"/>
      <c r="AC13" s="108"/>
      <c r="AD13" s="108"/>
      <c r="AE13" s="108"/>
      <c r="AF13" s="108"/>
      <c r="AG13" s="108"/>
      <c r="AH13" s="108"/>
      <c r="AI13" s="108"/>
      <c r="AJ13" s="108"/>
      <c r="AK13" s="108"/>
      <c r="AL13" s="108"/>
      <c r="AM13" s="108"/>
      <c r="AN13" s="108"/>
      <c r="AO13" s="108"/>
      <c r="AP13" s="108"/>
      <c r="AQ13" s="108"/>
      <c r="AR13" s="108"/>
      <c r="AS13" s="108"/>
      <c r="AT13" s="108"/>
      <c r="AU13" s="108"/>
      <c r="AV13" s="108"/>
      <c r="AW13" s="108"/>
      <c r="AX13" s="108"/>
      <c r="AY13" s="108"/>
      <c r="AZ13" s="108"/>
      <c r="BA13" s="108"/>
      <c r="BB13" s="108"/>
      <c r="BC13" s="108"/>
      <c r="BD13" s="108"/>
      <c r="BE13" s="108"/>
      <c r="BF13" s="108"/>
      <c r="BG13" s="108"/>
      <c r="BH13" s="108"/>
      <c r="BI13" s="108"/>
      <c r="BJ13" s="108"/>
      <c r="BK13" s="108"/>
      <c r="BL13" s="108"/>
      <c r="BM13" s="108"/>
      <c r="BN13" s="108"/>
      <c r="BO13" s="108"/>
      <c r="BP13" s="108"/>
      <c r="BQ13" s="108"/>
      <c r="BR13" s="108"/>
      <c r="BS13" s="108"/>
      <c r="BT13" s="108"/>
      <c r="BU13" s="108"/>
      <c r="BV13" s="108"/>
      <c r="BW13" s="108"/>
      <c r="BX13" s="108"/>
      <c r="BY13" s="108"/>
      <c r="BZ13" s="108"/>
      <c r="CA13" s="108"/>
      <c r="CB13" s="108"/>
      <c r="CC13" s="108"/>
      <c r="CD13" s="108"/>
      <c r="CE13" s="108"/>
      <c r="CF13" s="108"/>
      <c r="CG13" s="108"/>
      <c r="CH13" s="108"/>
      <c r="CI13" s="108"/>
      <c r="CJ13" s="108"/>
      <c r="CK13" s="108"/>
      <c r="CL13" s="108"/>
      <c r="CM13" s="108"/>
      <c r="CN13" s="108"/>
      <c r="CO13" s="108"/>
      <c r="CP13" s="108"/>
      <c r="CQ13" s="108"/>
      <c r="CR13" s="108"/>
      <c r="CS13" s="108"/>
      <c r="CT13" s="108"/>
      <c r="CU13" s="108"/>
      <c r="CV13" s="108"/>
      <c r="CW13" s="108"/>
      <c r="CX13" s="108"/>
      <c r="CY13" s="108"/>
      <c r="CZ13" s="108"/>
      <c r="DA13" s="108"/>
      <c r="DB13" s="108"/>
      <c r="DC13" s="108"/>
      <c r="DD13" s="108"/>
      <c r="DE13" s="108"/>
      <c r="DF13" s="108"/>
      <c r="DG13" s="108"/>
      <c r="DH13" s="108"/>
      <c r="DI13" s="108"/>
      <c r="DJ13" s="108"/>
      <c r="DK13" s="108"/>
      <c r="DL13" s="108"/>
      <c r="DM13" s="108"/>
      <c r="DN13" s="108"/>
      <c r="DO13" s="108"/>
      <c r="DP13" s="108"/>
      <c r="DQ13" s="108"/>
      <c r="DR13" s="108"/>
      <c r="DS13" s="108"/>
      <c r="DT13" s="108"/>
      <c r="DU13" s="108"/>
      <c r="DV13" s="108"/>
      <c r="DW13" s="108"/>
      <c r="DX13" s="108"/>
      <c r="DY13" s="108"/>
      <c r="DZ13" s="108"/>
      <c r="EA13" s="108"/>
      <c r="EB13" s="108"/>
      <c r="EC13" s="108"/>
      <c r="ED13" s="108"/>
      <c r="EE13" s="108"/>
      <c r="EF13" s="108"/>
      <c r="EG13" s="108"/>
      <c r="EH13" s="108"/>
      <c r="EI13" s="108"/>
      <c r="EJ13" s="108"/>
      <c r="EK13" s="108"/>
      <c r="EL13" s="108"/>
      <c r="EM13" s="108"/>
      <c r="EN13" s="108"/>
      <c r="EO13" s="108"/>
      <c r="EP13" s="108"/>
      <c r="EQ13" s="108"/>
      <c r="ER13" s="108"/>
      <c r="ES13" s="108"/>
      <c r="ET13" s="108"/>
      <c r="EU13" s="108"/>
      <c r="EV13" s="108"/>
      <c r="EW13" s="108"/>
      <c r="EX13" s="108"/>
      <c r="EY13" s="108"/>
      <c r="EZ13" s="108"/>
      <c r="FA13" s="108"/>
      <c r="FB13" s="108"/>
      <c r="FC13" s="108"/>
      <c r="FD13" s="108"/>
      <c r="FE13" s="108"/>
      <c r="FF13" s="108"/>
      <c r="FG13" s="108"/>
      <c r="FH13" s="108"/>
      <c r="FI13" s="108"/>
      <c r="FJ13" s="108"/>
      <c r="FK13" s="108"/>
      <c r="FL13" s="108"/>
      <c r="FM13" s="108"/>
      <c r="FN13" s="108"/>
      <c r="FO13" s="108"/>
      <c r="FP13" s="108"/>
      <c r="FQ13" s="108"/>
      <c r="FR13" s="108"/>
      <c r="FS13" s="108"/>
      <c r="FT13" s="108"/>
      <c r="FU13" s="108"/>
      <c r="FV13" s="108"/>
      <c r="FW13" s="108"/>
      <c r="FX13" s="108"/>
      <c r="FY13" s="108"/>
      <c r="FZ13" s="108"/>
      <c r="GA13" s="108"/>
      <c r="GB13" s="108"/>
      <c r="GC13" s="108"/>
      <c r="GD13" s="108"/>
      <c r="GE13" s="108"/>
      <c r="GF13" s="108"/>
      <c r="GG13" s="108"/>
      <c r="GH13" s="108"/>
      <c r="GI13" s="108"/>
      <c r="GJ13" s="108"/>
      <c r="GK13" s="108"/>
      <c r="GL13" s="108"/>
      <c r="GM13" s="108"/>
      <c r="GN13" s="108"/>
      <c r="GO13" s="108"/>
      <c r="GP13" s="108"/>
      <c r="GQ13" s="108"/>
      <c r="GR13" s="108"/>
      <c r="GS13" s="108"/>
      <c r="GT13" s="108"/>
      <c r="GU13" s="108"/>
      <c r="GV13" s="108"/>
      <c r="GW13" s="108"/>
      <c r="GX13" s="108"/>
      <c r="GY13" s="108"/>
      <c r="GZ13" s="108"/>
      <c r="HA13" s="108"/>
      <c r="HB13" s="108"/>
      <c r="HC13" s="108"/>
      <c r="HD13" s="108"/>
      <c r="HE13" s="108"/>
      <c r="HF13" s="108"/>
      <c r="HG13" s="108"/>
      <c r="HH13" s="108"/>
      <c r="HI13" s="108"/>
      <c r="HJ13" s="108"/>
      <c r="HK13" s="108"/>
      <c r="HL13" s="108"/>
      <c r="HM13" s="108"/>
      <c r="HN13" s="108"/>
      <c r="HO13" s="108"/>
      <c r="HP13" s="108"/>
      <c r="HQ13" s="108"/>
      <c r="HR13" s="108"/>
      <c r="HS13" s="108"/>
      <c r="HT13" s="108"/>
      <c r="HU13" s="108"/>
      <c r="HV13" s="108"/>
      <c r="HW13" s="108"/>
      <c r="HX13" s="108"/>
      <c r="HY13" s="108"/>
      <c r="HZ13" s="108"/>
      <c r="IA13" s="108"/>
      <c r="IB13" s="108"/>
      <c r="IC13" s="108"/>
      <c r="ID13" s="108"/>
      <c r="IE13" s="108"/>
      <c r="IF13" s="108"/>
      <c r="IG13" s="108"/>
      <c r="IH13" s="108"/>
      <c r="II13" s="108"/>
      <c r="IJ13" s="108"/>
      <c r="IK13" s="108"/>
      <c r="IL13" s="108"/>
      <c r="IM13" s="108"/>
      <c r="IN13" s="108"/>
      <c r="IO13" s="108"/>
      <c r="IP13" s="108"/>
      <c r="IQ13" s="108"/>
      <c r="IR13" s="108"/>
      <c r="IS13" s="108"/>
      <c r="IT13" s="108"/>
      <c r="IU13" s="108"/>
      <c r="IV13" s="108"/>
      <c r="IW13" s="108"/>
    </row>
    <row r="14" spans="1:257" ht="15" thickBot="1" x14ac:dyDescent="0.35">
      <c r="A14" s="158"/>
      <c r="B14" s="113" t="str">
        <f>'Sensitivity analysis'!B173</f>
        <v>Antenatal care</v>
      </c>
      <c r="C14" s="170">
        <f>'Sensitivity analysis'!G173</f>
        <v>35593.264516045994</v>
      </c>
      <c r="D14" s="171">
        <f>'Sensitivity analysis'!H173</f>
        <v>36835.838435732927</v>
      </c>
      <c r="E14" s="172">
        <f t="shared" si="0"/>
        <v>1242.5739196869326</v>
      </c>
      <c r="F14" s="158"/>
      <c r="G14" s="158"/>
      <c r="H14" s="158"/>
      <c r="I14" s="173" t="s">
        <v>808</v>
      </c>
      <c r="J14" s="174">
        <v>34947.055673458271</v>
      </c>
      <c r="K14" s="171">
        <v>37369.814795252161</v>
      </c>
      <c r="L14" s="172">
        <v>2422.7591217938898</v>
      </c>
      <c r="M14" s="158"/>
      <c r="N14" s="158"/>
      <c r="O14" s="108"/>
      <c r="P14" s="108"/>
      <c r="Q14" s="108"/>
      <c r="R14" s="108"/>
      <c r="S14" s="108"/>
      <c r="T14" s="108"/>
      <c r="U14" s="108"/>
      <c r="V14" s="108"/>
      <c r="W14" s="108"/>
      <c r="X14" s="108"/>
      <c r="Y14" s="108"/>
      <c r="Z14" s="108"/>
      <c r="AA14" s="108"/>
      <c r="AB14" s="108"/>
      <c r="AC14" s="108"/>
      <c r="AD14" s="108"/>
      <c r="AE14" s="108"/>
      <c r="AF14" s="108"/>
      <c r="AG14" s="108"/>
      <c r="AH14" s="108"/>
      <c r="AI14" s="108"/>
      <c r="AJ14" s="108"/>
      <c r="AK14" s="108"/>
      <c r="AL14" s="108"/>
      <c r="AM14" s="108"/>
      <c r="AN14" s="108"/>
      <c r="AO14" s="108"/>
      <c r="AP14" s="108"/>
      <c r="AQ14" s="108"/>
      <c r="AR14" s="108"/>
      <c r="AS14" s="108"/>
      <c r="AT14" s="108"/>
      <c r="AU14" s="108"/>
      <c r="AV14" s="108"/>
      <c r="AW14" s="108"/>
      <c r="AX14" s="108"/>
      <c r="AY14" s="108"/>
      <c r="AZ14" s="108"/>
      <c r="BA14" s="108"/>
      <c r="BB14" s="108"/>
      <c r="BC14" s="108"/>
      <c r="BD14" s="108"/>
      <c r="BE14" s="108"/>
      <c r="BF14" s="108"/>
      <c r="BG14" s="108"/>
      <c r="BH14" s="108"/>
      <c r="BI14" s="108"/>
      <c r="BJ14" s="108"/>
      <c r="BK14" s="108"/>
      <c r="BL14" s="108"/>
      <c r="BM14" s="108"/>
      <c r="BN14" s="108"/>
      <c r="BO14" s="108"/>
      <c r="BP14" s="108"/>
      <c r="BQ14" s="108"/>
      <c r="BR14" s="108"/>
      <c r="BS14" s="108"/>
      <c r="BT14" s="108"/>
      <c r="BU14" s="108"/>
      <c r="BV14" s="108"/>
      <c r="BW14" s="108"/>
      <c r="BX14" s="108"/>
      <c r="BY14" s="108"/>
      <c r="BZ14" s="108"/>
      <c r="CA14" s="108"/>
      <c r="CB14" s="108"/>
      <c r="CC14" s="108"/>
      <c r="CD14" s="108"/>
      <c r="CE14" s="108"/>
      <c r="CF14" s="108"/>
      <c r="CG14" s="108"/>
      <c r="CH14" s="108"/>
      <c r="CI14" s="108"/>
      <c r="CJ14" s="108"/>
      <c r="CK14" s="108"/>
      <c r="CL14" s="108"/>
      <c r="CM14" s="108"/>
      <c r="CN14" s="108"/>
      <c r="CO14" s="108"/>
      <c r="CP14" s="108"/>
      <c r="CQ14" s="108"/>
      <c r="CR14" s="108"/>
      <c r="CS14" s="108"/>
      <c r="CT14" s="108"/>
      <c r="CU14" s="108"/>
      <c r="CV14" s="108"/>
      <c r="CW14" s="108"/>
      <c r="CX14" s="108"/>
      <c r="CY14" s="108"/>
      <c r="CZ14" s="108"/>
      <c r="DA14" s="108"/>
      <c r="DB14" s="108"/>
      <c r="DC14" s="108"/>
      <c r="DD14" s="108"/>
      <c r="DE14" s="108"/>
      <c r="DF14" s="108"/>
      <c r="DG14" s="108"/>
      <c r="DH14" s="108"/>
      <c r="DI14" s="108"/>
      <c r="DJ14" s="108"/>
      <c r="DK14" s="108"/>
      <c r="DL14" s="108"/>
      <c r="DM14" s="108"/>
      <c r="DN14" s="108"/>
      <c r="DO14" s="108"/>
      <c r="DP14" s="108"/>
      <c r="DQ14" s="108"/>
      <c r="DR14" s="108"/>
      <c r="DS14" s="108"/>
      <c r="DT14" s="108"/>
      <c r="DU14" s="108"/>
      <c r="DV14" s="108"/>
      <c r="DW14" s="108"/>
      <c r="DX14" s="108"/>
      <c r="DY14" s="108"/>
      <c r="DZ14" s="108"/>
      <c r="EA14" s="108"/>
      <c r="EB14" s="108"/>
      <c r="EC14" s="108"/>
      <c r="ED14" s="108"/>
      <c r="EE14" s="108"/>
      <c r="EF14" s="108"/>
      <c r="EG14" s="108"/>
      <c r="EH14" s="108"/>
      <c r="EI14" s="108"/>
      <c r="EJ14" s="108"/>
      <c r="EK14" s="108"/>
      <c r="EL14" s="108"/>
      <c r="EM14" s="108"/>
      <c r="EN14" s="108"/>
      <c r="EO14" s="108"/>
      <c r="EP14" s="108"/>
      <c r="EQ14" s="108"/>
      <c r="ER14" s="108"/>
      <c r="ES14" s="108"/>
      <c r="ET14" s="108"/>
      <c r="EU14" s="108"/>
      <c r="EV14" s="108"/>
      <c r="EW14" s="108"/>
      <c r="EX14" s="108"/>
      <c r="EY14" s="108"/>
      <c r="EZ14" s="108"/>
      <c r="FA14" s="108"/>
      <c r="FB14" s="108"/>
      <c r="FC14" s="108"/>
      <c r="FD14" s="108"/>
      <c r="FE14" s="108"/>
      <c r="FF14" s="108"/>
      <c r="FG14" s="108"/>
      <c r="FH14" s="108"/>
      <c r="FI14" s="108"/>
      <c r="FJ14" s="108"/>
      <c r="FK14" s="108"/>
      <c r="FL14" s="108"/>
      <c r="FM14" s="108"/>
      <c r="FN14" s="108"/>
      <c r="FO14" s="108"/>
      <c r="FP14" s="108"/>
      <c r="FQ14" s="108"/>
      <c r="FR14" s="108"/>
      <c r="FS14" s="108"/>
      <c r="FT14" s="108"/>
      <c r="FU14" s="108"/>
      <c r="FV14" s="108"/>
      <c r="FW14" s="108"/>
      <c r="FX14" s="108"/>
      <c r="FY14" s="108"/>
      <c r="FZ14" s="108"/>
      <c r="GA14" s="108"/>
      <c r="GB14" s="108"/>
      <c r="GC14" s="108"/>
      <c r="GD14" s="108"/>
      <c r="GE14" s="108"/>
      <c r="GF14" s="108"/>
      <c r="GG14" s="108"/>
      <c r="GH14" s="108"/>
      <c r="GI14" s="108"/>
      <c r="GJ14" s="108"/>
      <c r="GK14" s="108"/>
      <c r="GL14" s="108"/>
      <c r="GM14" s="108"/>
      <c r="GN14" s="108"/>
      <c r="GO14" s="108"/>
      <c r="GP14" s="108"/>
      <c r="GQ14" s="108"/>
      <c r="GR14" s="108"/>
      <c r="GS14" s="108"/>
      <c r="GT14" s="108"/>
      <c r="GU14" s="108"/>
      <c r="GV14" s="108"/>
      <c r="GW14" s="108"/>
      <c r="GX14" s="108"/>
      <c r="GY14" s="108"/>
      <c r="GZ14" s="108"/>
      <c r="HA14" s="108"/>
      <c r="HB14" s="108"/>
      <c r="HC14" s="108"/>
      <c r="HD14" s="108"/>
      <c r="HE14" s="108"/>
      <c r="HF14" s="108"/>
      <c r="HG14" s="108"/>
      <c r="HH14" s="108"/>
      <c r="HI14" s="108"/>
      <c r="HJ14" s="108"/>
      <c r="HK14" s="108"/>
      <c r="HL14" s="108"/>
      <c r="HM14" s="108"/>
      <c r="HN14" s="108"/>
      <c r="HO14" s="108"/>
      <c r="HP14" s="108"/>
      <c r="HQ14" s="108"/>
      <c r="HR14" s="108"/>
      <c r="HS14" s="108"/>
      <c r="HT14" s="108"/>
      <c r="HU14" s="108"/>
      <c r="HV14" s="108"/>
      <c r="HW14" s="108"/>
      <c r="HX14" s="108"/>
      <c r="HY14" s="108"/>
      <c r="HZ14" s="108"/>
      <c r="IA14" s="108"/>
      <c r="IB14" s="108"/>
      <c r="IC14" s="108"/>
      <c r="ID14" s="108"/>
      <c r="IE14" s="108"/>
      <c r="IF14" s="108"/>
      <c r="IG14" s="108"/>
      <c r="IH14" s="108"/>
      <c r="II14" s="108"/>
      <c r="IJ14" s="108"/>
      <c r="IK14" s="108"/>
      <c r="IL14" s="108"/>
      <c r="IM14" s="108"/>
      <c r="IN14" s="108"/>
      <c r="IO14" s="108"/>
      <c r="IP14" s="108"/>
      <c r="IQ14" s="108"/>
      <c r="IR14" s="108"/>
      <c r="IS14" s="108"/>
      <c r="IT14" s="108"/>
      <c r="IU14" s="108"/>
      <c r="IV14" s="108"/>
      <c r="IW14" s="108"/>
    </row>
    <row r="15" spans="1:257" ht="15" thickBot="1" x14ac:dyDescent="0.35">
      <c r="A15" s="158"/>
      <c r="B15" s="113" t="str">
        <f>'Sensitivity analysis'!B174</f>
        <v>Live birth with antenatal care</v>
      </c>
      <c r="C15" s="170">
        <f>'Sensitivity analysis'!G174</f>
        <v>34802.806837220167</v>
      </c>
      <c r="D15" s="171">
        <f>'Sensitivity analysis'!H174</f>
        <v>37423.65671196513</v>
      </c>
      <c r="E15" s="172">
        <f t="shared" si="0"/>
        <v>2620.849874744963</v>
      </c>
      <c r="F15" s="158"/>
      <c r="G15" s="158"/>
      <c r="H15" s="158"/>
      <c r="I15" s="173" t="s">
        <v>825</v>
      </c>
      <c r="J15" s="170">
        <v>37308.435234355216</v>
      </c>
      <c r="K15" s="175">
        <v>35008.435234355129</v>
      </c>
      <c r="L15" s="172">
        <v>2300.0000000000873</v>
      </c>
      <c r="M15" s="158"/>
      <c r="N15" s="158"/>
      <c r="O15" s="108"/>
      <c r="P15" s="108"/>
      <c r="Q15" s="108"/>
      <c r="R15" s="108"/>
      <c r="S15" s="108"/>
      <c r="T15" s="108"/>
      <c r="U15" s="108"/>
      <c r="V15" s="108"/>
      <c r="W15" s="108"/>
      <c r="X15" s="108"/>
      <c r="Y15" s="108"/>
      <c r="Z15" s="108"/>
      <c r="AA15" s="108"/>
      <c r="AB15" s="108"/>
      <c r="AC15" s="108"/>
      <c r="AD15" s="108"/>
      <c r="AE15" s="108"/>
      <c r="AF15" s="108"/>
      <c r="AG15" s="108"/>
      <c r="AH15" s="108"/>
      <c r="AI15" s="108"/>
      <c r="AJ15" s="108"/>
      <c r="AK15" s="108"/>
      <c r="AL15" s="108"/>
      <c r="AM15" s="108"/>
      <c r="AN15" s="108"/>
      <c r="AO15" s="108"/>
      <c r="AP15" s="108"/>
      <c r="AQ15" s="108"/>
      <c r="AR15" s="108"/>
      <c r="AS15" s="108"/>
      <c r="AT15" s="108"/>
      <c r="AU15" s="108"/>
      <c r="AV15" s="108"/>
      <c r="AW15" s="108"/>
      <c r="AX15" s="108"/>
      <c r="AY15" s="108"/>
      <c r="AZ15" s="108"/>
      <c r="BA15" s="108"/>
      <c r="BB15" s="108"/>
      <c r="BC15" s="108"/>
      <c r="BD15" s="108"/>
      <c r="BE15" s="108"/>
      <c r="BF15" s="108"/>
      <c r="BG15" s="108"/>
      <c r="BH15" s="108"/>
      <c r="BI15" s="108"/>
      <c r="BJ15" s="108"/>
      <c r="BK15" s="108"/>
      <c r="BL15" s="108"/>
      <c r="BM15" s="108"/>
      <c r="BN15" s="108"/>
      <c r="BO15" s="108"/>
      <c r="BP15" s="108"/>
      <c r="BQ15" s="108"/>
      <c r="BR15" s="108"/>
      <c r="BS15" s="108"/>
      <c r="BT15" s="108"/>
      <c r="BU15" s="108"/>
      <c r="BV15" s="108"/>
      <c r="BW15" s="108"/>
      <c r="BX15" s="108"/>
      <c r="BY15" s="108"/>
      <c r="BZ15" s="108"/>
      <c r="CA15" s="108"/>
      <c r="CB15" s="108"/>
      <c r="CC15" s="108"/>
      <c r="CD15" s="108"/>
      <c r="CE15" s="108"/>
      <c r="CF15" s="108"/>
      <c r="CG15" s="108"/>
      <c r="CH15" s="108"/>
      <c r="CI15" s="108"/>
      <c r="CJ15" s="108"/>
      <c r="CK15" s="108"/>
      <c r="CL15" s="108"/>
      <c r="CM15" s="108"/>
      <c r="CN15" s="108"/>
      <c r="CO15" s="108"/>
      <c r="CP15" s="108"/>
      <c r="CQ15" s="108"/>
      <c r="CR15" s="108"/>
      <c r="CS15" s="108"/>
      <c r="CT15" s="108"/>
      <c r="CU15" s="108"/>
      <c r="CV15" s="108"/>
      <c r="CW15" s="108"/>
      <c r="CX15" s="108"/>
      <c r="CY15" s="108"/>
      <c r="CZ15" s="108"/>
      <c r="DA15" s="108"/>
      <c r="DB15" s="108"/>
      <c r="DC15" s="108"/>
      <c r="DD15" s="108"/>
      <c r="DE15" s="108"/>
      <c r="DF15" s="108"/>
      <c r="DG15" s="108"/>
      <c r="DH15" s="108"/>
      <c r="DI15" s="108"/>
      <c r="DJ15" s="108"/>
      <c r="DK15" s="108"/>
      <c r="DL15" s="108"/>
      <c r="DM15" s="108"/>
      <c r="DN15" s="108"/>
      <c r="DO15" s="108"/>
      <c r="DP15" s="108"/>
      <c r="DQ15" s="108"/>
      <c r="DR15" s="108"/>
      <c r="DS15" s="108"/>
      <c r="DT15" s="108"/>
      <c r="DU15" s="108"/>
      <c r="DV15" s="108"/>
      <c r="DW15" s="108"/>
      <c r="DX15" s="108"/>
      <c r="DY15" s="108"/>
      <c r="DZ15" s="108"/>
      <c r="EA15" s="108"/>
      <c r="EB15" s="108"/>
      <c r="EC15" s="108"/>
      <c r="ED15" s="108"/>
      <c r="EE15" s="108"/>
      <c r="EF15" s="108"/>
      <c r="EG15" s="108"/>
      <c r="EH15" s="108"/>
      <c r="EI15" s="108"/>
      <c r="EJ15" s="108"/>
      <c r="EK15" s="108"/>
      <c r="EL15" s="108"/>
      <c r="EM15" s="108"/>
      <c r="EN15" s="108"/>
      <c r="EO15" s="108"/>
      <c r="EP15" s="108"/>
      <c r="EQ15" s="108"/>
      <c r="ER15" s="108"/>
      <c r="ES15" s="108"/>
      <c r="ET15" s="108"/>
      <c r="EU15" s="108"/>
      <c r="EV15" s="108"/>
      <c r="EW15" s="108"/>
      <c r="EX15" s="108"/>
      <c r="EY15" s="108"/>
      <c r="EZ15" s="108"/>
      <c r="FA15" s="108"/>
      <c r="FB15" s="108"/>
      <c r="FC15" s="108"/>
      <c r="FD15" s="108"/>
      <c r="FE15" s="108"/>
      <c r="FF15" s="108"/>
      <c r="FG15" s="108"/>
      <c r="FH15" s="108"/>
      <c r="FI15" s="108"/>
      <c r="FJ15" s="108"/>
      <c r="FK15" s="108"/>
      <c r="FL15" s="108"/>
      <c r="FM15" s="108"/>
      <c r="FN15" s="108"/>
      <c r="FO15" s="108"/>
      <c r="FP15" s="108"/>
      <c r="FQ15" s="108"/>
      <c r="FR15" s="108"/>
      <c r="FS15" s="108"/>
      <c r="FT15" s="108"/>
      <c r="FU15" s="108"/>
      <c r="FV15" s="108"/>
      <c r="FW15" s="108"/>
      <c r="FX15" s="108"/>
      <c r="FY15" s="108"/>
      <c r="FZ15" s="108"/>
      <c r="GA15" s="108"/>
      <c r="GB15" s="108"/>
      <c r="GC15" s="108"/>
      <c r="GD15" s="108"/>
      <c r="GE15" s="108"/>
      <c r="GF15" s="108"/>
      <c r="GG15" s="108"/>
      <c r="GH15" s="108"/>
      <c r="GI15" s="108"/>
      <c r="GJ15" s="108"/>
      <c r="GK15" s="108"/>
      <c r="GL15" s="108"/>
      <c r="GM15" s="108"/>
      <c r="GN15" s="108"/>
      <c r="GO15" s="108"/>
      <c r="GP15" s="108"/>
      <c r="GQ15" s="108"/>
      <c r="GR15" s="108"/>
      <c r="GS15" s="108"/>
      <c r="GT15" s="108"/>
      <c r="GU15" s="108"/>
      <c r="GV15" s="108"/>
      <c r="GW15" s="108"/>
      <c r="GX15" s="108"/>
      <c r="GY15" s="108"/>
      <c r="GZ15" s="108"/>
      <c r="HA15" s="108"/>
      <c r="HB15" s="108"/>
      <c r="HC15" s="108"/>
      <c r="HD15" s="108"/>
      <c r="HE15" s="108"/>
      <c r="HF15" s="108"/>
      <c r="HG15" s="108"/>
      <c r="HH15" s="108"/>
      <c r="HI15" s="108"/>
      <c r="HJ15" s="108"/>
      <c r="HK15" s="108"/>
      <c r="HL15" s="108"/>
      <c r="HM15" s="108"/>
      <c r="HN15" s="108"/>
      <c r="HO15" s="108"/>
      <c r="HP15" s="108"/>
      <c r="HQ15" s="108"/>
      <c r="HR15" s="108"/>
      <c r="HS15" s="108"/>
      <c r="HT15" s="108"/>
      <c r="HU15" s="108"/>
      <c r="HV15" s="108"/>
      <c r="HW15" s="108"/>
      <c r="HX15" s="108"/>
      <c r="HY15" s="108"/>
      <c r="HZ15" s="108"/>
      <c r="IA15" s="108"/>
      <c r="IB15" s="108"/>
      <c r="IC15" s="108"/>
      <c r="ID15" s="108"/>
      <c r="IE15" s="108"/>
      <c r="IF15" s="108"/>
      <c r="IG15" s="108"/>
      <c r="IH15" s="108"/>
      <c r="II15" s="108"/>
      <c r="IJ15" s="108"/>
      <c r="IK15" s="108"/>
      <c r="IL15" s="108"/>
      <c r="IM15" s="108"/>
      <c r="IN15" s="108"/>
      <c r="IO15" s="108"/>
      <c r="IP15" s="108"/>
      <c r="IQ15" s="108"/>
      <c r="IR15" s="108"/>
      <c r="IS15" s="108"/>
      <c r="IT15" s="108"/>
      <c r="IU15" s="108"/>
      <c r="IV15" s="108"/>
      <c r="IW15" s="108"/>
    </row>
    <row r="16" spans="1:257" ht="15" thickBot="1" x14ac:dyDescent="0.35">
      <c r="A16" s="158"/>
      <c r="B16" s="113" t="str">
        <f>'Sensitivity analysis'!B175</f>
        <v>Live birth among unbooked</v>
      </c>
      <c r="C16" s="170">
        <f>'Sensitivity analysis'!G175</f>
        <v>35595.66349230746</v>
      </c>
      <c r="D16" s="171">
        <f>'Sensitivity analysis'!H175</f>
        <v>36683.688860266542</v>
      </c>
      <c r="E16" s="172">
        <f t="shared" si="0"/>
        <v>1088.0253679590824</v>
      </c>
      <c r="F16" s="158"/>
      <c r="G16" s="158"/>
      <c r="H16" s="158"/>
      <c r="I16" s="173"/>
      <c r="J16" s="170"/>
      <c r="K16" s="175"/>
      <c r="L16" s="172"/>
      <c r="M16" s="158"/>
      <c r="N16" s="158"/>
      <c r="O16" s="108"/>
      <c r="P16" s="108"/>
      <c r="Q16" s="108"/>
      <c r="R16" s="108"/>
      <c r="S16" s="108"/>
      <c r="T16" s="108"/>
      <c r="U16" s="108"/>
      <c r="V16" s="108"/>
      <c r="W16" s="108"/>
      <c r="X16" s="108"/>
      <c r="Y16" s="108"/>
      <c r="Z16" s="108"/>
      <c r="AA16" s="108"/>
      <c r="AB16" s="108"/>
      <c r="AC16" s="108"/>
      <c r="AD16" s="108"/>
      <c r="AE16" s="108"/>
      <c r="AF16" s="108"/>
      <c r="AG16" s="108"/>
      <c r="AH16" s="108"/>
      <c r="AI16" s="108"/>
      <c r="AJ16" s="108"/>
      <c r="AK16" s="108"/>
      <c r="AL16" s="108"/>
      <c r="AM16" s="108"/>
      <c r="AN16" s="108"/>
      <c r="AO16" s="108"/>
      <c r="AP16" s="108"/>
      <c r="AQ16" s="108"/>
      <c r="AR16" s="108"/>
      <c r="AS16" s="108"/>
      <c r="AT16" s="108"/>
      <c r="AU16" s="108"/>
      <c r="AV16" s="108"/>
      <c r="AW16" s="108"/>
      <c r="AX16" s="108"/>
      <c r="AY16" s="108"/>
      <c r="AZ16" s="108"/>
      <c r="BA16" s="108"/>
      <c r="BB16" s="108"/>
      <c r="BC16" s="108"/>
      <c r="BD16" s="108"/>
      <c r="BE16" s="108"/>
      <c r="BF16" s="108"/>
      <c r="BG16" s="108"/>
      <c r="BH16" s="108"/>
      <c r="BI16" s="108"/>
      <c r="BJ16" s="108"/>
      <c r="BK16" s="108"/>
      <c r="BL16" s="108"/>
      <c r="BM16" s="108"/>
      <c r="BN16" s="108"/>
      <c r="BO16" s="108"/>
      <c r="BP16" s="108"/>
      <c r="BQ16" s="108"/>
      <c r="BR16" s="108"/>
      <c r="BS16" s="108"/>
      <c r="BT16" s="108"/>
      <c r="BU16" s="108"/>
      <c r="BV16" s="108"/>
      <c r="BW16" s="108"/>
      <c r="BX16" s="108"/>
      <c r="BY16" s="108"/>
      <c r="BZ16" s="108"/>
      <c r="CA16" s="108"/>
      <c r="CB16" s="108"/>
      <c r="CC16" s="108"/>
      <c r="CD16" s="108"/>
      <c r="CE16" s="108"/>
      <c r="CF16" s="108"/>
      <c r="CG16" s="108"/>
      <c r="CH16" s="108"/>
      <c r="CI16" s="108"/>
      <c r="CJ16" s="108"/>
      <c r="CK16" s="108"/>
      <c r="CL16" s="108"/>
      <c r="CM16" s="108"/>
      <c r="CN16" s="108"/>
      <c r="CO16" s="108"/>
      <c r="CP16" s="108"/>
      <c r="CQ16" s="108"/>
      <c r="CR16" s="108"/>
      <c r="CS16" s="108"/>
      <c r="CT16" s="108"/>
      <c r="CU16" s="108"/>
      <c r="CV16" s="108"/>
      <c r="CW16" s="108"/>
      <c r="CX16" s="108"/>
      <c r="CY16" s="108"/>
      <c r="CZ16" s="108"/>
      <c r="DA16" s="108"/>
      <c r="DB16" s="108"/>
      <c r="DC16" s="108"/>
      <c r="DD16" s="108"/>
      <c r="DE16" s="108"/>
      <c r="DF16" s="108"/>
      <c r="DG16" s="108"/>
      <c r="DH16" s="108"/>
      <c r="DI16" s="108"/>
      <c r="DJ16" s="108"/>
      <c r="DK16" s="108"/>
      <c r="DL16" s="108"/>
      <c r="DM16" s="108"/>
      <c r="DN16" s="108"/>
      <c r="DO16" s="108"/>
      <c r="DP16" s="108"/>
      <c r="DQ16" s="108"/>
      <c r="DR16" s="108"/>
      <c r="DS16" s="108"/>
      <c r="DT16" s="108"/>
      <c r="DU16" s="108"/>
      <c r="DV16" s="108"/>
      <c r="DW16" s="108"/>
      <c r="DX16" s="108"/>
      <c r="DY16" s="108"/>
      <c r="DZ16" s="108"/>
      <c r="EA16" s="108"/>
      <c r="EB16" s="108"/>
      <c r="EC16" s="108"/>
      <c r="ED16" s="108"/>
      <c r="EE16" s="108"/>
      <c r="EF16" s="108"/>
      <c r="EG16" s="108"/>
      <c r="EH16" s="108"/>
      <c r="EI16" s="108"/>
      <c r="EJ16" s="108"/>
      <c r="EK16" s="108"/>
      <c r="EL16" s="108"/>
      <c r="EM16" s="108"/>
      <c r="EN16" s="108"/>
      <c r="EO16" s="108"/>
      <c r="EP16" s="108"/>
      <c r="EQ16" s="108"/>
      <c r="ER16" s="108"/>
      <c r="ES16" s="108"/>
      <c r="ET16" s="108"/>
      <c r="EU16" s="108"/>
      <c r="EV16" s="108"/>
      <c r="EW16" s="108"/>
      <c r="EX16" s="108"/>
      <c r="EY16" s="108"/>
      <c r="EZ16" s="108"/>
      <c r="FA16" s="108"/>
      <c r="FB16" s="108"/>
      <c r="FC16" s="108"/>
      <c r="FD16" s="108"/>
      <c r="FE16" s="108"/>
      <c r="FF16" s="108"/>
      <c r="FG16" s="108"/>
      <c r="FH16" s="108"/>
      <c r="FI16" s="108"/>
      <c r="FJ16" s="108"/>
      <c r="FK16" s="108"/>
      <c r="FL16" s="108"/>
      <c r="FM16" s="108"/>
      <c r="FN16" s="108"/>
      <c r="FO16" s="108"/>
      <c r="FP16" s="108"/>
      <c r="FQ16" s="108"/>
      <c r="FR16" s="108"/>
      <c r="FS16" s="108"/>
      <c r="FT16" s="108"/>
      <c r="FU16" s="108"/>
      <c r="FV16" s="108"/>
      <c r="FW16" s="108"/>
      <c r="FX16" s="108"/>
      <c r="FY16" s="108"/>
      <c r="FZ16" s="108"/>
      <c r="GA16" s="108"/>
      <c r="GB16" s="108"/>
      <c r="GC16" s="108"/>
      <c r="GD16" s="108"/>
      <c r="GE16" s="108"/>
      <c r="GF16" s="108"/>
      <c r="GG16" s="108"/>
      <c r="GH16" s="108"/>
      <c r="GI16" s="108"/>
      <c r="GJ16" s="108"/>
      <c r="GK16" s="108"/>
      <c r="GL16" s="108"/>
      <c r="GM16" s="108"/>
      <c r="GN16" s="108"/>
      <c r="GO16" s="108"/>
      <c r="GP16" s="108"/>
      <c r="GQ16" s="108"/>
      <c r="GR16" s="108"/>
      <c r="GS16" s="108"/>
      <c r="GT16" s="108"/>
      <c r="GU16" s="108"/>
      <c r="GV16" s="108"/>
      <c r="GW16" s="108"/>
      <c r="GX16" s="108"/>
      <c r="GY16" s="108"/>
      <c r="GZ16" s="108"/>
      <c r="HA16" s="108"/>
      <c r="HB16" s="108"/>
      <c r="HC16" s="108"/>
      <c r="HD16" s="108"/>
      <c r="HE16" s="108"/>
      <c r="HF16" s="108"/>
      <c r="HG16" s="108"/>
      <c r="HH16" s="108"/>
      <c r="HI16" s="108"/>
      <c r="HJ16" s="108"/>
      <c r="HK16" s="108"/>
      <c r="HL16" s="108"/>
      <c r="HM16" s="108"/>
      <c r="HN16" s="108"/>
      <c r="HO16" s="108"/>
      <c r="HP16" s="108"/>
      <c r="HQ16" s="108"/>
      <c r="HR16" s="108"/>
      <c r="HS16" s="108"/>
      <c r="HT16" s="108"/>
      <c r="HU16" s="108"/>
      <c r="HV16" s="108"/>
      <c r="HW16" s="108"/>
      <c r="HX16" s="108"/>
      <c r="HY16" s="108"/>
      <c r="HZ16" s="108"/>
      <c r="IA16" s="108"/>
      <c r="IB16" s="108"/>
      <c r="IC16" s="108"/>
      <c r="ID16" s="108"/>
      <c r="IE16" s="108"/>
      <c r="IF16" s="108"/>
      <c r="IG16" s="108"/>
      <c r="IH16" s="108"/>
      <c r="II16" s="108"/>
      <c r="IJ16" s="108"/>
      <c r="IK16" s="108"/>
      <c r="IL16" s="108"/>
      <c r="IM16" s="108"/>
      <c r="IN16" s="108"/>
      <c r="IO16" s="108"/>
      <c r="IP16" s="108"/>
      <c r="IQ16" s="108"/>
      <c r="IR16" s="108"/>
      <c r="IS16" s="108"/>
      <c r="IT16" s="108"/>
      <c r="IU16" s="108"/>
      <c r="IV16" s="108"/>
      <c r="IW16" s="108"/>
    </row>
    <row r="17" spans="1:257" ht="15" thickBot="1" x14ac:dyDescent="0.35">
      <c r="A17" s="158"/>
      <c r="B17" s="113" t="str">
        <f>'Sensitivity analysis'!B176</f>
        <v>Term birth with antenatal care</v>
      </c>
      <c r="C17" s="170">
        <f>'Sensitivity analysis'!G176</f>
        <v>16936.22825962519</v>
      </c>
      <c r="D17" s="171">
        <f>'Sensitivity analysis'!H176</f>
        <v>54099.161744103461</v>
      </c>
      <c r="E17" s="172">
        <f t="shared" si="0"/>
        <v>37162.933484478272</v>
      </c>
      <c r="F17" s="158"/>
      <c r="G17" s="158"/>
      <c r="H17" s="158"/>
      <c r="I17" s="173"/>
      <c r="J17" s="170"/>
      <c r="K17" s="175"/>
      <c r="L17" s="172"/>
      <c r="M17" s="158"/>
      <c r="N17" s="158"/>
      <c r="O17" s="108"/>
      <c r="P17" s="108"/>
      <c r="Q17" s="108"/>
      <c r="R17" s="108"/>
      <c r="S17" s="108"/>
      <c r="T17" s="108"/>
      <c r="U17" s="108"/>
      <c r="V17" s="108"/>
      <c r="W17" s="108"/>
      <c r="X17" s="108"/>
      <c r="Y17" s="108"/>
      <c r="Z17" s="108"/>
      <c r="AA17" s="108"/>
      <c r="AB17" s="108"/>
      <c r="AC17" s="108"/>
      <c r="AD17" s="108"/>
      <c r="AE17" s="108"/>
      <c r="AF17" s="108"/>
      <c r="AG17" s="108"/>
      <c r="AH17" s="108"/>
      <c r="AI17" s="108"/>
      <c r="AJ17" s="108"/>
      <c r="AK17" s="108"/>
      <c r="AL17" s="108"/>
      <c r="AM17" s="108"/>
      <c r="AN17" s="108"/>
      <c r="AO17" s="108"/>
      <c r="AP17" s="108"/>
      <c r="AQ17" s="108"/>
      <c r="AR17" s="108"/>
      <c r="AS17" s="108"/>
      <c r="AT17" s="108"/>
      <c r="AU17" s="108"/>
      <c r="AV17" s="108"/>
      <c r="AW17" s="108"/>
      <c r="AX17" s="108"/>
      <c r="AY17" s="108"/>
      <c r="AZ17" s="108"/>
      <c r="BA17" s="108"/>
      <c r="BB17" s="108"/>
      <c r="BC17" s="108"/>
      <c r="BD17" s="108"/>
      <c r="BE17" s="108"/>
      <c r="BF17" s="108"/>
      <c r="BG17" s="108"/>
      <c r="BH17" s="108"/>
      <c r="BI17" s="108"/>
      <c r="BJ17" s="108"/>
      <c r="BK17" s="108"/>
      <c r="BL17" s="108"/>
      <c r="BM17" s="108"/>
      <c r="BN17" s="108"/>
      <c r="BO17" s="108"/>
      <c r="BP17" s="108"/>
      <c r="BQ17" s="108"/>
      <c r="BR17" s="108"/>
      <c r="BS17" s="108"/>
      <c r="BT17" s="108"/>
      <c r="BU17" s="108"/>
      <c r="BV17" s="108"/>
      <c r="BW17" s="108"/>
      <c r="BX17" s="108"/>
      <c r="BY17" s="108"/>
      <c r="BZ17" s="108"/>
      <c r="CA17" s="108"/>
      <c r="CB17" s="108"/>
      <c r="CC17" s="108"/>
      <c r="CD17" s="108"/>
      <c r="CE17" s="108"/>
      <c r="CF17" s="108"/>
      <c r="CG17" s="108"/>
      <c r="CH17" s="108"/>
      <c r="CI17" s="108"/>
      <c r="CJ17" s="108"/>
      <c r="CK17" s="108"/>
      <c r="CL17" s="108"/>
      <c r="CM17" s="108"/>
      <c r="CN17" s="108"/>
      <c r="CO17" s="108"/>
      <c r="CP17" s="108"/>
      <c r="CQ17" s="108"/>
      <c r="CR17" s="108"/>
      <c r="CS17" s="108"/>
      <c r="CT17" s="108"/>
      <c r="CU17" s="108"/>
      <c r="CV17" s="108"/>
      <c r="CW17" s="108"/>
      <c r="CX17" s="108"/>
      <c r="CY17" s="108"/>
      <c r="CZ17" s="108"/>
      <c r="DA17" s="108"/>
      <c r="DB17" s="108"/>
      <c r="DC17" s="108"/>
      <c r="DD17" s="108"/>
      <c r="DE17" s="108"/>
      <c r="DF17" s="108"/>
      <c r="DG17" s="108"/>
      <c r="DH17" s="108"/>
      <c r="DI17" s="108"/>
      <c r="DJ17" s="108"/>
      <c r="DK17" s="108"/>
      <c r="DL17" s="108"/>
      <c r="DM17" s="108"/>
      <c r="DN17" s="108"/>
      <c r="DO17" s="108"/>
      <c r="DP17" s="108"/>
      <c r="DQ17" s="108"/>
      <c r="DR17" s="108"/>
      <c r="DS17" s="108"/>
      <c r="DT17" s="108"/>
      <c r="DU17" s="108"/>
      <c r="DV17" s="108"/>
      <c r="DW17" s="108"/>
      <c r="DX17" s="108"/>
      <c r="DY17" s="108"/>
      <c r="DZ17" s="108"/>
      <c r="EA17" s="108"/>
      <c r="EB17" s="108"/>
      <c r="EC17" s="108"/>
      <c r="ED17" s="108"/>
      <c r="EE17" s="108"/>
      <c r="EF17" s="108"/>
      <c r="EG17" s="108"/>
      <c r="EH17" s="108"/>
      <c r="EI17" s="108"/>
      <c r="EJ17" s="108"/>
      <c r="EK17" s="108"/>
      <c r="EL17" s="108"/>
      <c r="EM17" s="108"/>
      <c r="EN17" s="108"/>
      <c r="EO17" s="108"/>
      <c r="EP17" s="108"/>
      <c r="EQ17" s="108"/>
      <c r="ER17" s="108"/>
      <c r="ES17" s="108"/>
      <c r="ET17" s="108"/>
      <c r="EU17" s="108"/>
      <c r="EV17" s="108"/>
      <c r="EW17" s="108"/>
      <c r="EX17" s="108"/>
      <c r="EY17" s="108"/>
      <c r="EZ17" s="108"/>
      <c r="FA17" s="108"/>
      <c r="FB17" s="108"/>
      <c r="FC17" s="108"/>
      <c r="FD17" s="108"/>
      <c r="FE17" s="108"/>
      <c r="FF17" s="108"/>
      <c r="FG17" s="108"/>
      <c r="FH17" s="108"/>
      <c r="FI17" s="108"/>
      <c r="FJ17" s="108"/>
      <c r="FK17" s="108"/>
      <c r="FL17" s="108"/>
      <c r="FM17" s="108"/>
      <c r="FN17" s="108"/>
      <c r="FO17" s="108"/>
      <c r="FP17" s="108"/>
      <c r="FQ17" s="108"/>
      <c r="FR17" s="108"/>
      <c r="FS17" s="108"/>
      <c r="FT17" s="108"/>
      <c r="FU17" s="108"/>
      <c r="FV17" s="108"/>
      <c r="FW17" s="108"/>
      <c r="FX17" s="108"/>
      <c r="FY17" s="108"/>
      <c r="FZ17" s="108"/>
      <c r="GA17" s="108"/>
      <c r="GB17" s="108"/>
      <c r="GC17" s="108"/>
      <c r="GD17" s="108"/>
      <c r="GE17" s="108"/>
      <c r="GF17" s="108"/>
      <c r="GG17" s="108"/>
      <c r="GH17" s="108"/>
      <c r="GI17" s="108"/>
      <c r="GJ17" s="108"/>
      <c r="GK17" s="108"/>
      <c r="GL17" s="108"/>
      <c r="GM17" s="108"/>
      <c r="GN17" s="108"/>
      <c r="GO17" s="108"/>
      <c r="GP17" s="108"/>
      <c r="GQ17" s="108"/>
      <c r="GR17" s="108"/>
      <c r="GS17" s="108"/>
      <c r="GT17" s="108"/>
      <c r="GU17" s="108"/>
      <c r="GV17" s="108"/>
      <c r="GW17" s="108"/>
      <c r="GX17" s="108"/>
      <c r="GY17" s="108"/>
      <c r="GZ17" s="108"/>
      <c r="HA17" s="108"/>
      <c r="HB17" s="108"/>
      <c r="HC17" s="108"/>
      <c r="HD17" s="108"/>
      <c r="HE17" s="108"/>
      <c r="HF17" s="108"/>
      <c r="HG17" s="108"/>
      <c r="HH17" s="108"/>
      <c r="HI17" s="108"/>
      <c r="HJ17" s="108"/>
      <c r="HK17" s="108"/>
      <c r="HL17" s="108"/>
      <c r="HM17" s="108"/>
      <c r="HN17" s="108"/>
      <c r="HO17" s="108"/>
      <c r="HP17" s="108"/>
      <c r="HQ17" s="108"/>
      <c r="HR17" s="108"/>
      <c r="HS17" s="108"/>
      <c r="HT17" s="108"/>
      <c r="HU17" s="108"/>
      <c r="HV17" s="108"/>
      <c r="HW17" s="108"/>
      <c r="HX17" s="108"/>
      <c r="HY17" s="108"/>
      <c r="HZ17" s="108"/>
      <c r="IA17" s="108"/>
      <c r="IB17" s="108"/>
      <c r="IC17" s="108"/>
      <c r="ID17" s="108"/>
      <c r="IE17" s="108"/>
      <c r="IF17" s="108"/>
      <c r="IG17" s="108"/>
      <c r="IH17" s="108"/>
      <c r="II17" s="108"/>
      <c r="IJ17" s="108"/>
      <c r="IK17" s="108"/>
      <c r="IL17" s="108"/>
      <c r="IM17" s="108"/>
      <c r="IN17" s="108"/>
      <c r="IO17" s="108"/>
      <c r="IP17" s="108"/>
      <c r="IQ17" s="108"/>
      <c r="IR17" s="108"/>
      <c r="IS17" s="108"/>
      <c r="IT17" s="108"/>
      <c r="IU17" s="108"/>
      <c r="IV17" s="108"/>
      <c r="IW17" s="108"/>
    </row>
    <row r="18" spans="1:257" ht="15" thickBot="1" x14ac:dyDescent="0.35">
      <c r="A18" s="158"/>
      <c r="B18" s="113" t="str">
        <f>'Sensitivity analysis'!B177</f>
        <v>Term birth in the unbooked</v>
      </c>
      <c r="C18" s="170">
        <f>'Sensitivity analysis'!G177</f>
        <v>31729.202190471973</v>
      </c>
      <c r="D18" s="171">
        <f>'Sensitivity analysis'!H177</f>
        <v>40587.668278238503</v>
      </c>
      <c r="E18" s="172">
        <f t="shared" si="0"/>
        <v>8858.4660877665301</v>
      </c>
      <c r="F18" s="158"/>
      <c r="G18" s="158"/>
      <c r="H18" s="158"/>
      <c r="I18" s="176"/>
      <c r="J18" s="170"/>
      <c r="K18" s="171"/>
      <c r="L18" s="172"/>
      <c r="M18" s="158"/>
      <c r="N18" s="158"/>
      <c r="O18" s="108"/>
      <c r="P18" s="108"/>
      <c r="Q18" s="108"/>
      <c r="R18" s="108"/>
      <c r="S18" s="108"/>
      <c r="T18" s="108"/>
      <c r="U18" s="108"/>
      <c r="V18" s="108"/>
      <c r="W18" s="108"/>
      <c r="X18" s="108"/>
      <c r="Y18" s="108"/>
      <c r="Z18" s="108"/>
      <c r="AA18" s="108"/>
      <c r="AB18" s="108"/>
      <c r="AC18" s="108"/>
      <c r="AD18" s="108"/>
      <c r="AE18" s="108"/>
      <c r="AF18" s="108"/>
      <c r="AG18" s="108"/>
      <c r="AH18" s="108"/>
      <c r="AI18" s="108"/>
      <c r="AJ18" s="108"/>
      <c r="AK18" s="108"/>
      <c r="AL18" s="108"/>
      <c r="AM18" s="108"/>
      <c r="AN18" s="108"/>
      <c r="AO18" s="108"/>
      <c r="AP18" s="108"/>
      <c r="AQ18" s="108"/>
      <c r="AR18" s="108"/>
      <c r="AS18" s="108"/>
      <c r="AT18" s="108"/>
      <c r="AU18" s="108"/>
      <c r="AV18" s="108"/>
      <c r="AW18" s="108"/>
      <c r="AX18" s="108"/>
      <c r="AY18" s="108"/>
      <c r="AZ18" s="108"/>
      <c r="BA18" s="108"/>
      <c r="BB18" s="108"/>
      <c r="BC18" s="108"/>
      <c r="BD18" s="108"/>
      <c r="BE18" s="108"/>
      <c r="BF18" s="108"/>
      <c r="BG18" s="108"/>
      <c r="BH18" s="108"/>
      <c r="BI18" s="108"/>
      <c r="BJ18" s="108"/>
      <c r="BK18" s="108"/>
      <c r="BL18" s="108"/>
      <c r="BM18" s="108"/>
      <c r="BN18" s="108"/>
      <c r="BO18" s="108"/>
      <c r="BP18" s="108"/>
      <c r="BQ18" s="108"/>
      <c r="BR18" s="108"/>
      <c r="BS18" s="108"/>
      <c r="BT18" s="108"/>
      <c r="BU18" s="108"/>
      <c r="BV18" s="108"/>
      <c r="BW18" s="108"/>
      <c r="BX18" s="108"/>
      <c r="BY18" s="108"/>
      <c r="BZ18" s="108"/>
      <c r="CA18" s="108"/>
      <c r="CB18" s="108"/>
      <c r="CC18" s="108"/>
      <c r="CD18" s="108"/>
      <c r="CE18" s="108"/>
      <c r="CF18" s="108"/>
      <c r="CG18" s="108"/>
      <c r="CH18" s="108"/>
      <c r="CI18" s="108"/>
      <c r="CJ18" s="108"/>
      <c r="CK18" s="108"/>
      <c r="CL18" s="108"/>
      <c r="CM18" s="108"/>
      <c r="CN18" s="108"/>
      <c r="CO18" s="108"/>
      <c r="CP18" s="108"/>
      <c r="CQ18" s="108"/>
      <c r="CR18" s="108"/>
      <c r="CS18" s="108"/>
      <c r="CT18" s="108"/>
      <c r="CU18" s="108"/>
      <c r="CV18" s="108"/>
      <c r="CW18" s="108"/>
      <c r="CX18" s="108"/>
      <c r="CY18" s="108"/>
      <c r="CZ18" s="108"/>
      <c r="DA18" s="108"/>
      <c r="DB18" s="108"/>
      <c r="DC18" s="108"/>
      <c r="DD18" s="108"/>
      <c r="DE18" s="108"/>
      <c r="DF18" s="108"/>
      <c r="DG18" s="108"/>
      <c r="DH18" s="108"/>
      <c r="DI18" s="108"/>
      <c r="DJ18" s="108"/>
      <c r="DK18" s="108"/>
      <c r="DL18" s="108"/>
      <c r="DM18" s="108"/>
      <c r="DN18" s="108"/>
      <c r="DO18" s="108"/>
      <c r="DP18" s="108"/>
      <c r="DQ18" s="108"/>
      <c r="DR18" s="108"/>
      <c r="DS18" s="108"/>
      <c r="DT18" s="108"/>
      <c r="DU18" s="108"/>
      <c r="DV18" s="108"/>
      <c r="DW18" s="108"/>
      <c r="DX18" s="108"/>
      <c r="DY18" s="108"/>
      <c r="DZ18" s="108"/>
      <c r="EA18" s="108"/>
      <c r="EB18" s="108"/>
      <c r="EC18" s="108"/>
      <c r="ED18" s="108"/>
      <c r="EE18" s="108"/>
      <c r="EF18" s="108"/>
      <c r="EG18" s="108"/>
      <c r="EH18" s="108"/>
      <c r="EI18" s="108"/>
      <c r="EJ18" s="108"/>
      <c r="EK18" s="108"/>
      <c r="EL18" s="108"/>
      <c r="EM18" s="108"/>
      <c r="EN18" s="108"/>
      <c r="EO18" s="108"/>
      <c r="EP18" s="108"/>
      <c r="EQ18" s="108"/>
      <c r="ER18" s="108"/>
      <c r="ES18" s="108"/>
      <c r="ET18" s="108"/>
      <c r="EU18" s="108"/>
      <c r="EV18" s="108"/>
      <c r="EW18" s="108"/>
      <c r="EX18" s="108"/>
      <c r="EY18" s="108"/>
      <c r="EZ18" s="108"/>
      <c r="FA18" s="108"/>
      <c r="FB18" s="108"/>
      <c r="FC18" s="108"/>
      <c r="FD18" s="108"/>
      <c r="FE18" s="108"/>
      <c r="FF18" s="108"/>
      <c r="FG18" s="108"/>
      <c r="FH18" s="108"/>
      <c r="FI18" s="108"/>
      <c r="FJ18" s="108"/>
      <c r="FK18" s="108"/>
      <c r="FL18" s="108"/>
      <c r="FM18" s="108"/>
      <c r="FN18" s="108"/>
      <c r="FO18" s="108"/>
      <c r="FP18" s="108"/>
      <c r="FQ18" s="108"/>
      <c r="FR18" s="108"/>
      <c r="FS18" s="108"/>
      <c r="FT18" s="108"/>
      <c r="FU18" s="108"/>
      <c r="FV18" s="108"/>
      <c r="FW18" s="108"/>
      <c r="FX18" s="108"/>
      <c r="FY18" s="108"/>
      <c r="FZ18" s="108"/>
      <c r="GA18" s="108"/>
      <c r="GB18" s="108"/>
      <c r="GC18" s="108"/>
      <c r="GD18" s="108"/>
      <c r="GE18" s="108"/>
      <c r="GF18" s="108"/>
      <c r="GG18" s="108"/>
      <c r="GH18" s="108"/>
      <c r="GI18" s="108"/>
      <c r="GJ18" s="108"/>
      <c r="GK18" s="108"/>
      <c r="GL18" s="108"/>
      <c r="GM18" s="108"/>
      <c r="GN18" s="108"/>
      <c r="GO18" s="108"/>
      <c r="GP18" s="108"/>
      <c r="GQ18" s="108"/>
      <c r="GR18" s="108"/>
      <c r="GS18" s="108"/>
      <c r="GT18" s="108"/>
      <c r="GU18" s="108"/>
      <c r="GV18" s="108"/>
      <c r="GW18" s="108"/>
      <c r="GX18" s="108"/>
      <c r="GY18" s="108"/>
      <c r="GZ18" s="108"/>
      <c r="HA18" s="108"/>
      <c r="HB18" s="108"/>
      <c r="HC18" s="108"/>
      <c r="HD18" s="108"/>
      <c r="HE18" s="108"/>
      <c r="HF18" s="108"/>
      <c r="HG18" s="108"/>
      <c r="HH18" s="108"/>
      <c r="HI18" s="108"/>
      <c r="HJ18" s="108"/>
      <c r="HK18" s="108"/>
      <c r="HL18" s="108"/>
      <c r="HM18" s="108"/>
      <c r="HN18" s="108"/>
      <c r="HO18" s="108"/>
      <c r="HP18" s="108"/>
      <c r="HQ18" s="108"/>
      <c r="HR18" s="108"/>
      <c r="HS18" s="108"/>
      <c r="HT18" s="108"/>
      <c r="HU18" s="108"/>
      <c r="HV18" s="108"/>
      <c r="HW18" s="108"/>
      <c r="HX18" s="108"/>
      <c r="HY18" s="108"/>
      <c r="HZ18" s="108"/>
      <c r="IA18" s="108"/>
      <c r="IB18" s="108"/>
      <c r="IC18" s="108"/>
      <c r="ID18" s="108"/>
      <c r="IE18" s="108"/>
      <c r="IF18" s="108"/>
      <c r="IG18" s="108"/>
      <c r="IH18" s="108"/>
      <c r="II18" s="108"/>
      <c r="IJ18" s="108"/>
      <c r="IK18" s="108"/>
      <c r="IL18" s="108"/>
      <c r="IM18" s="108"/>
      <c r="IN18" s="108"/>
      <c r="IO18" s="108"/>
      <c r="IP18" s="108"/>
      <c r="IQ18" s="108"/>
      <c r="IR18" s="108"/>
      <c r="IS18" s="108"/>
      <c r="IT18" s="108"/>
      <c r="IU18" s="108"/>
      <c r="IV18" s="108"/>
      <c r="IW18" s="108"/>
    </row>
    <row r="19" spans="1:257" ht="15" thickBot="1" x14ac:dyDescent="0.35">
      <c r="A19" s="158"/>
      <c r="B19" s="113" t="str">
        <f>'Sensitivity analysis'!B178</f>
        <v>LBW and preterm</v>
      </c>
      <c r="C19" s="170">
        <f>'Sensitivity analysis'!G178</f>
        <v>29347.255018886386</v>
      </c>
      <c r="D19" s="171">
        <f>'Sensitivity analysis'!H178</f>
        <v>42515.536768792794</v>
      </c>
      <c r="E19" s="172">
        <f t="shared" si="0"/>
        <v>13168.281749906408</v>
      </c>
      <c r="F19" s="158"/>
      <c r="G19" s="158"/>
      <c r="H19" s="158"/>
      <c r="I19" s="173"/>
      <c r="J19" s="170"/>
      <c r="K19" s="175"/>
      <c r="L19" s="172"/>
      <c r="M19" s="158"/>
      <c r="N19" s="158"/>
      <c r="O19" s="108"/>
      <c r="P19" s="108"/>
      <c r="Q19" s="108"/>
      <c r="R19" s="108"/>
      <c r="S19" s="108"/>
      <c r="T19" s="108"/>
      <c r="U19" s="108"/>
      <c r="V19" s="108"/>
      <c r="W19" s="108"/>
      <c r="X19" s="108"/>
      <c r="Y19" s="108"/>
      <c r="Z19" s="108"/>
      <c r="AA19" s="108"/>
      <c r="AB19" s="108"/>
      <c r="AC19" s="108"/>
      <c r="AD19" s="108"/>
      <c r="AE19" s="108"/>
      <c r="AF19" s="108"/>
      <c r="AG19" s="108"/>
      <c r="AH19" s="108"/>
      <c r="AI19" s="108"/>
      <c r="AJ19" s="108"/>
      <c r="AK19" s="108"/>
      <c r="AL19" s="108"/>
      <c r="AM19" s="108"/>
      <c r="AN19" s="108"/>
      <c r="AO19" s="108"/>
      <c r="AP19" s="108"/>
      <c r="AQ19" s="108"/>
      <c r="AR19" s="108"/>
      <c r="AS19" s="108"/>
      <c r="AT19" s="108"/>
      <c r="AU19" s="108"/>
      <c r="AV19" s="108"/>
      <c r="AW19" s="108"/>
      <c r="AX19" s="108"/>
      <c r="AY19" s="108"/>
      <c r="AZ19" s="108"/>
      <c r="BA19" s="108"/>
      <c r="BB19" s="108"/>
      <c r="BC19" s="108"/>
      <c r="BD19" s="108"/>
      <c r="BE19" s="108"/>
      <c r="BF19" s="108"/>
      <c r="BG19" s="108"/>
      <c r="BH19" s="108"/>
      <c r="BI19" s="108"/>
      <c r="BJ19" s="108"/>
      <c r="BK19" s="108"/>
      <c r="BL19" s="108"/>
      <c r="BM19" s="108"/>
      <c r="BN19" s="108"/>
      <c r="BO19" s="108"/>
      <c r="BP19" s="108"/>
      <c r="BQ19" s="108"/>
      <c r="BR19" s="108"/>
      <c r="BS19" s="108"/>
      <c r="BT19" s="108"/>
      <c r="BU19" s="108"/>
      <c r="BV19" s="108"/>
      <c r="BW19" s="108"/>
      <c r="BX19" s="108"/>
      <c r="BY19" s="108"/>
      <c r="BZ19" s="108"/>
      <c r="CA19" s="108"/>
      <c r="CB19" s="108"/>
      <c r="CC19" s="108"/>
      <c r="CD19" s="108"/>
      <c r="CE19" s="108"/>
      <c r="CF19" s="108"/>
      <c r="CG19" s="108"/>
      <c r="CH19" s="108"/>
      <c r="CI19" s="108"/>
      <c r="CJ19" s="108"/>
      <c r="CK19" s="108"/>
      <c r="CL19" s="108"/>
      <c r="CM19" s="108"/>
      <c r="CN19" s="108"/>
      <c r="CO19" s="108"/>
      <c r="CP19" s="108"/>
      <c r="CQ19" s="108"/>
      <c r="CR19" s="108"/>
      <c r="CS19" s="108"/>
      <c r="CT19" s="108"/>
      <c r="CU19" s="108"/>
      <c r="CV19" s="108"/>
      <c r="CW19" s="108"/>
      <c r="CX19" s="108"/>
      <c r="CY19" s="108"/>
      <c r="CZ19" s="108"/>
      <c r="DA19" s="108"/>
      <c r="DB19" s="108"/>
      <c r="DC19" s="108"/>
      <c r="DD19" s="108"/>
      <c r="DE19" s="108"/>
      <c r="DF19" s="108"/>
      <c r="DG19" s="108"/>
      <c r="DH19" s="108"/>
      <c r="DI19" s="108"/>
      <c r="DJ19" s="108"/>
      <c r="DK19" s="108"/>
      <c r="DL19" s="108"/>
      <c r="DM19" s="108"/>
      <c r="DN19" s="108"/>
      <c r="DO19" s="108"/>
      <c r="DP19" s="108"/>
      <c r="DQ19" s="108"/>
      <c r="DR19" s="108"/>
      <c r="DS19" s="108"/>
      <c r="DT19" s="108"/>
      <c r="DU19" s="108"/>
      <c r="DV19" s="108"/>
      <c r="DW19" s="108"/>
      <c r="DX19" s="108"/>
      <c r="DY19" s="108"/>
      <c r="DZ19" s="108"/>
      <c r="EA19" s="108"/>
      <c r="EB19" s="108"/>
      <c r="EC19" s="108"/>
      <c r="ED19" s="108"/>
      <c r="EE19" s="108"/>
      <c r="EF19" s="108"/>
      <c r="EG19" s="108"/>
      <c r="EH19" s="108"/>
      <c r="EI19" s="108"/>
      <c r="EJ19" s="108"/>
      <c r="EK19" s="108"/>
      <c r="EL19" s="108"/>
      <c r="EM19" s="108"/>
      <c r="EN19" s="108"/>
      <c r="EO19" s="108"/>
      <c r="EP19" s="108"/>
      <c r="EQ19" s="108"/>
      <c r="ER19" s="108"/>
      <c r="ES19" s="108"/>
      <c r="ET19" s="108"/>
      <c r="EU19" s="108"/>
      <c r="EV19" s="108"/>
      <c r="EW19" s="108"/>
      <c r="EX19" s="108"/>
      <c r="EY19" s="108"/>
      <c r="EZ19" s="108"/>
      <c r="FA19" s="108"/>
      <c r="FB19" s="108"/>
      <c r="FC19" s="108"/>
      <c r="FD19" s="108"/>
      <c r="FE19" s="108"/>
      <c r="FF19" s="108"/>
      <c r="FG19" s="108"/>
      <c r="FH19" s="108"/>
      <c r="FI19" s="108"/>
      <c r="FJ19" s="108"/>
      <c r="FK19" s="108"/>
      <c r="FL19" s="108"/>
      <c r="FM19" s="108"/>
      <c r="FN19" s="108"/>
      <c r="FO19" s="108"/>
      <c r="FP19" s="108"/>
      <c r="FQ19" s="108"/>
      <c r="FR19" s="108"/>
      <c r="FS19" s="108"/>
      <c r="FT19" s="108"/>
      <c r="FU19" s="108"/>
      <c r="FV19" s="108"/>
      <c r="FW19" s="108"/>
      <c r="FX19" s="108"/>
      <c r="FY19" s="108"/>
      <c r="FZ19" s="108"/>
      <c r="GA19" s="108"/>
      <c r="GB19" s="108"/>
      <c r="GC19" s="108"/>
      <c r="GD19" s="108"/>
      <c r="GE19" s="108"/>
      <c r="GF19" s="108"/>
      <c r="GG19" s="108"/>
      <c r="GH19" s="108"/>
      <c r="GI19" s="108"/>
      <c r="GJ19" s="108"/>
      <c r="GK19" s="108"/>
      <c r="GL19" s="108"/>
      <c r="GM19" s="108"/>
      <c r="GN19" s="108"/>
      <c r="GO19" s="108"/>
      <c r="GP19" s="108"/>
      <c r="GQ19" s="108"/>
      <c r="GR19" s="108"/>
      <c r="GS19" s="108"/>
      <c r="GT19" s="108"/>
      <c r="GU19" s="108"/>
      <c r="GV19" s="108"/>
      <c r="GW19" s="108"/>
      <c r="GX19" s="108"/>
      <c r="GY19" s="108"/>
      <c r="GZ19" s="108"/>
      <c r="HA19" s="108"/>
      <c r="HB19" s="108"/>
      <c r="HC19" s="108"/>
      <c r="HD19" s="108"/>
      <c r="HE19" s="108"/>
      <c r="HF19" s="108"/>
      <c r="HG19" s="108"/>
      <c r="HH19" s="108"/>
      <c r="HI19" s="108"/>
      <c r="HJ19" s="108"/>
      <c r="HK19" s="108"/>
      <c r="HL19" s="108"/>
      <c r="HM19" s="108"/>
      <c r="HN19" s="108"/>
      <c r="HO19" s="108"/>
      <c r="HP19" s="108"/>
      <c r="HQ19" s="108"/>
      <c r="HR19" s="108"/>
      <c r="HS19" s="108"/>
      <c r="HT19" s="108"/>
      <c r="HU19" s="108"/>
      <c r="HV19" s="108"/>
      <c r="HW19" s="108"/>
      <c r="HX19" s="108"/>
      <c r="HY19" s="108"/>
      <c r="HZ19" s="108"/>
      <c r="IA19" s="108"/>
      <c r="IB19" s="108"/>
      <c r="IC19" s="108"/>
      <c r="ID19" s="108"/>
      <c r="IE19" s="108"/>
      <c r="IF19" s="108"/>
      <c r="IG19" s="108"/>
      <c r="IH19" s="108"/>
      <c r="II19" s="108"/>
      <c r="IJ19" s="108"/>
      <c r="IK19" s="108"/>
      <c r="IL19" s="108"/>
      <c r="IM19" s="108"/>
      <c r="IN19" s="108"/>
      <c r="IO19" s="108"/>
      <c r="IP19" s="108"/>
      <c r="IQ19" s="108"/>
      <c r="IR19" s="108"/>
      <c r="IS19" s="108"/>
      <c r="IT19" s="108"/>
      <c r="IU19" s="108"/>
      <c r="IV19" s="108"/>
      <c r="IW19" s="108"/>
    </row>
    <row r="20" spans="1:257" ht="15" thickBot="1" x14ac:dyDescent="0.35">
      <c r="A20" s="158"/>
      <c r="B20" s="113" t="str">
        <f>'Sensitivity analysis'!B179</f>
        <v>LBW term infants</v>
      </c>
      <c r="C20" s="170">
        <f>'Sensitivity analysis'!G179</f>
        <v>26768.623433254281</v>
      </c>
      <c r="D20" s="171">
        <f>'Sensitivity analysis'!H179</f>
        <v>45548.247035456348</v>
      </c>
      <c r="E20" s="172">
        <f t="shared" si="0"/>
        <v>18779.623602202068</v>
      </c>
      <c r="F20" s="158"/>
      <c r="G20" s="158"/>
      <c r="H20" s="158"/>
      <c r="I20" s="173"/>
      <c r="J20" s="170"/>
      <c r="K20" s="175"/>
      <c r="L20" s="172"/>
      <c r="M20" s="158"/>
      <c r="N20" s="158"/>
      <c r="O20" s="108"/>
      <c r="P20" s="108"/>
      <c r="Q20" s="108"/>
      <c r="R20" s="108"/>
      <c r="S20" s="108"/>
      <c r="T20" s="108"/>
      <c r="U20" s="108"/>
      <c r="V20" s="108"/>
      <c r="W20" s="108"/>
      <c r="X20" s="108"/>
      <c r="Y20" s="108"/>
      <c r="Z20" s="108"/>
      <c r="AA20" s="108"/>
      <c r="AB20" s="108"/>
      <c r="AC20" s="108"/>
      <c r="AD20" s="108"/>
      <c r="AE20" s="108"/>
      <c r="AF20" s="108"/>
      <c r="AG20" s="108"/>
      <c r="AH20" s="108"/>
      <c r="AI20" s="108"/>
      <c r="AJ20" s="108"/>
      <c r="AK20" s="108"/>
      <c r="AL20" s="108"/>
      <c r="AM20" s="108"/>
      <c r="AN20" s="108"/>
      <c r="AO20" s="108"/>
      <c r="AP20" s="108"/>
      <c r="AQ20" s="108"/>
      <c r="AR20" s="108"/>
      <c r="AS20" s="108"/>
      <c r="AT20" s="108"/>
      <c r="AU20" s="108"/>
      <c r="AV20" s="108"/>
      <c r="AW20" s="108"/>
      <c r="AX20" s="108"/>
      <c r="AY20" s="108"/>
      <c r="AZ20" s="108"/>
      <c r="BA20" s="108"/>
      <c r="BB20" s="108"/>
      <c r="BC20" s="108"/>
      <c r="BD20" s="108"/>
      <c r="BE20" s="108"/>
      <c r="BF20" s="108"/>
      <c r="BG20" s="108"/>
      <c r="BH20" s="108"/>
      <c r="BI20" s="108"/>
      <c r="BJ20" s="108"/>
      <c r="BK20" s="108"/>
      <c r="BL20" s="108"/>
      <c r="BM20" s="108"/>
      <c r="BN20" s="108"/>
      <c r="BO20" s="108"/>
      <c r="BP20" s="108"/>
      <c r="BQ20" s="108"/>
      <c r="BR20" s="108"/>
      <c r="BS20" s="108"/>
      <c r="BT20" s="108"/>
      <c r="BU20" s="108"/>
      <c r="BV20" s="108"/>
      <c r="BW20" s="108"/>
      <c r="BX20" s="108"/>
      <c r="BY20" s="108"/>
      <c r="BZ20" s="108"/>
      <c r="CA20" s="108"/>
      <c r="CB20" s="108"/>
      <c r="CC20" s="108"/>
      <c r="CD20" s="108"/>
      <c r="CE20" s="108"/>
      <c r="CF20" s="108"/>
      <c r="CG20" s="108"/>
      <c r="CH20" s="108"/>
      <c r="CI20" s="108"/>
      <c r="CJ20" s="108"/>
      <c r="CK20" s="108"/>
      <c r="CL20" s="108"/>
      <c r="CM20" s="108"/>
      <c r="CN20" s="108"/>
      <c r="CO20" s="108"/>
      <c r="CP20" s="108"/>
      <c r="CQ20" s="108"/>
      <c r="CR20" s="108"/>
      <c r="CS20" s="108"/>
      <c r="CT20" s="108"/>
      <c r="CU20" s="108"/>
      <c r="CV20" s="108"/>
      <c r="CW20" s="108"/>
      <c r="CX20" s="108"/>
      <c r="CY20" s="108"/>
      <c r="CZ20" s="108"/>
      <c r="DA20" s="108"/>
      <c r="DB20" s="108"/>
      <c r="DC20" s="108"/>
      <c r="DD20" s="108"/>
      <c r="DE20" s="108"/>
      <c r="DF20" s="108"/>
      <c r="DG20" s="108"/>
      <c r="DH20" s="108"/>
      <c r="DI20" s="108"/>
      <c r="DJ20" s="108"/>
      <c r="DK20" s="108"/>
      <c r="DL20" s="108"/>
      <c r="DM20" s="108"/>
      <c r="DN20" s="108"/>
      <c r="DO20" s="108"/>
      <c r="DP20" s="108"/>
      <c r="DQ20" s="108"/>
      <c r="DR20" s="108"/>
      <c r="DS20" s="108"/>
      <c r="DT20" s="108"/>
      <c r="DU20" s="108"/>
      <c r="DV20" s="108"/>
      <c r="DW20" s="108"/>
      <c r="DX20" s="108"/>
      <c r="DY20" s="108"/>
      <c r="DZ20" s="108"/>
      <c r="EA20" s="108"/>
      <c r="EB20" s="108"/>
      <c r="EC20" s="108"/>
      <c r="ED20" s="108"/>
      <c r="EE20" s="108"/>
      <c r="EF20" s="108"/>
      <c r="EG20" s="108"/>
      <c r="EH20" s="108"/>
      <c r="EI20" s="108"/>
      <c r="EJ20" s="108"/>
      <c r="EK20" s="108"/>
      <c r="EL20" s="108"/>
      <c r="EM20" s="108"/>
      <c r="EN20" s="108"/>
      <c r="EO20" s="108"/>
      <c r="EP20" s="108"/>
      <c r="EQ20" s="108"/>
      <c r="ER20" s="108"/>
      <c r="ES20" s="108"/>
      <c r="ET20" s="108"/>
      <c r="EU20" s="108"/>
      <c r="EV20" s="108"/>
      <c r="EW20" s="108"/>
      <c r="EX20" s="108"/>
      <c r="EY20" s="108"/>
      <c r="EZ20" s="108"/>
      <c r="FA20" s="108"/>
      <c r="FB20" s="108"/>
      <c r="FC20" s="108"/>
      <c r="FD20" s="108"/>
      <c r="FE20" s="108"/>
      <c r="FF20" s="108"/>
      <c r="FG20" s="108"/>
      <c r="FH20" s="108"/>
      <c r="FI20" s="108"/>
      <c r="FJ20" s="108"/>
      <c r="FK20" s="108"/>
      <c r="FL20" s="108"/>
      <c r="FM20" s="108"/>
      <c r="FN20" s="108"/>
      <c r="FO20" s="108"/>
      <c r="FP20" s="108"/>
      <c r="FQ20" s="108"/>
      <c r="FR20" s="108"/>
      <c r="FS20" s="108"/>
      <c r="FT20" s="108"/>
      <c r="FU20" s="108"/>
      <c r="FV20" s="108"/>
      <c r="FW20" s="108"/>
      <c r="FX20" s="108"/>
      <c r="FY20" s="108"/>
      <c r="FZ20" s="108"/>
      <c r="GA20" s="108"/>
      <c r="GB20" s="108"/>
      <c r="GC20" s="108"/>
      <c r="GD20" s="108"/>
      <c r="GE20" s="108"/>
      <c r="GF20" s="108"/>
      <c r="GG20" s="108"/>
      <c r="GH20" s="108"/>
      <c r="GI20" s="108"/>
      <c r="GJ20" s="108"/>
      <c r="GK20" s="108"/>
      <c r="GL20" s="108"/>
      <c r="GM20" s="108"/>
      <c r="GN20" s="108"/>
      <c r="GO20" s="108"/>
      <c r="GP20" s="108"/>
      <c r="GQ20" s="108"/>
      <c r="GR20" s="108"/>
      <c r="GS20" s="108"/>
      <c r="GT20" s="108"/>
      <c r="GU20" s="108"/>
      <c r="GV20" s="108"/>
      <c r="GW20" s="108"/>
      <c r="GX20" s="108"/>
      <c r="GY20" s="108"/>
      <c r="GZ20" s="108"/>
      <c r="HA20" s="108"/>
      <c r="HB20" s="108"/>
      <c r="HC20" s="108"/>
      <c r="HD20" s="108"/>
      <c r="HE20" s="108"/>
      <c r="HF20" s="108"/>
      <c r="HG20" s="108"/>
      <c r="HH20" s="108"/>
      <c r="HI20" s="108"/>
      <c r="HJ20" s="108"/>
      <c r="HK20" s="108"/>
      <c r="HL20" s="108"/>
      <c r="HM20" s="108"/>
      <c r="HN20" s="108"/>
      <c r="HO20" s="108"/>
      <c r="HP20" s="108"/>
      <c r="HQ20" s="108"/>
      <c r="HR20" s="108"/>
      <c r="HS20" s="108"/>
      <c r="HT20" s="108"/>
      <c r="HU20" s="108"/>
      <c r="HV20" s="108"/>
      <c r="HW20" s="108"/>
      <c r="HX20" s="108"/>
      <c r="HY20" s="108"/>
      <c r="HZ20" s="108"/>
      <c r="IA20" s="108"/>
      <c r="IB20" s="108"/>
      <c r="IC20" s="108"/>
      <c r="ID20" s="108"/>
      <c r="IE20" s="108"/>
      <c r="IF20" s="108"/>
      <c r="IG20" s="108"/>
      <c r="IH20" s="108"/>
      <c r="II20" s="108"/>
      <c r="IJ20" s="108"/>
      <c r="IK20" s="108"/>
      <c r="IL20" s="108"/>
      <c r="IM20" s="108"/>
      <c r="IN20" s="108"/>
      <c r="IO20" s="108"/>
      <c r="IP20" s="108"/>
      <c r="IQ20" s="108"/>
      <c r="IR20" s="108"/>
      <c r="IS20" s="108"/>
      <c r="IT20" s="108"/>
      <c r="IU20" s="108"/>
      <c r="IV20" s="108"/>
      <c r="IW20" s="108"/>
    </row>
    <row r="21" spans="1:257" ht="15" thickBot="1" x14ac:dyDescent="0.35">
      <c r="A21" s="158"/>
      <c r="B21" s="113" t="str">
        <f>'Sensitivity analysis'!B180</f>
        <v>SGA among preterm LBW infants</v>
      </c>
      <c r="C21" s="170">
        <f>'Sensitivity analysis'!G180</f>
        <v>35668.667291226149</v>
      </c>
      <c r="D21" s="171">
        <f>'Sensitivity analysis'!H180</f>
        <v>36648.20317748456</v>
      </c>
      <c r="E21" s="172">
        <f t="shared" si="0"/>
        <v>979.53588625841076</v>
      </c>
      <c r="F21" s="158"/>
      <c r="G21" s="158"/>
      <c r="H21" s="158"/>
      <c r="I21" s="173"/>
      <c r="J21" s="170"/>
      <c r="K21" s="175"/>
      <c r="L21" s="172"/>
      <c r="M21" s="158"/>
      <c r="N21" s="158"/>
      <c r="O21" s="108"/>
      <c r="P21" s="108"/>
      <c r="Q21" s="108"/>
      <c r="R21" s="108"/>
      <c r="S21" s="108"/>
      <c r="T21" s="108"/>
      <c r="U21" s="108"/>
      <c r="V21" s="108"/>
      <c r="W21" s="108"/>
      <c r="X21" s="108"/>
      <c r="Y21" s="108"/>
      <c r="Z21" s="108"/>
      <c r="AA21" s="108"/>
      <c r="AB21" s="108"/>
      <c r="AC21" s="108"/>
      <c r="AD21" s="108"/>
      <c r="AE21" s="108"/>
      <c r="AF21" s="108"/>
      <c r="AG21" s="108"/>
      <c r="AH21" s="108"/>
      <c r="AI21" s="108"/>
      <c r="AJ21" s="108"/>
      <c r="AK21" s="108"/>
      <c r="AL21" s="108"/>
      <c r="AM21" s="108"/>
      <c r="AN21" s="108"/>
      <c r="AO21" s="108"/>
      <c r="AP21" s="108"/>
      <c r="AQ21" s="108"/>
      <c r="AR21" s="108"/>
      <c r="AS21" s="108"/>
      <c r="AT21" s="108"/>
      <c r="AU21" s="108"/>
      <c r="AV21" s="108"/>
      <c r="AW21" s="108"/>
      <c r="AX21" s="108"/>
      <c r="AY21" s="108"/>
      <c r="AZ21" s="108"/>
      <c r="BA21" s="108"/>
      <c r="BB21" s="108"/>
      <c r="BC21" s="108"/>
      <c r="BD21" s="108"/>
      <c r="BE21" s="108"/>
      <c r="BF21" s="108"/>
      <c r="BG21" s="108"/>
      <c r="BH21" s="108"/>
      <c r="BI21" s="108"/>
      <c r="BJ21" s="108"/>
      <c r="BK21" s="108"/>
      <c r="BL21" s="108"/>
      <c r="BM21" s="108"/>
      <c r="BN21" s="108"/>
      <c r="BO21" s="108"/>
      <c r="BP21" s="108"/>
      <c r="BQ21" s="108"/>
      <c r="BR21" s="108"/>
      <c r="BS21" s="108"/>
      <c r="BT21" s="108"/>
      <c r="BU21" s="108"/>
      <c r="BV21" s="108"/>
      <c r="BW21" s="108"/>
      <c r="BX21" s="108"/>
      <c r="BY21" s="108"/>
      <c r="BZ21" s="108"/>
      <c r="CA21" s="108"/>
      <c r="CB21" s="108"/>
      <c r="CC21" s="108"/>
      <c r="CD21" s="108"/>
      <c r="CE21" s="108"/>
      <c r="CF21" s="108"/>
      <c r="CG21" s="108"/>
      <c r="CH21" s="108"/>
      <c r="CI21" s="108"/>
      <c r="CJ21" s="108"/>
      <c r="CK21" s="108"/>
      <c r="CL21" s="108"/>
      <c r="CM21" s="108"/>
      <c r="CN21" s="108"/>
      <c r="CO21" s="108"/>
      <c r="CP21" s="108"/>
      <c r="CQ21" s="108"/>
      <c r="CR21" s="108"/>
      <c r="CS21" s="108"/>
      <c r="CT21" s="108"/>
      <c r="CU21" s="108"/>
      <c r="CV21" s="108"/>
      <c r="CW21" s="108"/>
      <c r="CX21" s="108"/>
      <c r="CY21" s="108"/>
      <c r="CZ21" s="108"/>
      <c r="DA21" s="108"/>
      <c r="DB21" s="108"/>
      <c r="DC21" s="108"/>
      <c r="DD21" s="108"/>
      <c r="DE21" s="108"/>
      <c r="DF21" s="108"/>
      <c r="DG21" s="108"/>
      <c r="DH21" s="108"/>
      <c r="DI21" s="108"/>
      <c r="DJ21" s="108"/>
      <c r="DK21" s="108"/>
      <c r="DL21" s="108"/>
      <c r="DM21" s="108"/>
      <c r="DN21" s="108"/>
      <c r="DO21" s="108"/>
      <c r="DP21" s="108"/>
      <c r="DQ21" s="108"/>
      <c r="DR21" s="108"/>
      <c r="DS21" s="108"/>
      <c r="DT21" s="108"/>
      <c r="DU21" s="108"/>
      <c r="DV21" s="108"/>
      <c r="DW21" s="108"/>
      <c r="DX21" s="108"/>
      <c r="DY21" s="108"/>
      <c r="DZ21" s="108"/>
      <c r="EA21" s="108"/>
      <c r="EB21" s="108"/>
      <c r="EC21" s="108"/>
      <c r="ED21" s="108"/>
      <c r="EE21" s="108"/>
      <c r="EF21" s="108"/>
      <c r="EG21" s="108"/>
      <c r="EH21" s="108"/>
      <c r="EI21" s="108"/>
      <c r="EJ21" s="108"/>
      <c r="EK21" s="108"/>
      <c r="EL21" s="108"/>
      <c r="EM21" s="108"/>
      <c r="EN21" s="108"/>
      <c r="EO21" s="108"/>
      <c r="EP21" s="108"/>
      <c r="EQ21" s="108"/>
      <c r="ER21" s="108"/>
      <c r="ES21" s="108"/>
      <c r="ET21" s="108"/>
      <c r="EU21" s="108"/>
      <c r="EV21" s="108"/>
      <c r="EW21" s="108"/>
      <c r="EX21" s="108"/>
      <c r="EY21" s="108"/>
      <c r="EZ21" s="108"/>
      <c r="FA21" s="108"/>
      <c r="FB21" s="108"/>
      <c r="FC21" s="108"/>
      <c r="FD21" s="108"/>
      <c r="FE21" s="108"/>
      <c r="FF21" s="108"/>
      <c r="FG21" s="108"/>
      <c r="FH21" s="108"/>
      <c r="FI21" s="108"/>
      <c r="FJ21" s="108"/>
      <c r="FK21" s="108"/>
      <c r="FL21" s="108"/>
      <c r="FM21" s="108"/>
      <c r="FN21" s="108"/>
      <c r="FO21" s="108"/>
      <c r="FP21" s="108"/>
      <c r="FQ21" s="108"/>
      <c r="FR21" s="108"/>
      <c r="FS21" s="108"/>
      <c r="FT21" s="108"/>
      <c r="FU21" s="108"/>
      <c r="FV21" s="108"/>
      <c r="FW21" s="108"/>
      <c r="FX21" s="108"/>
      <c r="FY21" s="108"/>
      <c r="FZ21" s="108"/>
      <c r="GA21" s="108"/>
      <c r="GB21" s="108"/>
      <c r="GC21" s="108"/>
      <c r="GD21" s="108"/>
      <c r="GE21" s="108"/>
      <c r="GF21" s="108"/>
      <c r="GG21" s="108"/>
      <c r="GH21" s="108"/>
      <c r="GI21" s="108"/>
      <c r="GJ21" s="108"/>
      <c r="GK21" s="108"/>
      <c r="GL21" s="108"/>
      <c r="GM21" s="108"/>
      <c r="GN21" s="108"/>
      <c r="GO21" s="108"/>
      <c r="GP21" s="108"/>
      <c r="GQ21" s="108"/>
      <c r="GR21" s="108"/>
      <c r="GS21" s="108"/>
      <c r="GT21" s="108"/>
      <c r="GU21" s="108"/>
      <c r="GV21" s="108"/>
      <c r="GW21" s="108"/>
      <c r="GX21" s="108"/>
      <c r="GY21" s="108"/>
      <c r="GZ21" s="108"/>
      <c r="HA21" s="108"/>
      <c r="HB21" s="108"/>
      <c r="HC21" s="108"/>
      <c r="HD21" s="108"/>
      <c r="HE21" s="108"/>
      <c r="HF21" s="108"/>
      <c r="HG21" s="108"/>
      <c r="HH21" s="108"/>
      <c r="HI21" s="108"/>
      <c r="HJ21" s="108"/>
      <c r="HK21" s="108"/>
      <c r="HL21" s="108"/>
      <c r="HM21" s="108"/>
      <c r="HN21" s="108"/>
      <c r="HO21" s="108"/>
      <c r="HP21" s="108"/>
      <c r="HQ21" s="108"/>
      <c r="HR21" s="108"/>
      <c r="HS21" s="108"/>
      <c r="HT21" s="108"/>
      <c r="HU21" s="108"/>
      <c r="HV21" s="108"/>
      <c r="HW21" s="108"/>
      <c r="HX21" s="108"/>
      <c r="HY21" s="108"/>
      <c r="HZ21" s="108"/>
      <c r="IA21" s="108"/>
      <c r="IB21" s="108"/>
      <c r="IC21" s="108"/>
      <c r="ID21" s="108"/>
      <c r="IE21" s="108"/>
      <c r="IF21" s="108"/>
      <c r="IG21" s="108"/>
      <c r="IH21" s="108"/>
      <c r="II21" s="108"/>
      <c r="IJ21" s="108"/>
      <c r="IK21" s="108"/>
      <c r="IL21" s="108"/>
      <c r="IM21" s="108"/>
      <c r="IN21" s="108"/>
      <c r="IO21" s="108"/>
      <c r="IP21" s="108"/>
      <c r="IQ21" s="108"/>
      <c r="IR21" s="108"/>
      <c r="IS21" s="108"/>
      <c r="IT21" s="108"/>
      <c r="IU21" s="108"/>
      <c r="IV21" s="108"/>
      <c r="IW21" s="108"/>
    </row>
    <row r="22" spans="1:257" ht="15" thickBot="1" x14ac:dyDescent="0.35">
      <c r="A22" s="158"/>
      <c r="B22" s="113" t="str">
        <f>'Sensitivity analysis'!B181</f>
        <v>AGA among term normal birth weight infants</v>
      </c>
      <c r="C22" s="170">
        <f>'Sensitivity analysis'!G181</f>
        <v>36124.6332152873</v>
      </c>
      <c r="D22" s="171">
        <f>'Sensitivity analysis'!H181</f>
        <v>36189.983785485369</v>
      </c>
      <c r="E22" s="172">
        <f t="shared" si="0"/>
        <v>65.350570198068453</v>
      </c>
      <c r="F22" s="158"/>
      <c r="G22" s="158"/>
      <c r="H22" s="158"/>
      <c r="I22" s="173"/>
      <c r="J22" s="170"/>
      <c r="K22" s="175"/>
      <c r="L22" s="172"/>
      <c r="M22" s="158"/>
      <c r="N22" s="158"/>
      <c r="O22" s="108"/>
      <c r="P22" s="108"/>
      <c r="Q22" s="108"/>
      <c r="R22" s="108"/>
      <c r="S22" s="108"/>
      <c r="T22" s="108"/>
      <c r="U22" s="108"/>
      <c r="V22" s="108"/>
      <c r="W22" s="108"/>
      <c r="X22" s="108"/>
      <c r="Y22" s="108"/>
      <c r="Z22" s="108"/>
      <c r="AA22" s="108"/>
      <c r="AB22" s="108"/>
      <c r="AC22" s="108"/>
      <c r="AD22" s="108"/>
      <c r="AE22" s="108"/>
      <c r="AF22" s="108"/>
      <c r="AG22" s="108"/>
      <c r="AH22" s="108"/>
      <c r="AI22" s="108"/>
      <c r="AJ22" s="108"/>
      <c r="AK22" s="108"/>
      <c r="AL22" s="108"/>
      <c r="AM22" s="108"/>
      <c r="AN22" s="108"/>
      <c r="AO22" s="108"/>
      <c r="AP22" s="108"/>
      <c r="AQ22" s="108"/>
      <c r="AR22" s="108"/>
      <c r="AS22" s="108"/>
      <c r="AT22" s="108"/>
      <c r="AU22" s="108"/>
      <c r="AV22" s="108"/>
      <c r="AW22" s="108"/>
      <c r="AX22" s="108"/>
      <c r="AY22" s="108"/>
      <c r="AZ22" s="108"/>
      <c r="BA22" s="108"/>
      <c r="BB22" s="108"/>
      <c r="BC22" s="108"/>
      <c r="BD22" s="108"/>
      <c r="BE22" s="108"/>
      <c r="BF22" s="108"/>
      <c r="BG22" s="108"/>
      <c r="BH22" s="108"/>
      <c r="BI22" s="108"/>
      <c r="BJ22" s="108"/>
      <c r="BK22" s="108"/>
      <c r="BL22" s="108"/>
      <c r="BM22" s="108"/>
      <c r="BN22" s="108"/>
      <c r="BO22" s="108"/>
      <c r="BP22" s="108"/>
      <c r="BQ22" s="108"/>
      <c r="BR22" s="108"/>
      <c r="BS22" s="108"/>
      <c r="BT22" s="108"/>
      <c r="BU22" s="108"/>
      <c r="BV22" s="108"/>
      <c r="BW22" s="108"/>
      <c r="BX22" s="108"/>
      <c r="BY22" s="108"/>
      <c r="BZ22" s="108"/>
      <c r="CA22" s="108"/>
      <c r="CB22" s="108"/>
      <c r="CC22" s="108"/>
      <c r="CD22" s="108"/>
      <c r="CE22" s="108"/>
      <c r="CF22" s="108"/>
      <c r="CG22" s="108"/>
      <c r="CH22" s="108"/>
      <c r="CI22" s="108"/>
      <c r="CJ22" s="108"/>
      <c r="CK22" s="108"/>
      <c r="CL22" s="108"/>
      <c r="CM22" s="108"/>
      <c r="CN22" s="108"/>
      <c r="CO22" s="108"/>
      <c r="CP22" s="108"/>
      <c r="CQ22" s="108"/>
      <c r="CR22" s="108"/>
      <c r="CS22" s="108"/>
      <c r="CT22" s="108"/>
      <c r="CU22" s="108"/>
      <c r="CV22" s="108"/>
      <c r="CW22" s="108"/>
      <c r="CX22" s="108"/>
      <c r="CY22" s="108"/>
      <c r="CZ22" s="108"/>
      <c r="DA22" s="108"/>
      <c r="DB22" s="108"/>
      <c r="DC22" s="108"/>
      <c r="DD22" s="108"/>
      <c r="DE22" s="108"/>
      <c r="DF22" s="108"/>
      <c r="DG22" s="108"/>
      <c r="DH22" s="108"/>
      <c r="DI22" s="108"/>
      <c r="DJ22" s="108"/>
      <c r="DK22" s="108"/>
      <c r="DL22" s="108"/>
      <c r="DM22" s="108"/>
      <c r="DN22" s="108"/>
      <c r="DO22" s="108"/>
      <c r="DP22" s="108"/>
      <c r="DQ22" s="108"/>
      <c r="DR22" s="108"/>
      <c r="DS22" s="108"/>
      <c r="DT22" s="108"/>
      <c r="DU22" s="108"/>
      <c r="DV22" s="108"/>
      <c r="DW22" s="108"/>
      <c r="DX22" s="108"/>
      <c r="DY22" s="108"/>
      <c r="DZ22" s="108"/>
      <c r="EA22" s="108"/>
      <c r="EB22" s="108"/>
      <c r="EC22" s="108"/>
      <c r="ED22" s="108"/>
      <c r="EE22" s="108"/>
      <c r="EF22" s="108"/>
      <c r="EG22" s="108"/>
      <c r="EH22" s="108"/>
      <c r="EI22" s="108"/>
      <c r="EJ22" s="108"/>
      <c r="EK22" s="108"/>
      <c r="EL22" s="108"/>
      <c r="EM22" s="108"/>
      <c r="EN22" s="108"/>
      <c r="EO22" s="108"/>
      <c r="EP22" s="108"/>
      <c r="EQ22" s="108"/>
      <c r="ER22" s="108"/>
      <c r="ES22" s="108"/>
      <c r="ET22" s="108"/>
      <c r="EU22" s="108"/>
      <c r="EV22" s="108"/>
      <c r="EW22" s="108"/>
      <c r="EX22" s="108"/>
      <c r="EY22" s="108"/>
      <c r="EZ22" s="108"/>
      <c r="FA22" s="108"/>
      <c r="FB22" s="108"/>
      <c r="FC22" s="108"/>
      <c r="FD22" s="108"/>
      <c r="FE22" s="108"/>
      <c r="FF22" s="108"/>
      <c r="FG22" s="108"/>
      <c r="FH22" s="108"/>
      <c r="FI22" s="108"/>
      <c r="FJ22" s="108"/>
      <c r="FK22" s="108"/>
      <c r="FL22" s="108"/>
      <c r="FM22" s="108"/>
      <c r="FN22" s="108"/>
      <c r="FO22" s="108"/>
      <c r="FP22" s="108"/>
      <c r="FQ22" s="108"/>
      <c r="FR22" s="108"/>
      <c r="FS22" s="108"/>
      <c r="FT22" s="108"/>
      <c r="FU22" s="108"/>
      <c r="FV22" s="108"/>
      <c r="FW22" s="108"/>
      <c r="FX22" s="108"/>
      <c r="FY22" s="108"/>
      <c r="FZ22" s="108"/>
      <c r="GA22" s="108"/>
      <c r="GB22" s="108"/>
      <c r="GC22" s="108"/>
      <c r="GD22" s="108"/>
      <c r="GE22" s="108"/>
      <c r="GF22" s="108"/>
      <c r="GG22" s="108"/>
      <c r="GH22" s="108"/>
      <c r="GI22" s="108"/>
      <c r="GJ22" s="108"/>
      <c r="GK22" s="108"/>
      <c r="GL22" s="108"/>
      <c r="GM22" s="108"/>
      <c r="GN22" s="108"/>
      <c r="GO22" s="108"/>
      <c r="GP22" s="108"/>
      <c r="GQ22" s="108"/>
      <c r="GR22" s="108"/>
      <c r="GS22" s="108"/>
      <c r="GT22" s="108"/>
      <c r="GU22" s="108"/>
      <c r="GV22" s="108"/>
      <c r="GW22" s="108"/>
      <c r="GX22" s="108"/>
      <c r="GY22" s="108"/>
      <c r="GZ22" s="108"/>
      <c r="HA22" s="108"/>
      <c r="HB22" s="108"/>
      <c r="HC22" s="108"/>
      <c r="HD22" s="108"/>
      <c r="HE22" s="108"/>
      <c r="HF22" s="108"/>
      <c r="HG22" s="108"/>
      <c r="HH22" s="108"/>
      <c r="HI22" s="108"/>
      <c r="HJ22" s="108"/>
      <c r="HK22" s="108"/>
      <c r="HL22" s="108"/>
      <c r="HM22" s="108"/>
      <c r="HN22" s="108"/>
      <c r="HO22" s="108"/>
      <c r="HP22" s="108"/>
      <c r="HQ22" s="108"/>
      <c r="HR22" s="108"/>
      <c r="HS22" s="108"/>
      <c r="HT22" s="108"/>
      <c r="HU22" s="108"/>
      <c r="HV22" s="108"/>
      <c r="HW22" s="108"/>
      <c r="HX22" s="108"/>
      <c r="HY22" s="108"/>
      <c r="HZ22" s="108"/>
      <c r="IA22" s="108"/>
      <c r="IB22" s="108"/>
      <c r="IC22" s="108"/>
      <c r="ID22" s="108"/>
      <c r="IE22" s="108"/>
      <c r="IF22" s="108"/>
      <c r="IG22" s="108"/>
      <c r="IH22" s="108"/>
      <c r="II22" s="108"/>
      <c r="IJ22" s="108"/>
      <c r="IK22" s="108"/>
      <c r="IL22" s="108"/>
      <c r="IM22" s="108"/>
      <c r="IN22" s="108"/>
      <c r="IO22" s="108"/>
      <c r="IP22" s="108"/>
      <c r="IQ22" s="108"/>
      <c r="IR22" s="108"/>
      <c r="IS22" s="108"/>
      <c r="IT22" s="108"/>
      <c r="IU22" s="108"/>
      <c r="IV22" s="108"/>
      <c r="IW22" s="108"/>
    </row>
    <row r="23" spans="1:257" ht="15" thickBot="1" x14ac:dyDescent="0.35">
      <c r="A23" s="158"/>
      <c r="B23" s="113" t="str">
        <f>'Sensitivity analysis'!B182</f>
        <v>Death among preterm SGA infants</v>
      </c>
      <c r="C23" s="170">
        <f>'Sensitivity analysis'!G182</f>
        <v>35338.067205349995</v>
      </c>
      <c r="D23" s="171">
        <f>'Sensitivity analysis'!H182</f>
        <v>36978.803263360431</v>
      </c>
      <c r="E23" s="172">
        <f t="shared" si="0"/>
        <v>1640.736058010436</v>
      </c>
      <c r="F23" s="158"/>
      <c r="G23" s="158"/>
      <c r="H23" s="158"/>
      <c r="I23" s="173"/>
      <c r="J23" s="170"/>
      <c r="K23" s="175"/>
      <c r="L23" s="172"/>
      <c r="M23" s="158"/>
      <c r="N23" s="158"/>
      <c r="O23" s="108"/>
      <c r="P23" s="108"/>
      <c r="Q23" s="108"/>
      <c r="R23" s="108"/>
      <c r="S23" s="108"/>
      <c r="T23" s="108"/>
      <c r="U23" s="108"/>
      <c r="V23" s="108"/>
      <c r="W23" s="108"/>
      <c r="X23" s="108"/>
      <c r="Y23" s="108"/>
      <c r="Z23" s="108"/>
      <c r="AA23" s="108"/>
      <c r="AB23" s="108"/>
      <c r="AC23" s="108"/>
      <c r="AD23" s="108"/>
      <c r="AE23" s="108"/>
      <c r="AF23" s="108"/>
      <c r="AG23" s="108"/>
      <c r="AH23" s="108"/>
      <c r="AI23" s="108"/>
      <c r="AJ23" s="108"/>
      <c r="AK23" s="108"/>
      <c r="AL23" s="108"/>
      <c r="AM23" s="108"/>
      <c r="AN23" s="108"/>
      <c r="AO23" s="108"/>
      <c r="AP23" s="108"/>
      <c r="AQ23" s="108"/>
      <c r="AR23" s="108"/>
      <c r="AS23" s="108"/>
      <c r="AT23" s="108"/>
      <c r="AU23" s="108"/>
      <c r="AV23" s="108"/>
      <c r="AW23" s="108"/>
      <c r="AX23" s="108"/>
      <c r="AY23" s="108"/>
      <c r="AZ23" s="108"/>
      <c r="BA23" s="108"/>
      <c r="BB23" s="108"/>
      <c r="BC23" s="108"/>
      <c r="BD23" s="108"/>
      <c r="BE23" s="108"/>
      <c r="BF23" s="108"/>
      <c r="BG23" s="108"/>
      <c r="BH23" s="108"/>
      <c r="BI23" s="108"/>
      <c r="BJ23" s="108"/>
      <c r="BK23" s="108"/>
      <c r="BL23" s="108"/>
      <c r="BM23" s="108"/>
      <c r="BN23" s="108"/>
      <c r="BO23" s="108"/>
      <c r="BP23" s="108"/>
      <c r="BQ23" s="108"/>
      <c r="BR23" s="108"/>
      <c r="BS23" s="108"/>
      <c r="BT23" s="108"/>
      <c r="BU23" s="108"/>
      <c r="BV23" s="108"/>
      <c r="BW23" s="108"/>
      <c r="BX23" s="108"/>
      <c r="BY23" s="108"/>
      <c r="BZ23" s="108"/>
      <c r="CA23" s="108"/>
      <c r="CB23" s="108"/>
      <c r="CC23" s="108"/>
      <c r="CD23" s="108"/>
      <c r="CE23" s="108"/>
      <c r="CF23" s="108"/>
      <c r="CG23" s="108"/>
      <c r="CH23" s="108"/>
      <c r="CI23" s="108"/>
      <c r="CJ23" s="108"/>
      <c r="CK23" s="108"/>
      <c r="CL23" s="108"/>
      <c r="CM23" s="108"/>
      <c r="CN23" s="108"/>
      <c r="CO23" s="108"/>
      <c r="CP23" s="108"/>
      <c r="CQ23" s="108"/>
      <c r="CR23" s="108"/>
      <c r="CS23" s="108"/>
      <c r="CT23" s="108"/>
      <c r="CU23" s="108"/>
      <c r="CV23" s="108"/>
      <c r="CW23" s="108"/>
      <c r="CX23" s="108"/>
      <c r="CY23" s="108"/>
      <c r="CZ23" s="108"/>
      <c r="DA23" s="108"/>
      <c r="DB23" s="108"/>
      <c r="DC23" s="108"/>
      <c r="DD23" s="108"/>
      <c r="DE23" s="108"/>
      <c r="DF23" s="108"/>
      <c r="DG23" s="108"/>
      <c r="DH23" s="108"/>
      <c r="DI23" s="108"/>
      <c r="DJ23" s="108"/>
      <c r="DK23" s="108"/>
      <c r="DL23" s="108"/>
      <c r="DM23" s="108"/>
      <c r="DN23" s="108"/>
      <c r="DO23" s="108"/>
      <c r="DP23" s="108"/>
      <c r="DQ23" s="108"/>
      <c r="DR23" s="108"/>
      <c r="DS23" s="108"/>
      <c r="DT23" s="108"/>
      <c r="DU23" s="108"/>
      <c r="DV23" s="108"/>
      <c r="DW23" s="108"/>
      <c r="DX23" s="108"/>
      <c r="DY23" s="108"/>
      <c r="DZ23" s="108"/>
      <c r="EA23" s="108"/>
      <c r="EB23" s="108"/>
      <c r="EC23" s="108"/>
      <c r="ED23" s="108"/>
      <c r="EE23" s="108"/>
      <c r="EF23" s="108"/>
      <c r="EG23" s="108"/>
      <c r="EH23" s="108"/>
      <c r="EI23" s="108"/>
      <c r="EJ23" s="108"/>
      <c r="EK23" s="108"/>
      <c r="EL23" s="108"/>
      <c r="EM23" s="108"/>
      <c r="EN23" s="108"/>
      <c r="EO23" s="108"/>
      <c r="EP23" s="108"/>
      <c r="EQ23" s="108"/>
      <c r="ER23" s="108"/>
      <c r="ES23" s="108"/>
      <c r="ET23" s="108"/>
      <c r="EU23" s="108"/>
      <c r="EV23" s="108"/>
      <c r="EW23" s="108"/>
      <c r="EX23" s="108"/>
      <c r="EY23" s="108"/>
      <c r="EZ23" s="108"/>
      <c r="FA23" s="108"/>
      <c r="FB23" s="108"/>
      <c r="FC23" s="108"/>
      <c r="FD23" s="108"/>
      <c r="FE23" s="108"/>
      <c r="FF23" s="108"/>
      <c r="FG23" s="108"/>
      <c r="FH23" s="108"/>
      <c r="FI23" s="108"/>
      <c r="FJ23" s="108"/>
      <c r="FK23" s="108"/>
      <c r="FL23" s="108"/>
      <c r="FM23" s="108"/>
      <c r="FN23" s="108"/>
      <c r="FO23" s="108"/>
      <c r="FP23" s="108"/>
      <c r="FQ23" s="108"/>
      <c r="FR23" s="108"/>
      <c r="FS23" s="108"/>
      <c r="FT23" s="108"/>
      <c r="FU23" s="108"/>
      <c r="FV23" s="108"/>
      <c r="FW23" s="108"/>
      <c r="FX23" s="108"/>
      <c r="FY23" s="108"/>
      <c r="FZ23" s="108"/>
      <c r="GA23" s="108"/>
      <c r="GB23" s="108"/>
      <c r="GC23" s="108"/>
      <c r="GD23" s="108"/>
      <c r="GE23" s="108"/>
      <c r="GF23" s="108"/>
      <c r="GG23" s="108"/>
      <c r="GH23" s="108"/>
      <c r="GI23" s="108"/>
      <c r="GJ23" s="108"/>
      <c r="GK23" s="108"/>
      <c r="GL23" s="108"/>
      <c r="GM23" s="108"/>
      <c r="GN23" s="108"/>
      <c r="GO23" s="108"/>
      <c r="GP23" s="108"/>
      <c r="GQ23" s="108"/>
      <c r="GR23" s="108"/>
      <c r="GS23" s="108"/>
      <c r="GT23" s="108"/>
      <c r="GU23" s="108"/>
      <c r="GV23" s="108"/>
      <c r="GW23" s="108"/>
      <c r="GX23" s="108"/>
      <c r="GY23" s="108"/>
      <c r="GZ23" s="108"/>
      <c r="HA23" s="108"/>
      <c r="HB23" s="108"/>
      <c r="HC23" s="108"/>
      <c r="HD23" s="108"/>
      <c r="HE23" s="108"/>
      <c r="HF23" s="108"/>
      <c r="HG23" s="108"/>
      <c r="HH23" s="108"/>
      <c r="HI23" s="108"/>
      <c r="HJ23" s="108"/>
      <c r="HK23" s="108"/>
      <c r="HL23" s="108"/>
      <c r="HM23" s="108"/>
      <c r="HN23" s="108"/>
      <c r="HO23" s="108"/>
      <c r="HP23" s="108"/>
      <c r="HQ23" s="108"/>
      <c r="HR23" s="108"/>
      <c r="HS23" s="108"/>
      <c r="HT23" s="108"/>
      <c r="HU23" s="108"/>
      <c r="HV23" s="108"/>
      <c r="HW23" s="108"/>
      <c r="HX23" s="108"/>
      <c r="HY23" s="108"/>
      <c r="HZ23" s="108"/>
      <c r="IA23" s="108"/>
      <c r="IB23" s="108"/>
      <c r="IC23" s="108"/>
      <c r="ID23" s="108"/>
      <c r="IE23" s="108"/>
      <c r="IF23" s="108"/>
      <c r="IG23" s="108"/>
      <c r="IH23" s="108"/>
      <c r="II23" s="108"/>
      <c r="IJ23" s="108"/>
      <c r="IK23" s="108"/>
      <c r="IL23" s="108"/>
      <c r="IM23" s="108"/>
      <c r="IN23" s="108"/>
      <c r="IO23" s="108"/>
      <c r="IP23" s="108"/>
      <c r="IQ23" s="108"/>
      <c r="IR23" s="108"/>
      <c r="IS23" s="108"/>
      <c r="IT23" s="108"/>
      <c r="IU23" s="108"/>
      <c r="IV23" s="108"/>
      <c r="IW23" s="108"/>
    </row>
    <row r="24" spans="1:257" ht="15" thickBot="1" x14ac:dyDescent="0.35">
      <c r="A24" s="158"/>
      <c r="B24" s="113" t="str">
        <f>'Sensitivity analysis'!B183</f>
        <v>Death among term SGA infants</v>
      </c>
      <c r="C24" s="170">
        <f>'Sensitivity analysis'!G183</f>
        <v>35652.849750403897</v>
      </c>
      <c r="D24" s="171">
        <f>'Sensitivity analysis'!H183</f>
        <v>36664.020718306609</v>
      </c>
      <c r="E24" s="172">
        <f t="shared" si="0"/>
        <v>1011.1709679027117</v>
      </c>
      <c r="F24" s="158"/>
      <c r="G24" s="158"/>
      <c r="H24" s="158"/>
      <c r="I24" s="173"/>
      <c r="J24" s="170"/>
      <c r="K24" s="175"/>
      <c r="L24" s="172"/>
      <c r="M24" s="158"/>
      <c r="N24" s="158"/>
      <c r="O24" s="108"/>
      <c r="P24" s="108"/>
      <c r="Q24" s="108"/>
      <c r="R24" s="108"/>
      <c r="S24" s="108"/>
      <c r="T24" s="108"/>
      <c r="U24" s="108"/>
      <c r="V24" s="108"/>
      <c r="W24" s="108"/>
      <c r="X24" s="108"/>
      <c r="Y24" s="108"/>
      <c r="Z24" s="108"/>
      <c r="AA24" s="108"/>
      <c r="AB24" s="108"/>
      <c r="AC24" s="108"/>
      <c r="AD24" s="108"/>
      <c r="AE24" s="108"/>
      <c r="AF24" s="108"/>
      <c r="AG24" s="108"/>
      <c r="AH24" s="108"/>
      <c r="AI24" s="108"/>
      <c r="AJ24" s="108"/>
      <c r="AK24" s="108"/>
      <c r="AL24" s="108"/>
      <c r="AM24" s="108"/>
      <c r="AN24" s="108"/>
      <c r="AO24" s="108"/>
      <c r="AP24" s="108"/>
      <c r="AQ24" s="108"/>
      <c r="AR24" s="108"/>
      <c r="AS24" s="108"/>
      <c r="AT24" s="108"/>
      <c r="AU24" s="108"/>
      <c r="AV24" s="108"/>
      <c r="AW24" s="108"/>
      <c r="AX24" s="108"/>
      <c r="AY24" s="108"/>
      <c r="AZ24" s="108"/>
      <c r="BA24" s="108"/>
      <c r="BB24" s="108"/>
      <c r="BC24" s="108"/>
      <c r="BD24" s="108"/>
      <c r="BE24" s="108"/>
      <c r="BF24" s="108"/>
      <c r="BG24" s="108"/>
      <c r="BH24" s="108"/>
      <c r="BI24" s="108"/>
      <c r="BJ24" s="108"/>
      <c r="BK24" s="108"/>
      <c r="BL24" s="108"/>
      <c r="BM24" s="108"/>
      <c r="BN24" s="108"/>
      <c r="BO24" s="108"/>
      <c r="BP24" s="108"/>
      <c r="BQ24" s="108"/>
      <c r="BR24" s="108"/>
      <c r="BS24" s="108"/>
      <c r="BT24" s="108"/>
      <c r="BU24" s="108"/>
      <c r="BV24" s="108"/>
      <c r="BW24" s="108"/>
      <c r="BX24" s="108"/>
      <c r="BY24" s="108"/>
      <c r="BZ24" s="108"/>
      <c r="CA24" s="108"/>
      <c r="CB24" s="108"/>
      <c r="CC24" s="108"/>
      <c r="CD24" s="108"/>
      <c r="CE24" s="108"/>
      <c r="CF24" s="108"/>
      <c r="CG24" s="108"/>
      <c r="CH24" s="108"/>
      <c r="CI24" s="108"/>
      <c r="CJ24" s="108"/>
      <c r="CK24" s="108"/>
      <c r="CL24" s="108"/>
      <c r="CM24" s="108"/>
      <c r="CN24" s="108"/>
      <c r="CO24" s="108"/>
      <c r="CP24" s="108"/>
      <c r="CQ24" s="108"/>
      <c r="CR24" s="108"/>
      <c r="CS24" s="108"/>
      <c r="CT24" s="108"/>
      <c r="CU24" s="108"/>
      <c r="CV24" s="108"/>
      <c r="CW24" s="108"/>
      <c r="CX24" s="108"/>
      <c r="CY24" s="108"/>
      <c r="CZ24" s="108"/>
      <c r="DA24" s="108"/>
      <c r="DB24" s="108"/>
      <c r="DC24" s="108"/>
      <c r="DD24" s="108"/>
      <c r="DE24" s="108"/>
      <c r="DF24" s="108"/>
      <c r="DG24" s="108"/>
      <c r="DH24" s="108"/>
      <c r="DI24" s="108"/>
      <c r="DJ24" s="108"/>
      <c r="DK24" s="108"/>
      <c r="DL24" s="108"/>
      <c r="DM24" s="108"/>
      <c r="DN24" s="108"/>
      <c r="DO24" s="108"/>
      <c r="DP24" s="108"/>
      <c r="DQ24" s="108"/>
      <c r="DR24" s="108"/>
      <c r="DS24" s="108"/>
      <c r="DT24" s="108"/>
      <c r="DU24" s="108"/>
      <c r="DV24" s="108"/>
      <c r="DW24" s="108"/>
      <c r="DX24" s="108"/>
      <c r="DY24" s="108"/>
      <c r="DZ24" s="108"/>
      <c r="EA24" s="108"/>
      <c r="EB24" s="108"/>
      <c r="EC24" s="108"/>
      <c r="ED24" s="108"/>
      <c r="EE24" s="108"/>
      <c r="EF24" s="108"/>
      <c r="EG24" s="108"/>
      <c r="EH24" s="108"/>
      <c r="EI24" s="108"/>
      <c r="EJ24" s="108"/>
      <c r="EK24" s="108"/>
      <c r="EL24" s="108"/>
      <c r="EM24" s="108"/>
      <c r="EN24" s="108"/>
      <c r="EO24" s="108"/>
      <c r="EP24" s="108"/>
      <c r="EQ24" s="108"/>
      <c r="ER24" s="108"/>
      <c r="ES24" s="108"/>
      <c r="ET24" s="108"/>
      <c r="EU24" s="108"/>
      <c r="EV24" s="108"/>
      <c r="EW24" s="108"/>
      <c r="EX24" s="108"/>
      <c r="EY24" s="108"/>
      <c r="EZ24" s="108"/>
      <c r="FA24" s="108"/>
      <c r="FB24" s="108"/>
      <c r="FC24" s="108"/>
      <c r="FD24" s="108"/>
      <c r="FE24" s="108"/>
      <c r="FF24" s="108"/>
      <c r="FG24" s="108"/>
      <c r="FH24" s="108"/>
      <c r="FI24" s="108"/>
      <c r="FJ24" s="108"/>
      <c r="FK24" s="108"/>
      <c r="FL24" s="108"/>
      <c r="FM24" s="108"/>
      <c r="FN24" s="108"/>
      <c r="FO24" s="108"/>
      <c r="FP24" s="108"/>
      <c r="FQ24" s="108"/>
      <c r="FR24" s="108"/>
      <c r="FS24" s="108"/>
      <c r="FT24" s="108"/>
      <c r="FU24" s="108"/>
      <c r="FV24" s="108"/>
      <c r="FW24" s="108"/>
      <c r="FX24" s="108"/>
      <c r="FY24" s="108"/>
      <c r="FZ24" s="108"/>
      <c r="GA24" s="108"/>
      <c r="GB24" s="108"/>
      <c r="GC24" s="108"/>
      <c r="GD24" s="108"/>
      <c r="GE24" s="108"/>
      <c r="GF24" s="108"/>
      <c r="GG24" s="108"/>
      <c r="GH24" s="108"/>
      <c r="GI24" s="108"/>
      <c r="GJ24" s="108"/>
      <c r="GK24" s="108"/>
      <c r="GL24" s="108"/>
      <c r="GM24" s="108"/>
      <c r="GN24" s="108"/>
      <c r="GO24" s="108"/>
      <c r="GP24" s="108"/>
      <c r="GQ24" s="108"/>
      <c r="GR24" s="108"/>
      <c r="GS24" s="108"/>
      <c r="GT24" s="108"/>
      <c r="GU24" s="108"/>
      <c r="GV24" s="108"/>
      <c r="GW24" s="108"/>
      <c r="GX24" s="108"/>
      <c r="GY24" s="108"/>
      <c r="GZ24" s="108"/>
      <c r="HA24" s="108"/>
      <c r="HB24" s="108"/>
      <c r="HC24" s="108"/>
      <c r="HD24" s="108"/>
      <c r="HE24" s="108"/>
      <c r="HF24" s="108"/>
      <c r="HG24" s="108"/>
      <c r="HH24" s="108"/>
      <c r="HI24" s="108"/>
      <c r="HJ24" s="108"/>
      <c r="HK24" s="108"/>
      <c r="HL24" s="108"/>
      <c r="HM24" s="108"/>
      <c r="HN24" s="108"/>
      <c r="HO24" s="108"/>
      <c r="HP24" s="108"/>
      <c r="HQ24" s="108"/>
      <c r="HR24" s="108"/>
      <c r="HS24" s="108"/>
      <c r="HT24" s="108"/>
      <c r="HU24" s="108"/>
      <c r="HV24" s="108"/>
      <c r="HW24" s="108"/>
      <c r="HX24" s="108"/>
      <c r="HY24" s="108"/>
      <c r="HZ24" s="108"/>
      <c r="IA24" s="108"/>
      <c r="IB24" s="108"/>
      <c r="IC24" s="108"/>
      <c r="ID24" s="108"/>
      <c r="IE24" s="108"/>
      <c r="IF24" s="108"/>
      <c r="IG24" s="108"/>
      <c r="IH24" s="108"/>
      <c r="II24" s="108"/>
      <c r="IJ24" s="108"/>
      <c r="IK24" s="108"/>
      <c r="IL24" s="108"/>
      <c r="IM24" s="108"/>
      <c r="IN24" s="108"/>
      <c r="IO24" s="108"/>
      <c r="IP24" s="108"/>
      <c r="IQ24" s="108"/>
      <c r="IR24" s="108"/>
      <c r="IS24" s="108"/>
      <c r="IT24" s="108"/>
      <c r="IU24" s="108"/>
      <c r="IV24" s="108"/>
      <c r="IW24" s="108"/>
    </row>
    <row r="25" spans="1:257" ht="15" thickBot="1" x14ac:dyDescent="0.35">
      <c r="A25" s="158"/>
      <c r="B25" s="113" t="str">
        <f>'Sensitivity analysis'!B184</f>
        <v>Death among preterm AGA infants</v>
      </c>
      <c r="C25" s="170">
        <f>'Sensitivity analysis'!G184</f>
        <v>35874.512406173963</v>
      </c>
      <c r="D25" s="171">
        <f>'Sensitivity analysis'!H184</f>
        <v>36442.358062536441</v>
      </c>
      <c r="E25" s="172">
        <f t="shared" si="0"/>
        <v>567.84565636247862</v>
      </c>
      <c r="F25" s="158"/>
      <c r="G25" s="158"/>
      <c r="H25" s="158"/>
      <c r="I25" s="173"/>
      <c r="J25" s="170"/>
      <c r="K25" s="175"/>
      <c r="L25" s="172"/>
      <c r="M25" s="158"/>
      <c r="N25" s="158"/>
      <c r="O25" s="108"/>
      <c r="P25" s="108"/>
      <c r="Q25" s="108"/>
      <c r="R25" s="108"/>
      <c r="S25" s="108"/>
      <c r="T25" s="108"/>
      <c r="U25" s="108"/>
      <c r="V25" s="108"/>
      <c r="W25" s="108"/>
      <c r="X25" s="108"/>
      <c r="Y25" s="108"/>
      <c r="Z25" s="108"/>
      <c r="AA25" s="108"/>
      <c r="AB25" s="108"/>
      <c r="AC25" s="108"/>
      <c r="AD25" s="108"/>
      <c r="AE25" s="108"/>
      <c r="AF25" s="108"/>
      <c r="AG25" s="108"/>
      <c r="AH25" s="108"/>
      <c r="AI25" s="108"/>
      <c r="AJ25" s="108"/>
      <c r="AK25" s="108"/>
      <c r="AL25" s="108"/>
      <c r="AM25" s="108"/>
      <c r="AN25" s="108"/>
      <c r="AO25" s="108"/>
      <c r="AP25" s="108"/>
      <c r="AQ25" s="108"/>
      <c r="AR25" s="108"/>
      <c r="AS25" s="108"/>
      <c r="AT25" s="108"/>
      <c r="AU25" s="108"/>
      <c r="AV25" s="108"/>
      <c r="AW25" s="108"/>
      <c r="AX25" s="108"/>
      <c r="AY25" s="108"/>
      <c r="AZ25" s="108"/>
      <c r="BA25" s="108"/>
      <c r="BB25" s="108"/>
      <c r="BC25" s="108"/>
      <c r="BD25" s="108"/>
      <c r="BE25" s="108"/>
      <c r="BF25" s="108"/>
      <c r="BG25" s="108"/>
      <c r="BH25" s="108"/>
      <c r="BI25" s="108"/>
      <c r="BJ25" s="108"/>
      <c r="BK25" s="108"/>
      <c r="BL25" s="108"/>
      <c r="BM25" s="108"/>
      <c r="BN25" s="108"/>
      <c r="BO25" s="108"/>
      <c r="BP25" s="108"/>
      <c r="BQ25" s="108"/>
      <c r="BR25" s="108"/>
      <c r="BS25" s="108"/>
      <c r="BT25" s="108"/>
      <c r="BU25" s="108"/>
      <c r="BV25" s="108"/>
      <c r="BW25" s="108"/>
      <c r="BX25" s="108"/>
      <c r="BY25" s="108"/>
      <c r="BZ25" s="108"/>
      <c r="CA25" s="108"/>
      <c r="CB25" s="108"/>
      <c r="CC25" s="108"/>
      <c r="CD25" s="108"/>
      <c r="CE25" s="108"/>
      <c r="CF25" s="108"/>
      <c r="CG25" s="108"/>
      <c r="CH25" s="108"/>
      <c r="CI25" s="108"/>
      <c r="CJ25" s="108"/>
      <c r="CK25" s="108"/>
      <c r="CL25" s="108"/>
      <c r="CM25" s="108"/>
      <c r="CN25" s="108"/>
      <c r="CO25" s="108"/>
      <c r="CP25" s="108"/>
      <c r="CQ25" s="108"/>
      <c r="CR25" s="108"/>
      <c r="CS25" s="108"/>
      <c r="CT25" s="108"/>
      <c r="CU25" s="108"/>
      <c r="CV25" s="108"/>
      <c r="CW25" s="108"/>
      <c r="CX25" s="108"/>
      <c r="CY25" s="108"/>
      <c r="CZ25" s="108"/>
      <c r="DA25" s="108"/>
      <c r="DB25" s="108"/>
      <c r="DC25" s="108"/>
      <c r="DD25" s="108"/>
      <c r="DE25" s="108"/>
      <c r="DF25" s="108"/>
      <c r="DG25" s="108"/>
      <c r="DH25" s="108"/>
      <c r="DI25" s="108"/>
      <c r="DJ25" s="108"/>
      <c r="DK25" s="108"/>
      <c r="DL25" s="108"/>
      <c r="DM25" s="108"/>
      <c r="DN25" s="108"/>
      <c r="DO25" s="108"/>
      <c r="DP25" s="108"/>
      <c r="DQ25" s="108"/>
      <c r="DR25" s="108"/>
      <c r="DS25" s="108"/>
      <c r="DT25" s="108"/>
      <c r="DU25" s="108"/>
      <c r="DV25" s="108"/>
      <c r="DW25" s="108"/>
      <c r="DX25" s="108"/>
      <c r="DY25" s="108"/>
      <c r="DZ25" s="108"/>
      <c r="EA25" s="108"/>
      <c r="EB25" s="108"/>
      <c r="EC25" s="108"/>
      <c r="ED25" s="108"/>
      <c r="EE25" s="108"/>
      <c r="EF25" s="108"/>
      <c r="EG25" s="108"/>
      <c r="EH25" s="108"/>
      <c r="EI25" s="108"/>
      <c r="EJ25" s="108"/>
      <c r="EK25" s="108"/>
      <c r="EL25" s="108"/>
      <c r="EM25" s="108"/>
      <c r="EN25" s="108"/>
      <c r="EO25" s="108"/>
      <c r="EP25" s="108"/>
      <c r="EQ25" s="108"/>
      <c r="ER25" s="108"/>
      <c r="ES25" s="108"/>
      <c r="ET25" s="108"/>
      <c r="EU25" s="108"/>
      <c r="EV25" s="108"/>
      <c r="EW25" s="108"/>
      <c r="EX25" s="108"/>
      <c r="EY25" s="108"/>
      <c r="EZ25" s="108"/>
      <c r="FA25" s="108"/>
      <c r="FB25" s="108"/>
      <c r="FC25" s="108"/>
      <c r="FD25" s="108"/>
      <c r="FE25" s="108"/>
      <c r="FF25" s="108"/>
      <c r="FG25" s="108"/>
      <c r="FH25" s="108"/>
      <c r="FI25" s="108"/>
      <c r="FJ25" s="108"/>
      <c r="FK25" s="108"/>
      <c r="FL25" s="108"/>
      <c r="FM25" s="108"/>
      <c r="FN25" s="108"/>
      <c r="FO25" s="108"/>
      <c r="FP25" s="108"/>
      <c r="FQ25" s="108"/>
      <c r="FR25" s="108"/>
      <c r="FS25" s="108"/>
      <c r="FT25" s="108"/>
      <c r="FU25" s="108"/>
      <c r="FV25" s="108"/>
      <c r="FW25" s="108"/>
      <c r="FX25" s="108"/>
      <c r="FY25" s="108"/>
      <c r="FZ25" s="108"/>
      <c r="GA25" s="108"/>
      <c r="GB25" s="108"/>
      <c r="GC25" s="108"/>
      <c r="GD25" s="108"/>
      <c r="GE25" s="108"/>
      <c r="GF25" s="108"/>
      <c r="GG25" s="108"/>
      <c r="GH25" s="108"/>
      <c r="GI25" s="108"/>
      <c r="GJ25" s="108"/>
      <c r="GK25" s="108"/>
      <c r="GL25" s="108"/>
      <c r="GM25" s="108"/>
      <c r="GN25" s="108"/>
      <c r="GO25" s="108"/>
      <c r="GP25" s="108"/>
      <c r="GQ25" s="108"/>
      <c r="GR25" s="108"/>
      <c r="GS25" s="108"/>
      <c r="GT25" s="108"/>
      <c r="GU25" s="108"/>
      <c r="GV25" s="108"/>
      <c r="GW25" s="108"/>
      <c r="GX25" s="108"/>
      <c r="GY25" s="108"/>
      <c r="GZ25" s="108"/>
      <c r="HA25" s="108"/>
      <c r="HB25" s="108"/>
      <c r="HC25" s="108"/>
      <c r="HD25" s="108"/>
      <c r="HE25" s="108"/>
      <c r="HF25" s="108"/>
      <c r="HG25" s="108"/>
      <c r="HH25" s="108"/>
      <c r="HI25" s="108"/>
      <c r="HJ25" s="108"/>
      <c r="HK25" s="108"/>
      <c r="HL25" s="108"/>
      <c r="HM25" s="108"/>
      <c r="HN25" s="108"/>
      <c r="HO25" s="108"/>
      <c r="HP25" s="108"/>
      <c r="HQ25" s="108"/>
      <c r="HR25" s="108"/>
      <c r="HS25" s="108"/>
      <c r="HT25" s="108"/>
      <c r="HU25" s="108"/>
      <c r="HV25" s="108"/>
      <c r="HW25" s="108"/>
      <c r="HX25" s="108"/>
      <c r="HY25" s="108"/>
      <c r="HZ25" s="108"/>
      <c r="IA25" s="108"/>
      <c r="IB25" s="108"/>
      <c r="IC25" s="108"/>
      <c r="ID25" s="108"/>
      <c r="IE25" s="108"/>
      <c r="IF25" s="108"/>
      <c r="IG25" s="108"/>
      <c r="IH25" s="108"/>
      <c r="II25" s="108"/>
      <c r="IJ25" s="108"/>
      <c r="IK25" s="108"/>
      <c r="IL25" s="108"/>
      <c r="IM25" s="108"/>
      <c r="IN25" s="108"/>
      <c r="IO25" s="108"/>
      <c r="IP25" s="108"/>
      <c r="IQ25" s="108"/>
      <c r="IR25" s="108"/>
      <c r="IS25" s="108"/>
      <c r="IT25" s="108"/>
      <c r="IU25" s="108"/>
      <c r="IV25" s="108"/>
      <c r="IW25" s="108"/>
    </row>
    <row r="26" spans="1:257" ht="15" thickBot="1" x14ac:dyDescent="0.35">
      <c r="A26" s="158"/>
      <c r="B26" s="113" t="str">
        <f>'Sensitivity analysis'!B185</f>
        <v>Death among term AGA infants</v>
      </c>
      <c r="C26" s="170">
        <f>'Sensitivity analysis'!G185</f>
        <v>36321.95541198815</v>
      </c>
      <c r="D26" s="171">
        <f>'Sensitivity analysis'!H185</f>
        <v>35994.915056722319</v>
      </c>
      <c r="E26" s="172">
        <f t="shared" si="0"/>
        <v>327.04035526583175</v>
      </c>
      <c r="F26" s="158"/>
      <c r="G26" s="158"/>
      <c r="H26" s="158"/>
      <c r="I26" s="173"/>
      <c r="J26" s="170"/>
      <c r="K26" s="175"/>
      <c r="L26" s="172"/>
      <c r="M26" s="158"/>
      <c r="N26" s="158"/>
      <c r="O26" s="108"/>
      <c r="P26" s="108"/>
      <c r="Q26" s="108"/>
      <c r="R26" s="108"/>
      <c r="S26" s="108"/>
      <c r="T26" s="108"/>
      <c r="U26" s="108"/>
      <c r="V26" s="108"/>
      <c r="W26" s="108"/>
      <c r="X26" s="108"/>
      <c r="Y26" s="108"/>
      <c r="Z26" s="108"/>
      <c r="AA26" s="108"/>
      <c r="AB26" s="108"/>
      <c r="AC26" s="108"/>
      <c r="AD26" s="108"/>
      <c r="AE26" s="108"/>
      <c r="AF26" s="108"/>
      <c r="AG26" s="108"/>
      <c r="AH26" s="108"/>
      <c r="AI26" s="108"/>
      <c r="AJ26" s="108"/>
      <c r="AK26" s="108"/>
      <c r="AL26" s="108"/>
      <c r="AM26" s="108"/>
      <c r="AN26" s="108"/>
      <c r="AO26" s="108"/>
      <c r="AP26" s="108"/>
      <c r="AQ26" s="108"/>
      <c r="AR26" s="108"/>
      <c r="AS26" s="108"/>
      <c r="AT26" s="108"/>
      <c r="AU26" s="108"/>
      <c r="AV26" s="108"/>
      <c r="AW26" s="108"/>
      <c r="AX26" s="108"/>
      <c r="AY26" s="108"/>
      <c r="AZ26" s="108"/>
      <c r="BA26" s="108"/>
      <c r="BB26" s="108"/>
      <c r="BC26" s="108"/>
      <c r="BD26" s="108"/>
      <c r="BE26" s="108"/>
      <c r="BF26" s="108"/>
      <c r="BG26" s="108"/>
      <c r="BH26" s="108"/>
      <c r="BI26" s="108"/>
      <c r="BJ26" s="108"/>
      <c r="BK26" s="108"/>
      <c r="BL26" s="108"/>
      <c r="BM26" s="108"/>
      <c r="BN26" s="108"/>
      <c r="BO26" s="108"/>
      <c r="BP26" s="108"/>
      <c r="BQ26" s="108"/>
      <c r="BR26" s="108"/>
      <c r="BS26" s="108"/>
      <c r="BT26" s="108"/>
      <c r="BU26" s="108"/>
      <c r="BV26" s="108"/>
      <c r="BW26" s="108"/>
      <c r="BX26" s="108"/>
      <c r="BY26" s="108"/>
      <c r="BZ26" s="108"/>
      <c r="CA26" s="108"/>
      <c r="CB26" s="108"/>
      <c r="CC26" s="108"/>
      <c r="CD26" s="108"/>
      <c r="CE26" s="108"/>
      <c r="CF26" s="108"/>
      <c r="CG26" s="108"/>
      <c r="CH26" s="108"/>
      <c r="CI26" s="108"/>
      <c r="CJ26" s="108"/>
      <c r="CK26" s="108"/>
      <c r="CL26" s="108"/>
      <c r="CM26" s="108"/>
      <c r="CN26" s="108"/>
      <c r="CO26" s="108"/>
      <c r="CP26" s="108"/>
      <c r="CQ26" s="108"/>
      <c r="CR26" s="108"/>
      <c r="CS26" s="108"/>
      <c r="CT26" s="108"/>
      <c r="CU26" s="108"/>
      <c r="CV26" s="108"/>
      <c r="CW26" s="108"/>
      <c r="CX26" s="108"/>
      <c r="CY26" s="108"/>
      <c r="CZ26" s="108"/>
      <c r="DA26" s="108"/>
      <c r="DB26" s="108"/>
      <c r="DC26" s="108"/>
      <c r="DD26" s="108"/>
      <c r="DE26" s="108"/>
      <c r="DF26" s="108"/>
      <c r="DG26" s="108"/>
      <c r="DH26" s="108"/>
      <c r="DI26" s="108"/>
      <c r="DJ26" s="108"/>
      <c r="DK26" s="108"/>
      <c r="DL26" s="108"/>
      <c r="DM26" s="108"/>
      <c r="DN26" s="108"/>
      <c r="DO26" s="108"/>
      <c r="DP26" s="108"/>
      <c r="DQ26" s="108"/>
      <c r="DR26" s="108"/>
      <c r="DS26" s="108"/>
      <c r="DT26" s="108"/>
      <c r="DU26" s="108"/>
      <c r="DV26" s="108"/>
      <c r="DW26" s="108"/>
      <c r="DX26" s="108"/>
      <c r="DY26" s="108"/>
      <c r="DZ26" s="108"/>
      <c r="EA26" s="108"/>
      <c r="EB26" s="108"/>
      <c r="EC26" s="108"/>
      <c r="ED26" s="108"/>
      <c r="EE26" s="108"/>
      <c r="EF26" s="108"/>
      <c r="EG26" s="108"/>
      <c r="EH26" s="108"/>
      <c r="EI26" s="108"/>
      <c r="EJ26" s="108"/>
      <c r="EK26" s="108"/>
      <c r="EL26" s="108"/>
      <c r="EM26" s="108"/>
      <c r="EN26" s="108"/>
      <c r="EO26" s="108"/>
      <c r="EP26" s="108"/>
      <c r="EQ26" s="108"/>
      <c r="ER26" s="108"/>
      <c r="ES26" s="108"/>
      <c r="ET26" s="108"/>
      <c r="EU26" s="108"/>
      <c r="EV26" s="108"/>
      <c r="EW26" s="108"/>
      <c r="EX26" s="108"/>
      <c r="EY26" s="108"/>
      <c r="EZ26" s="108"/>
      <c r="FA26" s="108"/>
      <c r="FB26" s="108"/>
      <c r="FC26" s="108"/>
      <c r="FD26" s="108"/>
      <c r="FE26" s="108"/>
      <c r="FF26" s="108"/>
      <c r="FG26" s="108"/>
      <c r="FH26" s="108"/>
      <c r="FI26" s="108"/>
      <c r="FJ26" s="108"/>
      <c r="FK26" s="108"/>
      <c r="FL26" s="108"/>
      <c r="FM26" s="108"/>
      <c r="FN26" s="108"/>
      <c r="FO26" s="108"/>
      <c r="FP26" s="108"/>
      <c r="FQ26" s="108"/>
      <c r="FR26" s="108"/>
      <c r="FS26" s="108"/>
      <c r="FT26" s="108"/>
      <c r="FU26" s="108"/>
      <c r="FV26" s="108"/>
      <c r="FW26" s="108"/>
      <c r="FX26" s="108"/>
      <c r="FY26" s="108"/>
      <c r="FZ26" s="108"/>
      <c r="GA26" s="108"/>
      <c r="GB26" s="108"/>
      <c r="GC26" s="108"/>
      <c r="GD26" s="108"/>
      <c r="GE26" s="108"/>
      <c r="GF26" s="108"/>
      <c r="GG26" s="108"/>
      <c r="GH26" s="108"/>
      <c r="GI26" s="108"/>
      <c r="GJ26" s="108"/>
      <c r="GK26" s="108"/>
      <c r="GL26" s="108"/>
      <c r="GM26" s="108"/>
      <c r="GN26" s="108"/>
      <c r="GO26" s="108"/>
      <c r="GP26" s="108"/>
      <c r="GQ26" s="108"/>
      <c r="GR26" s="108"/>
      <c r="GS26" s="108"/>
      <c r="GT26" s="108"/>
      <c r="GU26" s="108"/>
      <c r="GV26" s="108"/>
      <c r="GW26" s="108"/>
      <c r="GX26" s="108"/>
      <c r="GY26" s="108"/>
      <c r="GZ26" s="108"/>
      <c r="HA26" s="108"/>
      <c r="HB26" s="108"/>
      <c r="HC26" s="108"/>
      <c r="HD26" s="108"/>
      <c r="HE26" s="108"/>
      <c r="HF26" s="108"/>
      <c r="HG26" s="108"/>
      <c r="HH26" s="108"/>
      <c r="HI26" s="108"/>
      <c r="HJ26" s="108"/>
      <c r="HK26" s="108"/>
      <c r="HL26" s="108"/>
      <c r="HM26" s="108"/>
      <c r="HN26" s="108"/>
      <c r="HO26" s="108"/>
      <c r="HP26" s="108"/>
      <c r="HQ26" s="108"/>
      <c r="HR26" s="108"/>
      <c r="HS26" s="108"/>
      <c r="HT26" s="108"/>
      <c r="HU26" s="108"/>
      <c r="HV26" s="108"/>
      <c r="HW26" s="108"/>
      <c r="HX26" s="108"/>
      <c r="HY26" s="108"/>
      <c r="HZ26" s="108"/>
      <c r="IA26" s="108"/>
      <c r="IB26" s="108"/>
      <c r="IC26" s="108"/>
      <c r="ID26" s="108"/>
      <c r="IE26" s="108"/>
      <c r="IF26" s="108"/>
      <c r="IG26" s="108"/>
      <c r="IH26" s="108"/>
      <c r="II26" s="108"/>
      <c r="IJ26" s="108"/>
      <c r="IK26" s="108"/>
      <c r="IL26" s="108"/>
      <c r="IM26" s="108"/>
      <c r="IN26" s="108"/>
      <c r="IO26" s="108"/>
      <c r="IP26" s="108"/>
      <c r="IQ26" s="108"/>
      <c r="IR26" s="108"/>
      <c r="IS26" s="108"/>
      <c r="IT26" s="108"/>
      <c r="IU26" s="108"/>
      <c r="IV26" s="108"/>
      <c r="IW26" s="108"/>
    </row>
    <row r="27" spans="1:257" ht="15" thickBot="1" x14ac:dyDescent="0.35">
      <c r="A27" s="158"/>
      <c r="B27" s="113" t="str">
        <f>'Sensitivity analysis'!B186</f>
        <v>RDS among preterm infants</v>
      </c>
      <c r="C27" s="170">
        <f>'Sensitivity analysis'!G186</f>
        <v>35795.991647443196</v>
      </c>
      <c r="D27" s="171">
        <f>'Sensitivity analysis'!H186</f>
        <v>36496.715915473033</v>
      </c>
      <c r="E27" s="172">
        <f t="shared" si="0"/>
        <v>700.72426802983682</v>
      </c>
      <c r="F27" s="158"/>
      <c r="G27" s="158"/>
      <c r="H27" s="158"/>
      <c r="I27" s="173"/>
      <c r="J27" s="174"/>
      <c r="K27" s="171"/>
      <c r="L27" s="172"/>
      <c r="M27" s="158"/>
      <c r="N27" s="158"/>
      <c r="O27" s="108"/>
      <c r="P27" s="108"/>
      <c r="Q27" s="108"/>
      <c r="R27" s="108"/>
      <c r="S27" s="108"/>
      <c r="T27" s="108"/>
      <c r="U27" s="108"/>
      <c r="V27" s="108"/>
      <c r="W27" s="108"/>
      <c r="X27" s="108"/>
      <c r="Y27" s="108"/>
      <c r="Z27" s="108"/>
      <c r="AA27" s="108"/>
      <c r="AB27" s="108"/>
      <c r="AC27" s="108"/>
      <c r="AD27" s="108"/>
      <c r="AE27" s="108"/>
      <c r="AF27" s="108"/>
      <c r="AG27" s="108"/>
      <c r="AH27" s="108"/>
      <c r="AI27" s="108"/>
      <c r="AJ27" s="108"/>
      <c r="AK27" s="108"/>
      <c r="AL27" s="108"/>
      <c r="AM27" s="108"/>
      <c r="AN27" s="108"/>
      <c r="AO27" s="108"/>
      <c r="AP27" s="108"/>
      <c r="AQ27" s="108"/>
      <c r="AR27" s="108"/>
      <c r="AS27" s="108"/>
      <c r="AT27" s="108"/>
      <c r="AU27" s="108"/>
      <c r="AV27" s="108"/>
      <c r="AW27" s="108"/>
      <c r="AX27" s="108"/>
      <c r="AY27" s="108"/>
      <c r="AZ27" s="108"/>
      <c r="BA27" s="108"/>
      <c r="BB27" s="108"/>
      <c r="BC27" s="108"/>
      <c r="BD27" s="108"/>
      <c r="BE27" s="108"/>
      <c r="BF27" s="108"/>
      <c r="BG27" s="108"/>
      <c r="BH27" s="108"/>
      <c r="BI27" s="108"/>
      <c r="BJ27" s="108"/>
      <c r="BK27" s="108"/>
      <c r="BL27" s="108"/>
      <c r="BM27" s="108"/>
      <c r="BN27" s="108"/>
      <c r="BO27" s="108"/>
      <c r="BP27" s="108"/>
      <c r="BQ27" s="108"/>
      <c r="BR27" s="108"/>
      <c r="BS27" s="108"/>
      <c r="BT27" s="108"/>
      <c r="BU27" s="108"/>
      <c r="BV27" s="108"/>
      <c r="BW27" s="108"/>
      <c r="BX27" s="108"/>
      <c r="BY27" s="108"/>
      <c r="BZ27" s="108"/>
      <c r="CA27" s="108"/>
      <c r="CB27" s="108"/>
      <c r="CC27" s="108"/>
      <c r="CD27" s="108"/>
      <c r="CE27" s="108"/>
      <c r="CF27" s="108"/>
      <c r="CG27" s="108"/>
      <c r="CH27" s="108"/>
      <c r="CI27" s="108"/>
      <c r="CJ27" s="108"/>
      <c r="CK27" s="108"/>
      <c r="CL27" s="108"/>
      <c r="CM27" s="108"/>
      <c r="CN27" s="108"/>
      <c r="CO27" s="108"/>
      <c r="CP27" s="108"/>
      <c r="CQ27" s="108"/>
      <c r="CR27" s="108"/>
      <c r="CS27" s="108"/>
      <c r="CT27" s="108"/>
      <c r="CU27" s="108"/>
      <c r="CV27" s="108"/>
      <c r="CW27" s="108"/>
      <c r="CX27" s="108"/>
      <c r="CY27" s="108"/>
      <c r="CZ27" s="108"/>
      <c r="DA27" s="108"/>
      <c r="DB27" s="108"/>
      <c r="DC27" s="108"/>
      <c r="DD27" s="108"/>
      <c r="DE27" s="108"/>
      <c r="DF27" s="108"/>
      <c r="DG27" s="108"/>
      <c r="DH27" s="108"/>
      <c r="DI27" s="108"/>
      <c r="DJ27" s="108"/>
      <c r="DK27" s="108"/>
      <c r="DL27" s="108"/>
      <c r="DM27" s="108"/>
      <c r="DN27" s="108"/>
      <c r="DO27" s="108"/>
      <c r="DP27" s="108"/>
      <c r="DQ27" s="108"/>
      <c r="DR27" s="108"/>
      <c r="DS27" s="108"/>
      <c r="DT27" s="108"/>
      <c r="DU27" s="108"/>
      <c r="DV27" s="108"/>
      <c r="DW27" s="108"/>
      <c r="DX27" s="108"/>
      <c r="DY27" s="108"/>
      <c r="DZ27" s="108"/>
      <c r="EA27" s="108"/>
      <c r="EB27" s="108"/>
      <c r="EC27" s="108"/>
      <c r="ED27" s="108"/>
      <c r="EE27" s="108"/>
      <c r="EF27" s="108"/>
      <c r="EG27" s="108"/>
      <c r="EH27" s="108"/>
      <c r="EI27" s="108"/>
      <c r="EJ27" s="108"/>
      <c r="EK27" s="108"/>
      <c r="EL27" s="108"/>
      <c r="EM27" s="108"/>
      <c r="EN27" s="108"/>
      <c r="EO27" s="108"/>
      <c r="EP27" s="108"/>
      <c r="EQ27" s="108"/>
      <c r="ER27" s="108"/>
      <c r="ES27" s="108"/>
      <c r="ET27" s="108"/>
      <c r="EU27" s="108"/>
      <c r="EV27" s="108"/>
      <c r="EW27" s="108"/>
      <c r="EX27" s="108"/>
      <c r="EY27" s="108"/>
      <c r="EZ27" s="108"/>
      <c r="FA27" s="108"/>
      <c r="FB27" s="108"/>
      <c r="FC27" s="108"/>
      <c r="FD27" s="108"/>
      <c r="FE27" s="108"/>
      <c r="FF27" s="108"/>
      <c r="FG27" s="108"/>
      <c r="FH27" s="108"/>
      <c r="FI27" s="108"/>
      <c r="FJ27" s="108"/>
      <c r="FK27" s="108"/>
      <c r="FL27" s="108"/>
      <c r="FM27" s="108"/>
      <c r="FN27" s="108"/>
      <c r="FO27" s="108"/>
      <c r="FP27" s="108"/>
      <c r="FQ27" s="108"/>
      <c r="FR27" s="108"/>
      <c r="FS27" s="108"/>
      <c r="FT27" s="108"/>
      <c r="FU27" s="108"/>
      <c r="FV27" s="108"/>
      <c r="FW27" s="108"/>
      <c r="FX27" s="108"/>
      <c r="FY27" s="108"/>
      <c r="FZ27" s="108"/>
      <c r="GA27" s="108"/>
      <c r="GB27" s="108"/>
      <c r="GC27" s="108"/>
      <c r="GD27" s="108"/>
      <c r="GE27" s="108"/>
      <c r="GF27" s="108"/>
      <c r="GG27" s="108"/>
      <c r="GH27" s="108"/>
      <c r="GI27" s="108"/>
      <c r="GJ27" s="108"/>
      <c r="GK27" s="108"/>
      <c r="GL27" s="108"/>
      <c r="GM27" s="108"/>
      <c r="GN27" s="108"/>
      <c r="GO27" s="108"/>
      <c r="GP27" s="108"/>
      <c r="GQ27" s="108"/>
      <c r="GR27" s="108"/>
      <c r="GS27" s="108"/>
      <c r="GT27" s="108"/>
      <c r="GU27" s="108"/>
      <c r="GV27" s="108"/>
      <c r="GW27" s="108"/>
      <c r="GX27" s="108"/>
      <c r="GY27" s="108"/>
      <c r="GZ27" s="108"/>
      <c r="HA27" s="108"/>
      <c r="HB27" s="108"/>
      <c r="HC27" s="108"/>
      <c r="HD27" s="108"/>
      <c r="HE27" s="108"/>
      <c r="HF27" s="108"/>
      <c r="HG27" s="108"/>
      <c r="HH27" s="108"/>
      <c r="HI27" s="108"/>
      <c r="HJ27" s="108"/>
      <c r="HK27" s="108"/>
      <c r="HL27" s="108"/>
      <c r="HM27" s="108"/>
      <c r="HN27" s="108"/>
      <c r="HO27" s="108"/>
      <c r="HP27" s="108"/>
      <c r="HQ27" s="108"/>
      <c r="HR27" s="108"/>
      <c r="HS27" s="108"/>
      <c r="HT27" s="108"/>
      <c r="HU27" s="108"/>
      <c r="HV27" s="108"/>
      <c r="HW27" s="108"/>
      <c r="HX27" s="108"/>
      <c r="HY27" s="108"/>
      <c r="HZ27" s="108"/>
      <c r="IA27" s="108"/>
      <c r="IB27" s="108"/>
      <c r="IC27" s="108"/>
      <c r="ID27" s="108"/>
      <c r="IE27" s="108"/>
      <c r="IF27" s="108"/>
      <c r="IG27" s="108"/>
      <c r="IH27" s="108"/>
      <c r="II27" s="108"/>
      <c r="IJ27" s="108"/>
      <c r="IK27" s="108"/>
      <c r="IL27" s="108"/>
      <c r="IM27" s="108"/>
      <c r="IN27" s="108"/>
      <c r="IO27" s="108"/>
      <c r="IP27" s="108"/>
      <c r="IQ27" s="108"/>
      <c r="IR27" s="108"/>
      <c r="IS27" s="108"/>
      <c r="IT27" s="108"/>
      <c r="IU27" s="108"/>
      <c r="IV27" s="108"/>
      <c r="IW27" s="108"/>
    </row>
    <row r="28" spans="1:257" ht="15" thickBot="1" x14ac:dyDescent="0.35">
      <c r="A28" s="158"/>
      <c r="B28" s="113" t="str">
        <f>'Sensitivity analysis'!B187</f>
        <v>Hypoglycaemia among preterm SGA infants</v>
      </c>
      <c r="C28" s="170">
        <f>'Sensitivity analysis'!G187</f>
        <v>36119.097566976518</v>
      </c>
      <c r="D28" s="171">
        <f>'Sensitivity analysis'!H187</f>
        <v>36197.772901733959</v>
      </c>
      <c r="E28" s="172">
        <f t="shared" si="0"/>
        <v>78.675334757441306</v>
      </c>
      <c r="F28" s="158"/>
      <c r="G28" s="158"/>
      <c r="H28" s="158"/>
      <c r="I28" s="173"/>
      <c r="J28" s="170"/>
      <c r="K28" s="175"/>
      <c r="L28" s="172"/>
      <c r="M28" s="158"/>
      <c r="N28" s="158"/>
      <c r="O28" s="108"/>
      <c r="P28" s="108"/>
      <c r="Q28" s="108"/>
      <c r="R28" s="108"/>
      <c r="S28" s="108"/>
      <c r="T28" s="108"/>
      <c r="U28" s="108"/>
      <c r="V28" s="108"/>
      <c r="W28" s="108"/>
      <c r="X28" s="108"/>
      <c r="Y28" s="108"/>
      <c r="Z28" s="108"/>
      <c r="AA28" s="108"/>
      <c r="AB28" s="108"/>
      <c r="AC28" s="108"/>
      <c r="AD28" s="108"/>
      <c r="AE28" s="108"/>
      <c r="AF28" s="108"/>
      <c r="AG28" s="108"/>
      <c r="AH28" s="108"/>
      <c r="AI28" s="108"/>
      <c r="AJ28" s="108"/>
      <c r="AK28" s="108"/>
      <c r="AL28" s="108"/>
      <c r="AM28" s="108"/>
      <c r="AN28" s="108"/>
      <c r="AO28" s="108"/>
      <c r="AP28" s="108"/>
      <c r="AQ28" s="108"/>
      <c r="AR28" s="108"/>
      <c r="AS28" s="108"/>
      <c r="AT28" s="108"/>
      <c r="AU28" s="108"/>
      <c r="AV28" s="108"/>
      <c r="AW28" s="108"/>
      <c r="AX28" s="108"/>
      <c r="AY28" s="108"/>
      <c r="AZ28" s="108"/>
      <c r="BA28" s="108"/>
      <c r="BB28" s="108"/>
      <c r="BC28" s="108"/>
      <c r="BD28" s="108"/>
      <c r="BE28" s="108"/>
      <c r="BF28" s="108"/>
      <c r="BG28" s="108"/>
      <c r="BH28" s="108"/>
      <c r="BI28" s="108"/>
      <c r="BJ28" s="108"/>
      <c r="BK28" s="108"/>
      <c r="BL28" s="108"/>
      <c r="BM28" s="108"/>
      <c r="BN28" s="108"/>
      <c r="BO28" s="108"/>
      <c r="BP28" s="108"/>
      <c r="BQ28" s="108"/>
      <c r="BR28" s="108"/>
      <c r="BS28" s="108"/>
      <c r="BT28" s="108"/>
      <c r="BU28" s="108"/>
      <c r="BV28" s="108"/>
      <c r="BW28" s="108"/>
      <c r="BX28" s="108"/>
      <c r="BY28" s="108"/>
      <c r="BZ28" s="108"/>
      <c r="CA28" s="108"/>
      <c r="CB28" s="108"/>
      <c r="CC28" s="108"/>
      <c r="CD28" s="108"/>
      <c r="CE28" s="108"/>
      <c r="CF28" s="108"/>
      <c r="CG28" s="108"/>
      <c r="CH28" s="108"/>
      <c r="CI28" s="108"/>
      <c r="CJ28" s="108"/>
      <c r="CK28" s="108"/>
      <c r="CL28" s="108"/>
      <c r="CM28" s="108"/>
      <c r="CN28" s="108"/>
      <c r="CO28" s="108"/>
      <c r="CP28" s="108"/>
      <c r="CQ28" s="108"/>
      <c r="CR28" s="108"/>
      <c r="CS28" s="108"/>
      <c r="CT28" s="108"/>
      <c r="CU28" s="108"/>
      <c r="CV28" s="108"/>
      <c r="CW28" s="108"/>
      <c r="CX28" s="108"/>
      <c r="CY28" s="108"/>
      <c r="CZ28" s="108"/>
      <c r="DA28" s="108"/>
      <c r="DB28" s="108"/>
      <c r="DC28" s="108"/>
      <c r="DD28" s="108"/>
      <c r="DE28" s="108"/>
      <c r="DF28" s="108"/>
      <c r="DG28" s="108"/>
      <c r="DH28" s="108"/>
      <c r="DI28" s="108"/>
      <c r="DJ28" s="108"/>
      <c r="DK28" s="108"/>
      <c r="DL28" s="108"/>
      <c r="DM28" s="108"/>
      <c r="DN28" s="108"/>
      <c r="DO28" s="108"/>
      <c r="DP28" s="108"/>
      <c r="DQ28" s="108"/>
      <c r="DR28" s="108"/>
      <c r="DS28" s="108"/>
      <c r="DT28" s="108"/>
      <c r="DU28" s="108"/>
      <c r="DV28" s="108"/>
      <c r="DW28" s="108"/>
      <c r="DX28" s="108"/>
      <c r="DY28" s="108"/>
      <c r="DZ28" s="108"/>
      <c r="EA28" s="108"/>
      <c r="EB28" s="108"/>
      <c r="EC28" s="108"/>
      <c r="ED28" s="108"/>
      <c r="EE28" s="108"/>
      <c r="EF28" s="108"/>
      <c r="EG28" s="108"/>
      <c r="EH28" s="108"/>
      <c r="EI28" s="108"/>
      <c r="EJ28" s="108"/>
      <c r="EK28" s="108"/>
      <c r="EL28" s="108"/>
      <c r="EM28" s="108"/>
      <c r="EN28" s="108"/>
      <c r="EO28" s="108"/>
      <c r="EP28" s="108"/>
      <c r="EQ28" s="108"/>
      <c r="ER28" s="108"/>
      <c r="ES28" s="108"/>
      <c r="ET28" s="108"/>
      <c r="EU28" s="108"/>
      <c r="EV28" s="108"/>
      <c r="EW28" s="108"/>
      <c r="EX28" s="108"/>
      <c r="EY28" s="108"/>
      <c r="EZ28" s="108"/>
      <c r="FA28" s="108"/>
      <c r="FB28" s="108"/>
      <c r="FC28" s="108"/>
      <c r="FD28" s="108"/>
      <c r="FE28" s="108"/>
      <c r="FF28" s="108"/>
      <c r="FG28" s="108"/>
      <c r="FH28" s="108"/>
      <c r="FI28" s="108"/>
      <c r="FJ28" s="108"/>
      <c r="FK28" s="108"/>
      <c r="FL28" s="108"/>
      <c r="FM28" s="108"/>
      <c r="FN28" s="108"/>
      <c r="FO28" s="108"/>
      <c r="FP28" s="108"/>
      <c r="FQ28" s="108"/>
      <c r="FR28" s="108"/>
      <c r="FS28" s="108"/>
      <c r="FT28" s="108"/>
      <c r="FU28" s="108"/>
      <c r="FV28" s="108"/>
      <c r="FW28" s="108"/>
      <c r="FX28" s="108"/>
      <c r="FY28" s="108"/>
      <c r="FZ28" s="108"/>
      <c r="GA28" s="108"/>
      <c r="GB28" s="108"/>
      <c r="GC28" s="108"/>
      <c r="GD28" s="108"/>
      <c r="GE28" s="108"/>
      <c r="GF28" s="108"/>
      <c r="GG28" s="108"/>
      <c r="GH28" s="108"/>
      <c r="GI28" s="108"/>
      <c r="GJ28" s="108"/>
      <c r="GK28" s="108"/>
      <c r="GL28" s="108"/>
      <c r="GM28" s="108"/>
      <c r="GN28" s="108"/>
      <c r="GO28" s="108"/>
      <c r="GP28" s="108"/>
      <c r="GQ28" s="108"/>
      <c r="GR28" s="108"/>
      <c r="GS28" s="108"/>
      <c r="GT28" s="108"/>
      <c r="GU28" s="108"/>
      <c r="GV28" s="108"/>
      <c r="GW28" s="108"/>
      <c r="GX28" s="108"/>
      <c r="GY28" s="108"/>
      <c r="GZ28" s="108"/>
      <c r="HA28" s="108"/>
      <c r="HB28" s="108"/>
      <c r="HC28" s="108"/>
      <c r="HD28" s="108"/>
      <c r="HE28" s="108"/>
      <c r="HF28" s="108"/>
      <c r="HG28" s="108"/>
      <c r="HH28" s="108"/>
      <c r="HI28" s="108"/>
      <c r="HJ28" s="108"/>
      <c r="HK28" s="108"/>
      <c r="HL28" s="108"/>
      <c r="HM28" s="108"/>
      <c r="HN28" s="108"/>
      <c r="HO28" s="108"/>
      <c r="HP28" s="108"/>
      <c r="HQ28" s="108"/>
      <c r="HR28" s="108"/>
      <c r="HS28" s="108"/>
      <c r="HT28" s="108"/>
      <c r="HU28" s="108"/>
      <c r="HV28" s="108"/>
      <c r="HW28" s="108"/>
      <c r="HX28" s="108"/>
      <c r="HY28" s="108"/>
      <c r="HZ28" s="108"/>
      <c r="IA28" s="108"/>
      <c r="IB28" s="108"/>
      <c r="IC28" s="108"/>
      <c r="ID28" s="108"/>
      <c r="IE28" s="108"/>
      <c r="IF28" s="108"/>
      <c r="IG28" s="108"/>
      <c r="IH28" s="108"/>
      <c r="II28" s="108"/>
      <c r="IJ28" s="108"/>
      <c r="IK28" s="108"/>
      <c r="IL28" s="108"/>
      <c r="IM28" s="108"/>
      <c r="IN28" s="108"/>
      <c r="IO28" s="108"/>
      <c r="IP28" s="108"/>
      <c r="IQ28" s="108"/>
      <c r="IR28" s="108"/>
      <c r="IS28" s="108"/>
      <c r="IT28" s="108"/>
      <c r="IU28" s="108"/>
      <c r="IV28" s="108"/>
      <c r="IW28" s="108"/>
    </row>
    <row r="29" spans="1:257" ht="15" thickBot="1" x14ac:dyDescent="0.35">
      <c r="A29" s="158"/>
      <c r="B29" s="113" t="str">
        <f>'Sensitivity analysis'!B188</f>
        <v>Hypoglycaemia among term SGA infants</v>
      </c>
      <c r="C29" s="170">
        <f>'Sensitivity analysis'!G188</f>
        <v>35998.487963994427</v>
      </c>
      <c r="D29" s="171">
        <f>'Sensitivity analysis'!H188</f>
        <v>36318.382504716006</v>
      </c>
      <c r="E29" s="172">
        <f t="shared" si="0"/>
        <v>319.89454072157969</v>
      </c>
      <c r="F29" s="158"/>
      <c r="G29" s="158"/>
      <c r="H29" s="158"/>
      <c r="I29" s="173"/>
      <c r="J29" s="170"/>
      <c r="K29" s="175"/>
      <c r="L29" s="172"/>
      <c r="M29" s="158"/>
      <c r="N29" s="158"/>
      <c r="O29" s="108"/>
      <c r="P29" s="108"/>
      <c r="Q29" s="108"/>
      <c r="R29" s="108"/>
      <c r="S29" s="108"/>
      <c r="T29" s="108"/>
      <c r="U29" s="108"/>
      <c r="V29" s="108"/>
      <c r="W29" s="108"/>
      <c r="X29" s="108"/>
      <c r="Y29" s="108"/>
      <c r="Z29" s="108"/>
      <c r="AA29" s="108"/>
      <c r="AB29" s="108"/>
      <c r="AC29" s="108"/>
      <c r="AD29" s="108"/>
      <c r="AE29" s="108"/>
      <c r="AF29" s="108"/>
      <c r="AG29" s="108"/>
      <c r="AH29" s="108"/>
      <c r="AI29" s="108"/>
      <c r="AJ29" s="108"/>
      <c r="AK29" s="108"/>
      <c r="AL29" s="108"/>
      <c r="AM29" s="108"/>
      <c r="AN29" s="108"/>
      <c r="AO29" s="108"/>
      <c r="AP29" s="108"/>
      <c r="AQ29" s="108"/>
      <c r="AR29" s="108"/>
      <c r="AS29" s="108"/>
      <c r="AT29" s="108"/>
      <c r="AU29" s="108"/>
      <c r="AV29" s="108"/>
      <c r="AW29" s="108"/>
      <c r="AX29" s="108"/>
      <c r="AY29" s="108"/>
      <c r="AZ29" s="108"/>
      <c r="BA29" s="108"/>
      <c r="BB29" s="108"/>
      <c r="BC29" s="108"/>
      <c r="BD29" s="108"/>
      <c r="BE29" s="108"/>
      <c r="BF29" s="108"/>
      <c r="BG29" s="108"/>
      <c r="BH29" s="108"/>
      <c r="BI29" s="108"/>
      <c r="BJ29" s="108"/>
      <c r="BK29" s="108"/>
      <c r="BL29" s="108"/>
      <c r="BM29" s="108"/>
      <c r="BN29" s="108"/>
      <c r="BO29" s="108"/>
      <c r="BP29" s="108"/>
      <c r="BQ29" s="108"/>
      <c r="BR29" s="108"/>
      <c r="BS29" s="108"/>
      <c r="BT29" s="108"/>
      <c r="BU29" s="108"/>
      <c r="BV29" s="108"/>
      <c r="BW29" s="108"/>
      <c r="BX29" s="108"/>
      <c r="BY29" s="108"/>
      <c r="BZ29" s="108"/>
      <c r="CA29" s="108"/>
      <c r="CB29" s="108"/>
      <c r="CC29" s="108"/>
      <c r="CD29" s="108"/>
      <c r="CE29" s="108"/>
      <c r="CF29" s="108"/>
      <c r="CG29" s="108"/>
      <c r="CH29" s="108"/>
      <c r="CI29" s="108"/>
      <c r="CJ29" s="108"/>
      <c r="CK29" s="108"/>
      <c r="CL29" s="108"/>
      <c r="CM29" s="108"/>
      <c r="CN29" s="108"/>
      <c r="CO29" s="108"/>
      <c r="CP29" s="108"/>
      <c r="CQ29" s="108"/>
      <c r="CR29" s="108"/>
      <c r="CS29" s="108"/>
      <c r="CT29" s="108"/>
      <c r="CU29" s="108"/>
      <c r="CV29" s="108"/>
      <c r="CW29" s="108"/>
      <c r="CX29" s="108"/>
      <c r="CY29" s="108"/>
      <c r="CZ29" s="108"/>
      <c r="DA29" s="108"/>
      <c r="DB29" s="108"/>
      <c r="DC29" s="108"/>
      <c r="DD29" s="108"/>
      <c r="DE29" s="108"/>
      <c r="DF29" s="108"/>
      <c r="DG29" s="108"/>
      <c r="DH29" s="108"/>
      <c r="DI29" s="108"/>
      <c r="DJ29" s="108"/>
      <c r="DK29" s="108"/>
      <c r="DL29" s="108"/>
      <c r="DM29" s="108"/>
      <c r="DN29" s="108"/>
      <c r="DO29" s="108"/>
      <c r="DP29" s="108"/>
      <c r="DQ29" s="108"/>
      <c r="DR29" s="108"/>
      <c r="DS29" s="108"/>
      <c r="DT29" s="108"/>
      <c r="DU29" s="108"/>
      <c r="DV29" s="108"/>
      <c r="DW29" s="108"/>
      <c r="DX29" s="108"/>
      <c r="DY29" s="108"/>
      <c r="DZ29" s="108"/>
      <c r="EA29" s="108"/>
      <c r="EB29" s="108"/>
      <c r="EC29" s="108"/>
      <c r="ED29" s="108"/>
      <c r="EE29" s="108"/>
      <c r="EF29" s="108"/>
      <c r="EG29" s="108"/>
      <c r="EH29" s="108"/>
      <c r="EI29" s="108"/>
      <c r="EJ29" s="108"/>
      <c r="EK29" s="108"/>
      <c r="EL29" s="108"/>
      <c r="EM29" s="108"/>
      <c r="EN29" s="108"/>
      <c r="EO29" s="108"/>
      <c r="EP29" s="108"/>
      <c r="EQ29" s="108"/>
      <c r="ER29" s="108"/>
      <c r="ES29" s="108"/>
      <c r="ET29" s="108"/>
      <c r="EU29" s="108"/>
      <c r="EV29" s="108"/>
      <c r="EW29" s="108"/>
      <c r="EX29" s="108"/>
      <c r="EY29" s="108"/>
      <c r="EZ29" s="108"/>
      <c r="FA29" s="108"/>
      <c r="FB29" s="108"/>
      <c r="FC29" s="108"/>
      <c r="FD29" s="108"/>
      <c r="FE29" s="108"/>
      <c r="FF29" s="108"/>
      <c r="FG29" s="108"/>
      <c r="FH29" s="108"/>
      <c r="FI29" s="108"/>
      <c r="FJ29" s="108"/>
      <c r="FK29" s="108"/>
      <c r="FL29" s="108"/>
      <c r="FM29" s="108"/>
      <c r="FN29" s="108"/>
      <c r="FO29" s="108"/>
      <c r="FP29" s="108"/>
      <c r="FQ29" s="108"/>
      <c r="FR29" s="108"/>
      <c r="FS29" s="108"/>
      <c r="FT29" s="108"/>
      <c r="FU29" s="108"/>
      <c r="FV29" s="108"/>
      <c r="FW29" s="108"/>
      <c r="FX29" s="108"/>
      <c r="FY29" s="108"/>
      <c r="FZ29" s="108"/>
      <c r="GA29" s="108"/>
      <c r="GB29" s="108"/>
      <c r="GC29" s="108"/>
      <c r="GD29" s="108"/>
      <c r="GE29" s="108"/>
      <c r="GF29" s="108"/>
      <c r="GG29" s="108"/>
      <c r="GH29" s="108"/>
      <c r="GI29" s="108"/>
      <c r="GJ29" s="108"/>
      <c r="GK29" s="108"/>
      <c r="GL29" s="108"/>
      <c r="GM29" s="108"/>
      <c r="GN29" s="108"/>
      <c r="GO29" s="108"/>
      <c r="GP29" s="108"/>
      <c r="GQ29" s="108"/>
      <c r="GR29" s="108"/>
      <c r="GS29" s="108"/>
      <c r="GT29" s="108"/>
      <c r="GU29" s="108"/>
      <c r="GV29" s="108"/>
      <c r="GW29" s="108"/>
      <c r="GX29" s="108"/>
      <c r="GY29" s="108"/>
      <c r="GZ29" s="108"/>
      <c r="HA29" s="108"/>
      <c r="HB29" s="108"/>
      <c r="HC29" s="108"/>
      <c r="HD29" s="108"/>
      <c r="HE29" s="108"/>
      <c r="HF29" s="108"/>
      <c r="HG29" s="108"/>
      <c r="HH29" s="108"/>
      <c r="HI29" s="108"/>
      <c r="HJ29" s="108"/>
      <c r="HK29" s="108"/>
      <c r="HL29" s="108"/>
      <c r="HM29" s="108"/>
      <c r="HN29" s="108"/>
      <c r="HO29" s="108"/>
      <c r="HP29" s="108"/>
      <c r="HQ29" s="108"/>
      <c r="HR29" s="108"/>
      <c r="HS29" s="108"/>
      <c r="HT29" s="108"/>
      <c r="HU29" s="108"/>
      <c r="HV29" s="108"/>
      <c r="HW29" s="108"/>
      <c r="HX29" s="108"/>
      <c r="HY29" s="108"/>
      <c r="HZ29" s="108"/>
      <c r="IA29" s="108"/>
      <c r="IB29" s="108"/>
      <c r="IC29" s="108"/>
      <c r="ID29" s="108"/>
      <c r="IE29" s="108"/>
      <c r="IF29" s="108"/>
      <c r="IG29" s="108"/>
      <c r="IH29" s="108"/>
      <c r="II29" s="108"/>
      <c r="IJ29" s="108"/>
      <c r="IK29" s="108"/>
      <c r="IL29" s="108"/>
      <c r="IM29" s="108"/>
      <c r="IN29" s="108"/>
      <c r="IO29" s="108"/>
      <c r="IP29" s="108"/>
      <c r="IQ29" s="108"/>
      <c r="IR29" s="108"/>
      <c r="IS29" s="108"/>
      <c r="IT29" s="108"/>
      <c r="IU29" s="108"/>
      <c r="IV29" s="108"/>
      <c r="IW29" s="108"/>
    </row>
    <row r="30" spans="1:257" ht="15" thickBot="1" x14ac:dyDescent="0.35">
      <c r="A30" s="158"/>
      <c r="B30" s="113" t="str">
        <f>'Sensitivity analysis'!B189</f>
        <v>Hypoglycaemia among preterm SGA infants</v>
      </c>
      <c r="C30" s="170">
        <f>'Sensitivity analysis'!G189</f>
        <v>36143.256553236766</v>
      </c>
      <c r="D30" s="171">
        <f>'Sensitivity analysis'!H189</f>
        <v>36172.602003399166</v>
      </c>
      <c r="E30" s="172">
        <f t="shared" si="0"/>
        <v>29.345450162400084</v>
      </c>
      <c r="F30" s="158"/>
      <c r="G30" s="158"/>
      <c r="H30" s="158"/>
      <c r="I30" s="173"/>
      <c r="J30" s="170"/>
      <c r="K30" s="175"/>
      <c r="L30" s="172"/>
      <c r="M30" s="158"/>
      <c r="N30" s="158"/>
      <c r="O30" s="108"/>
      <c r="P30" s="108"/>
      <c r="Q30" s="108"/>
      <c r="R30" s="108"/>
      <c r="S30" s="108"/>
      <c r="T30" s="108"/>
      <c r="U30" s="108"/>
      <c r="V30" s="108"/>
      <c r="W30" s="108"/>
      <c r="X30" s="108"/>
      <c r="Y30" s="108"/>
      <c r="Z30" s="108"/>
      <c r="AA30" s="108"/>
      <c r="AB30" s="108"/>
      <c r="AC30" s="108"/>
      <c r="AD30" s="108"/>
      <c r="AE30" s="108"/>
      <c r="AF30" s="108"/>
      <c r="AG30" s="108"/>
      <c r="AH30" s="108"/>
      <c r="AI30" s="108"/>
      <c r="AJ30" s="108"/>
      <c r="AK30" s="108"/>
      <c r="AL30" s="108"/>
      <c r="AM30" s="108"/>
      <c r="AN30" s="108"/>
      <c r="AO30" s="108"/>
      <c r="AP30" s="108"/>
      <c r="AQ30" s="108"/>
      <c r="AR30" s="108"/>
      <c r="AS30" s="108"/>
      <c r="AT30" s="108"/>
      <c r="AU30" s="108"/>
      <c r="AV30" s="108"/>
      <c r="AW30" s="108"/>
      <c r="AX30" s="108"/>
      <c r="AY30" s="108"/>
      <c r="AZ30" s="108"/>
      <c r="BA30" s="108"/>
      <c r="BB30" s="108"/>
      <c r="BC30" s="108"/>
      <c r="BD30" s="108"/>
      <c r="BE30" s="108"/>
      <c r="BF30" s="108"/>
      <c r="BG30" s="108"/>
      <c r="BH30" s="108"/>
      <c r="BI30" s="108"/>
      <c r="BJ30" s="108"/>
      <c r="BK30" s="108"/>
      <c r="BL30" s="108"/>
      <c r="BM30" s="108"/>
      <c r="BN30" s="108"/>
      <c r="BO30" s="108"/>
      <c r="BP30" s="108"/>
      <c r="BQ30" s="108"/>
      <c r="BR30" s="108"/>
      <c r="BS30" s="108"/>
      <c r="BT30" s="108"/>
      <c r="BU30" s="108"/>
      <c r="BV30" s="108"/>
      <c r="BW30" s="108"/>
      <c r="BX30" s="108"/>
      <c r="BY30" s="108"/>
      <c r="BZ30" s="108"/>
      <c r="CA30" s="108"/>
      <c r="CB30" s="108"/>
      <c r="CC30" s="108"/>
      <c r="CD30" s="108"/>
      <c r="CE30" s="108"/>
      <c r="CF30" s="108"/>
      <c r="CG30" s="108"/>
      <c r="CH30" s="108"/>
      <c r="CI30" s="108"/>
      <c r="CJ30" s="108"/>
      <c r="CK30" s="108"/>
      <c r="CL30" s="108"/>
      <c r="CM30" s="108"/>
      <c r="CN30" s="108"/>
      <c r="CO30" s="108"/>
      <c r="CP30" s="108"/>
      <c r="CQ30" s="108"/>
      <c r="CR30" s="108"/>
      <c r="CS30" s="108"/>
      <c r="CT30" s="108"/>
      <c r="CU30" s="108"/>
      <c r="CV30" s="108"/>
      <c r="CW30" s="108"/>
      <c r="CX30" s="108"/>
      <c r="CY30" s="108"/>
      <c r="CZ30" s="108"/>
      <c r="DA30" s="108"/>
      <c r="DB30" s="108"/>
      <c r="DC30" s="108"/>
      <c r="DD30" s="108"/>
      <c r="DE30" s="108"/>
      <c r="DF30" s="108"/>
      <c r="DG30" s="108"/>
      <c r="DH30" s="108"/>
      <c r="DI30" s="108"/>
      <c r="DJ30" s="108"/>
      <c r="DK30" s="108"/>
      <c r="DL30" s="108"/>
      <c r="DM30" s="108"/>
      <c r="DN30" s="108"/>
      <c r="DO30" s="108"/>
      <c r="DP30" s="108"/>
      <c r="DQ30" s="108"/>
      <c r="DR30" s="108"/>
      <c r="DS30" s="108"/>
      <c r="DT30" s="108"/>
      <c r="DU30" s="108"/>
      <c r="DV30" s="108"/>
      <c r="DW30" s="108"/>
      <c r="DX30" s="108"/>
      <c r="DY30" s="108"/>
      <c r="DZ30" s="108"/>
      <c r="EA30" s="108"/>
      <c r="EB30" s="108"/>
      <c r="EC30" s="108"/>
      <c r="ED30" s="108"/>
      <c r="EE30" s="108"/>
      <c r="EF30" s="108"/>
      <c r="EG30" s="108"/>
      <c r="EH30" s="108"/>
      <c r="EI30" s="108"/>
      <c r="EJ30" s="108"/>
      <c r="EK30" s="108"/>
      <c r="EL30" s="108"/>
      <c r="EM30" s="108"/>
      <c r="EN30" s="108"/>
      <c r="EO30" s="108"/>
      <c r="EP30" s="108"/>
      <c r="EQ30" s="108"/>
      <c r="ER30" s="108"/>
      <c r="ES30" s="108"/>
      <c r="ET30" s="108"/>
      <c r="EU30" s="108"/>
      <c r="EV30" s="108"/>
      <c r="EW30" s="108"/>
      <c r="EX30" s="108"/>
      <c r="EY30" s="108"/>
      <c r="EZ30" s="108"/>
      <c r="FA30" s="108"/>
      <c r="FB30" s="108"/>
      <c r="FC30" s="108"/>
      <c r="FD30" s="108"/>
      <c r="FE30" s="108"/>
      <c r="FF30" s="108"/>
      <c r="FG30" s="108"/>
      <c r="FH30" s="108"/>
      <c r="FI30" s="108"/>
      <c r="FJ30" s="108"/>
      <c r="FK30" s="108"/>
      <c r="FL30" s="108"/>
      <c r="FM30" s="108"/>
      <c r="FN30" s="108"/>
      <c r="FO30" s="108"/>
      <c r="FP30" s="108"/>
      <c r="FQ30" s="108"/>
      <c r="FR30" s="108"/>
      <c r="FS30" s="108"/>
      <c r="FT30" s="108"/>
      <c r="FU30" s="108"/>
      <c r="FV30" s="108"/>
      <c r="FW30" s="108"/>
      <c r="FX30" s="108"/>
      <c r="FY30" s="108"/>
      <c r="FZ30" s="108"/>
      <c r="GA30" s="108"/>
      <c r="GB30" s="108"/>
      <c r="GC30" s="108"/>
      <c r="GD30" s="108"/>
      <c r="GE30" s="108"/>
      <c r="GF30" s="108"/>
      <c r="GG30" s="108"/>
      <c r="GH30" s="108"/>
      <c r="GI30" s="108"/>
      <c r="GJ30" s="108"/>
      <c r="GK30" s="108"/>
      <c r="GL30" s="108"/>
      <c r="GM30" s="108"/>
      <c r="GN30" s="108"/>
      <c r="GO30" s="108"/>
      <c r="GP30" s="108"/>
      <c r="GQ30" s="108"/>
      <c r="GR30" s="108"/>
      <c r="GS30" s="108"/>
      <c r="GT30" s="108"/>
      <c r="GU30" s="108"/>
      <c r="GV30" s="108"/>
      <c r="GW30" s="108"/>
      <c r="GX30" s="108"/>
      <c r="GY30" s="108"/>
      <c r="GZ30" s="108"/>
      <c r="HA30" s="108"/>
      <c r="HB30" s="108"/>
      <c r="HC30" s="108"/>
      <c r="HD30" s="108"/>
      <c r="HE30" s="108"/>
      <c r="HF30" s="108"/>
      <c r="HG30" s="108"/>
      <c r="HH30" s="108"/>
      <c r="HI30" s="108"/>
      <c r="HJ30" s="108"/>
      <c r="HK30" s="108"/>
      <c r="HL30" s="108"/>
      <c r="HM30" s="108"/>
      <c r="HN30" s="108"/>
      <c r="HO30" s="108"/>
      <c r="HP30" s="108"/>
      <c r="HQ30" s="108"/>
      <c r="HR30" s="108"/>
      <c r="HS30" s="108"/>
      <c r="HT30" s="108"/>
      <c r="HU30" s="108"/>
      <c r="HV30" s="108"/>
      <c r="HW30" s="108"/>
      <c r="HX30" s="108"/>
      <c r="HY30" s="108"/>
      <c r="HZ30" s="108"/>
      <c r="IA30" s="108"/>
      <c r="IB30" s="108"/>
      <c r="IC30" s="108"/>
      <c r="ID30" s="108"/>
      <c r="IE30" s="108"/>
      <c r="IF30" s="108"/>
      <c r="IG30" s="108"/>
      <c r="IH30" s="108"/>
      <c r="II30" s="108"/>
      <c r="IJ30" s="108"/>
      <c r="IK30" s="108"/>
      <c r="IL30" s="108"/>
      <c r="IM30" s="108"/>
      <c r="IN30" s="108"/>
      <c r="IO30" s="108"/>
      <c r="IP30" s="108"/>
      <c r="IQ30" s="108"/>
      <c r="IR30" s="108"/>
      <c r="IS30" s="108"/>
      <c r="IT30" s="108"/>
      <c r="IU30" s="108"/>
      <c r="IV30" s="108"/>
      <c r="IW30" s="108"/>
    </row>
    <row r="31" spans="1:257" ht="15" thickBot="1" x14ac:dyDescent="0.35">
      <c r="A31" s="158"/>
      <c r="B31" s="113" t="str">
        <f>'Sensitivity analysis'!B190</f>
        <v>Chronic lung disease among infants with RDS</v>
      </c>
      <c r="C31" s="170">
        <f>'Sensitivity analysis'!G190</f>
        <v>35181.284811144884</v>
      </c>
      <c r="D31" s="171">
        <f>'Sensitivity analysis'!H190</f>
        <v>37070.442296018351</v>
      </c>
      <c r="E31" s="172">
        <f t="shared" si="0"/>
        <v>1889.1574848734672</v>
      </c>
      <c r="F31" s="158"/>
      <c r="G31" s="158"/>
      <c r="H31" s="158"/>
      <c r="I31" s="173"/>
      <c r="J31" s="170"/>
      <c r="K31" s="175"/>
      <c r="L31" s="172"/>
      <c r="M31" s="158"/>
      <c r="N31" s="158"/>
      <c r="O31" s="108"/>
      <c r="P31" s="108"/>
      <c r="Q31" s="108"/>
      <c r="R31" s="108"/>
      <c r="S31" s="108"/>
      <c r="T31" s="108"/>
      <c r="U31" s="108"/>
      <c r="V31" s="108"/>
      <c r="W31" s="108"/>
      <c r="X31" s="108"/>
      <c r="Y31" s="108"/>
      <c r="Z31" s="108"/>
      <c r="AA31" s="108"/>
      <c r="AB31" s="108"/>
      <c r="AC31" s="108"/>
      <c r="AD31" s="108"/>
      <c r="AE31" s="108"/>
      <c r="AF31" s="108"/>
      <c r="AG31" s="108"/>
      <c r="AH31" s="108"/>
      <c r="AI31" s="108"/>
      <c r="AJ31" s="108"/>
      <c r="AK31" s="108"/>
      <c r="AL31" s="108"/>
      <c r="AM31" s="108"/>
      <c r="AN31" s="108"/>
      <c r="AO31" s="108"/>
      <c r="AP31" s="108"/>
      <c r="AQ31" s="108"/>
      <c r="AR31" s="108"/>
      <c r="AS31" s="108"/>
      <c r="AT31" s="108"/>
      <c r="AU31" s="108"/>
      <c r="AV31" s="108"/>
      <c r="AW31" s="108"/>
      <c r="AX31" s="108"/>
      <c r="AY31" s="108"/>
      <c r="AZ31" s="108"/>
      <c r="BA31" s="108"/>
      <c r="BB31" s="108"/>
      <c r="BC31" s="108"/>
      <c r="BD31" s="108"/>
      <c r="BE31" s="108"/>
      <c r="BF31" s="108"/>
      <c r="BG31" s="108"/>
      <c r="BH31" s="108"/>
      <c r="BI31" s="108"/>
      <c r="BJ31" s="108"/>
      <c r="BK31" s="108"/>
      <c r="BL31" s="108"/>
      <c r="BM31" s="108"/>
      <c r="BN31" s="108"/>
      <c r="BO31" s="108"/>
      <c r="BP31" s="108"/>
      <c r="BQ31" s="108"/>
      <c r="BR31" s="108"/>
      <c r="BS31" s="108"/>
      <c r="BT31" s="108"/>
      <c r="BU31" s="108"/>
      <c r="BV31" s="108"/>
      <c r="BW31" s="108"/>
      <c r="BX31" s="108"/>
      <c r="BY31" s="108"/>
      <c r="BZ31" s="108"/>
      <c r="CA31" s="108"/>
      <c r="CB31" s="108"/>
      <c r="CC31" s="108"/>
      <c r="CD31" s="108"/>
      <c r="CE31" s="108"/>
      <c r="CF31" s="108"/>
      <c r="CG31" s="108"/>
      <c r="CH31" s="108"/>
      <c r="CI31" s="108"/>
      <c r="CJ31" s="108"/>
      <c r="CK31" s="108"/>
      <c r="CL31" s="108"/>
      <c r="CM31" s="108"/>
      <c r="CN31" s="108"/>
      <c r="CO31" s="108"/>
      <c r="CP31" s="108"/>
      <c r="CQ31" s="108"/>
      <c r="CR31" s="108"/>
      <c r="CS31" s="108"/>
      <c r="CT31" s="108"/>
      <c r="CU31" s="108"/>
      <c r="CV31" s="108"/>
      <c r="CW31" s="108"/>
      <c r="CX31" s="108"/>
      <c r="CY31" s="108"/>
      <c r="CZ31" s="108"/>
      <c r="DA31" s="108"/>
      <c r="DB31" s="108"/>
      <c r="DC31" s="108"/>
      <c r="DD31" s="108"/>
      <c r="DE31" s="108"/>
      <c r="DF31" s="108"/>
      <c r="DG31" s="108"/>
      <c r="DH31" s="108"/>
      <c r="DI31" s="108"/>
      <c r="DJ31" s="108"/>
      <c r="DK31" s="108"/>
      <c r="DL31" s="108"/>
      <c r="DM31" s="108"/>
      <c r="DN31" s="108"/>
      <c r="DO31" s="108"/>
      <c r="DP31" s="108"/>
      <c r="DQ31" s="108"/>
      <c r="DR31" s="108"/>
      <c r="DS31" s="108"/>
      <c r="DT31" s="108"/>
      <c r="DU31" s="108"/>
      <c r="DV31" s="108"/>
      <c r="DW31" s="108"/>
      <c r="DX31" s="108"/>
      <c r="DY31" s="108"/>
      <c r="DZ31" s="108"/>
      <c r="EA31" s="108"/>
      <c r="EB31" s="108"/>
      <c r="EC31" s="108"/>
      <c r="ED31" s="108"/>
      <c r="EE31" s="108"/>
      <c r="EF31" s="108"/>
      <c r="EG31" s="108"/>
      <c r="EH31" s="108"/>
      <c r="EI31" s="108"/>
      <c r="EJ31" s="108"/>
      <c r="EK31" s="108"/>
      <c r="EL31" s="108"/>
      <c r="EM31" s="108"/>
      <c r="EN31" s="108"/>
      <c r="EO31" s="108"/>
      <c r="EP31" s="108"/>
      <c r="EQ31" s="108"/>
      <c r="ER31" s="108"/>
      <c r="ES31" s="108"/>
      <c r="ET31" s="108"/>
      <c r="EU31" s="108"/>
      <c r="EV31" s="108"/>
      <c r="EW31" s="108"/>
      <c r="EX31" s="108"/>
      <c r="EY31" s="108"/>
      <c r="EZ31" s="108"/>
      <c r="FA31" s="108"/>
      <c r="FB31" s="108"/>
      <c r="FC31" s="108"/>
      <c r="FD31" s="108"/>
      <c r="FE31" s="108"/>
      <c r="FF31" s="108"/>
      <c r="FG31" s="108"/>
      <c r="FH31" s="108"/>
      <c r="FI31" s="108"/>
      <c r="FJ31" s="108"/>
      <c r="FK31" s="108"/>
      <c r="FL31" s="108"/>
      <c r="FM31" s="108"/>
      <c r="FN31" s="108"/>
      <c r="FO31" s="108"/>
      <c r="FP31" s="108"/>
      <c r="FQ31" s="108"/>
      <c r="FR31" s="108"/>
      <c r="FS31" s="108"/>
      <c r="FT31" s="108"/>
      <c r="FU31" s="108"/>
      <c r="FV31" s="108"/>
      <c r="FW31" s="108"/>
      <c r="FX31" s="108"/>
      <c r="FY31" s="108"/>
      <c r="FZ31" s="108"/>
      <c r="GA31" s="108"/>
      <c r="GB31" s="108"/>
      <c r="GC31" s="108"/>
      <c r="GD31" s="108"/>
      <c r="GE31" s="108"/>
      <c r="GF31" s="108"/>
      <c r="GG31" s="108"/>
      <c r="GH31" s="108"/>
      <c r="GI31" s="108"/>
      <c r="GJ31" s="108"/>
      <c r="GK31" s="108"/>
      <c r="GL31" s="108"/>
      <c r="GM31" s="108"/>
      <c r="GN31" s="108"/>
      <c r="GO31" s="108"/>
      <c r="GP31" s="108"/>
      <c r="GQ31" s="108"/>
      <c r="GR31" s="108"/>
      <c r="GS31" s="108"/>
      <c r="GT31" s="108"/>
      <c r="GU31" s="108"/>
      <c r="GV31" s="108"/>
      <c r="GW31" s="108"/>
      <c r="GX31" s="108"/>
      <c r="GY31" s="108"/>
      <c r="GZ31" s="108"/>
      <c r="HA31" s="108"/>
      <c r="HB31" s="108"/>
      <c r="HC31" s="108"/>
      <c r="HD31" s="108"/>
      <c r="HE31" s="108"/>
      <c r="HF31" s="108"/>
      <c r="HG31" s="108"/>
      <c r="HH31" s="108"/>
      <c r="HI31" s="108"/>
      <c r="HJ31" s="108"/>
      <c r="HK31" s="108"/>
      <c r="HL31" s="108"/>
      <c r="HM31" s="108"/>
      <c r="HN31" s="108"/>
      <c r="HO31" s="108"/>
      <c r="HP31" s="108"/>
      <c r="HQ31" s="108"/>
      <c r="HR31" s="108"/>
      <c r="HS31" s="108"/>
      <c r="HT31" s="108"/>
      <c r="HU31" s="108"/>
      <c r="HV31" s="108"/>
      <c r="HW31" s="108"/>
      <c r="HX31" s="108"/>
      <c r="HY31" s="108"/>
      <c r="HZ31" s="108"/>
      <c r="IA31" s="108"/>
      <c r="IB31" s="108"/>
      <c r="IC31" s="108"/>
      <c r="ID31" s="108"/>
      <c r="IE31" s="108"/>
      <c r="IF31" s="108"/>
      <c r="IG31" s="108"/>
      <c r="IH31" s="108"/>
      <c r="II31" s="108"/>
      <c r="IJ31" s="108"/>
      <c r="IK31" s="108"/>
      <c r="IL31" s="108"/>
      <c r="IM31" s="108"/>
      <c r="IN31" s="108"/>
      <c r="IO31" s="108"/>
      <c r="IP31" s="108"/>
      <c r="IQ31" s="108"/>
      <c r="IR31" s="108"/>
      <c r="IS31" s="108"/>
      <c r="IT31" s="108"/>
      <c r="IU31" s="108"/>
      <c r="IV31" s="108"/>
      <c r="IW31" s="108"/>
    </row>
    <row r="32" spans="1:257" ht="15" thickBot="1" x14ac:dyDescent="0.35">
      <c r="A32" s="158"/>
      <c r="B32" s="113" t="str">
        <f>'Sensitivity analysis'!B191</f>
        <v>Motor impairment among infants with hypoglycaemia</v>
      </c>
      <c r="C32" s="170">
        <f>'Sensitivity analysis'!G191</f>
        <v>35672.417421928956</v>
      </c>
      <c r="D32" s="171">
        <f>'Sensitivity analysis'!H191</f>
        <v>36644.453046781513</v>
      </c>
      <c r="E32" s="172">
        <f t="shared" si="0"/>
        <v>972.03562485255679</v>
      </c>
      <c r="F32" s="158"/>
      <c r="G32" s="158"/>
      <c r="H32" s="158"/>
      <c r="I32" s="173"/>
      <c r="J32" s="170"/>
      <c r="K32" s="175"/>
      <c r="L32" s="172"/>
      <c r="M32" s="158"/>
      <c r="N32" s="158"/>
      <c r="O32" s="108"/>
      <c r="P32" s="108"/>
      <c r="Q32" s="108"/>
      <c r="R32" s="108"/>
      <c r="S32" s="108"/>
      <c r="T32" s="108"/>
      <c r="U32" s="108"/>
      <c r="V32" s="108"/>
      <c r="W32" s="108"/>
      <c r="X32" s="108"/>
      <c r="Y32" s="108"/>
      <c r="Z32" s="108"/>
      <c r="AA32" s="108"/>
      <c r="AB32" s="108"/>
      <c r="AC32" s="108"/>
      <c r="AD32" s="108"/>
      <c r="AE32" s="108"/>
      <c r="AF32" s="108"/>
      <c r="AG32" s="108"/>
      <c r="AH32" s="108"/>
      <c r="AI32" s="108"/>
      <c r="AJ32" s="108"/>
      <c r="AK32" s="108"/>
      <c r="AL32" s="108"/>
      <c r="AM32" s="108"/>
      <c r="AN32" s="108"/>
      <c r="AO32" s="108"/>
      <c r="AP32" s="108"/>
      <c r="AQ32" s="108"/>
      <c r="AR32" s="108"/>
      <c r="AS32" s="108"/>
      <c r="AT32" s="108"/>
      <c r="AU32" s="108"/>
      <c r="AV32" s="108"/>
      <c r="AW32" s="108"/>
      <c r="AX32" s="108"/>
      <c r="AY32" s="108"/>
      <c r="AZ32" s="108"/>
      <c r="BA32" s="108"/>
      <c r="BB32" s="108"/>
      <c r="BC32" s="108"/>
      <c r="BD32" s="108"/>
      <c r="BE32" s="108"/>
      <c r="BF32" s="108"/>
      <c r="BG32" s="108"/>
      <c r="BH32" s="108"/>
      <c r="BI32" s="108"/>
      <c r="BJ32" s="108"/>
      <c r="BK32" s="108"/>
      <c r="BL32" s="108"/>
      <c r="BM32" s="108"/>
      <c r="BN32" s="108"/>
      <c r="BO32" s="108"/>
      <c r="BP32" s="108"/>
      <c r="BQ32" s="108"/>
      <c r="BR32" s="108"/>
      <c r="BS32" s="108"/>
      <c r="BT32" s="108"/>
      <c r="BU32" s="108"/>
      <c r="BV32" s="108"/>
      <c r="BW32" s="108"/>
      <c r="BX32" s="108"/>
      <c r="BY32" s="108"/>
      <c r="BZ32" s="108"/>
      <c r="CA32" s="108"/>
      <c r="CB32" s="108"/>
      <c r="CC32" s="108"/>
      <c r="CD32" s="108"/>
      <c r="CE32" s="108"/>
      <c r="CF32" s="108"/>
      <c r="CG32" s="108"/>
      <c r="CH32" s="108"/>
      <c r="CI32" s="108"/>
      <c r="CJ32" s="108"/>
      <c r="CK32" s="108"/>
      <c r="CL32" s="108"/>
      <c r="CM32" s="108"/>
      <c r="CN32" s="108"/>
      <c r="CO32" s="108"/>
      <c r="CP32" s="108"/>
      <c r="CQ32" s="108"/>
      <c r="CR32" s="108"/>
      <c r="CS32" s="108"/>
      <c r="CT32" s="108"/>
      <c r="CU32" s="108"/>
      <c r="CV32" s="108"/>
      <c r="CW32" s="108"/>
      <c r="CX32" s="108"/>
      <c r="CY32" s="108"/>
      <c r="CZ32" s="108"/>
      <c r="DA32" s="108"/>
      <c r="DB32" s="108"/>
      <c r="DC32" s="108"/>
      <c r="DD32" s="108"/>
      <c r="DE32" s="108"/>
      <c r="DF32" s="108"/>
      <c r="DG32" s="108"/>
      <c r="DH32" s="108"/>
      <c r="DI32" s="108"/>
      <c r="DJ32" s="108"/>
      <c r="DK32" s="108"/>
      <c r="DL32" s="108"/>
      <c r="DM32" s="108"/>
      <c r="DN32" s="108"/>
      <c r="DO32" s="108"/>
      <c r="DP32" s="108"/>
      <c r="DQ32" s="108"/>
      <c r="DR32" s="108"/>
      <c r="DS32" s="108"/>
      <c r="DT32" s="108"/>
      <c r="DU32" s="108"/>
      <c r="DV32" s="108"/>
      <c r="DW32" s="108"/>
      <c r="DX32" s="108"/>
      <c r="DY32" s="108"/>
      <c r="DZ32" s="108"/>
      <c r="EA32" s="108"/>
      <c r="EB32" s="108"/>
      <c r="EC32" s="108"/>
      <c r="ED32" s="108"/>
      <c r="EE32" s="108"/>
      <c r="EF32" s="108"/>
      <c r="EG32" s="108"/>
      <c r="EH32" s="108"/>
      <c r="EI32" s="108"/>
      <c r="EJ32" s="108"/>
      <c r="EK32" s="108"/>
      <c r="EL32" s="108"/>
      <c r="EM32" s="108"/>
      <c r="EN32" s="108"/>
      <c r="EO32" s="108"/>
      <c r="EP32" s="108"/>
      <c r="EQ32" s="108"/>
      <c r="ER32" s="108"/>
      <c r="ES32" s="108"/>
      <c r="ET32" s="108"/>
      <c r="EU32" s="108"/>
      <c r="EV32" s="108"/>
      <c r="EW32" s="108"/>
      <c r="EX32" s="108"/>
      <c r="EY32" s="108"/>
      <c r="EZ32" s="108"/>
      <c r="FA32" s="108"/>
      <c r="FB32" s="108"/>
      <c r="FC32" s="108"/>
      <c r="FD32" s="108"/>
      <c r="FE32" s="108"/>
      <c r="FF32" s="108"/>
      <c r="FG32" s="108"/>
      <c r="FH32" s="108"/>
      <c r="FI32" s="108"/>
      <c r="FJ32" s="108"/>
      <c r="FK32" s="108"/>
      <c r="FL32" s="108"/>
      <c r="FM32" s="108"/>
      <c r="FN32" s="108"/>
      <c r="FO32" s="108"/>
      <c r="FP32" s="108"/>
      <c r="FQ32" s="108"/>
      <c r="FR32" s="108"/>
      <c r="FS32" s="108"/>
      <c r="FT32" s="108"/>
      <c r="FU32" s="108"/>
      <c r="FV32" s="108"/>
      <c r="FW32" s="108"/>
      <c r="FX32" s="108"/>
      <c r="FY32" s="108"/>
      <c r="FZ32" s="108"/>
      <c r="GA32" s="108"/>
      <c r="GB32" s="108"/>
      <c r="GC32" s="108"/>
      <c r="GD32" s="108"/>
      <c r="GE32" s="108"/>
      <c r="GF32" s="108"/>
      <c r="GG32" s="108"/>
      <c r="GH32" s="108"/>
      <c r="GI32" s="108"/>
      <c r="GJ32" s="108"/>
      <c r="GK32" s="108"/>
      <c r="GL32" s="108"/>
      <c r="GM32" s="108"/>
      <c r="GN32" s="108"/>
      <c r="GO32" s="108"/>
      <c r="GP32" s="108"/>
      <c r="GQ32" s="108"/>
      <c r="GR32" s="108"/>
      <c r="GS32" s="108"/>
      <c r="GT32" s="108"/>
      <c r="GU32" s="108"/>
      <c r="GV32" s="108"/>
      <c r="GW32" s="108"/>
      <c r="GX32" s="108"/>
      <c r="GY32" s="108"/>
      <c r="GZ32" s="108"/>
      <c r="HA32" s="108"/>
      <c r="HB32" s="108"/>
      <c r="HC32" s="108"/>
      <c r="HD32" s="108"/>
      <c r="HE32" s="108"/>
      <c r="HF32" s="108"/>
      <c r="HG32" s="108"/>
      <c r="HH32" s="108"/>
      <c r="HI32" s="108"/>
      <c r="HJ32" s="108"/>
      <c r="HK32" s="108"/>
      <c r="HL32" s="108"/>
      <c r="HM32" s="108"/>
      <c r="HN32" s="108"/>
      <c r="HO32" s="108"/>
      <c r="HP32" s="108"/>
      <c r="HQ32" s="108"/>
      <c r="HR32" s="108"/>
      <c r="HS32" s="108"/>
      <c r="HT32" s="108"/>
      <c r="HU32" s="108"/>
      <c r="HV32" s="108"/>
      <c r="HW32" s="108"/>
      <c r="HX32" s="108"/>
      <c r="HY32" s="108"/>
      <c r="HZ32" s="108"/>
      <c r="IA32" s="108"/>
      <c r="IB32" s="108"/>
      <c r="IC32" s="108"/>
      <c r="ID32" s="108"/>
      <c r="IE32" s="108"/>
      <c r="IF32" s="108"/>
      <c r="IG32" s="108"/>
      <c r="IH32" s="108"/>
      <c r="II32" s="108"/>
      <c r="IJ32" s="108"/>
      <c r="IK32" s="108"/>
      <c r="IL32" s="108"/>
      <c r="IM32" s="108"/>
      <c r="IN32" s="108"/>
      <c r="IO32" s="108"/>
      <c r="IP32" s="108"/>
      <c r="IQ32" s="108"/>
      <c r="IR32" s="108"/>
      <c r="IS32" s="108"/>
      <c r="IT32" s="108"/>
      <c r="IU32" s="108"/>
      <c r="IV32" s="108"/>
      <c r="IW32" s="108"/>
    </row>
    <row r="33" spans="1:257" ht="15" thickBot="1" x14ac:dyDescent="0.35">
      <c r="A33" s="158"/>
      <c r="B33" s="113" t="str">
        <f>'Sensitivity analysis'!B192</f>
        <v>Motor impairment among infants without hypoglycaemia</v>
      </c>
      <c r="C33" s="170">
        <f>'Sensitivity analysis'!G192</f>
        <v>36531.577270489644</v>
      </c>
      <c r="D33" s="171">
        <f>'Sensitivity analysis'!H192</f>
        <v>35810.169333963211</v>
      </c>
      <c r="E33" s="172">
        <f t="shared" si="0"/>
        <v>721.40793652643333</v>
      </c>
      <c r="F33" s="158"/>
      <c r="G33" s="158"/>
      <c r="H33" s="158"/>
      <c r="I33" s="173"/>
      <c r="J33" s="170"/>
      <c r="K33" s="175"/>
      <c r="L33" s="172"/>
      <c r="M33" s="158"/>
      <c r="N33" s="158"/>
      <c r="O33" s="108"/>
      <c r="P33" s="108"/>
      <c r="Q33" s="108"/>
      <c r="R33" s="108"/>
      <c r="S33" s="108"/>
      <c r="T33" s="108"/>
      <c r="U33" s="108"/>
      <c r="V33" s="108"/>
      <c r="W33" s="108"/>
      <c r="X33" s="108"/>
      <c r="Y33" s="108"/>
      <c r="Z33" s="108"/>
      <c r="AA33" s="108"/>
      <c r="AB33" s="108"/>
      <c r="AC33" s="108"/>
      <c r="AD33" s="108"/>
      <c r="AE33" s="108"/>
      <c r="AF33" s="108"/>
      <c r="AG33" s="108"/>
      <c r="AH33" s="108"/>
      <c r="AI33" s="108"/>
      <c r="AJ33" s="108"/>
      <c r="AK33" s="108"/>
      <c r="AL33" s="108"/>
      <c r="AM33" s="108"/>
      <c r="AN33" s="108"/>
      <c r="AO33" s="108"/>
      <c r="AP33" s="108"/>
      <c r="AQ33" s="108"/>
      <c r="AR33" s="108"/>
      <c r="AS33" s="108"/>
      <c r="AT33" s="108"/>
      <c r="AU33" s="108"/>
      <c r="AV33" s="108"/>
      <c r="AW33" s="108"/>
      <c r="AX33" s="108"/>
      <c r="AY33" s="108"/>
      <c r="AZ33" s="108"/>
      <c r="BA33" s="108"/>
      <c r="BB33" s="108"/>
      <c r="BC33" s="108"/>
      <c r="BD33" s="108"/>
      <c r="BE33" s="108"/>
      <c r="BF33" s="108"/>
      <c r="BG33" s="108"/>
      <c r="BH33" s="108"/>
      <c r="BI33" s="108"/>
      <c r="BJ33" s="108"/>
      <c r="BK33" s="108"/>
      <c r="BL33" s="108"/>
      <c r="BM33" s="108"/>
      <c r="BN33" s="108"/>
      <c r="BO33" s="108"/>
      <c r="BP33" s="108"/>
      <c r="BQ33" s="108"/>
      <c r="BR33" s="108"/>
      <c r="BS33" s="108"/>
      <c r="BT33" s="108"/>
      <c r="BU33" s="108"/>
      <c r="BV33" s="108"/>
      <c r="BW33" s="108"/>
      <c r="BX33" s="108"/>
      <c r="BY33" s="108"/>
      <c r="BZ33" s="108"/>
      <c r="CA33" s="108"/>
      <c r="CB33" s="108"/>
      <c r="CC33" s="108"/>
      <c r="CD33" s="108"/>
      <c r="CE33" s="108"/>
      <c r="CF33" s="108"/>
      <c r="CG33" s="108"/>
      <c r="CH33" s="108"/>
      <c r="CI33" s="108"/>
      <c r="CJ33" s="108"/>
      <c r="CK33" s="108"/>
      <c r="CL33" s="108"/>
      <c r="CM33" s="108"/>
      <c r="CN33" s="108"/>
      <c r="CO33" s="108"/>
      <c r="CP33" s="108"/>
      <c r="CQ33" s="108"/>
      <c r="CR33" s="108"/>
      <c r="CS33" s="108"/>
      <c r="CT33" s="108"/>
      <c r="CU33" s="108"/>
      <c r="CV33" s="108"/>
      <c r="CW33" s="108"/>
      <c r="CX33" s="108"/>
      <c r="CY33" s="108"/>
      <c r="CZ33" s="108"/>
      <c r="DA33" s="108"/>
      <c r="DB33" s="108"/>
      <c r="DC33" s="108"/>
      <c r="DD33" s="108"/>
      <c r="DE33" s="108"/>
      <c r="DF33" s="108"/>
      <c r="DG33" s="108"/>
      <c r="DH33" s="108"/>
      <c r="DI33" s="108"/>
      <c r="DJ33" s="108"/>
      <c r="DK33" s="108"/>
      <c r="DL33" s="108"/>
      <c r="DM33" s="108"/>
      <c r="DN33" s="108"/>
      <c r="DO33" s="108"/>
      <c r="DP33" s="108"/>
      <c r="DQ33" s="108"/>
      <c r="DR33" s="108"/>
      <c r="DS33" s="108"/>
      <c r="DT33" s="108"/>
      <c r="DU33" s="108"/>
      <c r="DV33" s="108"/>
      <c r="DW33" s="108"/>
      <c r="DX33" s="108"/>
      <c r="DY33" s="108"/>
      <c r="DZ33" s="108"/>
      <c r="EA33" s="108"/>
      <c r="EB33" s="108"/>
      <c r="EC33" s="108"/>
      <c r="ED33" s="108"/>
      <c r="EE33" s="108"/>
      <c r="EF33" s="108"/>
      <c r="EG33" s="108"/>
      <c r="EH33" s="108"/>
      <c r="EI33" s="108"/>
      <c r="EJ33" s="108"/>
      <c r="EK33" s="108"/>
      <c r="EL33" s="108"/>
      <c r="EM33" s="108"/>
      <c r="EN33" s="108"/>
      <c r="EO33" s="108"/>
      <c r="EP33" s="108"/>
      <c r="EQ33" s="108"/>
      <c r="ER33" s="108"/>
      <c r="ES33" s="108"/>
      <c r="ET33" s="108"/>
      <c r="EU33" s="108"/>
      <c r="EV33" s="108"/>
      <c r="EW33" s="108"/>
      <c r="EX33" s="108"/>
      <c r="EY33" s="108"/>
      <c r="EZ33" s="108"/>
      <c r="FA33" s="108"/>
      <c r="FB33" s="108"/>
      <c r="FC33" s="108"/>
      <c r="FD33" s="108"/>
      <c r="FE33" s="108"/>
      <c r="FF33" s="108"/>
      <c r="FG33" s="108"/>
      <c r="FH33" s="108"/>
      <c r="FI33" s="108"/>
      <c r="FJ33" s="108"/>
      <c r="FK33" s="108"/>
      <c r="FL33" s="108"/>
      <c r="FM33" s="108"/>
      <c r="FN33" s="108"/>
      <c r="FO33" s="108"/>
      <c r="FP33" s="108"/>
      <c r="FQ33" s="108"/>
      <c r="FR33" s="108"/>
      <c r="FS33" s="108"/>
      <c r="FT33" s="108"/>
      <c r="FU33" s="108"/>
      <c r="FV33" s="108"/>
      <c r="FW33" s="108"/>
      <c r="FX33" s="108"/>
      <c r="FY33" s="108"/>
      <c r="FZ33" s="108"/>
      <c r="GA33" s="108"/>
      <c r="GB33" s="108"/>
      <c r="GC33" s="108"/>
      <c r="GD33" s="108"/>
      <c r="GE33" s="108"/>
      <c r="GF33" s="108"/>
      <c r="GG33" s="108"/>
      <c r="GH33" s="108"/>
      <c r="GI33" s="108"/>
      <c r="GJ33" s="108"/>
      <c r="GK33" s="108"/>
      <c r="GL33" s="108"/>
      <c r="GM33" s="108"/>
      <c r="GN33" s="108"/>
      <c r="GO33" s="108"/>
      <c r="GP33" s="108"/>
      <c r="GQ33" s="108"/>
      <c r="GR33" s="108"/>
      <c r="GS33" s="108"/>
      <c r="GT33" s="108"/>
      <c r="GU33" s="108"/>
      <c r="GV33" s="108"/>
      <c r="GW33" s="108"/>
      <c r="GX33" s="108"/>
      <c r="GY33" s="108"/>
      <c r="GZ33" s="108"/>
      <c r="HA33" s="108"/>
      <c r="HB33" s="108"/>
      <c r="HC33" s="108"/>
      <c r="HD33" s="108"/>
      <c r="HE33" s="108"/>
      <c r="HF33" s="108"/>
      <c r="HG33" s="108"/>
      <c r="HH33" s="108"/>
      <c r="HI33" s="108"/>
      <c r="HJ33" s="108"/>
      <c r="HK33" s="108"/>
      <c r="HL33" s="108"/>
      <c r="HM33" s="108"/>
      <c r="HN33" s="108"/>
      <c r="HO33" s="108"/>
      <c r="HP33" s="108"/>
      <c r="HQ33" s="108"/>
      <c r="HR33" s="108"/>
      <c r="HS33" s="108"/>
      <c r="HT33" s="108"/>
      <c r="HU33" s="108"/>
      <c r="HV33" s="108"/>
      <c r="HW33" s="108"/>
      <c r="HX33" s="108"/>
      <c r="HY33" s="108"/>
      <c r="HZ33" s="108"/>
      <c r="IA33" s="108"/>
      <c r="IB33" s="108"/>
      <c r="IC33" s="108"/>
      <c r="ID33" s="108"/>
      <c r="IE33" s="108"/>
      <c r="IF33" s="108"/>
      <c r="IG33" s="108"/>
      <c r="IH33" s="108"/>
      <c r="II33" s="108"/>
      <c r="IJ33" s="108"/>
      <c r="IK33" s="108"/>
      <c r="IL33" s="108"/>
      <c r="IM33" s="108"/>
      <c r="IN33" s="108"/>
      <c r="IO33" s="108"/>
      <c r="IP33" s="108"/>
      <c r="IQ33" s="108"/>
      <c r="IR33" s="108"/>
      <c r="IS33" s="108"/>
      <c r="IT33" s="108"/>
      <c r="IU33" s="108"/>
      <c r="IV33" s="108"/>
      <c r="IW33" s="108"/>
    </row>
    <row r="34" spans="1:257" ht="15" thickBot="1" x14ac:dyDescent="0.35">
      <c r="A34" s="158"/>
      <c r="B34" s="113" t="str">
        <f>'Sensitivity analysis'!B193</f>
        <v>Child support grant cost</v>
      </c>
      <c r="C34" s="170">
        <f>'Sensitivity analysis'!G193</f>
        <v>36189.084032202183</v>
      </c>
      <c r="D34" s="171">
        <f>'Sensitivity analysis'!H193</f>
        <v>36189.084032202183</v>
      </c>
      <c r="E34" s="172">
        <f t="shared" si="0"/>
        <v>0</v>
      </c>
      <c r="F34" s="158"/>
      <c r="G34" s="158"/>
      <c r="H34" s="158"/>
      <c r="I34" s="173"/>
      <c r="J34" s="170"/>
      <c r="K34" s="175"/>
      <c r="L34" s="172"/>
      <c r="M34" s="158"/>
      <c r="N34" s="158"/>
      <c r="O34" s="108"/>
      <c r="P34" s="108"/>
      <c r="Q34" s="108"/>
      <c r="R34" s="108"/>
      <c r="S34" s="108"/>
      <c r="T34" s="108"/>
      <c r="U34" s="108"/>
      <c r="V34" s="108"/>
      <c r="W34" s="108"/>
      <c r="X34" s="108"/>
      <c r="Y34" s="108"/>
      <c r="Z34" s="108"/>
      <c r="AA34" s="108"/>
      <c r="AB34" s="108"/>
      <c r="AC34" s="108"/>
      <c r="AD34" s="108"/>
      <c r="AE34" s="108"/>
      <c r="AF34" s="108"/>
      <c r="AG34" s="108"/>
      <c r="AH34" s="108"/>
      <c r="AI34" s="108"/>
      <c r="AJ34" s="108"/>
      <c r="AK34" s="108"/>
      <c r="AL34" s="108"/>
      <c r="AM34" s="108"/>
      <c r="AN34" s="108"/>
      <c r="AO34" s="108"/>
      <c r="AP34" s="108"/>
      <c r="AQ34" s="108"/>
      <c r="AR34" s="108"/>
      <c r="AS34" s="108"/>
      <c r="AT34" s="108"/>
      <c r="AU34" s="108"/>
      <c r="AV34" s="108"/>
      <c r="AW34" s="108"/>
      <c r="AX34" s="108"/>
      <c r="AY34" s="108"/>
      <c r="AZ34" s="108"/>
      <c r="BA34" s="108"/>
      <c r="BB34" s="108"/>
      <c r="BC34" s="108"/>
      <c r="BD34" s="108"/>
      <c r="BE34" s="108"/>
      <c r="BF34" s="108"/>
      <c r="BG34" s="108"/>
      <c r="BH34" s="108"/>
      <c r="BI34" s="108"/>
      <c r="BJ34" s="108"/>
      <c r="BK34" s="108"/>
      <c r="BL34" s="108"/>
      <c r="BM34" s="108"/>
      <c r="BN34" s="108"/>
      <c r="BO34" s="108"/>
      <c r="BP34" s="108"/>
      <c r="BQ34" s="108"/>
      <c r="BR34" s="108"/>
      <c r="BS34" s="108"/>
      <c r="BT34" s="108"/>
      <c r="BU34" s="108"/>
      <c r="BV34" s="108"/>
      <c r="BW34" s="108"/>
      <c r="BX34" s="108"/>
      <c r="BY34" s="108"/>
      <c r="BZ34" s="108"/>
      <c r="CA34" s="108"/>
      <c r="CB34" s="108"/>
      <c r="CC34" s="108"/>
      <c r="CD34" s="108"/>
      <c r="CE34" s="108"/>
      <c r="CF34" s="108"/>
      <c r="CG34" s="108"/>
      <c r="CH34" s="108"/>
      <c r="CI34" s="108"/>
      <c r="CJ34" s="108"/>
      <c r="CK34" s="108"/>
      <c r="CL34" s="108"/>
      <c r="CM34" s="108"/>
      <c r="CN34" s="108"/>
      <c r="CO34" s="108"/>
      <c r="CP34" s="108"/>
      <c r="CQ34" s="108"/>
      <c r="CR34" s="108"/>
      <c r="CS34" s="108"/>
      <c r="CT34" s="108"/>
      <c r="CU34" s="108"/>
      <c r="CV34" s="108"/>
      <c r="CW34" s="108"/>
      <c r="CX34" s="108"/>
      <c r="CY34" s="108"/>
      <c r="CZ34" s="108"/>
      <c r="DA34" s="108"/>
      <c r="DB34" s="108"/>
      <c r="DC34" s="108"/>
      <c r="DD34" s="108"/>
      <c r="DE34" s="108"/>
      <c r="DF34" s="108"/>
      <c r="DG34" s="108"/>
      <c r="DH34" s="108"/>
      <c r="DI34" s="108"/>
      <c r="DJ34" s="108"/>
      <c r="DK34" s="108"/>
      <c r="DL34" s="108"/>
      <c r="DM34" s="108"/>
      <c r="DN34" s="108"/>
      <c r="DO34" s="108"/>
      <c r="DP34" s="108"/>
      <c r="DQ34" s="108"/>
      <c r="DR34" s="108"/>
      <c r="DS34" s="108"/>
      <c r="DT34" s="108"/>
      <c r="DU34" s="108"/>
      <c r="DV34" s="108"/>
      <c r="DW34" s="108"/>
      <c r="DX34" s="108"/>
      <c r="DY34" s="108"/>
      <c r="DZ34" s="108"/>
      <c r="EA34" s="108"/>
      <c r="EB34" s="108"/>
      <c r="EC34" s="108"/>
      <c r="ED34" s="108"/>
      <c r="EE34" s="108"/>
      <c r="EF34" s="108"/>
      <c r="EG34" s="108"/>
      <c r="EH34" s="108"/>
      <c r="EI34" s="108"/>
      <c r="EJ34" s="108"/>
      <c r="EK34" s="108"/>
      <c r="EL34" s="108"/>
      <c r="EM34" s="108"/>
      <c r="EN34" s="108"/>
      <c r="EO34" s="108"/>
      <c r="EP34" s="108"/>
      <c r="EQ34" s="108"/>
      <c r="ER34" s="108"/>
      <c r="ES34" s="108"/>
      <c r="ET34" s="108"/>
      <c r="EU34" s="108"/>
      <c r="EV34" s="108"/>
      <c r="EW34" s="108"/>
      <c r="EX34" s="108"/>
      <c r="EY34" s="108"/>
      <c r="EZ34" s="108"/>
      <c r="FA34" s="108"/>
      <c r="FB34" s="108"/>
      <c r="FC34" s="108"/>
      <c r="FD34" s="108"/>
      <c r="FE34" s="108"/>
      <c r="FF34" s="108"/>
      <c r="FG34" s="108"/>
      <c r="FH34" s="108"/>
      <c r="FI34" s="108"/>
      <c r="FJ34" s="108"/>
      <c r="FK34" s="108"/>
      <c r="FL34" s="108"/>
      <c r="FM34" s="108"/>
      <c r="FN34" s="108"/>
      <c r="FO34" s="108"/>
      <c r="FP34" s="108"/>
      <c r="FQ34" s="108"/>
      <c r="FR34" s="108"/>
      <c r="FS34" s="108"/>
      <c r="FT34" s="108"/>
      <c r="FU34" s="108"/>
      <c r="FV34" s="108"/>
      <c r="FW34" s="108"/>
      <c r="FX34" s="108"/>
      <c r="FY34" s="108"/>
      <c r="FZ34" s="108"/>
      <c r="GA34" s="108"/>
      <c r="GB34" s="108"/>
      <c r="GC34" s="108"/>
      <c r="GD34" s="108"/>
      <c r="GE34" s="108"/>
      <c r="GF34" s="108"/>
      <c r="GG34" s="108"/>
      <c r="GH34" s="108"/>
      <c r="GI34" s="108"/>
      <c r="GJ34" s="108"/>
      <c r="GK34" s="108"/>
      <c r="GL34" s="108"/>
      <c r="GM34" s="108"/>
      <c r="GN34" s="108"/>
      <c r="GO34" s="108"/>
      <c r="GP34" s="108"/>
      <c r="GQ34" s="108"/>
      <c r="GR34" s="108"/>
      <c r="GS34" s="108"/>
      <c r="GT34" s="108"/>
      <c r="GU34" s="108"/>
      <c r="GV34" s="108"/>
      <c r="GW34" s="108"/>
      <c r="GX34" s="108"/>
      <c r="GY34" s="108"/>
      <c r="GZ34" s="108"/>
      <c r="HA34" s="108"/>
      <c r="HB34" s="108"/>
      <c r="HC34" s="108"/>
      <c r="HD34" s="108"/>
      <c r="HE34" s="108"/>
      <c r="HF34" s="108"/>
      <c r="HG34" s="108"/>
      <c r="HH34" s="108"/>
      <c r="HI34" s="108"/>
      <c r="HJ34" s="108"/>
      <c r="HK34" s="108"/>
      <c r="HL34" s="108"/>
      <c r="HM34" s="108"/>
      <c r="HN34" s="108"/>
      <c r="HO34" s="108"/>
      <c r="HP34" s="108"/>
      <c r="HQ34" s="108"/>
      <c r="HR34" s="108"/>
      <c r="HS34" s="108"/>
      <c r="HT34" s="108"/>
      <c r="HU34" s="108"/>
      <c r="HV34" s="108"/>
      <c r="HW34" s="108"/>
      <c r="HX34" s="108"/>
      <c r="HY34" s="108"/>
      <c r="HZ34" s="108"/>
      <c r="IA34" s="108"/>
      <c r="IB34" s="108"/>
      <c r="IC34" s="108"/>
      <c r="ID34" s="108"/>
      <c r="IE34" s="108"/>
      <c r="IF34" s="108"/>
      <c r="IG34" s="108"/>
      <c r="IH34" s="108"/>
      <c r="II34" s="108"/>
      <c r="IJ34" s="108"/>
      <c r="IK34" s="108"/>
      <c r="IL34" s="108"/>
      <c r="IM34" s="108"/>
      <c r="IN34" s="108"/>
      <c r="IO34" s="108"/>
      <c r="IP34" s="108"/>
      <c r="IQ34" s="108"/>
      <c r="IR34" s="108"/>
      <c r="IS34" s="108"/>
      <c r="IT34" s="108"/>
      <c r="IU34" s="108"/>
      <c r="IV34" s="108"/>
      <c r="IW34" s="108"/>
    </row>
    <row r="35" spans="1:257" ht="15" thickBot="1" x14ac:dyDescent="0.35">
      <c r="A35" s="158"/>
      <c r="B35" s="113" t="str">
        <f>'Sensitivity analysis'!B194</f>
        <v>Antenatal care cost</v>
      </c>
      <c r="C35" s="170">
        <f>'Sensitivity analysis'!G194</f>
        <v>36165.863127855235</v>
      </c>
      <c r="D35" s="171">
        <f>'Sensitivity analysis'!H194</f>
        <v>36151.502533755222</v>
      </c>
      <c r="E35" s="172">
        <f t="shared" si="0"/>
        <v>14.360594100013259</v>
      </c>
      <c r="F35" s="158"/>
      <c r="G35" s="158"/>
      <c r="H35" s="158"/>
      <c r="I35" s="173"/>
      <c r="J35" s="170"/>
      <c r="K35" s="175"/>
      <c r="L35" s="172"/>
      <c r="M35" s="158"/>
      <c r="N35" s="158"/>
      <c r="O35" s="108"/>
      <c r="P35" s="108"/>
      <c r="Q35" s="108"/>
      <c r="R35" s="108"/>
      <c r="S35" s="108"/>
      <c r="T35" s="108"/>
      <c r="U35" s="108"/>
      <c r="V35" s="108"/>
      <c r="W35" s="108"/>
      <c r="X35" s="108"/>
      <c r="Y35" s="108"/>
      <c r="Z35" s="108"/>
      <c r="AA35" s="108"/>
      <c r="AB35" s="108"/>
      <c r="AC35" s="108"/>
      <c r="AD35" s="108"/>
      <c r="AE35" s="108"/>
      <c r="AF35" s="108"/>
      <c r="AG35" s="108"/>
      <c r="AH35" s="108"/>
      <c r="AI35" s="108"/>
      <c r="AJ35" s="108"/>
      <c r="AK35" s="108"/>
      <c r="AL35" s="108"/>
      <c r="AM35" s="108"/>
      <c r="AN35" s="108"/>
      <c r="AO35" s="108"/>
      <c r="AP35" s="108"/>
      <c r="AQ35" s="108"/>
      <c r="AR35" s="108"/>
      <c r="AS35" s="108"/>
      <c r="AT35" s="108"/>
      <c r="AU35" s="108"/>
      <c r="AV35" s="108"/>
      <c r="AW35" s="108"/>
      <c r="AX35" s="108"/>
      <c r="AY35" s="108"/>
      <c r="AZ35" s="108"/>
      <c r="BA35" s="108"/>
      <c r="BB35" s="108"/>
      <c r="BC35" s="108"/>
      <c r="BD35" s="108"/>
      <c r="BE35" s="108"/>
      <c r="BF35" s="108"/>
      <c r="BG35" s="108"/>
      <c r="BH35" s="108"/>
      <c r="BI35" s="108"/>
      <c r="BJ35" s="108"/>
      <c r="BK35" s="108"/>
      <c r="BL35" s="108"/>
      <c r="BM35" s="108"/>
      <c r="BN35" s="108"/>
      <c r="BO35" s="108"/>
      <c r="BP35" s="108"/>
      <c r="BQ35" s="108"/>
      <c r="BR35" s="108"/>
      <c r="BS35" s="108"/>
      <c r="BT35" s="108"/>
      <c r="BU35" s="108"/>
      <c r="BV35" s="108"/>
      <c r="BW35" s="108"/>
      <c r="BX35" s="108"/>
      <c r="BY35" s="108"/>
      <c r="BZ35" s="108"/>
      <c r="CA35" s="108"/>
      <c r="CB35" s="108"/>
      <c r="CC35" s="108"/>
      <c r="CD35" s="108"/>
      <c r="CE35" s="108"/>
      <c r="CF35" s="108"/>
      <c r="CG35" s="108"/>
      <c r="CH35" s="108"/>
      <c r="CI35" s="108"/>
      <c r="CJ35" s="108"/>
      <c r="CK35" s="108"/>
      <c r="CL35" s="108"/>
      <c r="CM35" s="108"/>
      <c r="CN35" s="108"/>
      <c r="CO35" s="108"/>
      <c r="CP35" s="108"/>
      <c r="CQ35" s="108"/>
      <c r="CR35" s="108"/>
      <c r="CS35" s="108"/>
      <c r="CT35" s="108"/>
      <c r="CU35" s="108"/>
      <c r="CV35" s="108"/>
      <c r="CW35" s="108"/>
      <c r="CX35" s="108"/>
      <c r="CY35" s="108"/>
      <c r="CZ35" s="108"/>
      <c r="DA35" s="108"/>
      <c r="DB35" s="108"/>
      <c r="DC35" s="108"/>
      <c r="DD35" s="108"/>
      <c r="DE35" s="108"/>
      <c r="DF35" s="108"/>
      <c r="DG35" s="108"/>
      <c r="DH35" s="108"/>
      <c r="DI35" s="108"/>
      <c r="DJ35" s="108"/>
      <c r="DK35" s="108"/>
      <c r="DL35" s="108"/>
      <c r="DM35" s="108"/>
      <c r="DN35" s="108"/>
      <c r="DO35" s="108"/>
      <c r="DP35" s="108"/>
      <c r="DQ35" s="108"/>
      <c r="DR35" s="108"/>
      <c r="DS35" s="108"/>
      <c r="DT35" s="108"/>
      <c r="DU35" s="108"/>
      <c r="DV35" s="108"/>
      <c r="DW35" s="108"/>
      <c r="DX35" s="108"/>
      <c r="DY35" s="108"/>
      <c r="DZ35" s="108"/>
      <c r="EA35" s="108"/>
      <c r="EB35" s="108"/>
      <c r="EC35" s="108"/>
      <c r="ED35" s="108"/>
      <c r="EE35" s="108"/>
      <c r="EF35" s="108"/>
      <c r="EG35" s="108"/>
      <c r="EH35" s="108"/>
      <c r="EI35" s="108"/>
      <c r="EJ35" s="108"/>
      <c r="EK35" s="108"/>
      <c r="EL35" s="108"/>
      <c r="EM35" s="108"/>
      <c r="EN35" s="108"/>
      <c r="EO35" s="108"/>
      <c r="EP35" s="108"/>
      <c r="EQ35" s="108"/>
      <c r="ER35" s="108"/>
      <c r="ES35" s="108"/>
      <c r="ET35" s="108"/>
      <c r="EU35" s="108"/>
      <c r="EV35" s="108"/>
      <c r="EW35" s="108"/>
      <c r="EX35" s="108"/>
      <c r="EY35" s="108"/>
      <c r="EZ35" s="108"/>
      <c r="FA35" s="108"/>
      <c r="FB35" s="108"/>
      <c r="FC35" s="108"/>
      <c r="FD35" s="108"/>
      <c r="FE35" s="108"/>
      <c r="FF35" s="108"/>
      <c r="FG35" s="108"/>
      <c r="FH35" s="108"/>
      <c r="FI35" s="108"/>
      <c r="FJ35" s="108"/>
      <c r="FK35" s="108"/>
      <c r="FL35" s="108"/>
      <c r="FM35" s="108"/>
      <c r="FN35" s="108"/>
      <c r="FO35" s="108"/>
      <c r="FP35" s="108"/>
      <c r="FQ35" s="108"/>
      <c r="FR35" s="108"/>
      <c r="FS35" s="108"/>
      <c r="FT35" s="108"/>
      <c r="FU35" s="108"/>
      <c r="FV35" s="108"/>
      <c r="FW35" s="108"/>
      <c r="FX35" s="108"/>
      <c r="FY35" s="108"/>
      <c r="FZ35" s="108"/>
      <c r="GA35" s="108"/>
      <c r="GB35" s="108"/>
      <c r="GC35" s="108"/>
      <c r="GD35" s="108"/>
      <c r="GE35" s="108"/>
      <c r="GF35" s="108"/>
      <c r="GG35" s="108"/>
      <c r="GH35" s="108"/>
      <c r="GI35" s="108"/>
      <c r="GJ35" s="108"/>
      <c r="GK35" s="108"/>
      <c r="GL35" s="108"/>
      <c r="GM35" s="108"/>
      <c r="GN35" s="108"/>
      <c r="GO35" s="108"/>
      <c r="GP35" s="108"/>
      <c r="GQ35" s="108"/>
      <c r="GR35" s="108"/>
      <c r="GS35" s="108"/>
      <c r="GT35" s="108"/>
      <c r="GU35" s="108"/>
      <c r="GV35" s="108"/>
      <c r="GW35" s="108"/>
      <c r="GX35" s="108"/>
      <c r="GY35" s="108"/>
      <c r="GZ35" s="108"/>
      <c r="HA35" s="108"/>
      <c r="HB35" s="108"/>
      <c r="HC35" s="108"/>
      <c r="HD35" s="108"/>
      <c r="HE35" s="108"/>
      <c r="HF35" s="108"/>
      <c r="HG35" s="108"/>
      <c r="HH35" s="108"/>
      <c r="HI35" s="108"/>
      <c r="HJ35" s="108"/>
      <c r="HK35" s="108"/>
      <c r="HL35" s="108"/>
      <c r="HM35" s="108"/>
      <c r="HN35" s="108"/>
      <c r="HO35" s="108"/>
      <c r="HP35" s="108"/>
      <c r="HQ35" s="108"/>
      <c r="HR35" s="108"/>
      <c r="HS35" s="108"/>
      <c r="HT35" s="108"/>
      <c r="HU35" s="108"/>
      <c r="HV35" s="108"/>
      <c r="HW35" s="108"/>
      <c r="HX35" s="108"/>
      <c r="HY35" s="108"/>
      <c r="HZ35" s="108"/>
      <c r="IA35" s="108"/>
      <c r="IB35" s="108"/>
      <c r="IC35" s="108"/>
      <c r="ID35" s="108"/>
      <c r="IE35" s="108"/>
      <c r="IF35" s="108"/>
      <c r="IG35" s="108"/>
      <c r="IH35" s="108"/>
      <c r="II35" s="108"/>
      <c r="IJ35" s="108"/>
      <c r="IK35" s="108"/>
      <c r="IL35" s="108"/>
      <c r="IM35" s="108"/>
      <c r="IN35" s="108"/>
      <c r="IO35" s="108"/>
      <c r="IP35" s="108"/>
      <c r="IQ35" s="108"/>
      <c r="IR35" s="108"/>
      <c r="IS35" s="108"/>
      <c r="IT35" s="108"/>
      <c r="IU35" s="108"/>
      <c r="IV35" s="108"/>
      <c r="IW35" s="108"/>
    </row>
    <row r="36" spans="1:257" ht="15" thickBot="1" x14ac:dyDescent="0.35">
      <c r="A36" s="158"/>
      <c r="B36" s="113" t="str">
        <f>'Sensitivity analysis'!B195</f>
        <v>Preterm birth cost</v>
      </c>
      <c r="C36" s="170">
        <f>'Sensitivity analysis'!G195</f>
        <v>36146.632820487997</v>
      </c>
      <c r="D36" s="171">
        <f>'Sensitivity analysis'!H195</f>
        <v>36169.45082063126</v>
      </c>
      <c r="E36" s="172">
        <f t="shared" si="0"/>
        <v>22.818000143262907</v>
      </c>
      <c r="F36" s="158"/>
      <c r="G36" s="158"/>
      <c r="H36" s="158"/>
      <c r="I36" s="173"/>
      <c r="J36" s="170"/>
      <c r="K36" s="175"/>
      <c r="L36" s="172"/>
      <c r="M36" s="158"/>
      <c r="N36" s="158"/>
      <c r="O36" s="108"/>
      <c r="P36" s="108"/>
      <c r="Q36" s="108"/>
      <c r="R36" s="108"/>
      <c r="S36" s="108"/>
      <c r="T36" s="108"/>
      <c r="U36" s="108"/>
      <c r="V36" s="108"/>
      <c r="W36" s="108"/>
      <c r="X36" s="108"/>
      <c r="Y36" s="108"/>
      <c r="Z36" s="108"/>
      <c r="AA36" s="108"/>
      <c r="AB36" s="108"/>
      <c r="AC36" s="108"/>
      <c r="AD36" s="108"/>
      <c r="AE36" s="108"/>
      <c r="AF36" s="108"/>
      <c r="AG36" s="108"/>
      <c r="AH36" s="108"/>
      <c r="AI36" s="108"/>
      <c r="AJ36" s="108"/>
      <c r="AK36" s="108"/>
      <c r="AL36" s="108"/>
      <c r="AM36" s="108"/>
      <c r="AN36" s="108"/>
      <c r="AO36" s="108"/>
      <c r="AP36" s="108"/>
      <c r="AQ36" s="108"/>
      <c r="AR36" s="108"/>
      <c r="AS36" s="108"/>
      <c r="AT36" s="108"/>
      <c r="AU36" s="108"/>
      <c r="AV36" s="108"/>
      <c r="AW36" s="108"/>
      <c r="AX36" s="108"/>
      <c r="AY36" s="108"/>
      <c r="AZ36" s="108"/>
      <c r="BA36" s="108"/>
      <c r="BB36" s="108"/>
      <c r="BC36" s="108"/>
      <c r="BD36" s="108"/>
      <c r="BE36" s="108"/>
      <c r="BF36" s="108"/>
      <c r="BG36" s="108"/>
      <c r="BH36" s="108"/>
      <c r="BI36" s="108"/>
      <c r="BJ36" s="108"/>
      <c r="BK36" s="108"/>
      <c r="BL36" s="108"/>
      <c r="BM36" s="108"/>
      <c r="BN36" s="108"/>
      <c r="BO36" s="108"/>
      <c r="BP36" s="108"/>
      <c r="BQ36" s="108"/>
      <c r="BR36" s="108"/>
      <c r="BS36" s="108"/>
      <c r="BT36" s="108"/>
      <c r="BU36" s="108"/>
      <c r="BV36" s="108"/>
      <c r="BW36" s="108"/>
      <c r="BX36" s="108"/>
      <c r="BY36" s="108"/>
      <c r="BZ36" s="108"/>
      <c r="CA36" s="108"/>
      <c r="CB36" s="108"/>
      <c r="CC36" s="108"/>
      <c r="CD36" s="108"/>
      <c r="CE36" s="108"/>
      <c r="CF36" s="108"/>
      <c r="CG36" s="108"/>
      <c r="CH36" s="108"/>
      <c r="CI36" s="108"/>
      <c r="CJ36" s="108"/>
      <c r="CK36" s="108"/>
      <c r="CL36" s="108"/>
      <c r="CM36" s="108"/>
      <c r="CN36" s="108"/>
      <c r="CO36" s="108"/>
      <c r="CP36" s="108"/>
      <c r="CQ36" s="108"/>
      <c r="CR36" s="108"/>
      <c r="CS36" s="108"/>
      <c r="CT36" s="108"/>
      <c r="CU36" s="108"/>
      <c r="CV36" s="108"/>
      <c r="CW36" s="108"/>
      <c r="CX36" s="108"/>
      <c r="CY36" s="108"/>
      <c r="CZ36" s="108"/>
      <c r="DA36" s="108"/>
      <c r="DB36" s="108"/>
      <c r="DC36" s="108"/>
      <c r="DD36" s="108"/>
      <c r="DE36" s="108"/>
      <c r="DF36" s="108"/>
      <c r="DG36" s="108"/>
      <c r="DH36" s="108"/>
      <c r="DI36" s="108"/>
      <c r="DJ36" s="108"/>
      <c r="DK36" s="108"/>
      <c r="DL36" s="108"/>
      <c r="DM36" s="108"/>
      <c r="DN36" s="108"/>
      <c r="DO36" s="108"/>
      <c r="DP36" s="108"/>
      <c r="DQ36" s="108"/>
      <c r="DR36" s="108"/>
      <c r="DS36" s="108"/>
      <c r="DT36" s="108"/>
      <c r="DU36" s="108"/>
      <c r="DV36" s="108"/>
      <c r="DW36" s="108"/>
      <c r="DX36" s="108"/>
      <c r="DY36" s="108"/>
      <c r="DZ36" s="108"/>
      <c r="EA36" s="108"/>
      <c r="EB36" s="108"/>
      <c r="EC36" s="108"/>
      <c r="ED36" s="108"/>
      <c r="EE36" s="108"/>
      <c r="EF36" s="108"/>
      <c r="EG36" s="108"/>
      <c r="EH36" s="108"/>
      <c r="EI36" s="108"/>
      <c r="EJ36" s="108"/>
      <c r="EK36" s="108"/>
      <c r="EL36" s="108"/>
      <c r="EM36" s="108"/>
      <c r="EN36" s="108"/>
      <c r="EO36" s="108"/>
      <c r="EP36" s="108"/>
      <c r="EQ36" s="108"/>
      <c r="ER36" s="108"/>
      <c r="ES36" s="108"/>
      <c r="ET36" s="108"/>
      <c r="EU36" s="108"/>
      <c r="EV36" s="108"/>
      <c r="EW36" s="108"/>
      <c r="EX36" s="108"/>
      <c r="EY36" s="108"/>
      <c r="EZ36" s="108"/>
      <c r="FA36" s="108"/>
      <c r="FB36" s="108"/>
      <c r="FC36" s="108"/>
      <c r="FD36" s="108"/>
      <c r="FE36" s="108"/>
      <c r="FF36" s="108"/>
      <c r="FG36" s="108"/>
      <c r="FH36" s="108"/>
      <c r="FI36" s="108"/>
      <c r="FJ36" s="108"/>
      <c r="FK36" s="108"/>
      <c r="FL36" s="108"/>
      <c r="FM36" s="108"/>
      <c r="FN36" s="108"/>
      <c r="FO36" s="108"/>
      <c r="FP36" s="108"/>
      <c r="FQ36" s="108"/>
      <c r="FR36" s="108"/>
      <c r="FS36" s="108"/>
      <c r="FT36" s="108"/>
      <c r="FU36" s="108"/>
      <c r="FV36" s="108"/>
      <c r="FW36" s="108"/>
      <c r="FX36" s="108"/>
      <c r="FY36" s="108"/>
      <c r="FZ36" s="108"/>
      <c r="GA36" s="108"/>
      <c r="GB36" s="108"/>
      <c r="GC36" s="108"/>
      <c r="GD36" s="108"/>
      <c r="GE36" s="108"/>
      <c r="GF36" s="108"/>
      <c r="GG36" s="108"/>
      <c r="GH36" s="108"/>
      <c r="GI36" s="108"/>
      <c r="GJ36" s="108"/>
      <c r="GK36" s="108"/>
      <c r="GL36" s="108"/>
      <c r="GM36" s="108"/>
      <c r="GN36" s="108"/>
      <c r="GO36" s="108"/>
      <c r="GP36" s="108"/>
      <c r="GQ36" s="108"/>
      <c r="GR36" s="108"/>
      <c r="GS36" s="108"/>
      <c r="GT36" s="108"/>
      <c r="GU36" s="108"/>
      <c r="GV36" s="108"/>
      <c r="GW36" s="108"/>
      <c r="GX36" s="108"/>
      <c r="GY36" s="108"/>
      <c r="GZ36" s="108"/>
      <c r="HA36" s="108"/>
      <c r="HB36" s="108"/>
      <c r="HC36" s="108"/>
      <c r="HD36" s="108"/>
      <c r="HE36" s="108"/>
      <c r="HF36" s="108"/>
      <c r="HG36" s="108"/>
      <c r="HH36" s="108"/>
      <c r="HI36" s="108"/>
      <c r="HJ36" s="108"/>
      <c r="HK36" s="108"/>
      <c r="HL36" s="108"/>
      <c r="HM36" s="108"/>
      <c r="HN36" s="108"/>
      <c r="HO36" s="108"/>
      <c r="HP36" s="108"/>
      <c r="HQ36" s="108"/>
      <c r="HR36" s="108"/>
      <c r="HS36" s="108"/>
      <c r="HT36" s="108"/>
      <c r="HU36" s="108"/>
      <c r="HV36" s="108"/>
      <c r="HW36" s="108"/>
      <c r="HX36" s="108"/>
      <c r="HY36" s="108"/>
      <c r="HZ36" s="108"/>
      <c r="IA36" s="108"/>
      <c r="IB36" s="108"/>
      <c r="IC36" s="108"/>
      <c r="ID36" s="108"/>
      <c r="IE36" s="108"/>
      <c r="IF36" s="108"/>
      <c r="IG36" s="108"/>
      <c r="IH36" s="108"/>
      <c r="II36" s="108"/>
      <c r="IJ36" s="108"/>
      <c r="IK36" s="108"/>
      <c r="IL36" s="108"/>
      <c r="IM36" s="108"/>
      <c r="IN36" s="108"/>
      <c r="IO36" s="108"/>
      <c r="IP36" s="108"/>
      <c r="IQ36" s="108"/>
      <c r="IR36" s="108"/>
      <c r="IS36" s="108"/>
      <c r="IT36" s="108"/>
      <c r="IU36" s="108"/>
      <c r="IV36" s="108"/>
      <c r="IW36" s="108"/>
    </row>
    <row r="37" spans="1:257" ht="15" thickBot="1" x14ac:dyDescent="0.35">
      <c r="A37" s="158"/>
      <c r="B37" s="113" t="str">
        <f>'Sensitivity analysis'!B196</f>
        <v>LBW cost</v>
      </c>
      <c r="C37" s="170">
        <f>'Sensitivity analysis'!G196</f>
        <v>16759.549132432574</v>
      </c>
      <c r="D37" s="171">
        <f>'Sensitivity analysis'!H196</f>
        <v>40734.787653307838</v>
      </c>
      <c r="E37" s="172">
        <f t="shared" si="0"/>
        <v>23975.238520875264</v>
      </c>
      <c r="F37" s="158"/>
      <c r="G37" s="158"/>
      <c r="H37" s="158"/>
      <c r="I37" s="173"/>
      <c r="J37" s="170"/>
      <c r="K37" s="175"/>
      <c r="L37" s="172"/>
      <c r="M37" s="158"/>
      <c r="N37" s="158"/>
      <c r="O37" s="108"/>
      <c r="P37" s="108"/>
      <c r="Q37" s="108"/>
      <c r="R37" s="108"/>
      <c r="S37" s="108"/>
      <c r="T37" s="108"/>
      <c r="U37" s="108"/>
      <c r="V37" s="108"/>
      <c r="W37" s="108"/>
      <c r="X37" s="108"/>
      <c r="Y37" s="108"/>
      <c r="Z37" s="108"/>
      <c r="AA37" s="108"/>
      <c r="AB37" s="108"/>
      <c r="AC37" s="108"/>
      <c r="AD37" s="108"/>
      <c r="AE37" s="108"/>
      <c r="AF37" s="108"/>
      <c r="AG37" s="108"/>
      <c r="AH37" s="108"/>
      <c r="AI37" s="108"/>
      <c r="AJ37" s="108"/>
      <c r="AK37" s="108"/>
      <c r="AL37" s="108"/>
      <c r="AM37" s="108"/>
      <c r="AN37" s="108"/>
      <c r="AO37" s="108"/>
      <c r="AP37" s="108"/>
      <c r="AQ37" s="108"/>
      <c r="AR37" s="108"/>
      <c r="AS37" s="108"/>
      <c r="AT37" s="108"/>
      <c r="AU37" s="108"/>
      <c r="AV37" s="108"/>
      <c r="AW37" s="108"/>
      <c r="AX37" s="108"/>
      <c r="AY37" s="108"/>
      <c r="AZ37" s="108"/>
      <c r="BA37" s="108"/>
      <c r="BB37" s="108"/>
      <c r="BC37" s="108"/>
      <c r="BD37" s="108"/>
      <c r="BE37" s="108"/>
      <c r="BF37" s="108"/>
      <c r="BG37" s="108"/>
      <c r="BH37" s="108"/>
      <c r="BI37" s="108"/>
      <c r="BJ37" s="108"/>
      <c r="BK37" s="108"/>
      <c r="BL37" s="108"/>
      <c r="BM37" s="108"/>
      <c r="BN37" s="108"/>
      <c r="BO37" s="108"/>
      <c r="BP37" s="108"/>
      <c r="BQ37" s="108"/>
      <c r="BR37" s="108"/>
      <c r="BS37" s="108"/>
      <c r="BT37" s="108"/>
      <c r="BU37" s="108"/>
      <c r="BV37" s="108"/>
      <c r="BW37" s="108"/>
      <c r="BX37" s="108"/>
      <c r="BY37" s="108"/>
      <c r="BZ37" s="108"/>
      <c r="CA37" s="108"/>
      <c r="CB37" s="108"/>
      <c r="CC37" s="108"/>
      <c r="CD37" s="108"/>
      <c r="CE37" s="108"/>
      <c r="CF37" s="108"/>
      <c r="CG37" s="108"/>
      <c r="CH37" s="108"/>
      <c r="CI37" s="108"/>
      <c r="CJ37" s="108"/>
      <c r="CK37" s="108"/>
      <c r="CL37" s="108"/>
      <c r="CM37" s="108"/>
      <c r="CN37" s="108"/>
      <c r="CO37" s="108"/>
      <c r="CP37" s="108"/>
      <c r="CQ37" s="108"/>
      <c r="CR37" s="108"/>
      <c r="CS37" s="108"/>
      <c r="CT37" s="108"/>
      <c r="CU37" s="108"/>
      <c r="CV37" s="108"/>
      <c r="CW37" s="108"/>
      <c r="CX37" s="108"/>
      <c r="CY37" s="108"/>
      <c r="CZ37" s="108"/>
      <c r="DA37" s="108"/>
      <c r="DB37" s="108"/>
      <c r="DC37" s="108"/>
      <c r="DD37" s="108"/>
      <c r="DE37" s="108"/>
      <c r="DF37" s="108"/>
      <c r="DG37" s="108"/>
      <c r="DH37" s="108"/>
      <c r="DI37" s="108"/>
      <c r="DJ37" s="108"/>
      <c r="DK37" s="108"/>
      <c r="DL37" s="108"/>
      <c r="DM37" s="108"/>
      <c r="DN37" s="108"/>
      <c r="DO37" s="108"/>
      <c r="DP37" s="108"/>
      <c r="DQ37" s="108"/>
      <c r="DR37" s="108"/>
      <c r="DS37" s="108"/>
      <c r="DT37" s="108"/>
      <c r="DU37" s="108"/>
      <c r="DV37" s="108"/>
      <c r="DW37" s="108"/>
      <c r="DX37" s="108"/>
      <c r="DY37" s="108"/>
      <c r="DZ37" s="108"/>
      <c r="EA37" s="108"/>
      <c r="EB37" s="108"/>
      <c r="EC37" s="108"/>
      <c r="ED37" s="108"/>
      <c r="EE37" s="108"/>
      <c r="EF37" s="108"/>
      <c r="EG37" s="108"/>
      <c r="EH37" s="108"/>
      <c r="EI37" s="108"/>
      <c r="EJ37" s="108"/>
      <c r="EK37" s="108"/>
      <c r="EL37" s="108"/>
      <c r="EM37" s="108"/>
      <c r="EN37" s="108"/>
      <c r="EO37" s="108"/>
      <c r="EP37" s="108"/>
      <c r="EQ37" s="108"/>
      <c r="ER37" s="108"/>
      <c r="ES37" s="108"/>
      <c r="ET37" s="108"/>
      <c r="EU37" s="108"/>
      <c r="EV37" s="108"/>
      <c r="EW37" s="108"/>
      <c r="EX37" s="108"/>
      <c r="EY37" s="108"/>
      <c r="EZ37" s="108"/>
      <c r="FA37" s="108"/>
      <c r="FB37" s="108"/>
      <c r="FC37" s="108"/>
      <c r="FD37" s="108"/>
      <c r="FE37" s="108"/>
      <c r="FF37" s="108"/>
      <c r="FG37" s="108"/>
      <c r="FH37" s="108"/>
      <c r="FI37" s="108"/>
      <c r="FJ37" s="108"/>
      <c r="FK37" s="108"/>
      <c r="FL37" s="108"/>
      <c r="FM37" s="108"/>
      <c r="FN37" s="108"/>
      <c r="FO37" s="108"/>
      <c r="FP37" s="108"/>
      <c r="FQ37" s="108"/>
      <c r="FR37" s="108"/>
      <c r="FS37" s="108"/>
      <c r="FT37" s="108"/>
      <c r="FU37" s="108"/>
      <c r="FV37" s="108"/>
      <c r="FW37" s="108"/>
      <c r="FX37" s="108"/>
      <c r="FY37" s="108"/>
      <c r="FZ37" s="108"/>
      <c r="GA37" s="108"/>
      <c r="GB37" s="108"/>
      <c r="GC37" s="108"/>
      <c r="GD37" s="108"/>
      <c r="GE37" s="108"/>
      <c r="GF37" s="108"/>
      <c r="GG37" s="108"/>
      <c r="GH37" s="108"/>
      <c r="GI37" s="108"/>
      <c r="GJ37" s="108"/>
      <c r="GK37" s="108"/>
      <c r="GL37" s="108"/>
      <c r="GM37" s="108"/>
      <c r="GN37" s="108"/>
      <c r="GO37" s="108"/>
      <c r="GP37" s="108"/>
      <c r="GQ37" s="108"/>
      <c r="GR37" s="108"/>
      <c r="GS37" s="108"/>
      <c r="GT37" s="108"/>
      <c r="GU37" s="108"/>
      <c r="GV37" s="108"/>
      <c r="GW37" s="108"/>
      <c r="GX37" s="108"/>
      <c r="GY37" s="108"/>
      <c r="GZ37" s="108"/>
      <c r="HA37" s="108"/>
      <c r="HB37" s="108"/>
      <c r="HC37" s="108"/>
      <c r="HD37" s="108"/>
      <c r="HE37" s="108"/>
      <c r="HF37" s="108"/>
      <c r="HG37" s="108"/>
      <c r="HH37" s="108"/>
      <c r="HI37" s="108"/>
      <c r="HJ37" s="108"/>
      <c r="HK37" s="108"/>
      <c r="HL37" s="108"/>
      <c r="HM37" s="108"/>
      <c r="HN37" s="108"/>
      <c r="HO37" s="108"/>
      <c r="HP37" s="108"/>
      <c r="HQ37" s="108"/>
      <c r="HR37" s="108"/>
      <c r="HS37" s="108"/>
      <c r="HT37" s="108"/>
      <c r="HU37" s="108"/>
      <c r="HV37" s="108"/>
      <c r="HW37" s="108"/>
      <c r="HX37" s="108"/>
      <c r="HY37" s="108"/>
      <c r="HZ37" s="108"/>
      <c r="IA37" s="108"/>
      <c r="IB37" s="108"/>
      <c r="IC37" s="108"/>
      <c r="ID37" s="108"/>
      <c r="IE37" s="108"/>
      <c r="IF37" s="108"/>
      <c r="IG37" s="108"/>
      <c r="IH37" s="108"/>
      <c r="II37" s="108"/>
      <c r="IJ37" s="108"/>
      <c r="IK37" s="108"/>
      <c r="IL37" s="108"/>
      <c r="IM37" s="108"/>
      <c r="IN37" s="108"/>
      <c r="IO37" s="108"/>
      <c r="IP37" s="108"/>
      <c r="IQ37" s="108"/>
      <c r="IR37" s="108"/>
      <c r="IS37" s="108"/>
      <c r="IT37" s="108"/>
      <c r="IU37" s="108"/>
      <c r="IV37" s="108"/>
      <c r="IW37" s="108"/>
    </row>
    <row r="38" spans="1:257" ht="15" thickBot="1" x14ac:dyDescent="0.35">
      <c r="A38" s="158"/>
      <c r="B38" s="113" t="str">
        <f>'Sensitivity analysis'!B197</f>
        <v>Normal birth weight cost</v>
      </c>
      <c r="C38" s="170">
        <f>'Sensitivity analysis'!G197</f>
        <v>36121.325029489322</v>
      </c>
      <c r="D38" s="171">
        <f>'Sensitivity analysis'!H197</f>
        <v>35730.48737432684</v>
      </c>
      <c r="E38" s="172">
        <f t="shared" si="0"/>
        <v>390.83765516248241</v>
      </c>
      <c r="F38" s="158"/>
      <c r="G38" s="158"/>
      <c r="H38" s="158"/>
      <c r="I38" s="173"/>
      <c r="J38" s="170"/>
      <c r="K38" s="175"/>
      <c r="L38" s="172"/>
      <c r="M38" s="158"/>
      <c r="N38" s="158"/>
      <c r="O38" s="108"/>
      <c r="P38" s="108"/>
      <c r="Q38" s="108"/>
      <c r="R38" s="108"/>
      <c r="S38" s="108"/>
      <c r="T38" s="108"/>
      <c r="U38" s="108"/>
      <c r="V38" s="108"/>
      <c r="W38" s="108"/>
      <c r="X38" s="108"/>
      <c r="Y38" s="108"/>
      <c r="Z38" s="108"/>
      <c r="AA38" s="108"/>
      <c r="AB38" s="108"/>
      <c r="AC38" s="108"/>
      <c r="AD38" s="108"/>
      <c r="AE38" s="108"/>
      <c r="AF38" s="108"/>
      <c r="AG38" s="108"/>
      <c r="AH38" s="108"/>
      <c r="AI38" s="108"/>
      <c r="AJ38" s="108"/>
      <c r="AK38" s="108"/>
      <c r="AL38" s="108"/>
      <c r="AM38" s="108"/>
      <c r="AN38" s="108"/>
      <c r="AO38" s="108"/>
      <c r="AP38" s="108"/>
      <c r="AQ38" s="108"/>
      <c r="AR38" s="108"/>
      <c r="AS38" s="108"/>
      <c r="AT38" s="108"/>
      <c r="AU38" s="108"/>
      <c r="AV38" s="108"/>
      <c r="AW38" s="108"/>
      <c r="AX38" s="108"/>
      <c r="AY38" s="108"/>
      <c r="AZ38" s="108"/>
      <c r="BA38" s="108"/>
      <c r="BB38" s="108"/>
      <c r="BC38" s="108"/>
      <c r="BD38" s="108"/>
      <c r="BE38" s="108"/>
      <c r="BF38" s="108"/>
      <c r="BG38" s="108"/>
      <c r="BH38" s="108"/>
      <c r="BI38" s="108"/>
      <c r="BJ38" s="108"/>
      <c r="BK38" s="108"/>
      <c r="BL38" s="108"/>
      <c r="BM38" s="108"/>
      <c r="BN38" s="108"/>
      <c r="BO38" s="108"/>
      <c r="BP38" s="108"/>
      <c r="BQ38" s="108"/>
      <c r="BR38" s="108"/>
      <c r="BS38" s="108"/>
      <c r="BT38" s="108"/>
      <c r="BU38" s="108"/>
      <c r="BV38" s="108"/>
      <c r="BW38" s="108"/>
      <c r="BX38" s="108"/>
      <c r="BY38" s="108"/>
      <c r="BZ38" s="108"/>
      <c r="CA38" s="108"/>
      <c r="CB38" s="108"/>
      <c r="CC38" s="108"/>
      <c r="CD38" s="108"/>
      <c r="CE38" s="108"/>
      <c r="CF38" s="108"/>
      <c r="CG38" s="108"/>
      <c r="CH38" s="108"/>
      <c r="CI38" s="108"/>
      <c r="CJ38" s="108"/>
      <c r="CK38" s="108"/>
      <c r="CL38" s="108"/>
      <c r="CM38" s="108"/>
      <c r="CN38" s="108"/>
      <c r="CO38" s="108"/>
      <c r="CP38" s="108"/>
      <c r="CQ38" s="108"/>
      <c r="CR38" s="108"/>
      <c r="CS38" s="108"/>
      <c r="CT38" s="108"/>
      <c r="CU38" s="108"/>
      <c r="CV38" s="108"/>
      <c r="CW38" s="108"/>
      <c r="CX38" s="108"/>
      <c r="CY38" s="108"/>
      <c r="CZ38" s="108"/>
      <c r="DA38" s="108"/>
      <c r="DB38" s="108"/>
      <c r="DC38" s="108"/>
      <c r="DD38" s="108"/>
      <c r="DE38" s="108"/>
      <c r="DF38" s="108"/>
      <c r="DG38" s="108"/>
      <c r="DH38" s="108"/>
      <c r="DI38" s="108"/>
      <c r="DJ38" s="108"/>
      <c r="DK38" s="108"/>
      <c r="DL38" s="108"/>
      <c r="DM38" s="108"/>
      <c r="DN38" s="108"/>
      <c r="DO38" s="108"/>
      <c r="DP38" s="108"/>
      <c r="DQ38" s="108"/>
      <c r="DR38" s="108"/>
      <c r="DS38" s="108"/>
      <c r="DT38" s="108"/>
      <c r="DU38" s="108"/>
      <c r="DV38" s="108"/>
      <c r="DW38" s="108"/>
      <c r="DX38" s="108"/>
      <c r="DY38" s="108"/>
      <c r="DZ38" s="108"/>
      <c r="EA38" s="108"/>
      <c r="EB38" s="108"/>
      <c r="EC38" s="108"/>
      <c r="ED38" s="108"/>
      <c r="EE38" s="108"/>
      <c r="EF38" s="108"/>
      <c r="EG38" s="108"/>
      <c r="EH38" s="108"/>
      <c r="EI38" s="108"/>
      <c r="EJ38" s="108"/>
      <c r="EK38" s="108"/>
      <c r="EL38" s="108"/>
      <c r="EM38" s="108"/>
      <c r="EN38" s="108"/>
      <c r="EO38" s="108"/>
      <c r="EP38" s="108"/>
      <c r="EQ38" s="108"/>
      <c r="ER38" s="108"/>
      <c r="ES38" s="108"/>
      <c r="ET38" s="108"/>
      <c r="EU38" s="108"/>
      <c r="EV38" s="108"/>
      <c r="EW38" s="108"/>
      <c r="EX38" s="108"/>
      <c r="EY38" s="108"/>
      <c r="EZ38" s="108"/>
      <c r="FA38" s="108"/>
      <c r="FB38" s="108"/>
      <c r="FC38" s="108"/>
      <c r="FD38" s="108"/>
      <c r="FE38" s="108"/>
      <c r="FF38" s="108"/>
      <c r="FG38" s="108"/>
      <c r="FH38" s="108"/>
      <c r="FI38" s="108"/>
      <c r="FJ38" s="108"/>
      <c r="FK38" s="108"/>
      <c r="FL38" s="108"/>
      <c r="FM38" s="108"/>
      <c r="FN38" s="108"/>
      <c r="FO38" s="108"/>
      <c r="FP38" s="108"/>
      <c r="FQ38" s="108"/>
      <c r="FR38" s="108"/>
      <c r="FS38" s="108"/>
      <c r="FT38" s="108"/>
      <c r="FU38" s="108"/>
      <c r="FV38" s="108"/>
      <c r="FW38" s="108"/>
      <c r="FX38" s="108"/>
      <c r="FY38" s="108"/>
      <c r="FZ38" s="108"/>
      <c r="GA38" s="108"/>
      <c r="GB38" s="108"/>
      <c r="GC38" s="108"/>
      <c r="GD38" s="108"/>
      <c r="GE38" s="108"/>
      <c r="GF38" s="108"/>
      <c r="GG38" s="108"/>
      <c r="GH38" s="108"/>
      <c r="GI38" s="108"/>
      <c r="GJ38" s="108"/>
      <c r="GK38" s="108"/>
      <c r="GL38" s="108"/>
      <c r="GM38" s="108"/>
      <c r="GN38" s="108"/>
      <c r="GO38" s="108"/>
      <c r="GP38" s="108"/>
      <c r="GQ38" s="108"/>
      <c r="GR38" s="108"/>
      <c r="GS38" s="108"/>
      <c r="GT38" s="108"/>
      <c r="GU38" s="108"/>
      <c r="GV38" s="108"/>
      <c r="GW38" s="108"/>
      <c r="GX38" s="108"/>
      <c r="GY38" s="108"/>
      <c r="GZ38" s="108"/>
      <c r="HA38" s="108"/>
      <c r="HB38" s="108"/>
      <c r="HC38" s="108"/>
      <c r="HD38" s="108"/>
      <c r="HE38" s="108"/>
      <c r="HF38" s="108"/>
      <c r="HG38" s="108"/>
      <c r="HH38" s="108"/>
      <c r="HI38" s="108"/>
      <c r="HJ38" s="108"/>
      <c r="HK38" s="108"/>
      <c r="HL38" s="108"/>
      <c r="HM38" s="108"/>
      <c r="HN38" s="108"/>
      <c r="HO38" s="108"/>
      <c r="HP38" s="108"/>
      <c r="HQ38" s="108"/>
      <c r="HR38" s="108"/>
      <c r="HS38" s="108"/>
      <c r="HT38" s="108"/>
      <c r="HU38" s="108"/>
      <c r="HV38" s="108"/>
      <c r="HW38" s="108"/>
      <c r="HX38" s="108"/>
      <c r="HY38" s="108"/>
      <c r="HZ38" s="108"/>
      <c r="IA38" s="108"/>
      <c r="IB38" s="108"/>
      <c r="IC38" s="108"/>
      <c r="ID38" s="108"/>
      <c r="IE38" s="108"/>
      <c r="IF38" s="108"/>
      <c r="IG38" s="108"/>
      <c r="IH38" s="108"/>
      <c r="II38" s="108"/>
      <c r="IJ38" s="108"/>
      <c r="IK38" s="108"/>
      <c r="IL38" s="108"/>
      <c r="IM38" s="108"/>
      <c r="IN38" s="108"/>
      <c r="IO38" s="108"/>
      <c r="IP38" s="108"/>
      <c r="IQ38" s="108"/>
      <c r="IR38" s="108"/>
      <c r="IS38" s="108"/>
      <c r="IT38" s="108"/>
      <c r="IU38" s="108"/>
      <c r="IV38" s="108"/>
      <c r="IW38" s="108"/>
    </row>
    <row r="39" spans="1:257" ht="15" thickBot="1" x14ac:dyDescent="0.35">
      <c r="A39" s="158"/>
      <c r="B39" s="113" t="str">
        <f>'Sensitivity analysis'!B198</f>
        <v>Stillbirth cost</v>
      </c>
      <c r="C39" s="170">
        <f>'Sensitivity analysis'!G198</f>
        <v>36153.460357023549</v>
      </c>
      <c r="D39" s="171">
        <f>'Sensitivity analysis'!H198</f>
        <v>36163.410111686957</v>
      </c>
      <c r="E39" s="172">
        <f t="shared" si="0"/>
        <v>9.9497546634083847</v>
      </c>
      <c r="F39" s="158"/>
      <c r="G39" s="158"/>
      <c r="H39" s="158"/>
      <c r="I39" s="173"/>
      <c r="J39" s="170"/>
      <c r="K39" s="175"/>
      <c r="L39" s="172"/>
      <c r="M39" s="158"/>
      <c r="N39" s="158"/>
      <c r="O39" s="108"/>
      <c r="P39" s="108"/>
      <c r="Q39" s="108"/>
      <c r="R39" s="108"/>
      <c r="S39" s="108"/>
      <c r="T39" s="108"/>
      <c r="U39" s="108"/>
      <c r="V39" s="108"/>
      <c r="W39" s="108"/>
      <c r="X39" s="108"/>
      <c r="Y39" s="108"/>
      <c r="Z39" s="108"/>
      <c r="AA39" s="108"/>
      <c r="AB39" s="108"/>
      <c r="AC39" s="108"/>
      <c r="AD39" s="108"/>
      <c r="AE39" s="108"/>
      <c r="AF39" s="108"/>
      <c r="AG39" s="108"/>
      <c r="AH39" s="108"/>
      <c r="AI39" s="108"/>
      <c r="AJ39" s="108"/>
      <c r="AK39" s="108"/>
      <c r="AL39" s="108"/>
      <c r="AM39" s="108"/>
      <c r="AN39" s="108"/>
      <c r="AO39" s="108"/>
      <c r="AP39" s="108"/>
      <c r="AQ39" s="108"/>
      <c r="AR39" s="108"/>
      <c r="AS39" s="108"/>
      <c r="AT39" s="108"/>
      <c r="AU39" s="108"/>
      <c r="AV39" s="108"/>
      <c r="AW39" s="108"/>
      <c r="AX39" s="108"/>
      <c r="AY39" s="108"/>
      <c r="AZ39" s="108"/>
      <c r="BA39" s="108"/>
      <c r="BB39" s="108"/>
      <c r="BC39" s="108"/>
      <c r="BD39" s="108"/>
      <c r="BE39" s="108"/>
      <c r="BF39" s="108"/>
      <c r="BG39" s="108"/>
      <c r="BH39" s="108"/>
      <c r="BI39" s="108"/>
      <c r="BJ39" s="108"/>
      <c r="BK39" s="108"/>
      <c r="BL39" s="108"/>
      <c r="BM39" s="108"/>
      <c r="BN39" s="108"/>
      <c r="BO39" s="108"/>
      <c r="BP39" s="108"/>
      <c r="BQ39" s="108"/>
      <c r="BR39" s="108"/>
      <c r="BS39" s="108"/>
      <c r="BT39" s="108"/>
      <c r="BU39" s="108"/>
      <c r="BV39" s="108"/>
      <c r="BW39" s="108"/>
      <c r="BX39" s="108"/>
      <c r="BY39" s="108"/>
      <c r="BZ39" s="108"/>
      <c r="CA39" s="108"/>
      <c r="CB39" s="108"/>
      <c r="CC39" s="108"/>
      <c r="CD39" s="108"/>
      <c r="CE39" s="108"/>
      <c r="CF39" s="108"/>
      <c r="CG39" s="108"/>
      <c r="CH39" s="108"/>
      <c r="CI39" s="108"/>
      <c r="CJ39" s="108"/>
      <c r="CK39" s="108"/>
      <c r="CL39" s="108"/>
      <c r="CM39" s="108"/>
      <c r="CN39" s="108"/>
      <c r="CO39" s="108"/>
      <c r="CP39" s="108"/>
      <c r="CQ39" s="108"/>
      <c r="CR39" s="108"/>
      <c r="CS39" s="108"/>
      <c r="CT39" s="108"/>
      <c r="CU39" s="108"/>
      <c r="CV39" s="108"/>
      <c r="CW39" s="108"/>
      <c r="CX39" s="108"/>
      <c r="CY39" s="108"/>
      <c r="CZ39" s="108"/>
      <c r="DA39" s="108"/>
      <c r="DB39" s="108"/>
      <c r="DC39" s="108"/>
      <c r="DD39" s="108"/>
      <c r="DE39" s="108"/>
      <c r="DF39" s="108"/>
      <c r="DG39" s="108"/>
      <c r="DH39" s="108"/>
      <c r="DI39" s="108"/>
      <c r="DJ39" s="108"/>
      <c r="DK39" s="108"/>
      <c r="DL39" s="108"/>
      <c r="DM39" s="108"/>
      <c r="DN39" s="108"/>
      <c r="DO39" s="108"/>
      <c r="DP39" s="108"/>
      <c r="DQ39" s="108"/>
      <c r="DR39" s="108"/>
      <c r="DS39" s="108"/>
      <c r="DT39" s="108"/>
      <c r="DU39" s="108"/>
      <c r="DV39" s="108"/>
      <c r="DW39" s="108"/>
      <c r="DX39" s="108"/>
      <c r="DY39" s="108"/>
      <c r="DZ39" s="108"/>
      <c r="EA39" s="108"/>
      <c r="EB39" s="108"/>
      <c r="EC39" s="108"/>
      <c r="ED39" s="108"/>
      <c r="EE39" s="108"/>
      <c r="EF39" s="108"/>
      <c r="EG39" s="108"/>
      <c r="EH39" s="108"/>
      <c r="EI39" s="108"/>
      <c r="EJ39" s="108"/>
      <c r="EK39" s="108"/>
      <c r="EL39" s="108"/>
      <c r="EM39" s="108"/>
      <c r="EN39" s="108"/>
      <c r="EO39" s="108"/>
      <c r="EP39" s="108"/>
      <c r="EQ39" s="108"/>
      <c r="ER39" s="108"/>
      <c r="ES39" s="108"/>
      <c r="ET39" s="108"/>
      <c r="EU39" s="108"/>
      <c r="EV39" s="108"/>
      <c r="EW39" s="108"/>
      <c r="EX39" s="108"/>
      <c r="EY39" s="108"/>
      <c r="EZ39" s="108"/>
      <c r="FA39" s="108"/>
      <c r="FB39" s="108"/>
      <c r="FC39" s="108"/>
      <c r="FD39" s="108"/>
      <c r="FE39" s="108"/>
      <c r="FF39" s="108"/>
      <c r="FG39" s="108"/>
      <c r="FH39" s="108"/>
      <c r="FI39" s="108"/>
      <c r="FJ39" s="108"/>
      <c r="FK39" s="108"/>
      <c r="FL39" s="108"/>
      <c r="FM39" s="108"/>
      <c r="FN39" s="108"/>
      <c r="FO39" s="108"/>
      <c r="FP39" s="108"/>
      <c r="FQ39" s="108"/>
      <c r="FR39" s="108"/>
      <c r="FS39" s="108"/>
      <c r="FT39" s="108"/>
      <c r="FU39" s="108"/>
      <c r="FV39" s="108"/>
      <c r="FW39" s="108"/>
      <c r="FX39" s="108"/>
      <c r="FY39" s="108"/>
      <c r="FZ39" s="108"/>
      <c r="GA39" s="108"/>
      <c r="GB39" s="108"/>
      <c r="GC39" s="108"/>
      <c r="GD39" s="108"/>
      <c r="GE39" s="108"/>
      <c r="GF39" s="108"/>
      <c r="GG39" s="108"/>
      <c r="GH39" s="108"/>
      <c r="GI39" s="108"/>
      <c r="GJ39" s="108"/>
      <c r="GK39" s="108"/>
      <c r="GL39" s="108"/>
      <c r="GM39" s="108"/>
      <c r="GN39" s="108"/>
      <c r="GO39" s="108"/>
      <c r="GP39" s="108"/>
      <c r="GQ39" s="108"/>
      <c r="GR39" s="108"/>
      <c r="GS39" s="108"/>
      <c r="GT39" s="108"/>
      <c r="GU39" s="108"/>
      <c r="GV39" s="108"/>
      <c r="GW39" s="108"/>
      <c r="GX39" s="108"/>
      <c r="GY39" s="108"/>
      <c r="GZ39" s="108"/>
      <c r="HA39" s="108"/>
      <c r="HB39" s="108"/>
      <c r="HC39" s="108"/>
      <c r="HD39" s="108"/>
      <c r="HE39" s="108"/>
      <c r="HF39" s="108"/>
      <c r="HG39" s="108"/>
      <c r="HH39" s="108"/>
      <c r="HI39" s="108"/>
      <c r="HJ39" s="108"/>
      <c r="HK39" s="108"/>
      <c r="HL39" s="108"/>
      <c r="HM39" s="108"/>
      <c r="HN39" s="108"/>
      <c r="HO39" s="108"/>
      <c r="HP39" s="108"/>
      <c r="HQ39" s="108"/>
      <c r="HR39" s="108"/>
      <c r="HS39" s="108"/>
      <c r="HT39" s="108"/>
      <c r="HU39" s="108"/>
      <c r="HV39" s="108"/>
      <c r="HW39" s="108"/>
      <c r="HX39" s="108"/>
      <c r="HY39" s="108"/>
      <c r="HZ39" s="108"/>
      <c r="IA39" s="108"/>
      <c r="IB39" s="108"/>
      <c r="IC39" s="108"/>
      <c r="ID39" s="108"/>
      <c r="IE39" s="108"/>
      <c r="IF39" s="108"/>
      <c r="IG39" s="108"/>
      <c r="IH39" s="108"/>
      <c r="II39" s="108"/>
      <c r="IJ39" s="108"/>
      <c r="IK39" s="108"/>
      <c r="IL39" s="108"/>
      <c r="IM39" s="108"/>
      <c r="IN39" s="108"/>
      <c r="IO39" s="108"/>
      <c r="IP39" s="108"/>
      <c r="IQ39" s="108"/>
      <c r="IR39" s="108"/>
      <c r="IS39" s="108"/>
      <c r="IT39" s="108"/>
      <c r="IU39" s="108"/>
      <c r="IV39" s="108"/>
      <c r="IW39" s="108"/>
    </row>
    <row r="40" spans="1:257" ht="15" thickBot="1" x14ac:dyDescent="0.35">
      <c r="A40" s="158"/>
      <c r="B40" s="113" t="str">
        <f>'Sensitivity analysis'!B199</f>
        <v>RDS cost</v>
      </c>
      <c r="C40" s="170">
        <f>'Sensitivity analysis'!G199</f>
        <v>35899.8241088918</v>
      </c>
      <c r="D40" s="171">
        <f>'Sensitivity analysis'!H199</f>
        <v>36399.805618121012</v>
      </c>
      <c r="E40" s="172">
        <f t="shared" si="0"/>
        <v>499.98150922921195</v>
      </c>
      <c r="F40" s="158"/>
      <c r="G40" s="158"/>
      <c r="H40" s="158"/>
      <c r="I40" s="173"/>
      <c r="J40" s="170"/>
      <c r="K40" s="175"/>
      <c r="L40" s="172"/>
      <c r="M40" s="158"/>
      <c r="N40" s="158"/>
      <c r="O40" s="108"/>
      <c r="P40" s="108"/>
      <c r="Q40" s="108"/>
      <c r="R40" s="108"/>
      <c r="S40" s="108"/>
      <c r="T40" s="108"/>
      <c r="U40" s="108"/>
      <c r="V40" s="108"/>
      <c r="W40" s="108"/>
      <c r="X40" s="108"/>
      <c r="Y40" s="108"/>
      <c r="Z40" s="108"/>
      <c r="AA40" s="108"/>
      <c r="AB40" s="108"/>
      <c r="AC40" s="108"/>
      <c r="AD40" s="108"/>
      <c r="AE40" s="108"/>
      <c r="AF40" s="108"/>
      <c r="AG40" s="108"/>
      <c r="AH40" s="108"/>
      <c r="AI40" s="108"/>
      <c r="AJ40" s="108"/>
      <c r="AK40" s="108"/>
      <c r="AL40" s="108"/>
      <c r="AM40" s="108"/>
      <c r="AN40" s="108"/>
      <c r="AO40" s="108"/>
      <c r="AP40" s="108"/>
      <c r="AQ40" s="108"/>
      <c r="AR40" s="108"/>
      <c r="AS40" s="108"/>
      <c r="AT40" s="108"/>
      <c r="AU40" s="108"/>
      <c r="AV40" s="108"/>
      <c r="AW40" s="108"/>
      <c r="AX40" s="108"/>
      <c r="AY40" s="108"/>
      <c r="AZ40" s="108"/>
      <c r="BA40" s="108"/>
      <c r="BB40" s="108"/>
      <c r="BC40" s="108"/>
      <c r="BD40" s="108"/>
      <c r="BE40" s="108"/>
      <c r="BF40" s="108"/>
      <c r="BG40" s="108"/>
      <c r="BH40" s="108"/>
      <c r="BI40" s="108"/>
      <c r="BJ40" s="108"/>
      <c r="BK40" s="108"/>
      <c r="BL40" s="108"/>
      <c r="BM40" s="108"/>
      <c r="BN40" s="108"/>
      <c r="BO40" s="108"/>
      <c r="BP40" s="108"/>
      <c r="BQ40" s="108"/>
      <c r="BR40" s="108"/>
      <c r="BS40" s="108"/>
      <c r="BT40" s="108"/>
      <c r="BU40" s="108"/>
      <c r="BV40" s="108"/>
      <c r="BW40" s="108"/>
      <c r="BX40" s="108"/>
      <c r="BY40" s="108"/>
      <c r="BZ40" s="108"/>
      <c r="CA40" s="108"/>
      <c r="CB40" s="108"/>
      <c r="CC40" s="108"/>
      <c r="CD40" s="108"/>
      <c r="CE40" s="108"/>
      <c r="CF40" s="108"/>
      <c r="CG40" s="108"/>
      <c r="CH40" s="108"/>
      <c r="CI40" s="108"/>
      <c r="CJ40" s="108"/>
      <c r="CK40" s="108"/>
      <c r="CL40" s="108"/>
      <c r="CM40" s="108"/>
      <c r="CN40" s="108"/>
      <c r="CO40" s="108"/>
      <c r="CP40" s="108"/>
      <c r="CQ40" s="108"/>
      <c r="CR40" s="108"/>
      <c r="CS40" s="108"/>
      <c r="CT40" s="108"/>
      <c r="CU40" s="108"/>
      <c r="CV40" s="108"/>
      <c r="CW40" s="108"/>
      <c r="CX40" s="108"/>
      <c r="CY40" s="108"/>
      <c r="CZ40" s="108"/>
      <c r="DA40" s="108"/>
      <c r="DB40" s="108"/>
      <c r="DC40" s="108"/>
      <c r="DD40" s="108"/>
      <c r="DE40" s="108"/>
      <c r="DF40" s="108"/>
      <c r="DG40" s="108"/>
      <c r="DH40" s="108"/>
      <c r="DI40" s="108"/>
      <c r="DJ40" s="108"/>
      <c r="DK40" s="108"/>
      <c r="DL40" s="108"/>
      <c r="DM40" s="108"/>
      <c r="DN40" s="108"/>
      <c r="DO40" s="108"/>
      <c r="DP40" s="108"/>
      <c r="DQ40" s="108"/>
      <c r="DR40" s="108"/>
      <c r="DS40" s="108"/>
      <c r="DT40" s="108"/>
      <c r="DU40" s="108"/>
      <c r="DV40" s="108"/>
      <c r="DW40" s="108"/>
      <c r="DX40" s="108"/>
      <c r="DY40" s="108"/>
      <c r="DZ40" s="108"/>
      <c r="EA40" s="108"/>
      <c r="EB40" s="108"/>
      <c r="EC40" s="108"/>
      <c r="ED40" s="108"/>
      <c r="EE40" s="108"/>
      <c r="EF40" s="108"/>
      <c r="EG40" s="108"/>
      <c r="EH40" s="108"/>
      <c r="EI40" s="108"/>
      <c r="EJ40" s="108"/>
      <c r="EK40" s="108"/>
      <c r="EL40" s="108"/>
      <c r="EM40" s="108"/>
      <c r="EN40" s="108"/>
      <c r="EO40" s="108"/>
      <c r="EP40" s="108"/>
      <c r="EQ40" s="108"/>
      <c r="ER40" s="108"/>
      <c r="ES40" s="108"/>
      <c r="ET40" s="108"/>
      <c r="EU40" s="108"/>
      <c r="EV40" s="108"/>
      <c r="EW40" s="108"/>
      <c r="EX40" s="108"/>
      <c r="EY40" s="108"/>
      <c r="EZ40" s="108"/>
      <c r="FA40" s="108"/>
      <c r="FB40" s="108"/>
      <c r="FC40" s="108"/>
      <c r="FD40" s="108"/>
      <c r="FE40" s="108"/>
      <c r="FF40" s="108"/>
      <c r="FG40" s="108"/>
      <c r="FH40" s="108"/>
      <c r="FI40" s="108"/>
      <c r="FJ40" s="108"/>
      <c r="FK40" s="108"/>
      <c r="FL40" s="108"/>
      <c r="FM40" s="108"/>
      <c r="FN40" s="108"/>
      <c r="FO40" s="108"/>
      <c r="FP40" s="108"/>
      <c r="FQ40" s="108"/>
      <c r="FR40" s="108"/>
      <c r="FS40" s="108"/>
      <c r="FT40" s="108"/>
      <c r="FU40" s="108"/>
      <c r="FV40" s="108"/>
      <c r="FW40" s="108"/>
      <c r="FX40" s="108"/>
      <c r="FY40" s="108"/>
      <c r="FZ40" s="108"/>
      <c r="GA40" s="108"/>
      <c r="GB40" s="108"/>
      <c r="GC40" s="108"/>
      <c r="GD40" s="108"/>
      <c r="GE40" s="108"/>
      <c r="GF40" s="108"/>
      <c r="GG40" s="108"/>
      <c r="GH40" s="108"/>
      <c r="GI40" s="108"/>
      <c r="GJ40" s="108"/>
      <c r="GK40" s="108"/>
      <c r="GL40" s="108"/>
      <c r="GM40" s="108"/>
      <c r="GN40" s="108"/>
      <c r="GO40" s="108"/>
      <c r="GP40" s="108"/>
      <c r="GQ40" s="108"/>
      <c r="GR40" s="108"/>
      <c r="GS40" s="108"/>
      <c r="GT40" s="108"/>
      <c r="GU40" s="108"/>
      <c r="GV40" s="108"/>
      <c r="GW40" s="108"/>
      <c r="GX40" s="108"/>
      <c r="GY40" s="108"/>
      <c r="GZ40" s="108"/>
      <c r="HA40" s="108"/>
      <c r="HB40" s="108"/>
      <c r="HC40" s="108"/>
      <c r="HD40" s="108"/>
      <c r="HE40" s="108"/>
      <c r="HF40" s="108"/>
      <c r="HG40" s="108"/>
      <c r="HH40" s="108"/>
      <c r="HI40" s="108"/>
      <c r="HJ40" s="108"/>
      <c r="HK40" s="108"/>
      <c r="HL40" s="108"/>
      <c r="HM40" s="108"/>
      <c r="HN40" s="108"/>
      <c r="HO40" s="108"/>
      <c r="HP40" s="108"/>
      <c r="HQ40" s="108"/>
      <c r="HR40" s="108"/>
      <c r="HS40" s="108"/>
      <c r="HT40" s="108"/>
      <c r="HU40" s="108"/>
      <c r="HV40" s="108"/>
      <c r="HW40" s="108"/>
      <c r="HX40" s="108"/>
      <c r="HY40" s="108"/>
      <c r="HZ40" s="108"/>
      <c r="IA40" s="108"/>
      <c r="IB40" s="108"/>
      <c r="IC40" s="108"/>
      <c r="ID40" s="108"/>
      <c r="IE40" s="108"/>
      <c r="IF40" s="108"/>
      <c r="IG40" s="108"/>
      <c r="IH40" s="108"/>
      <c r="II40" s="108"/>
      <c r="IJ40" s="108"/>
      <c r="IK40" s="108"/>
      <c r="IL40" s="108"/>
      <c r="IM40" s="108"/>
      <c r="IN40" s="108"/>
      <c r="IO40" s="108"/>
      <c r="IP40" s="108"/>
      <c r="IQ40" s="108"/>
      <c r="IR40" s="108"/>
      <c r="IS40" s="108"/>
      <c r="IT40" s="108"/>
      <c r="IU40" s="108"/>
      <c r="IV40" s="108"/>
      <c r="IW40" s="108"/>
    </row>
    <row r="41" spans="1:257" ht="15" thickBot="1" x14ac:dyDescent="0.35">
      <c r="A41" s="158"/>
      <c r="B41" s="113" t="str">
        <f>'Sensitivity analysis'!B200</f>
        <v>Hypoglycaemia cost</v>
      </c>
      <c r="C41" s="170">
        <f>'Sensitivity analysis'!G200</f>
        <v>36116.739177314506</v>
      </c>
      <c r="D41" s="171">
        <f>'Sensitivity analysis'!H200</f>
        <v>36200.131291395883</v>
      </c>
      <c r="E41" s="172">
        <f t="shared" si="0"/>
        <v>83.392114081376349</v>
      </c>
      <c r="F41" s="158"/>
      <c r="G41" s="158"/>
      <c r="H41" s="158"/>
      <c r="I41" s="173"/>
      <c r="J41" s="170"/>
      <c r="K41" s="175"/>
      <c r="L41" s="172"/>
      <c r="M41" s="158"/>
      <c r="N41" s="158"/>
      <c r="O41" s="108"/>
      <c r="P41" s="108"/>
      <c r="Q41" s="108"/>
      <c r="R41" s="108"/>
      <c r="S41" s="108"/>
      <c r="T41" s="108"/>
      <c r="U41" s="108"/>
      <c r="V41" s="108"/>
      <c r="W41" s="108"/>
      <c r="X41" s="108"/>
      <c r="Y41" s="108"/>
      <c r="Z41" s="108"/>
      <c r="AA41" s="108"/>
      <c r="AB41" s="108"/>
      <c r="AC41" s="108"/>
      <c r="AD41" s="108"/>
      <c r="AE41" s="108"/>
      <c r="AF41" s="108"/>
      <c r="AG41" s="108"/>
      <c r="AH41" s="108"/>
      <c r="AI41" s="108"/>
      <c r="AJ41" s="108"/>
      <c r="AK41" s="108"/>
      <c r="AL41" s="108"/>
      <c r="AM41" s="108"/>
      <c r="AN41" s="108"/>
      <c r="AO41" s="108"/>
      <c r="AP41" s="108"/>
      <c r="AQ41" s="108"/>
      <c r="AR41" s="108"/>
      <c r="AS41" s="108"/>
      <c r="AT41" s="108"/>
      <c r="AU41" s="108"/>
      <c r="AV41" s="108"/>
      <c r="AW41" s="108"/>
      <c r="AX41" s="108"/>
      <c r="AY41" s="108"/>
      <c r="AZ41" s="108"/>
      <c r="BA41" s="108"/>
      <c r="BB41" s="108"/>
      <c r="BC41" s="108"/>
      <c r="BD41" s="108"/>
      <c r="BE41" s="108"/>
      <c r="BF41" s="108"/>
      <c r="BG41" s="108"/>
      <c r="BH41" s="108"/>
      <c r="BI41" s="108"/>
      <c r="BJ41" s="108"/>
      <c r="BK41" s="108"/>
      <c r="BL41" s="108"/>
      <c r="BM41" s="108"/>
      <c r="BN41" s="108"/>
      <c r="BO41" s="108"/>
      <c r="BP41" s="108"/>
      <c r="BQ41" s="108"/>
      <c r="BR41" s="108"/>
      <c r="BS41" s="108"/>
      <c r="BT41" s="108"/>
      <c r="BU41" s="108"/>
      <c r="BV41" s="108"/>
      <c r="BW41" s="108"/>
      <c r="BX41" s="108"/>
      <c r="BY41" s="108"/>
      <c r="BZ41" s="108"/>
      <c r="CA41" s="108"/>
      <c r="CB41" s="108"/>
      <c r="CC41" s="108"/>
      <c r="CD41" s="108"/>
      <c r="CE41" s="108"/>
      <c r="CF41" s="108"/>
      <c r="CG41" s="108"/>
      <c r="CH41" s="108"/>
      <c r="CI41" s="108"/>
      <c r="CJ41" s="108"/>
      <c r="CK41" s="108"/>
      <c r="CL41" s="108"/>
      <c r="CM41" s="108"/>
      <c r="CN41" s="108"/>
      <c r="CO41" s="108"/>
      <c r="CP41" s="108"/>
      <c r="CQ41" s="108"/>
      <c r="CR41" s="108"/>
      <c r="CS41" s="108"/>
      <c r="CT41" s="108"/>
      <c r="CU41" s="108"/>
      <c r="CV41" s="108"/>
      <c r="CW41" s="108"/>
      <c r="CX41" s="108"/>
      <c r="CY41" s="108"/>
      <c r="CZ41" s="108"/>
      <c r="DA41" s="108"/>
      <c r="DB41" s="108"/>
      <c r="DC41" s="108"/>
      <c r="DD41" s="108"/>
      <c r="DE41" s="108"/>
      <c r="DF41" s="108"/>
      <c r="DG41" s="108"/>
      <c r="DH41" s="108"/>
      <c r="DI41" s="108"/>
      <c r="DJ41" s="108"/>
      <c r="DK41" s="108"/>
      <c r="DL41" s="108"/>
      <c r="DM41" s="108"/>
      <c r="DN41" s="108"/>
      <c r="DO41" s="108"/>
      <c r="DP41" s="108"/>
      <c r="DQ41" s="108"/>
      <c r="DR41" s="108"/>
      <c r="DS41" s="108"/>
      <c r="DT41" s="108"/>
      <c r="DU41" s="108"/>
      <c r="DV41" s="108"/>
      <c r="DW41" s="108"/>
      <c r="DX41" s="108"/>
      <c r="DY41" s="108"/>
      <c r="DZ41" s="108"/>
      <c r="EA41" s="108"/>
      <c r="EB41" s="108"/>
      <c r="EC41" s="108"/>
      <c r="ED41" s="108"/>
      <c r="EE41" s="108"/>
      <c r="EF41" s="108"/>
      <c r="EG41" s="108"/>
      <c r="EH41" s="108"/>
      <c r="EI41" s="108"/>
      <c r="EJ41" s="108"/>
      <c r="EK41" s="108"/>
      <c r="EL41" s="108"/>
      <c r="EM41" s="108"/>
      <c r="EN41" s="108"/>
      <c r="EO41" s="108"/>
      <c r="EP41" s="108"/>
      <c r="EQ41" s="108"/>
      <c r="ER41" s="108"/>
      <c r="ES41" s="108"/>
      <c r="ET41" s="108"/>
      <c r="EU41" s="108"/>
      <c r="EV41" s="108"/>
      <c r="EW41" s="108"/>
      <c r="EX41" s="108"/>
      <c r="EY41" s="108"/>
      <c r="EZ41" s="108"/>
      <c r="FA41" s="108"/>
      <c r="FB41" s="108"/>
      <c r="FC41" s="108"/>
      <c r="FD41" s="108"/>
      <c r="FE41" s="108"/>
      <c r="FF41" s="108"/>
      <c r="FG41" s="108"/>
      <c r="FH41" s="108"/>
      <c r="FI41" s="108"/>
      <c r="FJ41" s="108"/>
      <c r="FK41" s="108"/>
      <c r="FL41" s="108"/>
      <c r="FM41" s="108"/>
      <c r="FN41" s="108"/>
      <c r="FO41" s="108"/>
      <c r="FP41" s="108"/>
      <c r="FQ41" s="108"/>
      <c r="FR41" s="108"/>
      <c r="FS41" s="108"/>
      <c r="FT41" s="108"/>
      <c r="FU41" s="108"/>
      <c r="FV41" s="108"/>
      <c r="FW41" s="108"/>
      <c r="FX41" s="108"/>
      <c r="FY41" s="108"/>
      <c r="FZ41" s="108"/>
      <c r="GA41" s="108"/>
      <c r="GB41" s="108"/>
      <c r="GC41" s="108"/>
      <c r="GD41" s="108"/>
      <c r="GE41" s="108"/>
      <c r="GF41" s="108"/>
      <c r="GG41" s="108"/>
      <c r="GH41" s="108"/>
      <c r="GI41" s="108"/>
      <c r="GJ41" s="108"/>
      <c r="GK41" s="108"/>
      <c r="GL41" s="108"/>
      <c r="GM41" s="108"/>
      <c r="GN41" s="108"/>
      <c r="GO41" s="108"/>
      <c r="GP41" s="108"/>
      <c r="GQ41" s="108"/>
      <c r="GR41" s="108"/>
      <c r="GS41" s="108"/>
      <c r="GT41" s="108"/>
      <c r="GU41" s="108"/>
      <c r="GV41" s="108"/>
      <c r="GW41" s="108"/>
      <c r="GX41" s="108"/>
      <c r="GY41" s="108"/>
      <c r="GZ41" s="108"/>
      <c r="HA41" s="108"/>
      <c r="HB41" s="108"/>
      <c r="HC41" s="108"/>
      <c r="HD41" s="108"/>
      <c r="HE41" s="108"/>
      <c r="HF41" s="108"/>
      <c r="HG41" s="108"/>
      <c r="HH41" s="108"/>
      <c r="HI41" s="108"/>
      <c r="HJ41" s="108"/>
      <c r="HK41" s="108"/>
      <c r="HL41" s="108"/>
      <c r="HM41" s="108"/>
      <c r="HN41" s="108"/>
      <c r="HO41" s="108"/>
      <c r="HP41" s="108"/>
      <c r="HQ41" s="108"/>
      <c r="HR41" s="108"/>
      <c r="HS41" s="108"/>
      <c r="HT41" s="108"/>
      <c r="HU41" s="108"/>
      <c r="HV41" s="108"/>
      <c r="HW41" s="108"/>
      <c r="HX41" s="108"/>
      <c r="HY41" s="108"/>
      <c r="HZ41" s="108"/>
      <c r="IA41" s="108"/>
      <c r="IB41" s="108"/>
      <c r="IC41" s="108"/>
      <c r="ID41" s="108"/>
      <c r="IE41" s="108"/>
      <c r="IF41" s="108"/>
      <c r="IG41" s="108"/>
      <c r="IH41" s="108"/>
      <c r="II41" s="108"/>
      <c r="IJ41" s="108"/>
      <c r="IK41" s="108"/>
      <c r="IL41" s="108"/>
      <c r="IM41" s="108"/>
      <c r="IN41" s="108"/>
      <c r="IO41" s="108"/>
      <c r="IP41" s="108"/>
      <c r="IQ41" s="108"/>
      <c r="IR41" s="108"/>
      <c r="IS41" s="108"/>
      <c r="IT41" s="108"/>
      <c r="IU41" s="108"/>
      <c r="IV41" s="108"/>
      <c r="IW41" s="108"/>
    </row>
    <row r="42" spans="1:257" ht="15" thickBot="1" x14ac:dyDescent="0.35">
      <c r="A42" s="158"/>
      <c r="B42" s="113" t="str">
        <f>'Sensitivity analysis'!B201</f>
        <v>Chronic lung disease cost</v>
      </c>
      <c r="C42" s="170">
        <f>'Sensitivity analysis'!G201</f>
        <v>35474.063487478867</v>
      </c>
      <c r="D42" s="171">
        <f>'Sensitivity analysis'!H201</f>
        <v>36797.182198106559</v>
      </c>
      <c r="E42" s="172">
        <f t="shared" si="0"/>
        <v>1323.1187106276921</v>
      </c>
      <c r="F42" s="158"/>
      <c r="G42" s="158"/>
      <c r="H42" s="158"/>
      <c r="I42" s="173"/>
      <c r="J42" s="174"/>
      <c r="K42" s="171"/>
      <c r="L42" s="172"/>
      <c r="M42" s="158"/>
      <c r="N42" s="158"/>
      <c r="O42" s="108"/>
      <c r="P42" s="108"/>
      <c r="Q42" s="108"/>
      <c r="R42" s="108"/>
      <c r="S42" s="108"/>
      <c r="T42" s="108"/>
      <c r="U42" s="108"/>
      <c r="V42" s="108"/>
      <c r="W42" s="108"/>
      <c r="X42" s="108"/>
      <c r="Y42" s="108"/>
      <c r="Z42" s="108"/>
      <c r="AA42" s="108"/>
      <c r="AB42" s="108"/>
      <c r="AC42" s="108"/>
      <c r="AD42" s="108"/>
      <c r="AE42" s="108"/>
      <c r="AF42" s="108"/>
      <c r="AG42" s="108"/>
      <c r="AH42" s="108"/>
      <c r="AI42" s="108"/>
      <c r="AJ42" s="108"/>
      <c r="AK42" s="108"/>
      <c r="AL42" s="108"/>
      <c r="AM42" s="108"/>
      <c r="AN42" s="108"/>
      <c r="AO42" s="108"/>
      <c r="AP42" s="108"/>
      <c r="AQ42" s="108"/>
      <c r="AR42" s="108"/>
      <c r="AS42" s="108"/>
      <c r="AT42" s="108"/>
      <c r="AU42" s="108"/>
      <c r="AV42" s="108"/>
      <c r="AW42" s="108"/>
      <c r="AX42" s="108"/>
      <c r="AY42" s="108"/>
      <c r="AZ42" s="108"/>
      <c r="BA42" s="108"/>
      <c r="BB42" s="108"/>
      <c r="BC42" s="108"/>
      <c r="BD42" s="108"/>
      <c r="BE42" s="108"/>
      <c r="BF42" s="108"/>
      <c r="BG42" s="108"/>
      <c r="BH42" s="108"/>
      <c r="BI42" s="108"/>
      <c r="BJ42" s="108"/>
      <c r="BK42" s="108"/>
      <c r="BL42" s="108"/>
      <c r="BM42" s="108"/>
      <c r="BN42" s="108"/>
      <c r="BO42" s="108"/>
      <c r="BP42" s="108"/>
      <c r="BQ42" s="108"/>
      <c r="BR42" s="108"/>
      <c r="BS42" s="108"/>
      <c r="BT42" s="108"/>
      <c r="BU42" s="108"/>
      <c r="BV42" s="108"/>
      <c r="BW42" s="108"/>
      <c r="BX42" s="108"/>
      <c r="BY42" s="108"/>
      <c r="BZ42" s="108"/>
      <c r="CA42" s="108"/>
      <c r="CB42" s="108"/>
      <c r="CC42" s="108"/>
      <c r="CD42" s="108"/>
      <c r="CE42" s="108"/>
      <c r="CF42" s="108"/>
      <c r="CG42" s="108"/>
      <c r="CH42" s="108"/>
      <c r="CI42" s="108"/>
      <c r="CJ42" s="108"/>
      <c r="CK42" s="108"/>
      <c r="CL42" s="108"/>
      <c r="CM42" s="108"/>
      <c r="CN42" s="108"/>
      <c r="CO42" s="108"/>
      <c r="CP42" s="108"/>
      <c r="CQ42" s="108"/>
      <c r="CR42" s="108"/>
      <c r="CS42" s="108"/>
      <c r="CT42" s="108"/>
      <c r="CU42" s="108"/>
      <c r="CV42" s="108"/>
      <c r="CW42" s="108"/>
      <c r="CX42" s="108"/>
      <c r="CY42" s="108"/>
      <c r="CZ42" s="108"/>
      <c r="DA42" s="108"/>
      <c r="DB42" s="108"/>
      <c r="DC42" s="108"/>
      <c r="DD42" s="108"/>
      <c r="DE42" s="108"/>
      <c r="DF42" s="108"/>
      <c r="DG42" s="108"/>
      <c r="DH42" s="108"/>
      <c r="DI42" s="108"/>
      <c r="DJ42" s="108"/>
      <c r="DK42" s="108"/>
      <c r="DL42" s="108"/>
      <c r="DM42" s="108"/>
      <c r="DN42" s="108"/>
      <c r="DO42" s="108"/>
      <c r="DP42" s="108"/>
      <c r="DQ42" s="108"/>
      <c r="DR42" s="108"/>
      <c r="DS42" s="108"/>
      <c r="DT42" s="108"/>
      <c r="DU42" s="108"/>
      <c r="DV42" s="108"/>
      <c r="DW42" s="108"/>
      <c r="DX42" s="108"/>
      <c r="DY42" s="108"/>
      <c r="DZ42" s="108"/>
      <c r="EA42" s="108"/>
      <c r="EB42" s="108"/>
      <c r="EC42" s="108"/>
      <c r="ED42" s="108"/>
      <c r="EE42" s="108"/>
      <c r="EF42" s="108"/>
      <c r="EG42" s="108"/>
      <c r="EH42" s="108"/>
      <c r="EI42" s="108"/>
      <c r="EJ42" s="108"/>
      <c r="EK42" s="108"/>
      <c r="EL42" s="108"/>
      <c r="EM42" s="108"/>
      <c r="EN42" s="108"/>
      <c r="EO42" s="108"/>
      <c r="EP42" s="108"/>
      <c r="EQ42" s="108"/>
      <c r="ER42" s="108"/>
      <c r="ES42" s="108"/>
      <c r="ET42" s="108"/>
      <c r="EU42" s="108"/>
      <c r="EV42" s="108"/>
      <c r="EW42" s="108"/>
      <c r="EX42" s="108"/>
      <c r="EY42" s="108"/>
      <c r="EZ42" s="108"/>
      <c r="FA42" s="108"/>
      <c r="FB42" s="108"/>
      <c r="FC42" s="108"/>
      <c r="FD42" s="108"/>
      <c r="FE42" s="108"/>
      <c r="FF42" s="108"/>
      <c r="FG42" s="108"/>
      <c r="FH42" s="108"/>
      <c r="FI42" s="108"/>
      <c r="FJ42" s="108"/>
      <c r="FK42" s="108"/>
      <c r="FL42" s="108"/>
      <c r="FM42" s="108"/>
      <c r="FN42" s="108"/>
      <c r="FO42" s="108"/>
      <c r="FP42" s="108"/>
      <c r="FQ42" s="108"/>
      <c r="FR42" s="108"/>
      <c r="FS42" s="108"/>
      <c r="FT42" s="108"/>
      <c r="FU42" s="108"/>
      <c r="FV42" s="108"/>
      <c r="FW42" s="108"/>
      <c r="FX42" s="108"/>
      <c r="FY42" s="108"/>
      <c r="FZ42" s="108"/>
      <c r="GA42" s="108"/>
      <c r="GB42" s="108"/>
      <c r="GC42" s="108"/>
      <c r="GD42" s="108"/>
      <c r="GE42" s="108"/>
      <c r="GF42" s="108"/>
      <c r="GG42" s="108"/>
      <c r="GH42" s="108"/>
      <c r="GI42" s="108"/>
      <c r="GJ42" s="108"/>
      <c r="GK42" s="108"/>
      <c r="GL42" s="108"/>
      <c r="GM42" s="108"/>
      <c r="GN42" s="108"/>
      <c r="GO42" s="108"/>
      <c r="GP42" s="108"/>
      <c r="GQ42" s="108"/>
      <c r="GR42" s="108"/>
      <c r="GS42" s="108"/>
      <c r="GT42" s="108"/>
      <c r="GU42" s="108"/>
      <c r="GV42" s="108"/>
      <c r="GW42" s="108"/>
      <c r="GX42" s="108"/>
      <c r="GY42" s="108"/>
      <c r="GZ42" s="108"/>
      <c r="HA42" s="108"/>
      <c r="HB42" s="108"/>
      <c r="HC42" s="108"/>
      <c r="HD42" s="108"/>
      <c r="HE42" s="108"/>
      <c r="HF42" s="108"/>
      <c r="HG42" s="108"/>
      <c r="HH42" s="108"/>
      <c r="HI42" s="108"/>
      <c r="HJ42" s="108"/>
      <c r="HK42" s="108"/>
      <c r="HL42" s="108"/>
      <c r="HM42" s="108"/>
      <c r="HN42" s="108"/>
      <c r="HO42" s="108"/>
      <c r="HP42" s="108"/>
      <c r="HQ42" s="108"/>
      <c r="HR42" s="108"/>
      <c r="HS42" s="108"/>
      <c r="HT42" s="108"/>
      <c r="HU42" s="108"/>
      <c r="HV42" s="108"/>
      <c r="HW42" s="108"/>
      <c r="HX42" s="108"/>
      <c r="HY42" s="108"/>
      <c r="HZ42" s="108"/>
      <c r="IA42" s="108"/>
      <c r="IB42" s="108"/>
      <c r="IC42" s="108"/>
      <c r="ID42" s="108"/>
      <c r="IE42" s="108"/>
      <c r="IF42" s="108"/>
      <c r="IG42" s="108"/>
      <c r="IH42" s="108"/>
      <c r="II42" s="108"/>
      <c r="IJ42" s="108"/>
      <c r="IK42" s="108"/>
      <c r="IL42" s="108"/>
      <c r="IM42" s="108"/>
      <c r="IN42" s="108"/>
      <c r="IO42" s="108"/>
      <c r="IP42" s="108"/>
      <c r="IQ42" s="108"/>
      <c r="IR42" s="108"/>
      <c r="IS42" s="108"/>
      <c r="IT42" s="108"/>
      <c r="IU42" s="108"/>
      <c r="IV42" s="108"/>
      <c r="IW42" s="108"/>
    </row>
    <row r="43" spans="1:257" ht="15" thickBot="1" x14ac:dyDescent="0.35">
      <c r="A43" s="158"/>
      <c r="B43" s="113" t="str">
        <f>'Sensitivity analysis'!B202</f>
        <v>Motor impairment cost</v>
      </c>
      <c r="C43" s="170">
        <f>'Sensitivity analysis'!G202</f>
        <v>36157.796412951924</v>
      </c>
      <c r="D43" s="171">
        <f>'Sensitivity analysis'!H202</f>
        <v>36159.0314676649</v>
      </c>
      <c r="E43" s="172">
        <f t="shared" si="0"/>
        <v>1.2350547129753977</v>
      </c>
      <c r="F43" s="158"/>
      <c r="G43" s="158"/>
      <c r="H43" s="158"/>
      <c r="I43" s="173"/>
      <c r="J43" s="170"/>
      <c r="K43" s="175"/>
      <c r="L43" s="172"/>
      <c r="M43" s="158"/>
      <c r="N43" s="158"/>
      <c r="O43" s="108"/>
      <c r="P43" s="108"/>
      <c r="Q43" s="108"/>
      <c r="R43" s="108"/>
      <c r="S43" s="108"/>
      <c r="T43" s="108"/>
      <c r="U43" s="108"/>
      <c r="V43" s="108"/>
      <c r="W43" s="108"/>
      <c r="X43" s="108"/>
      <c r="Y43" s="108"/>
      <c r="Z43" s="108"/>
      <c r="AA43" s="108"/>
      <c r="AB43" s="108"/>
      <c r="AC43" s="108"/>
      <c r="AD43" s="108"/>
      <c r="AE43" s="108"/>
      <c r="AF43" s="108"/>
      <c r="AG43" s="108"/>
      <c r="AH43" s="108"/>
      <c r="AI43" s="108"/>
      <c r="AJ43" s="108"/>
      <c r="AK43" s="108"/>
      <c r="AL43" s="108"/>
      <c r="AM43" s="108"/>
      <c r="AN43" s="108"/>
      <c r="AO43" s="108"/>
      <c r="AP43" s="108"/>
      <c r="AQ43" s="108"/>
      <c r="AR43" s="108"/>
      <c r="AS43" s="108"/>
      <c r="AT43" s="108"/>
      <c r="AU43" s="108"/>
      <c r="AV43" s="108"/>
      <c r="AW43" s="108"/>
      <c r="AX43" s="108"/>
      <c r="AY43" s="108"/>
      <c r="AZ43" s="108"/>
      <c r="BA43" s="108"/>
      <c r="BB43" s="108"/>
      <c r="BC43" s="108"/>
      <c r="BD43" s="108"/>
      <c r="BE43" s="108"/>
      <c r="BF43" s="108"/>
      <c r="BG43" s="108"/>
      <c r="BH43" s="108"/>
      <c r="BI43" s="108"/>
      <c r="BJ43" s="108"/>
      <c r="BK43" s="108"/>
      <c r="BL43" s="108"/>
      <c r="BM43" s="108"/>
      <c r="BN43" s="108"/>
      <c r="BO43" s="108"/>
      <c r="BP43" s="108"/>
      <c r="BQ43" s="108"/>
      <c r="BR43" s="108"/>
      <c r="BS43" s="108"/>
      <c r="BT43" s="108"/>
      <c r="BU43" s="108"/>
      <c r="BV43" s="108"/>
      <c r="BW43" s="108"/>
      <c r="BX43" s="108"/>
      <c r="BY43" s="108"/>
      <c r="BZ43" s="108"/>
      <c r="CA43" s="108"/>
      <c r="CB43" s="108"/>
      <c r="CC43" s="108"/>
      <c r="CD43" s="108"/>
      <c r="CE43" s="108"/>
      <c r="CF43" s="108"/>
      <c r="CG43" s="108"/>
      <c r="CH43" s="108"/>
      <c r="CI43" s="108"/>
      <c r="CJ43" s="108"/>
      <c r="CK43" s="108"/>
      <c r="CL43" s="108"/>
      <c r="CM43" s="108"/>
      <c r="CN43" s="108"/>
      <c r="CO43" s="108"/>
      <c r="CP43" s="108"/>
      <c r="CQ43" s="108"/>
      <c r="CR43" s="108"/>
      <c r="CS43" s="108"/>
      <c r="CT43" s="108"/>
      <c r="CU43" s="108"/>
      <c r="CV43" s="108"/>
      <c r="CW43" s="108"/>
      <c r="CX43" s="108"/>
      <c r="CY43" s="108"/>
      <c r="CZ43" s="108"/>
      <c r="DA43" s="108"/>
      <c r="DB43" s="108"/>
      <c r="DC43" s="108"/>
      <c r="DD43" s="108"/>
      <c r="DE43" s="108"/>
      <c r="DF43" s="108"/>
      <c r="DG43" s="108"/>
      <c r="DH43" s="108"/>
      <c r="DI43" s="108"/>
      <c r="DJ43" s="108"/>
      <c r="DK43" s="108"/>
      <c r="DL43" s="108"/>
      <c r="DM43" s="108"/>
      <c r="DN43" s="108"/>
      <c r="DO43" s="108"/>
      <c r="DP43" s="108"/>
      <c r="DQ43" s="108"/>
      <c r="DR43" s="108"/>
      <c r="DS43" s="108"/>
      <c r="DT43" s="108"/>
      <c r="DU43" s="108"/>
      <c r="DV43" s="108"/>
      <c r="DW43" s="108"/>
      <c r="DX43" s="108"/>
      <c r="DY43" s="108"/>
      <c r="DZ43" s="108"/>
      <c r="EA43" s="108"/>
      <c r="EB43" s="108"/>
      <c r="EC43" s="108"/>
      <c r="ED43" s="108"/>
      <c r="EE43" s="108"/>
      <c r="EF43" s="108"/>
      <c r="EG43" s="108"/>
      <c r="EH43" s="108"/>
      <c r="EI43" s="108"/>
      <c r="EJ43" s="108"/>
      <c r="EK43" s="108"/>
      <c r="EL43" s="108"/>
      <c r="EM43" s="108"/>
      <c r="EN43" s="108"/>
      <c r="EO43" s="108"/>
      <c r="EP43" s="108"/>
      <c r="EQ43" s="108"/>
      <c r="ER43" s="108"/>
      <c r="ES43" s="108"/>
      <c r="ET43" s="108"/>
      <c r="EU43" s="108"/>
      <c r="EV43" s="108"/>
      <c r="EW43" s="108"/>
      <c r="EX43" s="108"/>
      <c r="EY43" s="108"/>
      <c r="EZ43" s="108"/>
      <c r="FA43" s="108"/>
      <c r="FB43" s="108"/>
      <c r="FC43" s="108"/>
      <c r="FD43" s="108"/>
      <c r="FE43" s="108"/>
      <c r="FF43" s="108"/>
      <c r="FG43" s="108"/>
      <c r="FH43" s="108"/>
      <c r="FI43" s="108"/>
      <c r="FJ43" s="108"/>
      <c r="FK43" s="108"/>
      <c r="FL43" s="108"/>
      <c r="FM43" s="108"/>
      <c r="FN43" s="108"/>
      <c r="FO43" s="108"/>
      <c r="FP43" s="108"/>
      <c r="FQ43" s="108"/>
      <c r="FR43" s="108"/>
      <c r="FS43" s="108"/>
      <c r="FT43" s="108"/>
      <c r="FU43" s="108"/>
      <c r="FV43" s="108"/>
      <c r="FW43" s="108"/>
      <c r="FX43" s="108"/>
      <c r="FY43" s="108"/>
      <c r="FZ43" s="108"/>
      <c r="GA43" s="108"/>
      <c r="GB43" s="108"/>
      <c r="GC43" s="108"/>
      <c r="GD43" s="108"/>
      <c r="GE43" s="108"/>
      <c r="GF43" s="108"/>
      <c r="GG43" s="108"/>
      <c r="GH43" s="108"/>
      <c r="GI43" s="108"/>
      <c r="GJ43" s="108"/>
      <c r="GK43" s="108"/>
      <c r="GL43" s="108"/>
      <c r="GM43" s="108"/>
      <c r="GN43" s="108"/>
      <c r="GO43" s="108"/>
      <c r="GP43" s="108"/>
      <c r="GQ43" s="108"/>
      <c r="GR43" s="108"/>
      <c r="GS43" s="108"/>
      <c r="GT43" s="108"/>
      <c r="GU43" s="108"/>
      <c r="GV43" s="108"/>
      <c r="GW43" s="108"/>
      <c r="GX43" s="108"/>
      <c r="GY43" s="108"/>
      <c r="GZ43" s="108"/>
      <c r="HA43" s="108"/>
      <c r="HB43" s="108"/>
      <c r="HC43" s="108"/>
      <c r="HD43" s="108"/>
      <c r="HE43" s="108"/>
      <c r="HF43" s="108"/>
      <c r="HG43" s="108"/>
      <c r="HH43" s="108"/>
      <c r="HI43" s="108"/>
      <c r="HJ43" s="108"/>
      <c r="HK43" s="108"/>
      <c r="HL43" s="108"/>
      <c r="HM43" s="108"/>
      <c r="HN43" s="108"/>
      <c r="HO43" s="108"/>
      <c r="HP43" s="108"/>
      <c r="HQ43" s="108"/>
      <c r="HR43" s="108"/>
      <c r="HS43" s="108"/>
      <c r="HT43" s="108"/>
      <c r="HU43" s="108"/>
      <c r="HV43" s="108"/>
      <c r="HW43" s="108"/>
      <c r="HX43" s="108"/>
      <c r="HY43" s="108"/>
      <c r="HZ43" s="108"/>
      <c r="IA43" s="108"/>
      <c r="IB43" s="108"/>
      <c r="IC43" s="108"/>
      <c r="ID43" s="108"/>
      <c r="IE43" s="108"/>
      <c r="IF43" s="108"/>
      <c r="IG43" s="108"/>
      <c r="IH43" s="108"/>
      <c r="II43" s="108"/>
      <c r="IJ43" s="108"/>
      <c r="IK43" s="108"/>
      <c r="IL43" s="108"/>
      <c r="IM43" s="108"/>
      <c r="IN43" s="108"/>
      <c r="IO43" s="108"/>
      <c r="IP43" s="108"/>
      <c r="IQ43" s="108"/>
      <c r="IR43" s="108"/>
      <c r="IS43" s="108"/>
      <c r="IT43" s="108"/>
      <c r="IU43" s="108"/>
      <c r="IV43" s="108"/>
      <c r="IW43" s="108"/>
    </row>
    <row r="44" spans="1:257" ht="15" thickBot="1" x14ac:dyDescent="0.35">
      <c r="A44" s="158"/>
      <c r="B44" s="113" t="str">
        <f>'Sensitivity analysis'!B203</f>
        <v>Hospital follow-up cost</v>
      </c>
      <c r="C44" s="170">
        <f>'Sensitivity analysis'!G203</f>
        <v>36144.23286475947</v>
      </c>
      <c r="D44" s="171">
        <f>'Sensitivity analysis'!H203</f>
        <v>36171.690779311321</v>
      </c>
      <c r="E44" s="172">
        <f t="shared" si="0"/>
        <v>27.45791455185099</v>
      </c>
      <c r="F44" s="158"/>
      <c r="G44" s="158"/>
      <c r="H44" s="158"/>
      <c r="I44" s="173"/>
      <c r="J44" s="170"/>
      <c r="K44" s="175"/>
      <c r="L44" s="172"/>
      <c r="M44" s="158"/>
      <c r="N44" s="158"/>
      <c r="O44" s="108"/>
      <c r="P44" s="108"/>
      <c r="Q44" s="108"/>
      <c r="R44" s="108"/>
      <c r="S44" s="108"/>
      <c r="T44" s="108"/>
      <c r="U44" s="108"/>
      <c r="V44" s="108"/>
      <c r="W44" s="108"/>
      <c r="X44" s="108"/>
      <c r="Y44" s="108"/>
      <c r="Z44" s="108"/>
      <c r="AA44" s="108"/>
      <c r="AB44" s="108"/>
      <c r="AC44" s="108"/>
      <c r="AD44" s="108"/>
      <c r="AE44" s="108"/>
      <c r="AF44" s="108"/>
      <c r="AG44" s="108"/>
      <c r="AH44" s="108"/>
      <c r="AI44" s="108"/>
      <c r="AJ44" s="108"/>
      <c r="AK44" s="108"/>
      <c r="AL44" s="108"/>
      <c r="AM44" s="108"/>
      <c r="AN44" s="108"/>
      <c r="AO44" s="108"/>
      <c r="AP44" s="108"/>
      <c r="AQ44" s="108"/>
      <c r="AR44" s="108"/>
      <c r="AS44" s="108"/>
      <c r="AT44" s="108"/>
      <c r="AU44" s="108"/>
      <c r="AV44" s="108"/>
      <c r="AW44" s="108"/>
      <c r="AX44" s="108"/>
      <c r="AY44" s="108"/>
      <c r="AZ44" s="108"/>
      <c r="BA44" s="108"/>
      <c r="BB44" s="108"/>
      <c r="BC44" s="108"/>
      <c r="BD44" s="108"/>
      <c r="BE44" s="108"/>
      <c r="BF44" s="108"/>
      <c r="BG44" s="108"/>
      <c r="BH44" s="108"/>
      <c r="BI44" s="108"/>
      <c r="BJ44" s="108"/>
      <c r="BK44" s="108"/>
      <c r="BL44" s="108"/>
      <c r="BM44" s="108"/>
      <c r="BN44" s="108"/>
      <c r="BO44" s="108"/>
      <c r="BP44" s="108"/>
      <c r="BQ44" s="108"/>
      <c r="BR44" s="108"/>
      <c r="BS44" s="108"/>
      <c r="BT44" s="108"/>
      <c r="BU44" s="108"/>
      <c r="BV44" s="108"/>
      <c r="BW44" s="108"/>
      <c r="BX44" s="108"/>
      <c r="BY44" s="108"/>
      <c r="BZ44" s="108"/>
      <c r="CA44" s="108"/>
      <c r="CB44" s="108"/>
      <c r="CC44" s="108"/>
      <c r="CD44" s="108"/>
      <c r="CE44" s="108"/>
      <c r="CF44" s="108"/>
      <c r="CG44" s="108"/>
      <c r="CH44" s="108"/>
      <c r="CI44" s="108"/>
      <c r="CJ44" s="108"/>
      <c r="CK44" s="108"/>
      <c r="CL44" s="108"/>
      <c r="CM44" s="108"/>
      <c r="CN44" s="108"/>
      <c r="CO44" s="108"/>
      <c r="CP44" s="108"/>
      <c r="CQ44" s="108"/>
      <c r="CR44" s="108"/>
      <c r="CS44" s="108"/>
      <c r="CT44" s="108"/>
      <c r="CU44" s="108"/>
      <c r="CV44" s="108"/>
      <c r="CW44" s="108"/>
      <c r="CX44" s="108"/>
      <c r="CY44" s="108"/>
      <c r="CZ44" s="108"/>
      <c r="DA44" s="108"/>
      <c r="DB44" s="108"/>
      <c r="DC44" s="108"/>
      <c r="DD44" s="108"/>
      <c r="DE44" s="108"/>
      <c r="DF44" s="108"/>
      <c r="DG44" s="108"/>
      <c r="DH44" s="108"/>
      <c r="DI44" s="108"/>
      <c r="DJ44" s="108"/>
      <c r="DK44" s="108"/>
      <c r="DL44" s="108"/>
      <c r="DM44" s="108"/>
      <c r="DN44" s="108"/>
      <c r="DO44" s="108"/>
      <c r="DP44" s="108"/>
      <c r="DQ44" s="108"/>
      <c r="DR44" s="108"/>
      <c r="DS44" s="108"/>
      <c r="DT44" s="108"/>
      <c r="DU44" s="108"/>
      <c r="DV44" s="108"/>
      <c r="DW44" s="108"/>
      <c r="DX44" s="108"/>
      <c r="DY44" s="108"/>
      <c r="DZ44" s="108"/>
      <c r="EA44" s="108"/>
      <c r="EB44" s="108"/>
      <c r="EC44" s="108"/>
      <c r="ED44" s="108"/>
      <c r="EE44" s="108"/>
      <c r="EF44" s="108"/>
      <c r="EG44" s="108"/>
      <c r="EH44" s="108"/>
      <c r="EI44" s="108"/>
      <c r="EJ44" s="108"/>
      <c r="EK44" s="108"/>
      <c r="EL44" s="108"/>
      <c r="EM44" s="108"/>
      <c r="EN44" s="108"/>
      <c r="EO44" s="108"/>
      <c r="EP44" s="108"/>
      <c r="EQ44" s="108"/>
      <c r="ER44" s="108"/>
      <c r="ES44" s="108"/>
      <c r="ET44" s="108"/>
      <c r="EU44" s="108"/>
      <c r="EV44" s="108"/>
      <c r="EW44" s="108"/>
      <c r="EX44" s="108"/>
      <c r="EY44" s="108"/>
      <c r="EZ44" s="108"/>
      <c r="FA44" s="108"/>
      <c r="FB44" s="108"/>
      <c r="FC44" s="108"/>
      <c r="FD44" s="108"/>
      <c r="FE44" s="108"/>
      <c r="FF44" s="108"/>
      <c r="FG44" s="108"/>
      <c r="FH44" s="108"/>
      <c r="FI44" s="108"/>
      <c r="FJ44" s="108"/>
      <c r="FK44" s="108"/>
      <c r="FL44" s="108"/>
      <c r="FM44" s="108"/>
      <c r="FN44" s="108"/>
      <c r="FO44" s="108"/>
      <c r="FP44" s="108"/>
      <c r="FQ44" s="108"/>
      <c r="FR44" s="108"/>
      <c r="FS44" s="108"/>
      <c r="FT44" s="108"/>
      <c r="FU44" s="108"/>
      <c r="FV44" s="108"/>
      <c r="FW44" s="108"/>
      <c r="FX44" s="108"/>
      <c r="FY44" s="108"/>
      <c r="FZ44" s="108"/>
      <c r="GA44" s="108"/>
      <c r="GB44" s="108"/>
      <c r="GC44" s="108"/>
      <c r="GD44" s="108"/>
      <c r="GE44" s="108"/>
      <c r="GF44" s="108"/>
      <c r="GG44" s="108"/>
      <c r="GH44" s="108"/>
      <c r="GI44" s="108"/>
      <c r="GJ44" s="108"/>
      <c r="GK44" s="108"/>
      <c r="GL44" s="108"/>
      <c r="GM44" s="108"/>
      <c r="GN44" s="108"/>
      <c r="GO44" s="108"/>
      <c r="GP44" s="108"/>
      <c r="GQ44" s="108"/>
      <c r="GR44" s="108"/>
      <c r="GS44" s="108"/>
      <c r="GT44" s="108"/>
      <c r="GU44" s="108"/>
      <c r="GV44" s="108"/>
      <c r="GW44" s="108"/>
      <c r="GX44" s="108"/>
      <c r="GY44" s="108"/>
      <c r="GZ44" s="108"/>
      <c r="HA44" s="108"/>
      <c r="HB44" s="108"/>
      <c r="HC44" s="108"/>
      <c r="HD44" s="108"/>
      <c r="HE44" s="108"/>
      <c r="HF44" s="108"/>
      <c r="HG44" s="108"/>
      <c r="HH44" s="108"/>
      <c r="HI44" s="108"/>
      <c r="HJ44" s="108"/>
      <c r="HK44" s="108"/>
      <c r="HL44" s="108"/>
      <c r="HM44" s="108"/>
      <c r="HN44" s="108"/>
      <c r="HO44" s="108"/>
      <c r="HP44" s="108"/>
      <c r="HQ44" s="108"/>
      <c r="HR44" s="108"/>
      <c r="HS44" s="108"/>
      <c r="HT44" s="108"/>
      <c r="HU44" s="108"/>
      <c r="HV44" s="108"/>
      <c r="HW44" s="108"/>
      <c r="HX44" s="108"/>
      <c r="HY44" s="108"/>
      <c r="HZ44" s="108"/>
      <c r="IA44" s="108"/>
      <c r="IB44" s="108"/>
      <c r="IC44" s="108"/>
      <c r="ID44" s="108"/>
      <c r="IE44" s="108"/>
      <c r="IF44" s="108"/>
      <c r="IG44" s="108"/>
      <c r="IH44" s="108"/>
      <c r="II44" s="108"/>
      <c r="IJ44" s="108"/>
      <c r="IK44" s="108"/>
      <c r="IL44" s="108"/>
      <c r="IM44" s="108"/>
      <c r="IN44" s="108"/>
      <c r="IO44" s="108"/>
      <c r="IP44" s="108"/>
      <c r="IQ44" s="108"/>
      <c r="IR44" s="108"/>
      <c r="IS44" s="108"/>
      <c r="IT44" s="108"/>
      <c r="IU44" s="108"/>
      <c r="IV44" s="108"/>
      <c r="IW44" s="108"/>
    </row>
    <row r="45" spans="1:257" x14ac:dyDescent="0.3">
      <c r="A45" s="158"/>
      <c r="B45" s="113" t="str">
        <f>'Sensitivity analysis'!B204</f>
        <v>Clinic follow-up cost</v>
      </c>
      <c r="C45" s="170">
        <f>'Sensitivity analysis'!G204</f>
        <v>36220.431401545909</v>
      </c>
      <c r="D45" s="171">
        <f>'Sensitivity analysis'!H204</f>
        <v>36100.572144977312</v>
      </c>
      <c r="E45" s="172">
        <f t="shared" si="0"/>
        <v>119.85925656859763</v>
      </c>
      <c r="F45" s="158"/>
      <c r="G45" s="158"/>
      <c r="H45" s="158"/>
      <c r="I45" s="176"/>
      <c r="J45" s="170"/>
      <c r="K45" s="171"/>
      <c r="L45" s="172"/>
      <c r="M45" s="158"/>
      <c r="N45" s="158"/>
      <c r="O45" s="108"/>
      <c r="P45" s="108"/>
      <c r="Q45" s="108"/>
      <c r="R45" s="108"/>
      <c r="S45" s="108"/>
      <c r="T45" s="108"/>
      <c r="U45" s="108"/>
      <c r="V45" s="108"/>
      <c r="W45" s="108"/>
      <c r="X45" s="108"/>
      <c r="Y45" s="108"/>
      <c r="Z45" s="108"/>
      <c r="AA45" s="108"/>
      <c r="AB45" s="108"/>
      <c r="AC45" s="108"/>
      <c r="AD45" s="108"/>
      <c r="AE45" s="108"/>
      <c r="AF45" s="108"/>
      <c r="AG45" s="108"/>
      <c r="AH45" s="108"/>
      <c r="AI45" s="108"/>
      <c r="AJ45" s="108"/>
      <c r="AK45" s="108"/>
      <c r="AL45" s="108"/>
      <c r="AM45" s="108"/>
      <c r="AN45" s="108"/>
      <c r="AO45" s="108"/>
      <c r="AP45" s="108"/>
      <c r="AQ45" s="108"/>
      <c r="AR45" s="108"/>
      <c r="AS45" s="108"/>
      <c r="AT45" s="108"/>
      <c r="AU45" s="108"/>
      <c r="AV45" s="108"/>
      <c r="AW45" s="108"/>
      <c r="AX45" s="108"/>
      <c r="AY45" s="108"/>
      <c r="AZ45" s="108"/>
      <c r="BA45" s="108"/>
      <c r="BB45" s="108"/>
      <c r="BC45" s="108"/>
      <c r="BD45" s="108"/>
      <c r="BE45" s="108"/>
      <c r="BF45" s="108"/>
      <c r="BG45" s="108"/>
      <c r="BH45" s="108"/>
      <c r="BI45" s="108"/>
      <c r="BJ45" s="108"/>
      <c r="BK45" s="108"/>
      <c r="BL45" s="108"/>
      <c r="BM45" s="108"/>
      <c r="BN45" s="108"/>
      <c r="BO45" s="108"/>
      <c r="BP45" s="108"/>
      <c r="BQ45" s="108"/>
      <c r="BR45" s="108"/>
      <c r="BS45" s="108"/>
      <c r="BT45" s="108"/>
      <c r="BU45" s="108"/>
      <c r="BV45" s="108"/>
      <c r="BW45" s="108"/>
      <c r="BX45" s="108"/>
      <c r="BY45" s="108"/>
      <c r="BZ45" s="108"/>
      <c r="CA45" s="108"/>
      <c r="CB45" s="108"/>
      <c r="CC45" s="108"/>
      <c r="CD45" s="108"/>
      <c r="CE45" s="108"/>
      <c r="CF45" s="108"/>
      <c r="CG45" s="108"/>
      <c r="CH45" s="108"/>
      <c r="CI45" s="108"/>
      <c r="CJ45" s="108"/>
      <c r="CK45" s="108"/>
      <c r="CL45" s="108"/>
      <c r="CM45" s="108"/>
      <c r="CN45" s="108"/>
      <c r="CO45" s="108"/>
      <c r="CP45" s="108"/>
      <c r="CQ45" s="108"/>
      <c r="CR45" s="108"/>
      <c r="CS45" s="108"/>
      <c r="CT45" s="108"/>
      <c r="CU45" s="108"/>
      <c r="CV45" s="108"/>
      <c r="CW45" s="108"/>
      <c r="CX45" s="108"/>
      <c r="CY45" s="108"/>
      <c r="CZ45" s="108"/>
      <c r="DA45" s="108"/>
      <c r="DB45" s="108"/>
      <c r="DC45" s="108"/>
      <c r="DD45" s="108"/>
      <c r="DE45" s="108"/>
      <c r="DF45" s="108"/>
      <c r="DG45" s="108"/>
      <c r="DH45" s="108"/>
      <c r="DI45" s="108"/>
      <c r="DJ45" s="108"/>
      <c r="DK45" s="108"/>
      <c r="DL45" s="108"/>
      <c r="DM45" s="108"/>
      <c r="DN45" s="108"/>
      <c r="DO45" s="108"/>
      <c r="DP45" s="108"/>
      <c r="DQ45" s="108"/>
      <c r="DR45" s="108"/>
      <c r="DS45" s="108"/>
      <c r="DT45" s="108"/>
      <c r="DU45" s="108"/>
      <c r="DV45" s="108"/>
      <c r="DW45" s="108"/>
      <c r="DX45" s="108"/>
      <c r="DY45" s="108"/>
      <c r="DZ45" s="108"/>
      <c r="EA45" s="108"/>
      <c r="EB45" s="108"/>
      <c r="EC45" s="108"/>
      <c r="ED45" s="108"/>
      <c r="EE45" s="108"/>
      <c r="EF45" s="108"/>
      <c r="EG45" s="108"/>
      <c r="EH45" s="108"/>
      <c r="EI45" s="108"/>
      <c r="EJ45" s="108"/>
      <c r="EK45" s="108"/>
      <c r="EL45" s="108"/>
      <c r="EM45" s="108"/>
      <c r="EN45" s="108"/>
      <c r="EO45" s="108"/>
      <c r="EP45" s="108"/>
      <c r="EQ45" s="108"/>
      <c r="ER45" s="108"/>
      <c r="ES45" s="108"/>
      <c r="ET45" s="108"/>
      <c r="EU45" s="108"/>
      <c r="EV45" s="108"/>
      <c r="EW45" s="108"/>
      <c r="EX45" s="108"/>
      <c r="EY45" s="108"/>
      <c r="EZ45" s="108"/>
      <c r="FA45" s="108"/>
      <c r="FB45" s="108"/>
      <c r="FC45" s="108"/>
      <c r="FD45" s="108"/>
      <c r="FE45" s="108"/>
      <c r="FF45" s="108"/>
      <c r="FG45" s="108"/>
      <c r="FH45" s="108"/>
      <c r="FI45" s="108"/>
      <c r="FJ45" s="108"/>
      <c r="FK45" s="108"/>
      <c r="FL45" s="108"/>
      <c r="FM45" s="108"/>
      <c r="FN45" s="108"/>
      <c r="FO45" s="108"/>
      <c r="FP45" s="108"/>
      <c r="FQ45" s="108"/>
      <c r="FR45" s="108"/>
      <c r="FS45" s="108"/>
      <c r="FT45" s="108"/>
      <c r="FU45" s="108"/>
      <c r="FV45" s="108"/>
      <c r="FW45" s="108"/>
      <c r="FX45" s="108"/>
      <c r="FY45" s="108"/>
      <c r="FZ45" s="108"/>
      <c r="GA45" s="108"/>
      <c r="GB45" s="108"/>
      <c r="GC45" s="108"/>
      <c r="GD45" s="108"/>
      <c r="GE45" s="108"/>
      <c r="GF45" s="108"/>
      <c r="GG45" s="108"/>
      <c r="GH45" s="108"/>
      <c r="GI45" s="108"/>
      <c r="GJ45" s="108"/>
      <c r="GK45" s="108"/>
      <c r="GL45" s="108"/>
      <c r="GM45" s="108"/>
      <c r="GN45" s="108"/>
      <c r="GO45" s="108"/>
      <c r="GP45" s="108"/>
      <c r="GQ45" s="108"/>
      <c r="GR45" s="108"/>
      <c r="GS45" s="108"/>
      <c r="GT45" s="108"/>
      <c r="GU45" s="108"/>
      <c r="GV45" s="108"/>
      <c r="GW45" s="108"/>
      <c r="GX45" s="108"/>
      <c r="GY45" s="108"/>
      <c r="GZ45" s="108"/>
      <c r="HA45" s="108"/>
      <c r="HB45" s="108"/>
      <c r="HC45" s="108"/>
      <c r="HD45" s="108"/>
      <c r="HE45" s="108"/>
      <c r="HF45" s="108"/>
      <c r="HG45" s="108"/>
      <c r="HH45" s="108"/>
      <c r="HI45" s="108"/>
      <c r="HJ45" s="108"/>
      <c r="HK45" s="108"/>
      <c r="HL45" s="108"/>
      <c r="HM45" s="108"/>
      <c r="HN45" s="108"/>
      <c r="HO45" s="108"/>
      <c r="HP45" s="108"/>
      <c r="HQ45" s="108"/>
      <c r="HR45" s="108"/>
      <c r="HS45" s="108"/>
      <c r="HT45" s="108"/>
      <c r="HU45" s="108"/>
      <c r="HV45" s="108"/>
      <c r="HW45" s="108"/>
      <c r="HX45" s="108"/>
      <c r="HY45" s="108"/>
      <c r="HZ45" s="108"/>
      <c r="IA45" s="108"/>
      <c r="IB45" s="108"/>
      <c r="IC45" s="108"/>
      <c r="ID45" s="108"/>
      <c r="IE45" s="108"/>
      <c r="IF45" s="108"/>
      <c r="IG45" s="108"/>
      <c r="IH45" s="108"/>
      <c r="II45" s="108"/>
      <c r="IJ45" s="108"/>
      <c r="IK45" s="108"/>
      <c r="IL45" s="108"/>
      <c r="IM45" s="108"/>
      <c r="IN45" s="108"/>
      <c r="IO45" s="108"/>
      <c r="IP45" s="108"/>
      <c r="IQ45" s="108"/>
      <c r="IR45" s="108"/>
      <c r="IS45" s="108"/>
      <c r="IT45" s="108"/>
      <c r="IU45" s="108"/>
      <c r="IV45" s="108"/>
      <c r="IW45" s="108"/>
    </row>
    <row r="46" spans="1:257" x14ac:dyDescent="0.3">
      <c r="A46" s="158"/>
      <c r="B46" s="158"/>
      <c r="C46" s="158"/>
      <c r="D46" s="158"/>
      <c r="E46" s="158"/>
      <c r="F46" s="158"/>
      <c r="G46" s="158"/>
      <c r="H46" s="158"/>
      <c r="I46" s="176"/>
      <c r="J46" s="170"/>
      <c r="K46" s="171"/>
      <c r="L46" s="172"/>
      <c r="M46" s="158"/>
      <c r="N46" s="158"/>
      <c r="O46" s="108"/>
      <c r="P46" s="108"/>
      <c r="Q46" s="108"/>
      <c r="R46" s="108"/>
      <c r="S46" s="108"/>
      <c r="T46" s="108"/>
      <c r="U46" s="108"/>
      <c r="V46" s="108"/>
      <c r="W46" s="108"/>
      <c r="X46" s="108"/>
      <c r="Y46" s="108"/>
      <c r="Z46" s="108"/>
      <c r="AA46" s="108"/>
      <c r="AB46" s="108"/>
      <c r="AC46" s="108"/>
      <c r="AD46" s="108"/>
      <c r="AE46" s="108"/>
      <c r="AF46" s="108"/>
      <c r="AG46" s="108"/>
      <c r="AH46" s="108"/>
      <c r="AI46" s="108"/>
      <c r="AJ46" s="108"/>
      <c r="AK46" s="108"/>
      <c r="AL46" s="108"/>
      <c r="AM46" s="108"/>
      <c r="AN46" s="108"/>
      <c r="AO46" s="108"/>
      <c r="AP46" s="108"/>
      <c r="AQ46" s="108"/>
      <c r="AR46" s="108"/>
      <c r="AS46" s="108"/>
      <c r="AT46" s="108"/>
      <c r="AU46" s="108"/>
      <c r="AV46" s="108"/>
      <c r="AW46" s="108"/>
      <c r="AX46" s="108"/>
      <c r="AY46" s="108"/>
      <c r="AZ46" s="108"/>
      <c r="BA46" s="108"/>
      <c r="BB46" s="108"/>
      <c r="BC46" s="108"/>
      <c r="BD46" s="108"/>
      <c r="BE46" s="108"/>
      <c r="BF46" s="108"/>
      <c r="BG46" s="108"/>
      <c r="BH46" s="108"/>
      <c r="BI46" s="108"/>
      <c r="BJ46" s="108"/>
      <c r="BK46" s="108"/>
      <c r="BL46" s="108"/>
      <c r="BM46" s="108"/>
      <c r="BN46" s="108"/>
      <c r="BO46" s="108"/>
      <c r="BP46" s="108"/>
      <c r="BQ46" s="108"/>
      <c r="BR46" s="108"/>
      <c r="BS46" s="108"/>
      <c r="BT46" s="108"/>
      <c r="BU46" s="108"/>
      <c r="BV46" s="108"/>
      <c r="BW46" s="108"/>
      <c r="BX46" s="108"/>
      <c r="BY46" s="108"/>
      <c r="BZ46" s="108"/>
      <c r="CA46" s="108"/>
      <c r="CB46" s="108"/>
      <c r="CC46" s="108"/>
      <c r="CD46" s="108"/>
      <c r="CE46" s="108"/>
      <c r="CF46" s="108"/>
      <c r="CG46" s="108"/>
      <c r="CH46" s="108"/>
      <c r="CI46" s="108"/>
      <c r="CJ46" s="108"/>
      <c r="CK46" s="108"/>
      <c r="CL46" s="108"/>
      <c r="CM46" s="108"/>
      <c r="CN46" s="108"/>
      <c r="CO46" s="108"/>
      <c r="CP46" s="108"/>
      <c r="CQ46" s="108"/>
      <c r="CR46" s="108"/>
      <c r="CS46" s="108"/>
      <c r="CT46" s="108"/>
      <c r="CU46" s="108"/>
      <c r="CV46" s="108"/>
      <c r="CW46" s="108"/>
      <c r="CX46" s="108"/>
      <c r="CY46" s="108"/>
      <c r="CZ46" s="108"/>
      <c r="DA46" s="108"/>
      <c r="DB46" s="108"/>
      <c r="DC46" s="108"/>
      <c r="DD46" s="108"/>
      <c r="DE46" s="108"/>
      <c r="DF46" s="108"/>
      <c r="DG46" s="108"/>
      <c r="DH46" s="108"/>
      <c r="DI46" s="108"/>
      <c r="DJ46" s="108"/>
      <c r="DK46" s="108"/>
      <c r="DL46" s="108"/>
      <c r="DM46" s="108"/>
      <c r="DN46" s="108"/>
      <c r="DO46" s="108"/>
      <c r="DP46" s="108"/>
      <c r="DQ46" s="108"/>
      <c r="DR46" s="108"/>
      <c r="DS46" s="108"/>
      <c r="DT46" s="108"/>
      <c r="DU46" s="108"/>
      <c r="DV46" s="108"/>
      <c r="DW46" s="108"/>
      <c r="DX46" s="108"/>
      <c r="DY46" s="108"/>
      <c r="DZ46" s="108"/>
      <c r="EA46" s="108"/>
      <c r="EB46" s="108"/>
      <c r="EC46" s="108"/>
      <c r="ED46" s="108"/>
      <c r="EE46" s="108"/>
      <c r="EF46" s="108"/>
      <c r="EG46" s="108"/>
      <c r="EH46" s="108"/>
      <c r="EI46" s="108"/>
      <c r="EJ46" s="108"/>
      <c r="EK46" s="108"/>
      <c r="EL46" s="108"/>
      <c r="EM46" s="108"/>
      <c r="EN46" s="108"/>
      <c r="EO46" s="108"/>
      <c r="EP46" s="108"/>
      <c r="EQ46" s="108"/>
      <c r="ER46" s="108"/>
      <c r="ES46" s="108"/>
      <c r="ET46" s="108"/>
      <c r="EU46" s="108"/>
      <c r="EV46" s="108"/>
      <c r="EW46" s="108"/>
      <c r="EX46" s="108"/>
      <c r="EY46" s="108"/>
      <c r="EZ46" s="108"/>
      <c r="FA46" s="108"/>
      <c r="FB46" s="108"/>
      <c r="FC46" s="108"/>
      <c r="FD46" s="108"/>
      <c r="FE46" s="108"/>
      <c r="FF46" s="108"/>
      <c r="FG46" s="108"/>
      <c r="FH46" s="108"/>
      <c r="FI46" s="108"/>
      <c r="FJ46" s="108"/>
      <c r="FK46" s="108"/>
      <c r="FL46" s="108"/>
      <c r="FM46" s="108"/>
      <c r="FN46" s="108"/>
      <c r="FO46" s="108"/>
      <c r="FP46" s="108"/>
      <c r="FQ46" s="108"/>
      <c r="FR46" s="108"/>
      <c r="FS46" s="108"/>
      <c r="FT46" s="108"/>
      <c r="FU46" s="108"/>
      <c r="FV46" s="108"/>
      <c r="FW46" s="108"/>
      <c r="FX46" s="108"/>
      <c r="FY46" s="108"/>
      <c r="FZ46" s="108"/>
      <c r="GA46" s="108"/>
      <c r="GB46" s="108"/>
      <c r="GC46" s="108"/>
      <c r="GD46" s="108"/>
      <c r="GE46" s="108"/>
      <c r="GF46" s="108"/>
      <c r="GG46" s="108"/>
      <c r="GH46" s="108"/>
      <c r="GI46" s="108"/>
      <c r="GJ46" s="108"/>
      <c r="GK46" s="108"/>
      <c r="GL46" s="108"/>
      <c r="GM46" s="108"/>
      <c r="GN46" s="108"/>
      <c r="GO46" s="108"/>
      <c r="GP46" s="108"/>
      <c r="GQ46" s="108"/>
      <c r="GR46" s="108"/>
      <c r="GS46" s="108"/>
      <c r="GT46" s="108"/>
      <c r="GU46" s="108"/>
      <c r="GV46" s="108"/>
      <c r="GW46" s="108"/>
      <c r="GX46" s="108"/>
      <c r="GY46" s="108"/>
      <c r="GZ46" s="108"/>
      <c r="HA46" s="108"/>
      <c r="HB46" s="108"/>
      <c r="HC46" s="108"/>
      <c r="HD46" s="108"/>
      <c r="HE46" s="108"/>
      <c r="HF46" s="108"/>
      <c r="HG46" s="108"/>
      <c r="HH46" s="108"/>
      <c r="HI46" s="108"/>
      <c r="HJ46" s="108"/>
      <c r="HK46" s="108"/>
      <c r="HL46" s="108"/>
      <c r="HM46" s="108"/>
      <c r="HN46" s="108"/>
      <c r="HO46" s="108"/>
      <c r="HP46" s="108"/>
      <c r="HQ46" s="108"/>
      <c r="HR46" s="108"/>
      <c r="HS46" s="108"/>
      <c r="HT46" s="108"/>
      <c r="HU46" s="108"/>
      <c r="HV46" s="108"/>
      <c r="HW46" s="108"/>
      <c r="HX46" s="108"/>
      <c r="HY46" s="108"/>
      <c r="HZ46" s="108"/>
      <c r="IA46" s="108"/>
      <c r="IB46" s="108"/>
      <c r="IC46" s="108"/>
      <c r="ID46" s="108"/>
      <c r="IE46" s="108"/>
      <c r="IF46" s="108"/>
      <c r="IG46" s="108"/>
      <c r="IH46" s="108"/>
      <c r="II46" s="108"/>
      <c r="IJ46" s="108"/>
      <c r="IK46" s="108"/>
      <c r="IL46" s="108"/>
      <c r="IM46" s="108"/>
      <c r="IN46" s="108"/>
      <c r="IO46" s="108"/>
      <c r="IP46" s="108"/>
      <c r="IQ46" s="108"/>
      <c r="IR46" s="108"/>
      <c r="IS46" s="108"/>
      <c r="IT46" s="108"/>
      <c r="IU46" s="108"/>
      <c r="IV46" s="108"/>
      <c r="IW46" s="108"/>
    </row>
    <row r="47" spans="1:257" x14ac:dyDescent="0.3">
      <c r="A47" s="158"/>
      <c r="B47" s="158"/>
      <c r="C47" s="158"/>
      <c r="D47" s="158"/>
      <c r="E47" s="158"/>
      <c r="F47" s="158"/>
      <c r="G47" s="158"/>
      <c r="H47" s="158"/>
      <c r="I47" s="176"/>
      <c r="J47" s="170"/>
      <c r="K47" s="171"/>
      <c r="L47" s="172"/>
      <c r="M47" s="158"/>
      <c r="N47" s="158"/>
      <c r="O47" s="108"/>
      <c r="P47" s="108"/>
      <c r="Q47" s="108"/>
      <c r="R47" s="108"/>
      <c r="S47" s="108"/>
      <c r="T47" s="108"/>
      <c r="U47" s="108"/>
      <c r="V47" s="108"/>
      <c r="W47" s="108"/>
      <c r="X47" s="108"/>
      <c r="Y47" s="108"/>
      <c r="Z47" s="108"/>
      <c r="AA47" s="108"/>
      <c r="AB47" s="108"/>
      <c r="AC47" s="108"/>
      <c r="AD47" s="108"/>
      <c r="AE47" s="108"/>
      <c r="AF47" s="108"/>
      <c r="AG47" s="108"/>
      <c r="AH47" s="108"/>
      <c r="AI47" s="108"/>
      <c r="AJ47" s="108"/>
      <c r="AK47" s="108"/>
      <c r="AL47" s="108"/>
      <c r="AM47" s="108"/>
      <c r="AN47" s="108"/>
      <c r="AO47" s="108"/>
      <c r="AP47" s="108"/>
      <c r="AQ47" s="108"/>
      <c r="AR47" s="108"/>
      <c r="AS47" s="108"/>
      <c r="AT47" s="108"/>
      <c r="AU47" s="108"/>
      <c r="AV47" s="108"/>
      <c r="AW47" s="108"/>
      <c r="AX47" s="108"/>
      <c r="AY47" s="108"/>
      <c r="AZ47" s="108"/>
      <c r="BA47" s="108"/>
      <c r="BB47" s="108"/>
      <c r="BC47" s="108"/>
      <c r="BD47" s="108"/>
      <c r="BE47" s="108"/>
      <c r="BF47" s="108"/>
      <c r="BG47" s="108"/>
      <c r="BH47" s="108"/>
      <c r="BI47" s="108"/>
      <c r="BJ47" s="108"/>
      <c r="BK47" s="108"/>
      <c r="BL47" s="108"/>
      <c r="BM47" s="108"/>
      <c r="BN47" s="108"/>
      <c r="BO47" s="108"/>
      <c r="BP47" s="108"/>
      <c r="BQ47" s="108"/>
      <c r="BR47" s="108"/>
      <c r="BS47" s="108"/>
      <c r="BT47" s="108"/>
      <c r="BU47" s="108"/>
      <c r="BV47" s="108"/>
      <c r="BW47" s="108"/>
      <c r="BX47" s="108"/>
      <c r="BY47" s="108"/>
      <c r="BZ47" s="108"/>
      <c r="CA47" s="108"/>
      <c r="CB47" s="108"/>
      <c r="CC47" s="108"/>
      <c r="CD47" s="108"/>
      <c r="CE47" s="108"/>
      <c r="CF47" s="108"/>
      <c r="CG47" s="108"/>
      <c r="CH47" s="108"/>
      <c r="CI47" s="108"/>
      <c r="CJ47" s="108"/>
      <c r="CK47" s="108"/>
      <c r="CL47" s="108"/>
      <c r="CM47" s="108"/>
      <c r="CN47" s="108"/>
      <c r="CO47" s="108"/>
      <c r="CP47" s="108"/>
      <c r="CQ47" s="108"/>
      <c r="CR47" s="108"/>
      <c r="CS47" s="108"/>
      <c r="CT47" s="108"/>
      <c r="CU47" s="108"/>
      <c r="CV47" s="108"/>
      <c r="CW47" s="108"/>
      <c r="CX47" s="108"/>
      <c r="CY47" s="108"/>
      <c r="CZ47" s="108"/>
      <c r="DA47" s="108"/>
      <c r="DB47" s="108"/>
      <c r="DC47" s="108"/>
      <c r="DD47" s="108"/>
      <c r="DE47" s="108"/>
      <c r="DF47" s="108"/>
      <c r="DG47" s="108"/>
      <c r="DH47" s="108"/>
      <c r="DI47" s="108"/>
      <c r="DJ47" s="108"/>
      <c r="DK47" s="108"/>
      <c r="DL47" s="108"/>
      <c r="DM47" s="108"/>
      <c r="DN47" s="108"/>
      <c r="DO47" s="108"/>
      <c r="DP47" s="108"/>
      <c r="DQ47" s="108"/>
      <c r="DR47" s="108"/>
      <c r="DS47" s="108"/>
      <c r="DT47" s="108"/>
      <c r="DU47" s="108"/>
      <c r="DV47" s="108"/>
      <c r="DW47" s="108"/>
      <c r="DX47" s="108"/>
      <c r="DY47" s="108"/>
      <c r="DZ47" s="108"/>
      <c r="EA47" s="108"/>
      <c r="EB47" s="108"/>
      <c r="EC47" s="108"/>
      <c r="ED47" s="108"/>
      <c r="EE47" s="108"/>
      <c r="EF47" s="108"/>
      <c r="EG47" s="108"/>
      <c r="EH47" s="108"/>
      <c r="EI47" s="108"/>
      <c r="EJ47" s="108"/>
      <c r="EK47" s="108"/>
      <c r="EL47" s="108"/>
      <c r="EM47" s="108"/>
      <c r="EN47" s="108"/>
      <c r="EO47" s="108"/>
      <c r="EP47" s="108"/>
      <c r="EQ47" s="108"/>
      <c r="ER47" s="108"/>
      <c r="ES47" s="108"/>
      <c r="ET47" s="108"/>
      <c r="EU47" s="108"/>
      <c r="EV47" s="108"/>
      <c r="EW47" s="108"/>
      <c r="EX47" s="108"/>
      <c r="EY47" s="108"/>
      <c r="EZ47" s="108"/>
      <c r="FA47" s="108"/>
      <c r="FB47" s="108"/>
      <c r="FC47" s="108"/>
      <c r="FD47" s="108"/>
      <c r="FE47" s="108"/>
      <c r="FF47" s="108"/>
      <c r="FG47" s="108"/>
      <c r="FH47" s="108"/>
      <c r="FI47" s="108"/>
      <c r="FJ47" s="108"/>
      <c r="FK47" s="108"/>
      <c r="FL47" s="108"/>
      <c r="FM47" s="108"/>
      <c r="FN47" s="108"/>
      <c r="FO47" s="108"/>
      <c r="FP47" s="108"/>
      <c r="FQ47" s="108"/>
      <c r="FR47" s="108"/>
      <c r="FS47" s="108"/>
      <c r="FT47" s="108"/>
      <c r="FU47" s="108"/>
      <c r="FV47" s="108"/>
      <c r="FW47" s="108"/>
      <c r="FX47" s="108"/>
      <c r="FY47" s="108"/>
      <c r="FZ47" s="108"/>
      <c r="GA47" s="108"/>
      <c r="GB47" s="108"/>
      <c r="GC47" s="108"/>
      <c r="GD47" s="108"/>
      <c r="GE47" s="108"/>
      <c r="GF47" s="108"/>
      <c r="GG47" s="108"/>
      <c r="GH47" s="108"/>
      <c r="GI47" s="108"/>
      <c r="GJ47" s="108"/>
      <c r="GK47" s="108"/>
      <c r="GL47" s="108"/>
      <c r="GM47" s="108"/>
      <c r="GN47" s="108"/>
      <c r="GO47" s="108"/>
      <c r="GP47" s="108"/>
      <c r="GQ47" s="108"/>
      <c r="GR47" s="108"/>
      <c r="GS47" s="108"/>
      <c r="GT47" s="108"/>
      <c r="GU47" s="108"/>
      <c r="GV47" s="108"/>
      <c r="GW47" s="108"/>
      <c r="GX47" s="108"/>
      <c r="GY47" s="108"/>
      <c r="GZ47" s="108"/>
      <c r="HA47" s="108"/>
      <c r="HB47" s="108"/>
      <c r="HC47" s="108"/>
      <c r="HD47" s="108"/>
      <c r="HE47" s="108"/>
      <c r="HF47" s="108"/>
      <c r="HG47" s="108"/>
      <c r="HH47" s="108"/>
      <c r="HI47" s="108"/>
      <c r="HJ47" s="108"/>
      <c r="HK47" s="108"/>
      <c r="HL47" s="108"/>
      <c r="HM47" s="108"/>
      <c r="HN47" s="108"/>
      <c r="HO47" s="108"/>
      <c r="HP47" s="108"/>
      <c r="HQ47" s="108"/>
      <c r="HR47" s="108"/>
      <c r="HS47" s="108"/>
      <c r="HT47" s="108"/>
      <c r="HU47" s="108"/>
      <c r="HV47" s="108"/>
      <c r="HW47" s="108"/>
      <c r="HX47" s="108"/>
      <c r="HY47" s="108"/>
      <c r="HZ47" s="108"/>
      <c r="IA47" s="108"/>
      <c r="IB47" s="108"/>
      <c r="IC47" s="108"/>
      <c r="ID47" s="108"/>
      <c r="IE47" s="108"/>
      <c r="IF47" s="108"/>
      <c r="IG47" s="108"/>
      <c r="IH47" s="108"/>
      <c r="II47" s="108"/>
      <c r="IJ47" s="108"/>
      <c r="IK47" s="108"/>
      <c r="IL47" s="108"/>
      <c r="IM47" s="108"/>
      <c r="IN47" s="108"/>
      <c r="IO47" s="108"/>
      <c r="IP47" s="108"/>
      <c r="IQ47" s="108"/>
      <c r="IR47" s="108"/>
      <c r="IS47" s="108"/>
      <c r="IT47" s="108"/>
      <c r="IU47" s="108"/>
      <c r="IV47" s="108"/>
      <c r="IW47" s="108"/>
    </row>
    <row r="48" spans="1:257" x14ac:dyDescent="0.3">
      <c r="A48" s="158"/>
      <c r="B48" s="158"/>
      <c r="C48" s="158"/>
      <c r="D48" s="158"/>
      <c r="E48" s="158"/>
      <c r="F48" s="158"/>
      <c r="G48" s="158"/>
      <c r="H48" s="158"/>
      <c r="I48" s="176"/>
      <c r="J48" s="170"/>
      <c r="K48" s="171"/>
      <c r="L48" s="172"/>
      <c r="M48" s="158"/>
      <c r="N48" s="158"/>
      <c r="O48" s="108"/>
      <c r="P48" s="108"/>
      <c r="Q48" s="108"/>
      <c r="R48" s="108"/>
      <c r="S48" s="108"/>
      <c r="T48" s="108"/>
      <c r="U48" s="108"/>
      <c r="V48" s="108"/>
      <c r="W48" s="108"/>
      <c r="X48" s="108"/>
      <c r="Y48" s="108"/>
      <c r="Z48" s="108"/>
      <c r="AA48" s="108"/>
      <c r="AB48" s="108"/>
      <c r="AC48" s="108"/>
      <c r="AD48" s="108"/>
      <c r="AE48" s="108"/>
      <c r="AF48" s="108"/>
      <c r="AG48" s="108"/>
      <c r="AH48" s="108"/>
      <c r="AI48" s="108"/>
      <c r="AJ48" s="108"/>
      <c r="AK48" s="108"/>
      <c r="AL48" s="108"/>
      <c r="AM48" s="108"/>
      <c r="AN48" s="108"/>
      <c r="AO48" s="108"/>
      <c r="AP48" s="108"/>
      <c r="AQ48" s="108"/>
      <c r="AR48" s="108"/>
      <c r="AS48" s="108"/>
      <c r="AT48" s="108"/>
      <c r="AU48" s="108"/>
      <c r="AV48" s="108"/>
      <c r="AW48" s="108"/>
      <c r="AX48" s="108"/>
      <c r="AY48" s="108"/>
      <c r="AZ48" s="108"/>
      <c r="BA48" s="108"/>
      <c r="BB48" s="108"/>
      <c r="BC48" s="108"/>
      <c r="BD48" s="108"/>
      <c r="BE48" s="108"/>
      <c r="BF48" s="108"/>
      <c r="BG48" s="108"/>
      <c r="BH48" s="108"/>
      <c r="BI48" s="108"/>
      <c r="BJ48" s="108"/>
      <c r="BK48" s="108"/>
      <c r="BL48" s="108"/>
      <c r="BM48" s="108"/>
      <c r="BN48" s="108"/>
      <c r="BO48" s="108"/>
      <c r="BP48" s="108"/>
      <c r="BQ48" s="108"/>
      <c r="BR48" s="108"/>
      <c r="BS48" s="108"/>
      <c r="BT48" s="108"/>
      <c r="BU48" s="108"/>
      <c r="BV48" s="108"/>
      <c r="BW48" s="108"/>
      <c r="BX48" s="108"/>
      <c r="BY48" s="108"/>
      <c r="BZ48" s="108"/>
      <c r="CA48" s="108"/>
      <c r="CB48" s="108"/>
      <c r="CC48" s="108"/>
      <c r="CD48" s="108"/>
      <c r="CE48" s="108"/>
      <c r="CF48" s="108"/>
      <c r="CG48" s="108"/>
      <c r="CH48" s="108"/>
      <c r="CI48" s="108"/>
      <c r="CJ48" s="108"/>
      <c r="CK48" s="108"/>
      <c r="CL48" s="108"/>
      <c r="CM48" s="108"/>
      <c r="CN48" s="108"/>
      <c r="CO48" s="108"/>
      <c r="CP48" s="108"/>
      <c r="CQ48" s="108"/>
      <c r="CR48" s="108"/>
      <c r="CS48" s="108"/>
      <c r="CT48" s="108"/>
      <c r="CU48" s="108"/>
      <c r="CV48" s="108"/>
      <c r="CW48" s="108"/>
      <c r="CX48" s="108"/>
      <c r="CY48" s="108"/>
      <c r="CZ48" s="108"/>
      <c r="DA48" s="108"/>
      <c r="DB48" s="108"/>
      <c r="DC48" s="108"/>
      <c r="DD48" s="108"/>
      <c r="DE48" s="108"/>
      <c r="DF48" s="108"/>
      <c r="DG48" s="108"/>
      <c r="DH48" s="108"/>
      <c r="DI48" s="108"/>
      <c r="DJ48" s="108"/>
      <c r="DK48" s="108"/>
      <c r="DL48" s="108"/>
      <c r="DM48" s="108"/>
      <c r="DN48" s="108"/>
      <c r="DO48" s="108"/>
      <c r="DP48" s="108"/>
      <c r="DQ48" s="108"/>
      <c r="DR48" s="108"/>
      <c r="DS48" s="108"/>
      <c r="DT48" s="108"/>
      <c r="DU48" s="108"/>
      <c r="DV48" s="108"/>
      <c r="DW48" s="108"/>
      <c r="DX48" s="108"/>
      <c r="DY48" s="108"/>
      <c r="DZ48" s="108"/>
      <c r="EA48" s="108"/>
      <c r="EB48" s="108"/>
      <c r="EC48" s="108"/>
      <c r="ED48" s="108"/>
      <c r="EE48" s="108"/>
      <c r="EF48" s="108"/>
      <c r="EG48" s="108"/>
      <c r="EH48" s="108"/>
      <c r="EI48" s="108"/>
      <c r="EJ48" s="108"/>
      <c r="EK48" s="108"/>
      <c r="EL48" s="108"/>
      <c r="EM48" s="108"/>
      <c r="EN48" s="108"/>
      <c r="EO48" s="108"/>
      <c r="EP48" s="108"/>
      <c r="EQ48" s="108"/>
      <c r="ER48" s="108"/>
      <c r="ES48" s="108"/>
      <c r="ET48" s="108"/>
      <c r="EU48" s="108"/>
      <c r="EV48" s="108"/>
      <c r="EW48" s="108"/>
      <c r="EX48" s="108"/>
      <c r="EY48" s="108"/>
      <c r="EZ48" s="108"/>
      <c r="FA48" s="108"/>
      <c r="FB48" s="108"/>
      <c r="FC48" s="108"/>
      <c r="FD48" s="108"/>
      <c r="FE48" s="108"/>
      <c r="FF48" s="108"/>
      <c r="FG48" s="108"/>
      <c r="FH48" s="108"/>
      <c r="FI48" s="108"/>
      <c r="FJ48" s="108"/>
      <c r="FK48" s="108"/>
      <c r="FL48" s="108"/>
      <c r="FM48" s="108"/>
      <c r="FN48" s="108"/>
      <c r="FO48" s="108"/>
      <c r="FP48" s="108"/>
      <c r="FQ48" s="108"/>
      <c r="FR48" s="108"/>
      <c r="FS48" s="108"/>
      <c r="FT48" s="108"/>
      <c r="FU48" s="108"/>
      <c r="FV48" s="108"/>
      <c r="FW48" s="108"/>
      <c r="FX48" s="108"/>
      <c r="FY48" s="108"/>
      <c r="FZ48" s="108"/>
      <c r="GA48" s="108"/>
      <c r="GB48" s="108"/>
      <c r="GC48" s="108"/>
      <c r="GD48" s="108"/>
      <c r="GE48" s="108"/>
      <c r="GF48" s="108"/>
      <c r="GG48" s="108"/>
      <c r="GH48" s="108"/>
      <c r="GI48" s="108"/>
      <c r="GJ48" s="108"/>
      <c r="GK48" s="108"/>
      <c r="GL48" s="108"/>
      <c r="GM48" s="108"/>
      <c r="GN48" s="108"/>
      <c r="GO48" s="108"/>
      <c r="GP48" s="108"/>
      <c r="GQ48" s="108"/>
      <c r="GR48" s="108"/>
      <c r="GS48" s="108"/>
      <c r="GT48" s="108"/>
      <c r="GU48" s="108"/>
      <c r="GV48" s="108"/>
      <c r="GW48" s="108"/>
      <c r="GX48" s="108"/>
      <c r="GY48" s="108"/>
      <c r="GZ48" s="108"/>
      <c r="HA48" s="108"/>
      <c r="HB48" s="108"/>
      <c r="HC48" s="108"/>
      <c r="HD48" s="108"/>
      <c r="HE48" s="108"/>
      <c r="HF48" s="108"/>
      <c r="HG48" s="108"/>
      <c r="HH48" s="108"/>
      <c r="HI48" s="108"/>
      <c r="HJ48" s="108"/>
      <c r="HK48" s="108"/>
      <c r="HL48" s="108"/>
      <c r="HM48" s="108"/>
      <c r="HN48" s="108"/>
      <c r="HO48" s="108"/>
      <c r="HP48" s="108"/>
      <c r="HQ48" s="108"/>
      <c r="HR48" s="108"/>
      <c r="HS48" s="108"/>
      <c r="HT48" s="108"/>
      <c r="HU48" s="108"/>
      <c r="HV48" s="108"/>
      <c r="HW48" s="108"/>
      <c r="HX48" s="108"/>
      <c r="HY48" s="108"/>
      <c r="HZ48" s="108"/>
      <c r="IA48" s="108"/>
      <c r="IB48" s="108"/>
      <c r="IC48" s="108"/>
      <c r="ID48" s="108"/>
      <c r="IE48" s="108"/>
      <c r="IF48" s="108"/>
      <c r="IG48" s="108"/>
      <c r="IH48" s="108"/>
      <c r="II48" s="108"/>
      <c r="IJ48" s="108"/>
      <c r="IK48" s="108"/>
      <c r="IL48" s="108"/>
      <c r="IM48" s="108"/>
      <c r="IN48" s="108"/>
      <c r="IO48" s="108"/>
      <c r="IP48" s="108"/>
      <c r="IQ48" s="108"/>
      <c r="IR48" s="108"/>
      <c r="IS48" s="108"/>
      <c r="IT48" s="108"/>
      <c r="IU48" s="108"/>
      <c r="IV48" s="108"/>
      <c r="IW48" s="108"/>
    </row>
    <row r="49" spans="1:257" x14ac:dyDescent="0.3">
      <c r="A49" s="158"/>
      <c r="B49" s="158"/>
      <c r="C49" s="158"/>
      <c r="D49" s="158"/>
      <c r="E49" s="158"/>
      <c r="F49" s="158"/>
      <c r="G49" s="158"/>
      <c r="H49" s="158"/>
      <c r="I49" s="176"/>
      <c r="J49" s="170"/>
      <c r="K49" s="171"/>
      <c r="L49" s="172"/>
      <c r="M49" s="158"/>
      <c r="N49" s="158"/>
      <c r="O49" s="108"/>
      <c r="P49" s="108"/>
      <c r="Q49" s="108"/>
      <c r="R49" s="108"/>
      <c r="S49" s="108"/>
      <c r="T49" s="108"/>
      <c r="U49" s="108"/>
      <c r="V49" s="108"/>
      <c r="W49" s="108"/>
      <c r="X49" s="108"/>
      <c r="Y49" s="108"/>
      <c r="Z49" s="108"/>
      <c r="AA49" s="108"/>
      <c r="AB49" s="108"/>
      <c r="AC49" s="108"/>
      <c r="AD49" s="108"/>
      <c r="AE49" s="108"/>
      <c r="AF49" s="108"/>
      <c r="AG49" s="108"/>
      <c r="AH49" s="108"/>
      <c r="AI49" s="108"/>
      <c r="AJ49" s="108"/>
      <c r="AK49" s="108"/>
      <c r="AL49" s="108"/>
      <c r="AM49" s="108"/>
      <c r="AN49" s="108"/>
      <c r="AO49" s="108"/>
      <c r="AP49" s="108"/>
      <c r="AQ49" s="108"/>
      <c r="AR49" s="108"/>
      <c r="AS49" s="108"/>
      <c r="AT49" s="108"/>
      <c r="AU49" s="108"/>
      <c r="AV49" s="108"/>
      <c r="AW49" s="108"/>
      <c r="AX49" s="108"/>
      <c r="AY49" s="108"/>
      <c r="AZ49" s="108"/>
      <c r="BA49" s="108"/>
      <c r="BB49" s="108"/>
      <c r="BC49" s="108"/>
      <c r="BD49" s="108"/>
      <c r="BE49" s="108"/>
      <c r="BF49" s="108"/>
      <c r="BG49" s="108"/>
      <c r="BH49" s="108"/>
      <c r="BI49" s="108"/>
      <c r="BJ49" s="108"/>
      <c r="BK49" s="108"/>
      <c r="BL49" s="108"/>
      <c r="BM49" s="108"/>
      <c r="BN49" s="108"/>
      <c r="BO49" s="108"/>
      <c r="BP49" s="108"/>
      <c r="BQ49" s="108"/>
      <c r="BR49" s="108"/>
      <c r="BS49" s="108"/>
      <c r="BT49" s="108"/>
      <c r="BU49" s="108"/>
      <c r="BV49" s="108"/>
      <c r="BW49" s="108"/>
      <c r="BX49" s="108"/>
      <c r="BY49" s="108"/>
      <c r="BZ49" s="108"/>
      <c r="CA49" s="108"/>
      <c r="CB49" s="108"/>
      <c r="CC49" s="108"/>
      <c r="CD49" s="108"/>
      <c r="CE49" s="108"/>
      <c r="CF49" s="108"/>
      <c r="CG49" s="108"/>
      <c r="CH49" s="108"/>
      <c r="CI49" s="108"/>
      <c r="CJ49" s="108"/>
      <c r="CK49" s="108"/>
      <c r="CL49" s="108"/>
      <c r="CM49" s="108"/>
      <c r="CN49" s="108"/>
      <c r="CO49" s="108"/>
      <c r="CP49" s="108"/>
      <c r="CQ49" s="108"/>
      <c r="CR49" s="108"/>
      <c r="CS49" s="108"/>
      <c r="CT49" s="108"/>
      <c r="CU49" s="108"/>
      <c r="CV49" s="108"/>
      <c r="CW49" s="108"/>
      <c r="CX49" s="108"/>
      <c r="CY49" s="108"/>
      <c r="CZ49" s="108"/>
      <c r="DA49" s="108"/>
      <c r="DB49" s="108"/>
      <c r="DC49" s="108"/>
      <c r="DD49" s="108"/>
      <c r="DE49" s="108"/>
      <c r="DF49" s="108"/>
      <c r="DG49" s="108"/>
      <c r="DH49" s="108"/>
      <c r="DI49" s="108"/>
      <c r="DJ49" s="108"/>
      <c r="DK49" s="108"/>
      <c r="DL49" s="108"/>
      <c r="DM49" s="108"/>
      <c r="DN49" s="108"/>
      <c r="DO49" s="108"/>
      <c r="DP49" s="108"/>
      <c r="DQ49" s="108"/>
      <c r="DR49" s="108"/>
      <c r="DS49" s="108"/>
      <c r="DT49" s="108"/>
      <c r="DU49" s="108"/>
      <c r="DV49" s="108"/>
      <c r="DW49" s="108"/>
      <c r="DX49" s="108"/>
      <c r="DY49" s="108"/>
      <c r="DZ49" s="108"/>
      <c r="EA49" s="108"/>
      <c r="EB49" s="108"/>
      <c r="EC49" s="108"/>
      <c r="ED49" s="108"/>
      <c r="EE49" s="108"/>
      <c r="EF49" s="108"/>
      <c r="EG49" s="108"/>
      <c r="EH49" s="108"/>
      <c r="EI49" s="108"/>
      <c r="EJ49" s="108"/>
      <c r="EK49" s="108"/>
      <c r="EL49" s="108"/>
      <c r="EM49" s="108"/>
      <c r="EN49" s="108"/>
      <c r="EO49" s="108"/>
      <c r="EP49" s="108"/>
      <c r="EQ49" s="108"/>
      <c r="ER49" s="108"/>
      <c r="ES49" s="108"/>
      <c r="ET49" s="108"/>
      <c r="EU49" s="108"/>
      <c r="EV49" s="108"/>
      <c r="EW49" s="108"/>
      <c r="EX49" s="108"/>
      <c r="EY49" s="108"/>
      <c r="EZ49" s="108"/>
      <c r="FA49" s="108"/>
      <c r="FB49" s="108"/>
      <c r="FC49" s="108"/>
      <c r="FD49" s="108"/>
      <c r="FE49" s="108"/>
      <c r="FF49" s="108"/>
      <c r="FG49" s="108"/>
      <c r="FH49" s="108"/>
      <c r="FI49" s="108"/>
      <c r="FJ49" s="108"/>
      <c r="FK49" s="108"/>
      <c r="FL49" s="108"/>
      <c r="FM49" s="108"/>
      <c r="FN49" s="108"/>
      <c r="FO49" s="108"/>
      <c r="FP49" s="108"/>
      <c r="FQ49" s="108"/>
      <c r="FR49" s="108"/>
      <c r="FS49" s="108"/>
      <c r="FT49" s="108"/>
      <c r="FU49" s="108"/>
      <c r="FV49" s="108"/>
      <c r="FW49" s="108"/>
      <c r="FX49" s="108"/>
      <c r="FY49" s="108"/>
      <c r="FZ49" s="108"/>
      <c r="GA49" s="108"/>
      <c r="GB49" s="108"/>
      <c r="GC49" s="108"/>
      <c r="GD49" s="108"/>
      <c r="GE49" s="108"/>
      <c r="GF49" s="108"/>
      <c r="GG49" s="108"/>
      <c r="GH49" s="108"/>
      <c r="GI49" s="108"/>
      <c r="GJ49" s="108"/>
      <c r="GK49" s="108"/>
      <c r="GL49" s="108"/>
      <c r="GM49" s="108"/>
      <c r="GN49" s="108"/>
      <c r="GO49" s="108"/>
      <c r="GP49" s="108"/>
      <c r="GQ49" s="108"/>
      <c r="GR49" s="108"/>
      <c r="GS49" s="108"/>
      <c r="GT49" s="108"/>
      <c r="GU49" s="108"/>
      <c r="GV49" s="108"/>
      <c r="GW49" s="108"/>
      <c r="GX49" s="108"/>
      <c r="GY49" s="108"/>
      <c r="GZ49" s="108"/>
      <c r="HA49" s="108"/>
      <c r="HB49" s="108"/>
      <c r="HC49" s="108"/>
      <c r="HD49" s="108"/>
      <c r="HE49" s="108"/>
      <c r="HF49" s="108"/>
      <c r="HG49" s="108"/>
      <c r="HH49" s="108"/>
      <c r="HI49" s="108"/>
      <c r="HJ49" s="108"/>
      <c r="HK49" s="108"/>
      <c r="HL49" s="108"/>
      <c r="HM49" s="108"/>
      <c r="HN49" s="108"/>
      <c r="HO49" s="108"/>
      <c r="HP49" s="108"/>
      <c r="HQ49" s="108"/>
      <c r="HR49" s="108"/>
      <c r="HS49" s="108"/>
      <c r="HT49" s="108"/>
      <c r="HU49" s="108"/>
      <c r="HV49" s="108"/>
      <c r="HW49" s="108"/>
      <c r="HX49" s="108"/>
      <c r="HY49" s="108"/>
      <c r="HZ49" s="108"/>
      <c r="IA49" s="108"/>
      <c r="IB49" s="108"/>
      <c r="IC49" s="108"/>
      <c r="ID49" s="108"/>
      <c r="IE49" s="108"/>
      <c r="IF49" s="108"/>
      <c r="IG49" s="108"/>
      <c r="IH49" s="108"/>
      <c r="II49" s="108"/>
      <c r="IJ49" s="108"/>
      <c r="IK49" s="108"/>
      <c r="IL49" s="108"/>
      <c r="IM49" s="108"/>
      <c r="IN49" s="108"/>
      <c r="IO49" s="108"/>
      <c r="IP49" s="108"/>
      <c r="IQ49" s="108"/>
      <c r="IR49" s="108"/>
      <c r="IS49" s="108"/>
      <c r="IT49" s="108"/>
      <c r="IU49" s="108"/>
      <c r="IV49" s="108"/>
      <c r="IW49" s="108"/>
    </row>
    <row r="50" spans="1:257" x14ac:dyDescent="0.3">
      <c r="A50" s="158"/>
      <c r="B50" s="158"/>
      <c r="C50" s="158"/>
      <c r="D50" s="158"/>
      <c r="E50" s="158"/>
      <c r="F50" s="158"/>
      <c r="G50" s="158"/>
      <c r="H50" s="158"/>
      <c r="I50" s="176"/>
      <c r="J50" s="170"/>
      <c r="K50" s="171"/>
      <c r="L50" s="172"/>
      <c r="M50" s="158"/>
      <c r="N50" s="158"/>
      <c r="O50" s="108"/>
      <c r="P50" s="108"/>
      <c r="Q50" s="108"/>
      <c r="R50" s="108"/>
      <c r="S50" s="108"/>
      <c r="T50" s="108"/>
      <c r="U50" s="108"/>
      <c r="V50" s="108"/>
      <c r="W50" s="108"/>
      <c r="X50" s="108"/>
      <c r="Y50" s="108"/>
      <c r="Z50" s="108"/>
      <c r="AA50" s="108"/>
      <c r="AB50" s="108"/>
      <c r="AC50" s="108"/>
      <c r="AD50" s="108"/>
      <c r="AE50" s="108"/>
      <c r="AF50" s="108"/>
      <c r="AG50" s="108"/>
      <c r="AH50" s="108"/>
      <c r="AI50" s="108"/>
      <c r="AJ50" s="108"/>
      <c r="AK50" s="108"/>
      <c r="AL50" s="108"/>
      <c r="AM50" s="108"/>
      <c r="AN50" s="108"/>
      <c r="AO50" s="108"/>
      <c r="AP50" s="108"/>
      <c r="AQ50" s="108"/>
      <c r="AR50" s="108"/>
      <c r="AS50" s="108"/>
      <c r="AT50" s="108"/>
      <c r="AU50" s="108"/>
      <c r="AV50" s="108"/>
      <c r="AW50" s="108"/>
      <c r="AX50" s="108"/>
      <c r="AY50" s="108"/>
      <c r="AZ50" s="108"/>
      <c r="BA50" s="108"/>
      <c r="BB50" s="108"/>
      <c r="BC50" s="108"/>
      <c r="BD50" s="108"/>
      <c r="BE50" s="108"/>
      <c r="BF50" s="108"/>
      <c r="BG50" s="108"/>
      <c r="BH50" s="108"/>
      <c r="BI50" s="108"/>
      <c r="BJ50" s="108"/>
      <c r="BK50" s="108"/>
      <c r="BL50" s="108"/>
      <c r="BM50" s="108"/>
      <c r="BN50" s="108"/>
      <c r="BO50" s="108"/>
      <c r="BP50" s="108"/>
      <c r="BQ50" s="108"/>
      <c r="BR50" s="108"/>
      <c r="BS50" s="108"/>
      <c r="BT50" s="108"/>
      <c r="BU50" s="108"/>
      <c r="BV50" s="108"/>
      <c r="BW50" s="108"/>
      <c r="BX50" s="108"/>
      <c r="BY50" s="108"/>
      <c r="BZ50" s="108"/>
      <c r="CA50" s="108"/>
      <c r="CB50" s="108"/>
      <c r="CC50" s="108"/>
      <c r="CD50" s="108"/>
      <c r="CE50" s="108"/>
      <c r="CF50" s="108"/>
      <c r="CG50" s="108"/>
      <c r="CH50" s="108"/>
      <c r="CI50" s="108"/>
      <c r="CJ50" s="108"/>
      <c r="CK50" s="108"/>
      <c r="CL50" s="108"/>
      <c r="CM50" s="108"/>
      <c r="CN50" s="108"/>
      <c r="CO50" s="108"/>
      <c r="CP50" s="108"/>
      <c r="CQ50" s="108"/>
      <c r="CR50" s="108"/>
      <c r="CS50" s="108"/>
      <c r="CT50" s="108"/>
      <c r="CU50" s="108"/>
      <c r="CV50" s="108"/>
      <c r="CW50" s="108"/>
      <c r="CX50" s="108"/>
      <c r="CY50" s="108"/>
      <c r="CZ50" s="108"/>
      <c r="DA50" s="108"/>
      <c r="DB50" s="108"/>
      <c r="DC50" s="108"/>
      <c r="DD50" s="108"/>
      <c r="DE50" s="108"/>
      <c r="DF50" s="108"/>
      <c r="DG50" s="108"/>
      <c r="DH50" s="108"/>
      <c r="DI50" s="108"/>
      <c r="DJ50" s="108"/>
      <c r="DK50" s="108"/>
      <c r="DL50" s="108"/>
      <c r="DM50" s="108"/>
      <c r="DN50" s="108"/>
      <c r="DO50" s="108"/>
      <c r="DP50" s="108"/>
      <c r="DQ50" s="108"/>
      <c r="DR50" s="108"/>
      <c r="DS50" s="108"/>
      <c r="DT50" s="108"/>
      <c r="DU50" s="108"/>
      <c r="DV50" s="108"/>
      <c r="DW50" s="108"/>
      <c r="DX50" s="108"/>
      <c r="DY50" s="108"/>
      <c r="DZ50" s="108"/>
      <c r="EA50" s="108"/>
      <c r="EB50" s="108"/>
      <c r="EC50" s="108"/>
      <c r="ED50" s="108"/>
      <c r="EE50" s="108"/>
      <c r="EF50" s="108"/>
      <c r="EG50" s="108"/>
      <c r="EH50" s="108"/>
      <c r="EI50" s="108"/>
      <c r="EJ50" s="108"/>
      <c r="EK50" s="108"/>
      <c r="EL50" s="108"/>
      <c r="EM50" s="108"/>
      <c r="EN50" s="108"/>
      <c r="EO50" s="108"/>
      <c r="EP50" s="108"/>
      <c r="EQ50" s="108"/>
      <c r="ER50" s="108"/>
      <c r="ES50" s="108"/>
      <c r="ET50" s="108"/>
      <c r="EU50" s="108"/>
      <c r="EV50" s="108"/>
      <c r="EW50" s="108"/>
      <c r="EX50" s="108"/>
      <c r="EY50" s="108"/>
      <c r="EZ50" s="108"/>
      <c r="FA50" s="108"/>
      <c r="FB50" s="108"/>
      <c r="FC50" s="108"/>
      <c r="FD50" s="108"/>
      <c r="FE50" s="108"/>
      <c r="FF50" s="108"/>
      <c r="FG50" s="108"/>
      <c r="FH50" s="108"/>
      <c r="FI50" s="108"/>
      <c r="FJ50" s="108"/>
      <c r="FK50" s="108"/>
      <c r="FL50" s="108"/>
      <c r="FM50" s="108"/>
      <c r="FN50" s="108"/>
      <c r="FO50" s="108"/>
      <c r="FP50" s="108"/>
      <c r="FQ50" s="108"/>
      <c r="FR50" s="108"/>
      <c r="FS50" s="108"/>
      <c r="FT50" s="108"/>
      <c r="FU50" s="108"/>
      <c r="FV50" s="108"/>
      <c r="FW50" s="108"/>
      <c r="FX50" s="108"/>
      <c r="FY50" s="108"/>
      <c r="FZ50" s="108"/>
      <c r="GA50" s="108"/>
      <c r="GB50" s="108"/>
      <c r="GC50" s="108"/>
      <c r="GD50" s="108"/>
      <c r="GE50" s="108"/>
      <c r="GF50" s="108"/>
      <c r="GG50" s="108"/>
      <c r="GH50" s="108"/>
      <c r="GI50" s="108"/>
      <c r="GJ50" s="108"/>
      <c r="GK50" s="108"/>
      <c r="GL50" s="108"/>
      <c r="GM50" s="108"/>
      <c r="GN50" s="108"/>
      <c r="GO50" s="108"/>
      <c r="GP50" s="108"/>
      <c r="GQ50" s="108"/>
      <c r="GR50" s="108"/>
      <c r="GS50" s="108"/>
      <c r="GT50" s="108"/>
      <c r="GU50" s="108"/>
      <c r="GV50" s="108"/>
      <c r="GW50" s="108"/>
      <c r="GX50" s="108"/>
      <c r="GY50" s="108"/>
      <c r="GZ50" s="108"/>
      <c r="HA50" s="108"/>
      <c r="HB50" s="108"/>
      <c r="HC50" s="108"/>
      <c r="HD50" s="108"/>
      <c r="HE50" s="108"/>
      <c r="HF50" s="108"/>
      <c r="HG50" s="108"/>
      <c r="HH50" s="108"/>
      <c r="HI50" s="108"/>
      <c r="HJ50" s="108"/>
      <c r="HK50" s="108"/>
      <c r="HL50" s="108"/>
      <c r="HM50" s="108"/>
      <c r="HN50" s="108"/>
      <c r="HO50" s="108"/>
      <c r="HP50" s="108"/>
      <c r="HQ50" s="108"/>
      <c r="HR50" s="108"/>
      <c r="HS50" s="108"/>
      <c r="HT50" s="108"/>
      <c r="HU50" s="108"/>
      <c r="HV50" s="108"/>
      <c r="HW50" s="108"/>
      <c r="HX50" s="108"/>
      <c r="HY50" s="108"/>
      <c r="HZ50" s="108"/>
      <c r="IA50" s="108"/>
      <c r="IB50" s="108"/>
      <c r="IC50" s="108"/>
      <c r="ID50" s="108"/>
      <c r="IE50" s="108"/>
      <c r="IF50" s="108"/>
      <c r="IG50" s="108"/>
      <c r="IH50" s="108"/>
      <c r="II50" s="108"/>
      <c r="IJ50" s="108"/>
      <c r="IK50" s="108"/>
      <c r="IL50" s="108"/>
      <c r="IM50" s="108"/>
      <c r="IN50" s="108"/>
      <c r="IO50" s="108"/>
      <c r="IP50" s="108"/>
      <c r="IQ50" s="108"/>
      <c r="IR50" s="108"/>
      <c r="IS50" s="108"/>
      <c r="IT50" s="108"/>
      <c r="IU50" s="108"/>
      <c r="IV50" s="108"/>
      <c r="IW50" s="108"/>
    </row>
    <row r="51" spans="1:257" x14ac:dyDescent="0.3">
      <c r="A51" s="158"/>
      <c r="B51" s="158"/>
      <c r="C51" s="158"/>
      <c r="D51" s="158"/>
      <c r="E51" s="158"/>
      <c r="F51" s="158"/>
      <c r="G51" s="158"/>
      <c r="H51" s="158"/>
      <c r="I51" s="176"/>
      <c r="J51" s="170"/>
      <c r="K51" s="171"/>
      <c r="L51" s="172"/>
      <c r="M51" s="158"/>
      <c r="N51" s="158"/>
      <c r="O51" s="108"/>
      <c r="P51" s="108"/>
      <c r="Q51" s="108"/>
      <c r="R51" s="108"/>
      <c r="S51" s="108"/>
      <c r="T51" s="108"/>
      <c r="U51" s="108"/>
      <c r="V51" s="108"/>
      <c r="W51" s="108"/>
      <c r="X51" s="108"/>
      <c r="Y51" s="108"/>
      <c r="Z51" s="108"/>
      <c r="AA51" s="108"/>
      <c r="AB51" s="108"/>
      <c r="AC51" s="108"/>
      <c r="AD51" s="108"/>
      <c r="AE51" s="108"/>
      <c r="AF51" s="108"/>
      <c r="AG51" s="108"/>
      <c r="AH51" s="108"/>
      <c r="AI51" s="108"/>
      <c r="AJ51" s="108"/>
      <c r="AK51" s="108"/>
      <c r="AL51" s="108"/>
      <c r="AM51" s="108"/>
      <c r="AN51" s="108"/>
      <c r="AO51" s="108"/>
      <c r="AP51" s="108"/>
      <c r="AQ51" s="108"/>
      <c r="AR51" s="108"/>
      <c r="AS51" s="108"/>
      <c r="AT51" s="108"/>
      <c r="AU51" s="108"/>
      <c r="AV51" s="108"/>
      <c r="AW51" s="108"/>
      <c r="AX51" s="108"/>
      <c r="AY51" s="108"/>
      <c r="AZ51" s="108"/>
      <c r="BA51" s="108"/>
      <c r="BB51" s="108"/>
      <c r="BC51" s="108"/>
      <c r="BD51" s="108"/>
      <c r="BE51" s="108"/>
      <c r="BF51" s="108"/>
      <c r="BG51" s="108"/>
      <c r="BH51" s="108"/>
      <c r="BI51" s="108"/>
      <c r="BJ51" s="108"/>
      <c r="BK51" s="108"/>
      <c r="BL51" s="108"/>
      <c r="BM51" s="108"/>
      <c r="BN51" s="108"/>
      <c r="BO51" s="108"/>
      <c r="BP51" s="108"/>
      <c r="BQ51" s="108"/>
      <c r="BR51" s="108"/>
      <c r="BS51" s="108"/>
      <c r="BT51" s="108"/>
      <c r="BU51" s="108"/>
      <c r="BV51" s="108"/>
      <c r="BW51" s="108"/>
      <c r="BX51" s="108"/>
      <c r="BY51" s="108"/>
      <c r="BZ51" s="108"/>
      <c r="CA51" s="108"/>
      <c r="CB51" s="108"/>
      <c r="CC51" s="108"/>
      <c r="CD51" s="108"/>
      <c r="CE51" s="108"/>
      <c r="CF51" s="108"/>
      <c r="CG51" s="108"/>
      <c r="CH51" s="108"/>
      <c r="CI51" s="108"/>
      <c r="CJ51" s="108"/>
      <c r="CK51" s="108"/>
      <c r="CL51" s="108"/>
      <c r="CM51" s="108"/>
      <c r="CN51" s="108"/>
      <c r="CO51" s="108"/>
      <c r="CP51" s="108"/>
      <c r="CQ51" s="108"/>
      <c r="CR51" s="108"/>
      <c r="CS51" s="108"/>
      <c r="CT51" s="108"/>
      <c r="CU51" s="108"/>
      <c r="CV51" s="108"/>
      <c r="CW51" s="108"/>
      <c r="CX51" s="108"/>
      <c r="CY51" s="108"/>
      <c r="CZ51" s="108"/>
      <c r="DA51" s="108"/>
      <c r="DB51" s="108"/>
      <c r="DC51" s="108"/>
      <c r="DD51" s="108"/>
      <c r="DE51" s="108"/>
      <c r="DF51" s="108"/>
      <c r="DG51" s="108"/>
      <c r="DH51" s="108"/>
      <c r="DI51" s="108"/>
      <c r="DJ51" s="108"/>
      <c r="DK51" s="108"/>
      <c r="DL51" s="108"/>
      <c r="DM51" s="108"/>
      <c r="DN51" s="108"/>
      <c r="DO51" s="108"/>
      <c r="DP51" s="108"/>
      <c r="DQ51" s="108"/>
      <c r="DR51" s="108"/>
      <c r="DS51" s="108"/>
      <c r="DT51" s="108"/>
      <c r="DU51" s="108"/>
      <c r="DV51" s="108"/>
      <c r="DW51" s="108"/>
      <c r="DX51" s="108"/>
      <c r="DY51" s="108"/>
      <c r="DZ51" s="108"/>
      <c r="EA51" s="108"/>
      <c r="EB51" s="108"/>
      <c r="EC51" s="108"/>
      <c r="ED51" s="108"/>
      <c r="EE51" s="108"/>
      <c r="EF51" s="108"/>
      <c r="EG51" s="108"/>
      <c r="EH51" s="108"/>
      <c r="EI51" s="108"/>
      <c r="EJ51" s="108"/>
      <c r="EK51" s="108"/>
      <c r="EL51" s="108"/>
      <c r="EM51" s="108"/>
      <c r="EN51" s="108"/>
      <c r="EO51" s="108"/>
      <c r="EP51" s="108"/>
      <c r="EQ51" s="108"/>
      <c r="ER51" s="108"/>
      <c r="ES51" s="108"/>
      <c r="ET51" s="108"/>
      <c r="EU51" s="108"/>
      <c r="EV51" s="108"/>
      <c r="EW51" s="108"/>
      <c r="EX51" s="108"/>
      <c r="EY51" s="108"/>
      <c r="EZ51" s="108"/>
      <c r="FA51" s="108"/>
      <c r="FB51" s="108"/>
      <c r="FC51" s="108"/>
      <c r="FD51" s="108"/>
      <c r="FE51" s="108"/>
      <c r="FF51" s="108"/>
      <c r="FG51" s="108"/>
      <c r="FH51" s="108"/>
      <c r="FI51" s="108"/>
      <c r="FJ51" s="108"/>
      <c r="FK51" s="108"/>
      <c r="FL51" s="108"/>
      <c r="FM51" s="108"/>
      <c r="FN51" s="108"/>
      <c r="FO51" s="108"/>
      <c r="FP51" s="108"/>
      <c r="FQ51" s="108"/>
      <c r="FR51" s="108"/>
      <c r="FS51" s="108"/>
      <c r="FT51" s="108"/>
      <c r="FU51" s="108"/>
      <c r="FV51" s="108"/>
      <c r="FW51" s="108"/>
      <c r="FX51" s="108"/>
      <c r="FY51" s="108"/>
      <c r="FZ51" s="108"/>
      <c r="GA51" s="108"/>
      <c r="GB51" s="108"/>
      <c r="GC51" s="108"/>
      <c r="GD51" s="108"/>
      <c r="GE51" s="108"/>
      <c r="GF51" s="108"/>
      <c r="GG51" s="108"/>
      <c r="GH51" s="108"/>
      <c r="GI51" s="108"/>
      <c r="GJ51" s="108"/>
      <c r="GK51" s="108"/>
      <c r="GL51" s="108"/>
      <c r="GM51" s="108"/>
      <c r="GN51" s="108"/>
      <c r="GO51" s="108"/>
      <c r="GP51" s="108"/>
      <c r="GQ51" s="108"/>
      <c r="GR51" s="108"/>
      <c r="GS51" s="108"/>
      <c r="GT51" s="108"/>
      <c r="GU51" s="108"/>
      <c r="GV51" s="108"/>
      <c r="GW51" s="108"/>
      <c r="GX51" s="108"/>
      <c r="GY51" s="108"/>
      <c r="GZ51" s="108"/>
      <c r="HA51" s="108"/>
      <c r="HB51" s="108"/>
      <c r="HC51" s="108"/>
      <c r="HD51" s="108"/>
      <c r="HE51" s="108"/>
      <c r="HF51" s="108"/>
      <c r="HG51" s="108"/>
      <c r="HH51" s="108"/>
      <c r="HI51" s="108"/>
      <c r="HJ51" s="108"/>
      <c r="HK51" s="108"/>
      <c r="HL51" s="108"/>
      <c r="HM51" s="108"/>
      <c r="HN51" s="108"/>
      <c r="HO51" s="108"/>
      <c r="HP51" s="108"/>
      <c r="HQ51" s="108"/>
      <c r="HR51" s="108"/>
      <c r="HS51" s="108"/>
      <c r="HT51" s="108"/>
      <c r="HU51" s="108"/>
      <c r="HV51" s="108"/>
      <c r="HW51" s="108"/>
      <c r="HX51" s="108"/>
      <c r="HY51" s="108"/>
      <c r="HZ51" s="108"/>
      <c r="IA51" s="108"/>
      <c r="IB51" s="108"/>
      <c r="IC51" s="108"/>
      <c r="ID51" s="108"/>
      <c r="IE51" s="108"/>
      <c r="IF51" s="108"/>
      <c r="IG51" s="108"/>
      <c r="IH51" s="108"/>
      <c r="II51" s="108"/>
      <c r="IJ51" s="108"/>
      <c r="IK51" s="108"/>
      <c r="IL51" s="108"/>
      <c r="IM51" s="108"/>
      <c r="IN51" s="108"/>
      <c r="IO51" s="108"/>
      <c r="IP51" s="108"/>
      <c r="IQ51" s="108"/>
      <c r="IR51" s="108"/>
      <c r="IS51" s="108"/>
      <c r="IT51" s="108"/>
      <c r="IU51" s="108"/>
      <c r="IV51" s="108"/>
      <c r="IW51" s="108"/>
    </row>
    <row r="52" spans="1:257" x14ac:dyDescent="0.3">
      <c r="A52" s="158"/>
      <c r="B52" s="158"/>
      <c r="C52" s="158"/>
      <c r="D52" s="158"/>
      <c r="E52" s="158"/>
      <c r="F52" s="158"/>
      <c r="G52" s="158"/>
      <c r="H52" s="158"/>
      <c r="I52" s="176"/>
      <c r="J52" s="170"/>
      <c r="K52" s="171"/>
      <c r="L52" s="172"/>
      <c r="M52" s="158"/>
      <c r="N52" s="158"/>
      <c r="O52" s="108"/>
      <c r="P52" s="108"/>
      <c r="Q52" s="108"/>
      <c r="R52" s="108"/>
      <c r="S52" s="108"/>
      <c r="T52" s="108"/>
      <c r="U52" s="108"/>
      <c r="V52" s="108"/>
      <c r="W52" s="108"/>
      <c r="X52" s="108"/>
      <c r="Y52" s="108"/>
      <c r="Z52" s="108"/>
      <c r="AA52" s="108"/>
      <c r="AB52" s="108"/>
      <c r="AC52" s="108"/>
      <c r="AD52" s="108"/>
      <c r="AE52" s="108"/>
      <c r="AF52" s="108"/>
      <c r="AG52" s="108"/>
      <c r="AH52" s="108"/>
      <c r="AI52" s="108"/>
      <c r="AJ52" s="108"/>
      <c r="AK52" s="108"/>
      <c r="AL52" s="108"/>
      <c r="AM52" s="108"/>
      <c r="AN52" s="108"/>
      <c r="AO52" s="108"/>
      <c r="AP52" s="108"/>
      <c r="AQ52" s="108"/>
      <c r="AR52" s="108"/>
      <c r="AS52" s="108"/>
      <c r="AT52" s="108"/>
      <c r="AU52" s="108"/>
      <c r="AV52" s="108"/>
      <c r="AW52" s="108"/>
      <c r="AX52" s="108"/>
      <c r="AY52" s="108"/>
      <c r="AZ52" s="108"/>
      <c r="BA52" s="108"/>
      <c r="BB52" s="108"/>
      <c r="BC52" s="108"/>
      <c r="BD52" s="108"/>
      <c r="BE52" s="108"/>
      <c r="BF52" s="108"/>
      <c r="BG52" s="108"/>
      <c r="BH52" s="108"/>
      <c r="BI52" s="108"/>
      <c r="BJ52" s="108"/>
      <c r="BK52" s="108"/>
      <c r="BL52" s="108"/>
      <c r="BM52" s="108"/>
      <c r="BN52" s="108"/>
      <c r="BO52" s="108"/>
      <c r="BP52" s="108"/>
      <c r="BQ52" s="108"/>
      <c r="BR52" s="108"/>
      <c r="BS52" s="108"/>
      <c r="BT52" s="108"/>
      <c r="BU52" s="108"/>
      <c r="BV52" s="108"/>
      <c r="BW52" s="108"/>
      <c r="BX52" s="108"/>
      <c r="BY52" s="108"/>
      <c r="BZ52" s="108"/>
      <c r="CA52" s="108"/>
      <c r="CB52" s="108"/>
      <c r="CC52" s="108"/>
      <c r="CD52" s="108"/>
      <c r="CE52" s="108"/>
      <c r="CF52" s="108"/>
      <c r="CG52" s="108"/>
      <c r="CH52" s="108"/>
      <c r="CI52" s="108"/>
      <c r="CJ52" s="108"/>
      <c r="CK52" s="108"/>
      <c r="CL52" s="108"/>
      <c r="CM52" s="108"/>
      <c r="CN52" s="108"/>
      <c r="CO52" s="108"/>
      <c r="CP52" s="108"/>
      <c r="CQ52" s="108"/>
      <c r="CR52" s="108"/>
      <c r="CS52" s="108"/>
      <c r="CT52" s="108"/>
      <c r="CU52" s="108"/>
      <c r="CV52" s="108"/>
      <c r="CW52" s="108"/>
      <c r="CX52" s="108"/>
      <c r="CY52" s="108"/>
      <c r="CZ52" s="108"/>
      <c r="DA52" s="108"/>
      <c r="DB52" s="108"/>
      <c r="DC52" s="108"/>
      <c r="DD52" s="108"/>
      <c r="DE52" s="108"/>
      <c r="DF52" s="108"/>
      <c r="DG52" s="108"/>
      <c r="DH52" s="108"/>
      <c r="DI52" s="108"/>
      <c r="DJ52" s="108"/>
      <c r="DK52" s="108"/>
      <c r="DL52" s="108"/>
      <c r="DM52" s="108"/>
      <c r="DN52" s="108"/>
      <c r="DO52" s="108"/>
      <c r="DP52" s="108"/>
      <c r="DQ52" s="108"/>
      <c r="DR52" s="108"/>
      <c r="DS52" s="108"/>
      <c r="DT52" s="108"/>
      <c r="DU52" s="108"/>
      <c r="DV52" s="108"/>
      <c r="DW52" s="108"/>
      <c r="DX52" s="108"/>
      <c r="DY52" s="108"/>
      <c r="DZ52" s="108"/>
      <c r="EA52" s="108"/>
      <c r="EB52" s="108"/>
      <c r="EC52" s="108"/>
      <c r="ED52" s="108"/>
      <c r="EE52" s="108"/>
      <c r="EF52" s="108"/>
      <c r="EG52" s="108"/>
      <c r="EH52" s="108"/>
      <c r="EI52" s="108"/>
      <c r="EJ52" s="108"/>
      <c r="EK52" s="108"/>
      <c r="EL52" s="108"/>
      <c r="EM52" s="108"/>
      <c r="EN52" s="108"/>
      <c r="EO52" s="108"/>
      <c r="EP52" s="108"/>
      <c r="EQ52" s="108"/>
      <c r="ER52" s="108"/>
      <c r="ES52" s="108"/>
      <c r="ET52" s="108"/>
      <c r="EU52" s="108"/>
      <c r="EV52" s="108"/>
      <c r="EW52" s="108"/>
      <c r="EX52" s="108"/>
      <c r="EY52" s="108"/>
      <c r="EZ52" s="108"/>
      <c r="FA52" s="108"/>
      <c r="FB52" s="108"/>
      <c r="FC52" s="108"/>
      <c r="FD52" s="108"/>
      <c r="FE52" s="108"/>
      <c r="FF52" s="108"/>
      <c r="FG52" s="108"/>
      <c r="FH52" s="108"/>
      <c r="FI52" s="108"/>
      <c r="FJ52" s="108"/>
      <c r="FK52" s="108"/>
      <c r="FL52" s="108"/>
      <c r="FM52" s="108"/>
      <c r="FN52" s="108"/>
      <c r="FO52" s="108"/>
      <c r="FP52" s="108"/>
      <c r="FQ52" s="108"/>
      <c r="FR52" s="108"/>
      <c r="FS52" s="108"/>
      <c r="FT52" s="108"/>
      <c r="FU52" s="108"/>
      <c r="FV52" s="108"/>
      <c r="FW52" s="108"/>
      <c r="FX52" s="108"/>
      <c r="FY52" s="108"/>
      <c r="FZ52" s="108"/>
      <c r="GA52" s="108"/>
      <c r="GB52" s="108"/>
      <c r="GC52" s="108"/>
      <c r="GD52" s="108"/>
      <c r="GE52" s="108"/>
      <c r="GF52" s="108"/>
      <c r="GG52" s="108"/>
      <c r="GH52" s="108"/>
      <c r="GI52" s="108"/>
      <c r="GJ52" s="108"/>
      <c r="GK52" s="108"/>
      <c r="GL52" s="108"/>
      <c r="GM52" s="108"/>
      <c r="GN52" s="108"/>
      <c r="GO52" s="108"/>
      <c r="GP52" s="108"/>
      <c r="GQ52" s="108"/>
      <c r="GR52" s="108"/>
      <c r="GS52" s="108"/>
      <c r="GT52" s="108"/>
      <c r="GU52" s="108"/>
      <c r="GV52" s="108"/>
      <c r="GW52" s="108"/>
      <c r="GX52" s="108"/>
      <c r="GY52" s="108"/>
      <c r="GZ52" s="108"/>
      <c r="HA52" s="108"/>
      <c r="HB52" s="108"/>
      <c r="HC52" s="108"/>
      <c r="HD52" s="108"/>
      <c r="HE52" s="108"/>
      <c r="HF52" s="108"/>
      <c r="HG52" s="108"/>
      <c r="HH52" s="108"/>
      <c r="HI52" s="108"/>
      <c r="HJ52" s="108"/>
      <c r="HK52" s="108"/>
      <c r="HL52" s="108"/>
      <c r="HM52" s="108"/>
      <c r="HN52" s="108"/>
      <c r="HO52" s="108"/>
      <c r="HP52" s="108"/>
      <c r="HQ52" s="108"/>
      <c r="HR52" s="108"/>
      <c r="HS52" s="108"/>
      <c r="HT52" s="108"/>
      <c r="HU52" s="108"/>
      <c r="HV52" s="108"/>
      <c r="HW52" s="108"/>
      <c r="HX52" s="108"/>
      <c r="HY52" s="108"/>
      <c r="HZ52" s="108"/>
      <c r="IA52" s="108"/>
      <c r="IB52" s="108"/>
      <c r="IC52" s="108"/>
      <c r="ID52" s="108"/>
      <c r="IE52" s="108"/>
      <c r="IF52" s="108"/>
      <c r="IG52" s="108"/>
      <c r="IH52" s="108"/>
      <c r="II52" s="108"/>
      <c r="IJ52" s="108"/>
      <c r="IK52" s="108"/>
      <c r="IL52" s="108"/>
      <c r="IM52" s="108"/>
      <c r="IN52" s="108"/>
      <c r="IO52" s="108"/>
      <c r="IP52" s="108"/>
      <c r="IQ52" s="108"/>
      <c r="IR52" s="108"/>
      <c r="IS52" s="108"/>
      <c r="IT52" s="108"/>
      <c r="IU52" s="108"/>
      <c r="IV52" s="108"/>
      <c r="IW52" s="108"/>
    </row>
    <row r="53" spans="1:257" x14ac:dyDescent="0.3">
      <c r="A53" s="158"/>
      <c r="B53" s="158"/>
      <c r="C53" s="158"/>
      <c r="D53" s="158"/>
      <c r="E53" s="158"/>
      <c r="F53" s="158"/>
      <c r="G53" s="158"/>
      <c r="H53" s="158"/>
      <c r="I53" s="158"/>
      <c r="J53" s="158"/>
      <c r="K53" s="158"/>
      <c r="L53" s="158"/>
      <c r="M53" s="158"/>
      <c r="N53" s="158"/>
      <c r="O53" s="108"/>
      <c r="P53" s="108"/>
      <c r="Q53" s="108"/>
      <c r="R53" s="108"/>
      <c r="S53" s="108"/>
      <c r="T53" s="108"/>
      <c r="U53" s="108"/>
      <c r="V53" s="108"/>
      <c r="W53" s="108"/>
      <c r="X53" s="108"/>
      <c r="Y53" s="108"/>
      <c r="Z53" s="108"/>
      <c r="AA53" s="108"/>
      <c r="AB53" s="108"/>
      <c r="AC53" s="108"/>
      <c r="AD53" s="108"/>
      <c r="AE53" s="108"/>
      <c r="AF53" s="108"/>
      <c r="AG53" s="108"/>
      <c r="AH53" s="108"/>
      <c r="AI53" s="108"/>
      <c r="AJ53" s="108"/>
      <c r="AK53" s="108"/>
      <c r="AL53" s="108"/>
      <c r="AM53" s="108"/>
      <c r="AN53" s="108"/>
      <c r="AO53" s="108"/>
      <c r="AP53" s="108"/>
      <c r="AQ53" s="108"/>
      <c r="AR53" s="108"/>
      <c r="AS53" s="108"/>
      <c r="AT53" s="108"/>
      <c r="AU53" s="108"/>
      <c r="AV53" s="108"/>
      <c r="AW53" s="108"/>
      <c r="AX53" s="108"/>
      <c r="AY53" s="108"/>
      <c r="AZ53" s="108"/>
      <c r="BA53" s="108"/>
      <c r="BB53" s="108"/>
      <c r="BC53" s="108"/>
      <c r="BD53" s="108"/>
      <c r="BE53" s="108"/>
      <c r="BF53" s="108"/>
      <c r="BG53" s="108"/>
      <c r="BH53" s="108"/>
      <c r="BI53" s="108"/>
      <c r="BJ53" s="108"/>
      <c r="BK53" s="108"/>
      <c r="BL53" s="108"/>
      <c r="BM53" s="108"/>
      <c r="BN53" s="108"/>
      <c r="BO53" s="108"/>
      <c r="BP53" s="108"/>
      <c r="BQ53" s="108"/>
      <c r="BR53" s="108"/>
      <c r="BS53" s="108"/>
      <c r="BT53" s="108"/>
      <c r="BU53" s="108"/>
      <c r="BV53" s="108"/>
      <c r="BW53" s="108"/>
      <c r="BX53" s="108"/>
      <c r="BY53" s="108"/>
      <c r="BZ53" s="108"/>
      <c r="CA53" s="108"/>
      <c r="CB53" s="108"/>
      <c r="CC53" s="108"/>
      <c r="CD53" s="108"/>
      <c r="CE53" s="108"/>
      <c r="CF53" s="108"/>
      <c r="CG53" s="108"/>
      <c r="CH53" s="108"/>
      <c r="CI53" s="108"/>
      <c r="CJ53" s="108"/>
      <c r="CK53" s="108"/>
      <c r="CL53" s="108"/>
      <c r="CM53" s="108"/>
      <c r="CN53" s="108"/>
      <c r="CO53" s="108"/>
      <c r="CP53" s="108"/>
      <c r="CQ53" s="108"/>
      <c r="CR53" s="108"/>
      <c r="CS53" s="108"/>
      <c r="CT53" s="108"/>
      <c r="CU53" s="108"/>
      <c r="CV53" s="108"/>
      <c r="CW53" s="108"/>
      <c r="CX53" s="108"/>
      <c r="CY53" s="108"/>
      <c r="CZ53" s="108"/>
      <c r="DA53" s="108"/>
      <c r="DB53" s="108"/>
      <c r="DC53" s="108"/>
      <c r="DD53" s="108"/>
      <c r="DE53" s="108"/>
      <c r="DF53" s="108"/>
      <c r="DG53" s="108"/>
      <c r="DH53" s="108"/>
      <c r="DI53" s="108"/>
      <c r="DJ53" s="108"/>
      <c r="DK53" s="108"/>
      <c r="DL53" s="108"/>
      <c r="DM53" s="108"/>
      <c r="DN53" s="108"/>
      <c r="DO53" s="108"/>
      <c r="DP53" s="108"/>
      <c r="DQ53" s="108"/>
      <c r="DR53" s="108"/>
      <c r="DS53" s="108"/>
      <c r="DT53" s="108"/>
      <c r="DU53" s="108"/>
      <c r="DV53" s="108"/>
      <c r="DW53" s="108"/>
      <c r="DX53" s="108"/>
      <c r="DY53" s="108"/>
      <c r="DZ53" s="108"/>
      <c r="EA53" s="108"/>
      <c r="EB53" s="108"/>
      <c r="EC53" s="108"/>
      <c r="ED53" s="108"/>
      <c r="EE53" s="108"/>
      <c r="EF53" s="108"/>
      <c r="EG53" s="108"/>
      <c r="EH53" s="108"/>
      <c r="EI53" s="108"/>
      <c r="EJ53" s="108"/>
      <c r="EK53" s="108"/>
      <c r="EL53" s="108"/>
      <c r="EM53" s="108"/>
      <c r="EN53" s="108"/>
      <c r="EO53" s="108"/>
      <c r="EP53" s="108"/>
      <c r="EQ53" s="108"/>
      <c r="ER53" s="108"/>
      <c r="ES53" s="108"/>
      <c r="ET53" s="108"/>
      <c r="EU53" s="108"/>
      <c r="EV53" s="108"/>
      <c r="EW53" s="108"/>
      <c r="EX53" s="108"/>
      <c r="EY53" s="108"/>
      <c r="EZ53" s="108"/>
      <c r="FA53" s="108"/>
      <c r="FB53" s="108"/>
      <c r="FC53" s="108"/>
      <c r="FD53" s="108"/>
      <c r="FE53" s="108"/>
      <c r="FF53" s="108"/>
      <c r="FG53" s="108"/>
      <c r="FH53" s="108"/>
      <c r="FI53" s="108"/>
      <c r="FJ53" s="108"/>
      <c r="FK53" s="108"/>
      <c r="FL53" s="108"/>
      <c r="FM53" s="108"/>
      <c r="FN53" s="108"/>
      <c r="FO53" s="108"/>
      <c r="FP53" s="108"/>
      <c r="FQ53" s="108"/>
      <c r="FR53" s="108"/>
      <c r="FS53" s="108"/>
      <c r="FT53" s="108"/>
      <c r="FU53" s="108"/>
      <c r="FV53" s="108"/>
      <c r="FW53" s="108"/>
      <c r="FX53" s="108"/>
      <c r="FY53" s="108"/>
      <c r="FZ53" s="108"/>
      <c r="GA53" s="108"/>
      <c r="GB53" s="108"/>
      <c r="GC53" s="108"/>
      <c r="GD53" s="108"/>
      <c r="GE53" s="108"/>
      <c r="GF53" s="108"/>
      <c r="GG53" s="108"/>
      <c r="GH53" s="108"/>
      <c r="GI53" s="108"/>
      <c r="GJ53" s="108"/>
      <c r="GK53" s="108"/>
      <c r="GL53" s="108"/>
      <c r="GM53" s="108"/>
      <c r="GN53" s="108"/>
      <c r="GO53" s="108"/>
      <c r="GP53" s="108"/>
      <c r="GQ53" s="108"/>
      <c r="GR53" s="108"/>
      <c r="GS53" s="108"/>
      <c r="GT53" s="108"/>
      <c r="GU53" s="108"/>
      <c r="GV53" s="108"/>
      <c r="GW53" s="108"/>
      <c r="GX53" s="108"/>
      <c r="GY53" s="108"/>
      <c r="GZ53" s="108"/>
      <c r="HA53" s="108"/>
      <c r="HB53" s="108"/>
      <c r="HC53" s="108"/>
      <c r="HD53" s="108"/>
      <c r="HE53" s="108"/>
      <c r="HF53" s="108"/>
      <c r="HG53" s="108"/>
      <c r="HH53" s="108"/>
      <c r="HI53" s="108"/>
      <c r="HJ53" s="108"/>
      <c r="HK53" s="108"/>
      <c r="HL53" s="108"/>
      <c r="HM53" s="108"/>
      <c r="HN53" s="108"/>
      <c r="HO53" s="108"/>
      <c r="HP53" s="108"/>
      <c r="HQ53" s="108"/>
      <c r="HR53" s="108"/>
      <c r="HS53" s="108"/>
      <c r="HT53" s="108"/>
      <c r="HU53" s="108"/>
      <c r="HV53" s="108"/>
      <c r="HW53" s="108"/>
      <c r="HX53" s="108"/>
      <c r="HY53" s="108"/>
      <c r="HZ53" s="108"/>
      <c r="IA53" s="108"/>
      <c r="IB53" s="108"/>
      <c r="IC53" s="108"/>
      <c r="ID53" s="108"/>
      <c r="IE53" s="108"/>
      <c r="IF53" s="108"/>
      <c r="IG53" s="108"/>
      <c r="IH53" s="108"/>
      <c r="II53" s="108"/>
      <c r="IJ53" s="108"/>
      <c r="IK53" s="108"/>
      <c r="IL53" s="108"/>
      <c r="IM53" s="108"/>
      <c r="IN53" s="108"/>
      <c r="IO53" s="108"/>
      <c r="IP53" s="108"/>
      <c r="IQ53" s="108"/>
      <c r="IR53" s="108"/>
      <c r="IS53" s="108"/>
      <c r="IT53" s="108"/>
      <c r="IU53" s="108"/>
      <c r="IV53" s="108"/>
      <c r="IW53" s="108"/>
    </row>
    <row r="54" spans="1:257" x14ac:dyDescent="0.3">
      <c r="A54" s="158"/>
      <c r="B54" s="158"/>
      <c r="C54" s="158"/>
      <c r="D54" s="158"/>
      <c r="E54" s="158"/>
      <c r="F54" s="158"/>
      <c r="G54" s="158"/>
      <c r="H54" s="158"/>
      <c r="I54" s="158"/>
      <c r="J54" s="158"/>
      <c r="K54" s="158"/>
      <c r="L54" s="158"/>
      <c r="M54" s="158"/>
      <c r="N54" s="158"/>
      <c r="O54" s="108"/>
      <c r="P54" s="108"/>
      <c r="Q54" s="108"/>
      <c r="R54" s="108"/>
      <c r="S54" s="108"/>
      <c r="T54" s="108"/>
      <c r="U54" s="108"/>
      <c r="V54" s="108"/>
      <c r="W54" s="108"/>
      <c r="X54" s="108"/>
      <c r="Y54" s="108"/>
      <c r="Z54" s="108"/>
      <c r="AA54" s="108"/>
      <c r="AB54" s="108"/>
      <c r="AC54" s="108"/>
      <c r="AD54" s="108"/>
      <c r="AE54" s="108"/>
      <c r="AF54" s="108"/>
      <c r="AG54" s="108"/>
      <c r="AH54" s="108"/>
      <c r="AI54" s="108"/>
      <c r="AJ54" s="108"/>
      <c r="AK54" s="108"/>
      <c r="AL54" s="108"/>
      <c r="AM54" s="108"/>
      <c r="AN54" s="108"/>
      <c r="AO54" s="108"/>
      <c r="AP54" s="108"/>
      <c r="AQ54" s="108"/>
      <c r="AR54" s="108"/>
      <c r="AS54" s="108"/>
      <c r="AT54" s="108"/>
      <c r="AU54" s="108"/>
      <c r="AV54" s="108"/>
      <c r="AW54" s="108"/>
      <c r="AX54" s="108"/>
      <c r="AY54" s="108"/>
      <c r="AZ54" s="108"/>
      <c r="BA54" s="108"/>
      <c r="BB54" s="108"/>
      <c r="BC54" s="108"/>
      <c r="BD54" s="108"/>
      <c r="BE54" s="108"/>
      <c r="BF54" s="108"/>
      <c r="BG54" s="108"/>
      <c r="BH54" s="108"/>
      <c r="BI54" s="108"/>
      <c r="BJ54" s="108"/>
      <c r="BK54" s="108"/>
      <c r="BL54" s="108"/>
      <c r="BM54" s="108"/>
      <c r="BN54" s="108"/>
      <c r="BO54" s="108"/>
      <c r="BP54" s="108"/>
      <c r="BQ54" s="108"/>
      <c r="BR54" s="108"/>
      <c r="BS54" s="108"/>
      <c r="BT54" s="108"/>
      <c r="BU54" s="108"/>
      <c r="BV54" s="108"/>
      <c r="BW54" s="108"/>
      <c r="BX54" s="108"/>
      <c r="BY54" s="108"/>
      <c r="BZ54" s="108"/>
      <c r="CA54" s="108"/>
      <c r="CB54" s="108"/>
      <c r="CC54" s="108"/>
      <c r="CD54" s="108"/>
      <c r="CE54" s="108"/>
      <c r="CF54" s="108"/>
      <c r="CG54" s="108"/>
      <c r="CH54" s="108"/>
      <c r="CI54" s="108"/>
      <c r="CJ54" s="108"/>
      <c r="CK54" s="108"/>
      <c r="CL54" s="108"/>
      <c r="CM54" s="108"/>
      <c r="CN54" s="108"/>
      <c r="CO54" s="108"/>
      <c r="CP54" s="108"/>
      <c r="CQ54" s="108"/>
      <c r="CR54" s="108"/>
      <c r="CS54" s="108"/>
      <c r="CT54" s="108"/>
      <c r="CU54" s="108"/>
      <c r="CV54" s="108"/>
      <c r="CW54" s="108"/>
      <c r="CX54" s="108"/>
      <c r="CY54" s="108"/>
      <c r="CZ54" s="108"/>
      <c r="DA54" s="108"/>
      <c r="DB54" s="108"/>
      <c r="DC54" s="108"/>
      <c r="DD54" s="108"/>
      <c r="DE54" s="108"/>
      <c r="DF54" s="108"/>
      <c r="DG54" s="108"/>
      <c r="DH54" s="108"/>
      <c r="DI54" s="108"/>
      <c r="DJ54" s="108"/>
      <c r="DK54" s="108"/>
      <c r="DL54" s="108"/>
      <c r="DM54" s="108"/>
      <c r="DN54" s="108"/>
      <c r="DO54" s="108"/>
      <c r="DP54" s="108"/>
      <c r="DQ54" s="108"/>
      <c r="DR54" s="108"/>
      <c r="DS54" s="108"/>
      <c r="DT54" s="108"/>
      <c r="DU54" s="108"/>
      <c r="DV54" s="108"/>
      <c r="DW54" s="108"/>
      <c r="DX54" s="108"/>
      <c r="DY54" s="108"/>
      <c r="DZ54" s="108"/>
      <c r="EA54" s="108"/>
      <c r="EB54" s="108"/>
      <c r="EC54" s="108"/>
      <c r="ED54" s="108"/>
      <c r="EE54" s="108"/>
      <c r="EF54" s="108"/>
      <c r="EG54" s="108"/>
      <c r="EH54" s="108"/>
      <c r="EI54" s="108"/>
      <c r="EJ54" s="108"/>
      <c r="EK54" s="108"/>
      <c r="EL54" s="108"/>
      <c r="EM54" s="108"/>
      <c r="EN54" s="108"/>
      <c r="EO54" s="108"/>
      <c r="EP54" s="108"/>
      <c r="EQ54" s="108"/>
      <c r="ER54" s="108"/>
      <c r="ES54" s="108"/>
      <c r="ET54" s="108"/>
      <c r="EU54" s="108"/>
      <c r="EV54" s="108"/>
      <c r="EW54" s="108"/>
      <c r="EX54" s="108"/>
      <c r="EY54" s="108"/>
      <c r="EZ54" s="108"/>
      <c r="FA54" s="108"/>
      <c r="FB54" s="108"/>
      <c r="FC54" s="108"/>
      <c r="FD54" s="108"/>
      <c r="FE54" s="108"/>
      <c r="FF54" s="108"/>
      <c r="FG54" s="108"/>
      <c r="FH54" s="108"/>
      <c r="FI54" s="108"/>
      <c r="FJ54" s="108"/>
      <c r="FK54" s="108"/>
      <c r="FL54" s="108"/>
      <c r="FM54" s="108"/>
      <c r="FN54" s="108"/>
      <c r="FO54" s="108"/>
      <c r="FP54" s="108"/>
      <c r="FQ54" s="108"/>
      <c r="FR54" s="108"/>
      <c r="FS54" s="108"/>
      <c r="FT54" s="108"/>
      <c r="FU54" s="108"/>
      <c r="FV54" s="108"/>
      <c r="FW54" s="108"/>
      <c r="FX54" s="108"/>
      <c r="FY54" s="108"/>
      <c r="FZ54" s="108"/>
      <c r="GA54" s="108"/>
      <c r="GB54" s="108"/>
      <c r="GC54" s="108"/>
      <c r="GD54" s="108"/>
      <c r="GE54" s="108"/>
      <c r="GF54" s="108"/>
      <c r="GG54" s="108"/>
      <c r="GH54" s="108"/>
      <c r="GI54" s="108"/>
      <c r="GJ54" s="108"/>
      <c r="GK54" s="108"/>
      <c r="GL54" s="108"/>
      <c r="GM54" s="108"/>
      <c r="GN54" s="108"/>
      <c r="GO54" s="108"/>
      <c r="GP54" s="108"/>
      <c r="GQ54" s="108"/>
      <c r="GR54" s="108"/>
      <c r="GS54" s="108"/>
      <c r="GT54" s="108"/>
      <c r="GU54" s="108"/>
      <c r="GV54" s="108"/>
      <c r="GW54" s="108"/>
      <c r="GX54" s="108"/>
      <c r="GY54" s="108"/>
      <c r="GZ54" s="108"/>
      <c r="HA54" s="108"/>
      <c r="HB54" s="108"/>
      <c r="HC54" s="108"/>
      <c r="HD54" s="108"/>
      <c r="HE54" s="108"/>
      <c r="HF54" s="108"/>
      <c r="HG54" s="108"/>
      <c r="HH54" s="108"/>
      <c r="HI54" s="108"/>
      <c r="HJ54" s="108"/>
      <c r="HK54" s="108"/>
      <c r="HL54" s="108"/>
      <c r="HM54" s="108"/>
      <c r="HN54" s="108"/>
      <c r="HO54" s="108"/>
      <c r="HP54" s="108"/>
      <c r="HQ54" s="108"/>
      <c r="HR54" s="108"/>
      <c r="HS54" s="108"/>
      <c r="HT54" s="108"/>
      <c r="HU54" s="108"/>
      <c r="HV54" s="108"/>
      <c r="HW54" s="108"/>
      <c r="HX54" s="108"/>
      <c r="HY54" s="108"/>
      <c r="HZ54" s="108"/>
      <c r="IA54" s="108"/>
      <c r="IB54" s="108"/>
      <c r="IC54" s="108"/>
      <c r="ID54" s="108"/>
      <c r="IE54" s="108"/>
      <c r="IF54" s="108"/>
      <c r="IG54" s="108"/>
      <c r="IH54" s="108"/>
      <c r="II54" s="108"/>
      <c r="IJ54" s="108"/>
      <c r="IK54" s="108"/>
      <c r="IL54" s="108"/>
      <c r="IM54" s="108"/>
      <c r="IN54" s="108"/>
      <c r="IO54" s="108"/>
      <c r="IP54" s="108"/>
      <c r="IQ54" s="108"/>
      <c r="IR54" s="108"/>
      <c r="IS54" s="108"/>
      <c r="IT54" s="108"/>
      <c r="IU54" s="108"/>
      <c r="IV54" s="108"/>
      <c r="IW54" s="108"/>
    </row>
    <row r="55" spans="1:257" x14ac:dyDescent="0.3">
      <c r="A55" s="158"/>
      <c r="B55" s="158"/>
      <c r="C55" s="158"/>
      <c r="D55" s="158"/>
      <c r="E55" s="158"/>
      <c r="F55" s="158"/>
      <c r="G55" s="158"/>
      <c r="H55" s="158"/>
      <c r="I55" s="158"/>
      <c r="J55" s="158"/>
      <c r="K55" s="158"/>
      <c r="L55" s="158"/>
      <c r="M55" s="158"/>
      <c r="N55" s="158"/>
      <c r="O55" s="108"/>
      <c r="P55" s="108"/>
      <c r="Q55" s="108"/>
      <c r="R55" s="108"/>
      <c r="S55" s="108"/>
      <c r="T55" s="108"/>
      <c r="U55" s="108"/>
      <c r="V55" s="108"/>
      <c r="W55" s="108"/>
      <c r="X55" s="108"/>
      <c r="Y55" s="108"/>
      <c r="Z55" s="108"/>
      <c r="AA55" s="108"/>
      <c r="AB55" s="108"/>
      <c r="AC55" s="108"/>
      <c r="AD55" s="108"/>
      <c r="AE55" s="108"/>
      <c r="AF55" s="108"/>
      <c r="AG55" s="108"/>
      <c r="AH55" s="108"/>
      <c r="AI55" s="108"/>
      <c r="AJ55" s="108"/>
      <c r="AK55" s="108"/>
      <c r="AL55" s="108"/>
      <c r="AM55" s="108"/>
      <c r="AN55" s="108"/>
      <c r="AO55" s="108"/>
      <c r="AP55" s="108"/>
      <c r="AQ55" s="108"/>
      <c r="AR55" s="108"/>
      <c r="AS55" s="108"/>
      <c r="AT55" s="108"/>
      <c r="AU55" s="108"/>
      <c r="AV55" s="108"/>
      <c r="AW55" s="108"/>
      <c r="AX55" s="108"/>
      <c r="AY55" s="108"/>
      <c r="AZ55" s="108"/>
      <c r="BA55" s="108"/>
      <c r="BB55" s="108"/>
      <c r="BC55" s="108"/>
      <c r="BD55" s="108"/>
      <c r="BE55" s="108"/>
      <c r="BF55" s="108"/>
      <c r="BG55" s="108"/>
      <c r="BH55" s="108"/>
      <c r="BI55" s="108"/>
      <c r="BJ55" s="108"/>
      <c r="BK55" s="108"/>
      <c r="BL55" s="108"/>
      <c r="BM55" s="108"/>
      <c r="BN55" s="108"/>
      <c r="BO55" s="108"/>
      <c r="BP55" s="108"/>
      <c r="BQ55" s="108"/>
      <c r="BR55" s="108"/>
      <c r="BS55" s="108"/>
      <c r="BT55" s="108"/>
      <c r="BU55" s="108"/>
      <c r="BV55" s="108"/>
      <c r="BW55" s="108"/>
      <c r="BX55" s="108"/>
      <c r="BY55" s="108"/>
      <c r="BZ55" s="108"/>
      <c r="CA55" s="108"/>
      <c r="CB55" s="108"/>
      <c r="CC55" s="108"/>
      <c r="CD55" s="108"/>
      <c r="CE55" s="108"/>
      <c r="CF55" s="108"/>
      <c r="CG55" s="108"/>
      <c r="CH55" s="108"/>
      <c r="CI55" s="108"/>
      <c r="CJ55" s="108"/>
      <c r="CK55" s="108"/>
      <c r="CL55" s="108"/>
      <c r="CM55" s="108"/>
      <c r="CN55" s="108"/>
      <c r="CO55" s="108"/>
      <c r="CP55" s="108"/>
      <c r="CQ55" s="108"/>
      <c r="CR55" s="108"/>
      <c r="CS55" s="108"/>
      <c r="CT55" s="108"/>
      <c r="CU55" s="108"/>
      <c r="CV55" s="108"/>
      <c r="CW55" s="108"/>
      <c r="CX55" s="108"/>
      <c r="CY55" s="108"/>
      <c r="CZ55" s="108"/>
      <c r="DA55" s="108"/>
      <c r="DB55" s="108"/>
      <c r="DC55" s="108"/>
      <c r="DD55" s="108"/>
      <c r="DE55" s="108"/>
      <c r="DF55" s="108"/>
      <c r="DG55" s="108"/>
      <c r="DH55" s="108"/>
      <c r="DI55" s="108"/>
      <c r="DJ55" s="108"/>
      <c r="DK55" s="108"/>
      <c r="DL55" s="108"/>
      <c r="DM55" s="108"/>
      <c r="DN55" s="108"/>
      <c r="DO55" s="108"/>
      <c r="DP55" s="108"/>
      <c r="DQ55" s="108"/>
      <c r="DR55" s="108"/>
      <c r="DS55" s="108"/>
      <c r="DT55" s="108"/>
      <c r="DU55" s="108"/>
      <c r="DV55" s="108"/>
      <c r="DW55" s="108"/>
      <c r="DX55" s="108"/>
      <c r="DY55" s="108"/>
      <c r="DZ55" s="108"/>
      <c r="EA55" s="108"/>
      <c r="EB55" s="108"/>
      <c r="EC55" s="108"/>
      <c r="ED55" s="108"/>
      <c r="EE55" s="108"/>
      <c r="EF55" s="108"/>
      <c r="EG55" s="108"/>
      <c r="EH55" s="108"/>
      <c r="EI55" s="108"/>
      <c r="EJ55" s="108"/>
      <c r="EK55" s="108"/>
      <c r="EL55" s="108"/>
      <c r="EM55" s="108"/>
      <c r="EN55" s="108"/>
      <c r="EO55" s="108"/>
      <c r="EP55" s="108"/>
      <c r="EQ55" s="108"/>
      <c r="ER55" s="108"/>
      <c r="ES55" s="108"/>
      <c r="ET55" s="108"/>
      <c r="EU55" s="108"/>
      <c r="EV55" s="108"/>
      <c r="EW55" s="108"/>
      <c r="EX55" s="108"/>
      <c r="EY55" s="108"/>
      <c r="EZ55" s="108"/>
      <c r="FA55" s="108"/>
      <c r="FB55" s="108"/>
      <c r="FC55" s="108"/>
      <c r="FD55" s="108"/>
      <c r="FE55" s="108"/>
      <c r="FF55" s="108"/>
      <c r="FG55" s="108"/>
      <c r="FH55" s="108"/>
      <c r="FI55" s="108"/>
      <c r="FJ55" s="108"/>
      <c r="FK55" s="108"/>
      <c r="FL55" s="108"/>
      <c r="FM55" s="108"/>
      <c r="FN55" s="108"/>
      <c r="FO55" s="108"/>
      <c r="FP55" s="108"/>
      <c r="FQ55" s="108"/>
      <c r="FR55" s="108"/>
      <c r="FS55" s="108"/>
      <c r="FT55" s="108"/>
      <c r="FU55" s="108"/>
      <c r="FV55" s="108"/>
      <c r="FW55" s="108"/>
      <c r="FX55" s="108"/>
      <c r="FY55" s="108"/>
      <c r="FZ55" s="108"/>
      <c r="GA55" s="108"/>
      <c r="GB55" s="108"/>
      <c r="GC55" s="108"/>
      <c r="GD55" s="108"/>
      <c r="GE55" s="108"/>
      <c r="GF55" s="108"/>
      <c r="GG55" s="108"/>
      <c r="GH55" s="108"/>
      <c r="GI55" s="108"/>
      <c r="GJ55" s="108"/>
      <c r="GK55" s="108"/>
      <c r="GL55" s="108"/>
      <c r="GM55" s="108"/>
      <c r="GN55" s="108"/>
      <c r="GO55" s="108"/>
      <c r="GP55" s="108"/>
      <c r="GQ55" s="108"/>
      <c r="GR55" s="108"/>
      <c r="GS55" s="108"/>
      <c r="GT55" s="108"/>
      <c r="GU55" s="108"/>
      <c r="GV55" s="108"/>
      <c r="GW55" s="108"/>
      <c r="GX55" s="108"/>
      <c r="GY55" s="108"/>
      <c r="GZ55" s="108"/>
      <c r="HA55" s="108"/>
      <c r="HB55" s="108"/>
      <c r="HC55" s="108"/>
      <c r="HD55" s="108"/>
      <c r="HE55" s="108"/>
      <c r="HF55" s="108"/>
      <c r="HG55" s="108"/>
      <c r="HH55" s="108"/>
      <c r="HI55" s="108"/>
      <c r="HJ55" s="108"/>
      <c r="HK55" s="108"/>
      <c r="HL55" s="108"/>
      <c r="HM55" s="108"/>
      <c r="HN55" s="108"/>
      <c r="HO55" s="108"/>
      <c r="HP55" s="108"/>
      <c r="HQ55" s="108"/>
      <c r="HR55" s="108"/>
      <c r="HS55" s="108"/>
      <c r="HT55" s="108"/>
      <c r="HU55" s="108"/>
      <c r="HV55" s="108"/>
      <c r="HW55" s="108"/>
      <c r="HX55" s="108"/>
      <c r="HY55" s="108"/>
      <c r="HZ55" s="108"/>
      <c r="IA55" s="108"/>
      <c r="IB55" s="108"/>
      <c r="IC55" s="108"/>
      <c r="ID55" s="108"/>
      <c r="IE55" s="108"/>
      <c r="IF55" s="108"/>
      <c r="IG55" s="108"/>
      <c r="IH55" s="108"/>
      <c r="II55" s="108"/>
      <c r="IJ55" s="108"/>
      <c r="IK55" s="108"/>
      <c r="IL55" s="108"/>
      <c r="IM55" s="108"/>
      <c r="IN55" s="108"/>
      <c r="IO55" s="108"/>
      <c r="IP55" s="108"/>
      <c r="IQ55" s="108"/>
      <c r="IR55" s="108"/>
      <c r="IS55" s="108"/>
      <c r="IT55" s="108"/>
      <c r="IU55" s="108"/>
      <c r="IV55" s="108"/>
      <c r="IW55" s="108"/>
    </row>
    <row r="56" spans="1:257" x14ac:dyDescent="0.3">
      <c r="A56" s="158"/>
      <c r="B56" s="158"/>
      <c r="C56" s="158"/>
      <c r="D56" s="158"/>
      <c r="E56" s="158"/>
      <c r="F56" s="158"/>
      <c r="G56" s="158"/>
      <c r="H56" s="158"/>
      <c r="I56" s="158"/>
      <c r="J56" s="158"/>
      <c r="K56" s="158"/>
      <c r="L56" s="158"/>
      <c r="M56" s="158"/>
      <c r="N56" s="158"/>
      <c r="O56" s="108"/>
      <c r="P56" s="108"/>
      <c r="Q56" s="108"/>
      <c r="R56" s="108"/>
      <c r="S56" s="108"/>
      <c r="T56" s="108"/>
      <c r="U56" s="108"/>
      <c r="V56" s="108"/>
      <c r="W56" s="108"/>
      <c r="X56" s="108"/>
      <c r="Y56" s="108"/>
      <c r="Z56" s="108"/>
      <c r="AA56" s="108"/>
      <c r="AB56" s="108"/>
      <c r="AC56" s="108"/>
      <c r="AD56" s="108"/>
      <c r="AE56" s="108"/>
      <c r="AF56" s="108"/>
      <c r="AG56" s="108"/>
      <c r="AH56" s="108"/>
      <c r="AI56" s="108"/>
      <c r="AJ56" s="108"/>
      <c r="AK56" s="108"/>
      <c r="AL56" s="108"/>
      <c r="AM56" s="108"/>
      <c r="AN56" s="108"/>
      <c r="AO56" s="108"/>
      <c r="AP56" s="108"/>
      <c r="AQ56" s="108"/>
      <c r="AR56" s="108"/>
      <c r="AS56" s="108"/>
      <c r="AT56" s="108"/>
      <c r="AU56" s="108"/>
      <c r="AV56" s="108"/>
      <c r="AW56" s="108"/>
      <c r="AX56" s="108"/>
      <c r="AY56" s="108"/>
      <c r="AZ56" s="108"/>
      <c r="BA56" s="108"/>
      <c r="BB56" s="108"/>
      <c r="BC56" s="108"/>
      <c r="BD56" s="108"/>
      <c r="BE56" s="108"/>
      <c r="BF56" s="108"/>
      <c r="BG56" s="108"/>
      <c r="BH56" s="108"/>
      <c r="BI56" s="108"/>
      <c r="BJ56" s="108"/>
      <c r="BK56" s="108"/>
      <c r="BL56" s="108"/>
      <c r="BM56" s="108"/>
      <c r="BN56" s="108"/>
      <c r="BO56" s="108"/>
      <c r="BP56" s="108"/>
      <c r="BQ56" s="108"/>
      <c r="BR56" s="108"/>
      <c r="BS56" s="108"/>
      <c r="BT56" s="108"/>
      <c r="BU56" s="108"/>
      <c r="BV56" s="108"/>
      <c r="BW56" s="108"/>
      <c r="BX56" s="108"/>
      <c r="BY56" s="108"/>
      <c r="BZ56" s="108"/>
      <c r="CA56" s="108"/>
      <c r="CB56" s="108"/>
      <c r="CC56" s="108"/>
      <c r="CD56" s="108"/>
      <c r="CE56" s="108"/>
      <c r="CF56" s="108"/>
      <c r="CG56" s="108"/>
      <c r="CH56" s="108"/>
      <c r="CI56" s="108"/>
      <c r="CJ56" s="108"/>
      <c r="CK56" s="108"/>
      <c r="CL56" s="108"/>
      <c r="CM56" s="108"/>
      <c r="CN56" s="108"/>
      <c r="CO56" s="108"/>
      <c r="CP56" s="108"/>
      <c r="CQ56" s="108"/>
      <c r="CR56" s="108"/>
      <c r="CS56" s="108"/>
      <c r="CT56" s="108"/>
      <c r="CU56" s="108"/>
      <c r="CV56" s="108"/>
      <c r="CW56" s="108"/>
      <c r="CX56" s="108"/>
      <c r="CY56" s="108"/>
      <c r="CZ56" s="108"/>
      <c r="DA56" s="108"/>
      <c r="DB56" s="108"/>
      <c r="DC56" s="108"/>
      <c r="DD56" s="108"/>
      <c r="DE56" s="108"/>
      <c r="DF56" s="108"/>
      <c r="DG56" s="108"/>
      <c r="DH56" s="108"/>
      <c r="DI56" s="108"/>
      <c r="DJ56" s="108"/>
      <c r="DK56" s="108"/>
      <c r="DL56" s="108"/>
      <c r="DM56" s="108"/>
      <c r="DN56" s="108"/>
      <c r="DO56" s="108"/>
      <c r="DP56" s="108"/>
      <c r="DQ56" s="108"/>
      <c r="DR56" s="108"/>
      <c r="DS56" s="108"/>
      <c r="DT56" s="108"/>
      <c r="DU56" s="108"/>
      <c r="DV56" s="108"/>
      <c r="DW56" s="108"/>
      <c r="DX56" s="108"/>
      <c r="DY56" s="108"/>
      <c r="DZ56" s="108"/>
      <c r="EA56" s="108"/>
      <c r="EB56" s="108"/>
      <c r="EC56" s="108"/>
      <c r="ED56" s="108"/>
      <c r="EE56" s="108"/>
      <c r="EF56" s="108"/>
      <c r="EG56" s="108"/>
      <c r="EH56" s="108"/>
      <c r="EI56" s="108"/>
      <c r="EJ56" s="108"/>
      <c r="EK56" s="108"/>
      <c r="EL56" s="108"/>
      <c r="EM56" s="108"/>
      <c r="EN56" s="108"/>
      <c r="EO56" s="108"/>
      <c r="EP56" s="108"/>
      <c r="EQ56" s="108"/>
      <c r="ER56" s="108"/>
      <c r="ES56" s="108"/>
      <c r="ET56" s="108"/>
      <c r="EU56" s="108"/>
      <c r="EV56" s="108"/>
      <c r="EW56" s="108"/>
      <c r="EX56" s="108"/>
      <c r="EY56" s="108"/>
      <c r="EZ56" s="108"/>
      <c r="FA56" s="108"/>
      <c r="FB56" s="108"/>
      <c r="FC56" s="108"/>
      <c r="FD56" s="108"/>
      <c r="FE56" s="108"/>
      <c r="FF56" s="108"/>
      <c r="FG56" s="108"/>
      <c r="FH56" s="108"/>
      <c r="FI56" s="108"/>
      <c r="FJ56" s="108"/>
      <c r="FK56" s="108"/>
      <c r="FL56" s="108"/>
      <c r="FM56" s="108"/>
      <c r="FN56" s="108"/>
      <c r="FO56" s="108"/>
      <c r="FP56" s="108"/>
      <c r="FQ56" s="108"/>
      <c r="FR56" s="108"/>
      <c r="FS56" s="108"/>
      <c r="FT56" s="108"/>
      <c r="FU56" s="108"/>
      <c r="FV56" s="108"/>
      <c r="FW56" s="108"/>
      <c r="FX56" s="108"/>
      <c r="FY56" s="108"/>
      <c r="FZ56" s="108"/>
      <c r="GA56" s="108"/>
      <c r="GB56" s="108"/>
      <c r="GC56" s="108"/>
      <c r="GD56" s="108"/>
      <c r="GE56" s="108"/>
      <c r="GF56" s="108"/>
      <c r="GG56" s="108"/>
      <c r="GH56" s="108"/>
      <c r="GI56" s="108"/>
      <c r="GJ56" s="108"/>
      <c r="GK56" s="108"/>
      <c r="GL56" s="108"/>
      <c r="GM56" s="108"/>
      <c r="GN56" s="108"/>
      <c r="GO56" s="108"/>
      <c r="GP56" s="108"/>
      <c r="GQ56" s="108"/>
      <c r="GR56" s="108"/>
      <c r="GS56" s="108"/>
      <c r="GT56" s="108"/>
      <c r="GU56" s="108"/>
      <c r="GV56" s="108"/>
      <c r="GW56" s="108"/>
      <c r="GX56" s="108"/>
      <c r="GY56" s="108"/>
      <c r="GZ56" s="108"/>
      <c r="HA56" s="108"/>
      <c r="HB56" s="108"/>
      <c r="HC56" s="108"/>
      <c r="HD56" s="108"/>
      <c r="HE56" s="108"/>
      <c r="HF56" s="108"/>
      <c r="HG56" s="108"/>
      <c r="HH56" s="108"/>
      <c r="HI56" s="108"/>
      <c r="HJ56" s="108"/>
      <c r="HK56" s="108"/>
      <c r="HL56" s="108"/>
      <c r="HM56" s="108"/>
      <c r="HN56" s="108"/>
      <c r="HO56" s="108"/>
      <c r="HP56" s="108"/>
      <c r="HQ56" s="108"/>
      <c r="HR56" s="108"/>
      <c r="HS56" s="108"/>
      <c r="HT56" s="108"/>
      <c r="HU56" s="108"/>
      <c r="HV56" s="108"/>
      <c r="HW56" s="108"/>
      <c r="HX56" s="108"/>
      <c r="HY56" s="108"/>
      <c r="HZ56" s="108"/>
      <c r="IA56" s="108"/>
      <c r="IB56" s="108"/>
      <c r="IC56" s="108"/>
      <c r="ID56" s="108"/>
      <c r="IE56" s="108"/>
      <c r="IF56" s="108"/>
      <c r="IG56" s="108"/>
      <c r="IH56" s="108"/>
      <c r="II56" s="108"/>
      <c r="IJ56" s="108"/>
      <c r="IK56" s="108"/>
      <c r="IL56" s="108"/>
      <c r="IM56" s="108"/>
      <c r="IN56" s="108"/>
      <c r="IO56" s="108"/>
      <c r="IP56" s="108"/>
      <c r="IQ56" s="108"/>
      <c r="IR56" s="108"/>
      <c r="IS56" s="108"/>
      <c r="IT56" s="108"/>
      <c r="IU56" s="108"/>
      <c r="IV56" s="108"/>
      <c r="IW56" s="108"/>
    </row>
    <row r="57" spans="1:257" x14ac:dyDescent="0.3">
      <c r="A57" s="158"/>
      <c r="B57" s="158"/>
      <c r="C57" s="158"/>
      <c r="D57" s="158"/>
      <c r="E57" s="158"/>
      <c r="F57" s="158"/>
      <c r="G57" s="158"/>
      <c r="H57" s="158"/>
      <c r="I57" s="158"/>
      <c r="J57" s="158"/>
      <c r="K57" s="158"/>
      <c r="L57" s="158"/>
      <c r="M57" s="158"/>
      <c r="N57" s="158"/>
      <c r="O57" s="108"/>
      <c r="P57" s="108"/>
      <c r="Q57" s="108"/>
      <c r="R57" s="108"/>
      <c r="S57" s="108"/>
      <c r="T57" s="108"/>
      <c r="U57" s="108"/>
      <c r="V57" s="108"/>
      <c r="W57" s="108"/>
      <c r="X57" s="108"/>
      <c r="Y57" s="108"/>
      <c r="Z57" s="108"/>
      <c r="AA57" s="108"/>
      <c r="AB57" s="108"/>
      <c r="AC57" s="108"/>
      <c r="AD57" s="108"/>
      <c r="AE57" s="108"/>
      <c r="AF57" s="108"/>
      <c r="AG57" s="108"/>
      <c r="AH57" s="108"/>
      <c r="AI57" s="108"/>
      <c r="AJ57" s="108"/>
      <c r="AK57" s="108"/>
      <c r="AL57" s="108"/>
      <c r="AM57" s="108"/>
      <c r="AN57" s="108"/>
      <c r="AO57" s="108"/>
      <c r="AP57" s="108"/>
      <c r="AQ57" s="108"/>
      <c r="AR57" s="108"/>
      <c r="AS57" s="108"/>
      <c r="AT57" s="108"/>
      <c r="AU57" s="108"/>
      <c r="AV57" s="108"/>
      <c r="AW57" s="108"/>
      <c r="AX57" s="108"/>
      <c r="AY57" s="108"/>
      <c r="AZ57" s="108"/>
      <c r="BA57" s="108"/>
      <c r="BB57" s="108"/>
      <c r="BC57" s="108"/>
      <c r="BD57" s="108"/>
      <c r="BE57" s="108"/>
      <c r="BF57" s="108"/>
      <c r="BG57" s="108"/>
      <c r="BH57" s="108"/>
      <c r="BI57" s="108"/>
      <c r="BJ57" s="108"/>
      <c r="BK57" s="108"/>
      <c r="BL57" s="108"/>
      <c r="BM57" s="108"/>
      <c r="BN57" s="108"/>
      <c r="BO57" s="108"/>
      <c r="BP57" s="108"/>
      <c r="BQ57" s="108"/>
      <c r="BR57" s="108"/>
      <c r="BS57" s="108"/>
      <c r="BT57" s="108"/>
      <c r="BU57" s="108"/>
      <c r="BV57" s="108"/>
      <c r="BW57" s="108"/>
      <c r="BX57" s="108"/>
      <c r="BY57" s="108"/>
      <c r="BZ57" s="108"/>
      <c r="CA57" s="108"/>
      <c r="CB57" s="108"/>
      <c r="CC57" s="108"/>
      <c r="CD57" s="108"/>
      <c r="CE57" s="108"/>
      <c r="CF57" s="108"/>
      <c r="CG57" s="108"/>
      <c r="CH57" s="108"/>
      <c r="CI57" s="108"/>
      <c r="CJ57" s="108"/>
      <c r="CK57" s="108"/>
      <c r="CL57" s="108"/>
      <c r="CM57" s="108"/>
      <c r="CN57" s="108"/>
      <c r="CO57" s="108"/>
      <c r="CP57" s="108"/>
      <c r="CQ57" s="108"/>
      <c r="CR57" s="108"/>
      <c r="CS57" s="108"/>
      <c r="CT57" s="108"/>
      <c r="CU57" s="108"/>
      <c r="CV57" s="108"/>
      <c r="CW57" s="108"/>
      <c r="CX57" s="108"/>
      <c r="CY57" s="108"/>
      <c r="CZ57" s="108"/>
      <c r="DA57" s="108"/>
      <c r="DB57" s="108"/>
      <c r="DC57" s="108"/>
      <c r="DD57" s="108"/>
      <c r="DE57" s="108"/>
      <c r="DF57" s="108"/>
      <c r="DG57" s="108"/>
      <c r="DH57" s="108"/>
      <c r="DI57" s="108"/>
      <c r="DJ57" s="108"/>
      <c r="DK57" s="108"/>
      <c r="DL57" s="108"/>
      <c r="DM57" s="108"/>
      <c r="DN57" s="108"/>
      <c r="DO57" s="108"/>
      <c r="DP57" s="108"/>
      <c r="DQ57" s="108"/>
      <c r="DR57" s="108"/>
      <c r="DS57" s="108"/>
      <c r="DT57" s="108"/>
      <c r="DU57" s="108"/>
      <c r="DV57" s="108"/>
      <c r="DW57" s="108"/>
      <c r="DX57" s="108"/>
      <c r="DY57" s="108"/>
      <c r="DZ57" s="108"/>
      <c r="EA57" s="108"/>
      <c r="EB57" s="108"/>
      <c r="EC57" s="108"/>
      <c r="ED57" s="108"/>
      <c r="EE57" s="108"/>
      <c r="EF57" s="108"/>
      <c r="EG57" s="108"/>
      <c r="EH57" s="108"/>
      <c r="EI57" s="108"/>
      <c r="EJ57" s="108"/>
      <c r="EK57" s="108"/>
      <c r="EL57" s="108"/>
      <c r="EM57" s="108"/>
      <c r="EN57" s="108"/>
      <c r="EO57" s="108"/>
      <c r="EP57" s="108"/>
      <c r="EQ57" s="108"/>
      <c r="ER57" s="108"/>
      <c r="ES57" s="108"/>
      <c r="ET57" s="108"/>
      <c r="EU57" s="108"/>
      <c r="EV57" s="108"/>
      <c r="EW57" s="108"/>
      <c r="EX57" s="108"/>
      <c r="EY57" s="108"/>
      <c r="EZ57" s="108"/>
      <c r="FA57" s="108"/>
      <c r="FB57" s="108"/>
      <c r="FC57" s="108"/>
      <c r="FD57" s="108"/>
      <c r="FE57" s="108"/>
      <c r="FF57" s="108"/>
      <c r="FG57" s="108"/>
      <c r="FH57" s="108"/>
      <c r="FI57" s="108"/>
      <c r="FJ57" s="108"/>
      <c r="FK57" s="108"/>
      <c r="FL57" s="108"/>
      <c r="FM57" s="108"/>
      <c r="FN57" s="108"/>
      <c r="FO57" s="108"/>
      <c r="FP57" s="108"/>
      <c r="FQ57" s="108"/>
      <c r="FR57" s="108"/>
      <c r="FS57" s="108"/>
      <c r="FT57" s="108"/>
      <c r="FU57" s="108"/>
      <c r="FV57" s="108"/>
      <c r="FW57" s="108"/>
      <c r="FX57" s="108"/>
      <c r="FY57" s="108"/>
      <c r="FZ57" s="108"/>
      <c r="GA57" s="108"/>
      <c r="GB57" s="108"/>
      <c r="GC57" s="108"/>
      <c r="GD57" s="108"/>
      <c r="GE57" s="108"/>
      <c r="GF57" s="108"/>
      <c r="GG57" s="108"/>
      <c r="GH57" s="108"/>
      <c r="GI57" s="108"/>
      <c r="GJ57" s="108"/>
      <c r="GK57" s="108"/>
      <c r="GL57" s="108"/>
      <c r="GM57" s="108"/>
      <c r="GN57" s="108"/>
      <c r="GO57" s="108"/>
      <c r="GP57" s="108"/>
      <c r="GQ57" s="108"/>
      <c r="GR57" s="108"/>
      <c r="GS57" s="108"/>
      <c r="GT57" s="108"/>
      <c r="GU57" s="108"/>
      <c r="GV57" s="108"/>
      <c r="GW57" s="108"/>
      <c r="GX57" s="108"/>
      <c r="GY57" s="108"/>
      <c r="GZ57" s="108"/>
      <c r="HA57" s="108"/>
      <c r="HB57" s="108"/>
      <c r="HC57" s="108"/>
      <c r="HD57" s="108"/>
      <c r="HE57" s="108"/>
      <c r="HF57" s="108"/>
      <c r="HG57" s="108"/>
      <c r="HH57" s="108"/>
      <c r="HI57" s="108"/>
      <c r="HJ57" s="108"/>
      <c r="HK57" s="108"/>
      <c r="HL57" s="108"/>
      <c r="HM57" s="108"/>
      <c r="HN57" s="108"/>
      <c r="HO57" s="108"/>
      <c r="HP57" s="108"/>
      <c r="HQ57" s="108"/>
      <c r="HR57" s="108"/>
      <c r="HS57" s="108"/>
      <c r="HT57" s="108"/>
      <c r="HU57" s="108"/>
      <c r="HV57" s="108"/>
      <c r="HW57" s="108"/>
      <c r="HX57" s="108"/>
      <c r="HY57" s="108"/>
      <c r="HZ57" s="108"/>
      <c r="IA57" s="108"/>
      <c r="IB57" s="108"/>
      <c r="IC57" s="108"/>
      <c r="ID57" s="108"/>
      <c r="IE57" s="108"/>
      <c r="IF57" s="108"/>
      <c r="IG57" s="108"/>
      <c r="IH57" s="108"/>
      <c r="II57" s="108"/>
      <c r="IJ57" s="108"/>
      <c r="IK57" s="108"/>
      <c r="IL57" s="108"/>
      <c r="IM57" s="108"/>
      <c r="IN57" s="108"/>
      <c r="IO57" s="108"/>
      <c r="IP57" s="108"/>
      <c r="IQ57" s="108"/>
      <c r="IR57" s="108"/>
      <c r="IS57" s="108"/>
      <c r="IT57" s="108"/>
      <c r="IU57" s="108"/>
      <c r="IV57" s="108"/>
      <c r="IW57" s="108"/>
    </row>
    <row r="58" spans="1:257" x14ac:dyDescent="0.3">
      <c r="A58" s="158"/>
      <c r="B58" s="158"/>
      <c r="C58" s="158"/>
      <c r="D58" s="158"/>
      <c r="E58" s="158"/>
      <c r="F58" s="158"/>
      <c r="G58" s="158"/>
      <c r="H58" s="158"/>
      <c r="I58" s="158"/>
      <c r="J58" s="158"/>
      <c r="K58" s="158"/>
      <c r="L58" s="158"/>
      <c r="M58" s="158"/>
      <c r="N58" s="158"/>
      <c r="O58" s="108"/>
      <c r="P58" s="108"/>
      <c r="Q58" s="108"/>
      <c r="R58" s="108"/>
      <c r="S58" s="108"/>
      <c r="T58" s="108"/>
      <c r="U58" s="108"/>
      <c r="V58" s="108"/>
      <c r="W58" s="108"/>
      <c r="X58" s="108"/>
      <c r="Y58" s="108"/>
      <c r="Z58" s="108"/>
      <c r="AA58" s="108"/>
      <c r="AB58" s="108"/>
      <c r="AC58" s="108"/>
      <c r="AD58" s="108"/>
      <c r="AE58" s="108"/>
      <c r="AF58" s="108"/>
      <c r="AG58" s="108"/>
      <c r="AH58" s="108"/>
      <c r="AI58" s="108"/>
      <c r="AJ58" s="108"/>
      <c r="AK58" s="108"/>
      <c r="AL58" s="108"/>
      <c r="AM58" s="108"/>
      <c r="AN58" s="108"/>
      <c r="AO58" s="108"/>
      <c r="AP58" s="108"/>
      <c r="AQ58" s="108"/>
      <c r="AR58" s="108"/>
      <c r="AS58" s="108"/>
      <c r="AT58" s="108"/>
      <c r="AU58" s="108"/>
      <c r="AV58" s="108"/>
      <c r="AW58" s="108"/>
      <c r="AX58" s="108"/>
      <c r="AY58" s="108"/>
      <c r="AZ58" s="108"/>
      <c r="BA58" s="108"/>
      <c r="BB58" s="108"/>
      <c r="BC58" s="108"/>
      <c r="BD58" s="108"/>
      <c r="BE58" s="108"/>
      <c r="BF58" s="108"/>
      <c r="BG58" s="108"/>
      <c r="BH58" s="108"/>
      <c r="BI58" s="108"/>
      <c r="BJ58" s="108"/>
      <c r="BK58" s="108"/>
      <c r="BL58" s="108"/>
      <c r="BM58" s="108"/>
      <c r="BN58" s="108"/>
      <c r="BO58" s="108"/>
      <c r="BP58" s="108"/>
      <c r="BQ58" s="108"/>
      <c r="BR58" s="108"/>
      <c r="BS58" s="108"/>
      <c r="BT58" s="108"/>
      <c r="BU58" s="108"/>
      <c r="BV58" s="108"/>
      <c r="BW58" s="108"/>
      <c r="BX58" s="108"/>
      <c r="BY58" s="108"/>
      <c r="BZ58" s="108"/>
      <c r="CA58" s="108"/>
      <c r="CB58" s="108"/>
      <c r="CC58" s="108"/>
      <c r="CD58" s="108"/>
      <c r="CE58" s="108"/>
      <c r="CF58" s="108"/>
      <c r="CG58" s="108"/>
      <c r="CH58" s="108"/>
      <c r="CI58" s="108"/>
      <c r="CJ58" s="108"/>
      <c r="CK58" s="108"/>
      <c r="CL58" s="108"/>
      <c r="CM58" s="108"/>
      <c r="CN58" s="108"/>
      <c r="CO58" s="108"/>
      <c r="CP58" s="108"/>
      <c r="CQ58" s="108"/>
      <c r="CR58" s="108"/>
      <c r="CS58" s="108"/>
      <c r="CT58" s="108"/>
      <c r="CU58" s="108"/>
      <c r="CV58" s="108"/>
      <c r="CW58" s="108"/>
      <c r="CX58" s="108"/>
      <c r="CY58" s="108"/>
      <c r="CZ58" s="108"/>
      <c r="DA58" s="108"/>
      <c r="DB58" s="108"/>
      <c r="DC58" s="108"/>
      <c r="DD58" s="108"/>
      <c r="DE58" s="108"/>
      <c r="DF58" s="108"/>
      <c r="DG58" s="108"/>
      <c r="DH58" s="108"/>
      <c r="DI58" s="108"/>
      <c r="DJ58" s="108"/>
      <c r="DK58" s="108"/>
      <c r="DL58" s="108"/>
      <c r="DM58" s="108"/>
      <c r="DN58" s="108"/>
      <c r="DO58" s="108"/>
      <c r="DP58" s="108"/>
      <c r="DQ58" s="108"/>
      <c r="DR58" s="108"/>
      <c r="DS58" s="108"/>
      <c r="DT58" s="108"/>
      <c r="DU58" s="108"/>
      <c r="DV58" s="108"/>
      <c r="DW58" s="108"/>
      <c r="DX58" s="108"/>
      <c r="DY58" s="108"/>
      <c r="DZ58" s="108"/>
      <c r="EA58" s="108"/>
      <c r="EB58" s="108"/>
      <c r="EC58" s="108"/>
      <c r="ED58" s="108"/>
      <c r="EE58" s="108"/>
      <c r="EF58" s="108"/>
      <c r="EG58" s="108"/>
      <c r="EH58" s="108"/>
      <c r="EI58" s="108"/>
      <c r="EJ58" s="108"/>
      <c r="EK58" s="108"/>
      <c r="EL58" s="108"/>
      <c r="EM58" s="108"/>
      <c r="EN58" s="108"/>
      <c r="EO58" s="108"/>
      <c r="EP58" s="108"/>
      <c r="EQ58" s="108"/>
      <c r="ER58" s="108"/>
      <c r="ES58" s="108"/>
      <c r="ET58" s="108"/>
      <c r="EU58" s="108"/>
      <c r="EV58" s="108"/>
      <c r="EW58" s="108"/>
      <c r="EX58" s="108"/>
      <c r="EY58" s="108"/>
      <c r="EZ58" s="108"/>
      <c r="FA58" s="108"/>
      <c r="FB58" s="108"/>
      <c r="FC58" s="108"/>
      <c r="FD58" s="108"/>
      <c r="FE58" s="108"/>
      <c r="FF58" s="108"/>
      <c r="FG58" s="108"/>
      <c r="FH58" s="108"/>
      <c r="FI58" s="108"/>
      <c r="FJ58" s="108"/>
      <c r="FK58" s="108"/>
      <c r="FL58" s="108"/>
      <c r="FM58" s="108"/>
      <c r="FN58" s="108"/>
      <c r="FO58" s="108"/>
      <c r="FP58" s="108"/>
      <c r="FQ58" s="108"/>
      <c r="FR58" s="108"/>
      <c r="FS58" s="108"/>
      <c r="FT58" s="108"/>
      <c r="FU58" s="108"/>
      <c r="FV58" s="108"/>
      <c r="FW58" s="108"/>
      <c r="FX58" s="108"/>
      <c r="FY58" s="108"/>
      <c r="FZ58" s="108"/>
      <c r="GA58" s="108"/>
      <c r="GB58" s="108"/>
      <c r="GC58" s="108"/>
      <c r="GD58" s="108"/>
      <c r="GE58" s="108"/>
      <c r="GF58" s="108"/>
      <c r="GG58" s="108"/>
      <c r="GH58" s="108"/>
      <c r="GI58" s="108"/>
      <c r="GJ58" s="108"/>
      <c r="GK58" s="108"/>
      <c r="GL58" s="108"/>
      <c r="GM58" s="108"/>
      <c r="GN58" s="108"/>
      <c r="GO58" s="108"/>
      <c r="GP58" s="108"/>
      <c r="GQ58" s="108"/>
      <c r="GR58" s="108"/>
      <c r="GS58" s="108"/>
      <c r="GT58" s="108"/>
      <c r="GU58" s="108"/>
      <c r="GV58" s="108"/>
      <c r="GW58" s="108"/>
      <c r="GX58" s="108"/>
      <c r="GY58" s="108"/>
      <c r="GZ58" s="108"/>
      <c r="HA58" s="108"/>
      <c r="HB58" s="108"/>
      <c r="HC58" s="108"/>
      <c r="HD58" s="108"/>
      <c r="HE58" s="108"/>
      <c r="HF58" s="108"/>
      <c r="HG58" s="108"/>
      <c r="HH58" s="108"/>
      <c r="HI58" s="108"/>
      <c r="HJ58" s="108"/>
      <c r="HK58" s="108"/>
      <c r="HL58" s="108"/>
      <c r="HM58" s="108"/>
      <c r="HN58" s="108"/>
      <c r="HO58" s="108"/>
      <c r="HP58" s="108"/>
      <c r="HQ58" s="108"/>
      <c r="HR58" s="108"/>
      <c r="HS58" s="108"/>
      <c r="HT58" s="108"/>
      <c r="HU58" s="108"/>
      <c r="HV58" s="108"/>
      <c r="HW58" s="108"/>
      <c r="HX58" s="108"/>
      <c r="HY58" s="108"/>
      <c r="HZ58" s="108"/>
      <c r="IA58" s="108"/>
      <c r="IB58" s="108"/>
      <c r="IC58" s="108"/>
      <c r="ID58" s="108"/>
      <c r="IE58" s="108"/>
      <c r="IF58" s="108"/>
      <c r="IG58" s="108"/>
      <c r="IH58" s="108"/>
      <c r="II58" s="108"/>
      <c r="IJ58" s="108"/>
      <c r="IK58" s="108"/>
      <c r="IL58" s="108"/>
      <c r="IM58" s="108"/>
      <c r="IN58" s="108"/>
      <c r="IO58" s="108"/>
      <c r="IP58" s="108"/>
      <c r="IQ58" s="108"/>
      <c r="IR58" s="108"/>
      <c r="IS58" s="108"/>
      <c r="IT58" s="108"/>
      <c r="IU58" s="108"/>
      <c r="IV58" s="108"/>
      <c r="IW58" s="108"/>
    </row>
    <row r="59" spans="1:257" x14ac:dyDescent="0.3">
      <c r="A59" s="158"/>
      <c r="B59" s="158"/>
      <c r="C59" s="158"/>
      <c r="D59" s="158"/>
      <c r="E59" s="158"/>
      <c r="F59" s="158"/>
      <c r="G59" s="158"/>
      <c r="H59" s="158"/>
      <c r="I59" s="158"/>
      <c r="J59" s="158"/>
      <c r="K59" s="158"/>
      <c r="L59" s="158"/>
      <c r="M59" s="158"/>
      <c r="N59" s="158"/>
      <c r="O59" s="108"/>
      <c r="P59" s="108"/>
      <c r="Q59" s="108"/>
      <c r="R59" s="108"/>
      <c r="S59" s="108"/>
      <c r="T59" s="108"/>
      <c r="U59" s="108"/>
      <c r="V59" s="108"/>
      <c r="W59" s="108"/>
      <c r="X59" s="108"/>
      <c r="Y59" s="108"/>
      <c r="Z59" s="108"/>
      <c r="AA59" s="108"/>
      <c r="AB59" s="108"/>
      <c r="AC59" s="108"/>
      <c r="AD59" s="108"/>
      <c r="AE59" s="108"/>
      <c r="AF59" s="108"/>
      <c r="AG59" s="108"/>
      <c r="AH59" s="108"/>
      <c r="AI59" s="108"/>
      <c r="AJ59" s="108"/>
      <c r="AK59" s="108"/>
      <c r="AL59" s="108"/>
      <c r="AM59" s="108"/>
      <c r="AN59" s="108"/>
      <c r="AO59" s="108"/>
      <c r="AP59" s="108"/>
      <c r="AQ59" s="108"/>
      <c r="AR59" s="108"/>
      <c r="AS59" s="108"/>
      <c r="AT59" s="108"/>
      <c r="AU59" s="108"/>
      <c r="AV59" s="108"/>
      <c r="AW59" s="108"/>
      <c r="AX59" s="108"/>
      <c r="AY59" s="108"/>
      <c r="AZ59" s="108"/>
      <c r="BA59" s="108"/>
      <c r="BB59" s="108"/>
      <c r="BC59" s="108"/>
      <c r="BD59" s="108"/>
      <c r="BE59" s="108"/>
      <c r="BF59" s="108"/>
      <c r="BG59" s="108"/>
      <c r="BH59" s="108"/>
      <c r="BI59" s="108"/>
      <c r="BJ59" s="108"/>
      <c r="BK59" s="108"/>
      <c r="BL59" s="108"/>
      <c r="BM59" s="108"/>
      <c r="BN59" s="108"/>
      <c r="BO59" s="108"/>
      <c r="BP59" s="108"/>
      <c r="BQ59" s="108"/>
      <c r="BR59" s="108"/>
      <c r="BS59" s="108"/>
      <c r="BT59" s="108"/>
      <c r="BU59" s="108"/>
      <c r="BV59" s="108"/>
      <c r="BW59" s="108"/>
      <c r="BX59" s="108"/>
      <c r="BY59" s="108"/>
      <c r="BZ59" s="108"/>
      <c r="CA59" s="108"/>
      <c r="CB59" s="108"/>
      <c r="CC59" s="108"/>
      <c r="CD59" s="108"/>
      <c r="CE59" s="108"/>
      <c r="CF59" s="108"/>
      <c r="CG59" s="108"/>
      <c r="CH59" s="108"/>
      <c r="CI59" s="108"/>
      <c r="CJ59" s="108"/>
      <c r="CK59" s="108"/>
      <c r="CL59" s="108"/>
      <c r="CM59" s="108"/>
      <c r="CN59" s="108"/>
      <c r="CO59" s="108"/>
      <c r="CP59" s="108"/>
      <c r="CQ59" s="108"/>
      <c r="CR59" s="108"/>
      <c r="CS59" s="108"/>
      <c r="CT59" s="108"/>
      <c r="CU59" s="108"/>
      <c r="CV59" s="108"/>
      <c r="CW59" s="108"/>
      <c r="CX59" s="108"/>
      <c r="CY59" s="108"/>
      <c r="CZ59" s="108"/>
      <c r="DA59" s="108"/>
      <c r="DB59" s="108"/>
      <c r="DC59" s="108"/>
      <c r="DD59" s="108"/>
      <c r="DE59" s="108"/>
      <c r="DF59" s="108"/>
      <c r="DG59" s="108"/>
      <c r="DH59" s="108"/>
      <c r="DI59" s="108"/>
      <c r="DJ59" s="108"/>
      <c r="DK59" s="108"/>
      <c r="DL59" s="108"/>
      <c r="DM59" s="108"/>
      <c r="DN59" s="108"/>
      <c r="DO59" s="108"/>
      <c r="DP59" s="108"/>
      <c r="DQ59" s="108"/>
      <c r="DR59" s="108"/>
      <c r="DS59" s="108"/>
      <c r="DT59" s="108"/>
      <c r="DU59" s="108"/>
      <c r="DV59" s="108"/>
      <c r="DW59" s="108"/>
      <c r="DX59" s="108"/>
      <c r="DY59" s="108"/>
      <c r="DZ59" s="108"/>
      <c r="EA59" s="108"/>
      <c r="EB59" s="108"/>
      <c r="EC59" s="108"/>
      <c r="ED59" s="108"/>
      <c r="EE59" s="108"/>
      <c r="EF59" s="108"/>
      <c r="EG59" s="108"/>
      <c r="EH59" s="108"/>
      <c r="EI59" s="108"/>
      <c r="EJ59" s="108"/>
      <c r="EK59" s="108"/>
      <c r="EL59" s="108"/>
      <c r="EM59" s="108"/>
      <c r="EN59" s="108"/>
      <c r="EO59" s="108"/>
      <c r="EP59" s="108"/>
      <c r="EQ59" s="108"/>
      <c r="ER59" s="108"/>
      <c r="ES59" s="108"/>
      <c r="ET59" s="108"/>
      <c r="EU59" s="108"/>
      <c r="EV59" s="108"/>
      <c r="EW59" s="108"/>
      <c r="EX59" s="108"/>
      <c r="EY59" s="108"/>
      <c r="EZ59" s="108"/>
      <c r="FA59" s="108"/>
      <c r="FB59" s="108"/>
      <c r="FC59" s="108"/>
      <c r="FD59" s="108"/>
      <c r="FE59" s="108"/>
      <c r="FF59" s="108"/>
      <c r="FG59" s="108"/>
      <c r="FH59" s="108"/>
      <c r="FI59" s="108"/>
      <c r="FJ59" s="108"/>
      <c r="FK59" s="108"/>
      <c r="FL59" s="108"/>
      <c r="FM59" s="108"/>
      <c r="FN59" s="108"/>
      <c r="FO59" s="108"/>
      <c r="FP59" s="108"/>
      <c r="FQ59" s="108"/>
      <c r="FR59" s="108"/>
      <c r="FS59" s="108"/>
      <c r="FT59" s="108"/>
      <c r="FU59" s="108"/>
      <c r="FV59" s="108"/>
      <c r="FW59" s="108"/>
      <c r="FX59" s="108"/>
      <c r="FY59" s="108"/>
      <c r="FZ59" s="108"/>
      <c r="GA59" s="108"/>
      <c r="GB59" s="108"/>
      <c r="GC59" s="108"/>
      <c r="GD59" s="108"/>
      <c r="GE59" s="108"/>
      <c r="GF59" s="108"/>
      <c r="GG59" s="108"/>
      <c r="GH59" s="108"/>
      <c r="GI59" s="108"/>
      <c r="GJ59" s="108"/>
      <c r="GK59" s="108"/>
      <c r="GL59" s="108"/>
      <c r="GM59" s="108"/>
      <c r="GN59" s="108"/>
      <c r="GO59" s="108"/>
      <c r="GP59" s="108"/>
      <c r="GQ59" s="108"/>
      <c r="GR59" s="108"/>
      <c r="GS59" s="108"/>
      <c r="GT59" s="108"/>
      <c r="GU59" s="108"/>
      <c r="GV59" s="108"/>
      <c r="GW59" s="108"/>
      <c r="GX59" s="108"/>
      <c r="GY59" s="108"/>
      <c r="GZ59" s="108"/>
      <c r="HA59" s="108"/>
      <c r="HB59" s="108"/>
      <c r="HC59" s="108"/>
      <c r="HD59" s="108"/>
      <c r="HE59" s="108"/>
      <c r="HF59" s="108"/>
      <c r="HG59" s="108"/>
      <c r="HH59" s="108"/>
      <c r="HI59" s="108"/>
      <c r="HJ59" s="108"/>
      <c r="HK59" s="108"/>
      <c r="HL59" s="108"/>
      <c r="HM59" s="108"/>
      <c r="HN59" s="108"/>
      <c r="HO59" s="108"/>
      <c r="HP59" s="108"/>
      <c r="HQ59" s="108"/>
      <c r="HR59" s="108"/>
      <c r="HS59" s="108"/>
      <c r="HT59" s="108"/>
      <c r="HU59" s="108"/>
      <c r="HV59" s="108"/>
      <c r="HW59" s="108"/>
      <c r="HX59" s="108"/>
      <c r="HY59" s="108"/>
      <c r="HZ59" s="108"/>
      <c r="IA59" s="108"/>
      <c r="IB59" s="108"/>
      <c r="IC59" s="108"/>
      <c r="ID59" s="108"/>
      <c r="IE59" s="108"/>
      <c r="IF59" s="108"/>
      <c r="IG59" s="108"/>
      <c r="IH59" s="108"/>
      <c r="II59" s="108"/>
      <c r="IJ59" s="108"/>
      <c r="IK59" s="108"/>
      <c r="IL59" s="108"/>
      <c r="IM59" s="108"/>
      <c r="IN59" s="108"/>
      <c r="IO59" s="108"/>
      <c r="IP59" s="108"/>
      <c r="IQ59" s="108"/>
      <c r="IR59" s="108"/>
      <c r="IS59" s="108"/>
      <c r="IT59" s="108"/>
      <c r="IU59" s="108"/>
      <c r="IV59" s="108"/>
      <c r="IW59" s="108"/>
    </row>
    <row r="60" spans="1:257" x14ac:dyDescent="0.3">
      <c r="A60" s="158"/>
      <c r="B60" s="158"/>
      <c r="C60" s="158"/>
      <c r="D60" s="158"/>
      <c r="E60" s="158"/>
      <c r="F60" s="158"/>
      <c r="G60" s="158"/>
      <c r="H60" s="158"/>
      <c r="I60" s="158"/>
      <c r="J60" s="158"/>
      <c r="K60" s="158"/>
      <c r="L60" s="158"/>
      <c r="M60" s="158"/>
      <c r="N60" s="158"/>
      <c r="O60" s="108"/>
      <c r="P60" s="108"/>
      <c r="Q60" s="108"/>
      <c r="R60" s="108"/>
      <c r="S60" s="108"/>
      <c r="T60" s="108"/>
      <c r="U60" s="108"/>
      <c r="V60" s="108"/>
      <c r="W60" s="108"/>
      <c r="X60" s="108"/>
      <c r="Y60" s="108"/>
      <c r="Z60" s="108"/>
      <c r="AA60" s="108"/>
      <c r="AB60" s="108"/>
      <c r="AC60" s="108"/>
      <c r="AD60" s="108"/>
      <c r="AE60" s="108"/>
      <c r="AF60" s="108"/>
      <c r="AG60" s="108"/>
      <c r="AH60" s="108"/>
      <c r="AI60" s="108"/>
      <c r="AJ60" s="108"/>
      <c r="AK60" s="108"/>
      <c r="AL60" s="108"/>
      <c r="AM60" s="108"/>
      <c r="AN60" s="108"/>
      <c r="AO60" s="108"/>
      <c r="AP60" s="108"/>
      <c r="AQ60" s="108"/>
      <c r="AR60" s="108"/>
      <c r="AS60" s="108"/>
      <c r="AT60" s="108"/>
      <c r="AU60" s="108"/>
      <c r="AV60" s="108"/>
      <c r="AW60" s="108"/>
      <c r="AX60" s="108"/>
      <c r="AY60" s="108"/>
      <c r="AZ60" s="108"/>
      <c r="BA60" s="108"/>
      <c r="BB60" s="108"/>
      <c r="BC60" s="108"/>
      <c r="BD60" s="108"/>
      <c r="BE60" s="108"/>
      <c r="BF60" s="108"/>
      <c r="BG60" s="108"/>
      <c r="BH60" s="108"/>
      <c r="BI60" s="108"/>
      <c r="BJ60" s="108"/>
      <c r="BK60" s="108"/>
      <c r="BL60" s="108"/>
      <c r="BM60" s="108"/>
      <c r="BN60" s="108"/>
      <c r="BO60" s="108"/>
      <c r="BP60" s="108"/>
      <c r="BQ60" s="108"/>
      <c r="BR60" s="108"/>
      <c r="BS60" s="108"/>
      <c r="BT60" s="108"/>
      <c r="BU60" s="108"/>
      <c r="BV60" s="108"/>
      <c r="BW60" s="108"/>
      <c r="BX60" s="108"/>
      <c r="BY60" s="108"/>
      <c r="BZ60" s="108"/>
      <c r="CA60" s="108"/>
      <c r="CB60" s="108"/>
      <c r="CC60" s="108"/>
      <c r="CD60" s="108"/>
      <c r="CE60" s="108"/>
      <c r="CF60" s="108"/>
      <c r="CG60" s="108"/>
      <c r="CH60" s="108"/>
      <c r="CI60" s="108"/>
      <c r="CJ60" s="108"/>
      <c r="CK60" s="108"/>
      <c r="CL60" s="108"/>
      <c r="CM60" s="108"/>
      <c r="CN60" s="108"/>
      <c r="CO60" s="108"/>
      <c r="CP60" s="108"/>
      <c r="CQ60" s="108"/>
      <c r="CR60" s="108"/>
      <c r="CS60" s="108"/>
      <c r="CT60" s="108"/>
      <c r="CU60" s="108"/>
      <c r="CV60" s="108"/>
      <c r="CW60" s="108"/>
      <c r="CX60" s="108"/>
      <c r="CY60" s="108"/>
      <c r="CZ60" s="108"/>
      <c r="DA60" s="108"/>
      <c r="DB60" s="108"/>
      <c r="DC60" s="108"/>
      <c r="DD60" s="108"/>
      <c r="DE60" s="108"/>
      <c r="DF60" s="108"/>
      <c r="DG60" s="108"/>
      <c r="DH60" s="108"/>
      <c r="DI60" s="108"/>
      <c r="DJ60" s="108"/>
      <c r="DK60" s="108"/>
      <c r="DL60" s="108"/>
      <c r="DM60" s="108"/>
      <c r="DN60" s="108"/>
      <c r="DO60" s="108"/>
      <c r="DP60" s="108"/>
      <c r="DQ60" s="108"/>
      <c r="DR60" s="108"/>
      <c r="DS60" s="108"/>
      <c r="DT60" s="108"/>
      <c r="DU60" s="108"/>
      <c r="DV60" s="108"/>
      <c r="DW60" s="108"/>
      <c r="DX60" s="108"/>
      <c r="DY60" s="108"/>
      <c r="DZ60" s="108"/>
      <c r="EA60" s="108"/>
      <c r="EB60" s="108"/>
      <c r="EC60" s="108"/>
      <c r="ED60" s="108"/>
      <c r="EE60" s="108"/>
      <c r="EF60" s="108"/>
      <c r="EG60" s="108"/>
      <c r="EH60" s="108"/>
      <c r="EI60" s="108"/>
      <c r="EJ60" s="108"/>
      <c r="EK60" s="108"/>
      <c r="EL60" s="108"/>
      <c r="EM60" s="108"/>
      <c r="EN60" s="108"/>
      <c r="EO60" s="108"/>
      <c r="EP60" s="108"/>
      <c r="EQ60" s="108"/>
      <c r="ER60" s="108"/>
      <c r="ES60" s="108"/>
      <c r="ET60" s="108"/>
      <c r="EU60" s="108"/>
      <c r="EV60" s="108"/>
      <c r="EW60" s="108"/>
      <c r="EX60" s="108"/>
      <c r="EY60" s="108"/>
      <c r="EZ60" s="108"/>
      <c r="FA60" s="108"/>
      <c r="FB60" s="108"/>
      <c r="FC60" s="108"/>
      <c r="FD60" s="108"/>
      <c r="FE60" s="108"/>
      <c r="FF60" s="108"/>
      <c r="FG60" s="108"/>
      <c r="FH60" s="108"/>
      <c r="FI60" s="108"/>
      <c r="FJ60" s="108"/>
      <c r="FK60" s="108"/>
      <c r="FL60" s="108"/>
      <c r="FM60" s="108"/>
      <c r="FN60" s="108"/>
      <c r="FO60" s="108"/>
      <c r="FP60" s="108"/>
      <c r="FQ60" s="108"/>
      <c r="FR60" s="108"/>
      <c r="FS60" s="108"/>
      <c r="FT60" s="108"/>
      <c r="FU60" s="108"/>
      <c r="FV60" s="108"/>
      <c r="FW60" s="108"/>
      <c r="FX60" s="108"/>
      <c r="FY60" s="108"/>
      <c r="FZ60" s="108"/>
      <c r="GA60" s="108"/>
      <c r="GB60" s="108"/>
      <c r="GC60" s="108"/>
      <c r="GD60" s="108"/>
      <c r="GE60" s="108"/>
      <c r="GF60" s="108"/>
      <c r="GG60" s="108"/>
      <c r="GH60" s="108"/>
      <c r="GI60" s="108"/>
      <c r="GJ60" s="108"/>
      <c r="GK60" s="108"/>
      <c r="GL60" s="108"/>
      <c r="GM60" s="108"/>
      <c r="GN60" s="108"/>
      <c r="GO60" s="108"/>
      <c r="GP60" s="108"/>
      <c r="GQ60" s="108"/>
      <c r="GR60" s="108"/>
      <c r="GS60" s="108"/>
      <c r="GT60" s="108"/>
      <c r="GU60" s="108"/>
      <c r="GV60" s="108"/>
      <c r="GW60" s="108"/>
      <c r="GX60" s="108"/>
      <c r="GY60" s="108"/>
      <c r="GZ60" s="108"/>
      <c r="HA60" s="108"/>
      <c r="HB60" s="108"/>
      <c r="HC60" s="108"/>
      <c r="HD60" s="108"/>
      <c r="HE60" s="108"/>
      <c r="HF60" s="108"/>
      <c r="HG60" s="108"/>
      <c r="HH60" s="108"/>
      <c r="HI60" s="108"/>
      <c r="HJ60" s="108"/>
      <c r="HK60" s="108"/>
      <c r="HL60" s="108"/>
      <c r="HM60" s="108"/>
      <c r="HN60" s="108"/>
      <c r="HO60" s="108"/>
      <c r="HP60" s="108"/>
      <c r="HQ60" s="108"/>
      <c r="HR60" s="108"/>
      <c r="HS60" s="108"/>
      <c r="HT60" s="108"/>
      <c r="HU60" s="108"/>
      <c r="HV60" s="108"/>
      <c r="HW60" s="108"/>
      <c r="HX60" s="108"/>
      <c r="HY60" s="108"/>
      <c r="HZ60" s="108"/>
      <c r="IA60" s="108"/>
      <c r="IB60" s="108"/>
      <c r="IC60" s="108"/>
      <c r="ID60" s="108"/>
      <c r="IE60" s="108"/>
      <c r="IF60" s="108"/>
      <c r="IG60" s="108"/>
      <c r="IH60" s="108"/>
      <c r="II60" s="108"/>
      <c r="IJ60" s="108"/>
      <c r="IK60" s="108"/>
      <c r="IL60" s="108"/>
      <c r="IM60" s="108"/>
      <c r="IN60" s="108"/>
      <c r="IO60" s="108"/>
      <c r="IP60" s="108"/>
      <c r="IQ60" s="108"/>
      <c r="IR60" s="108"/>
      <c r="IS60" s="108"/>
      <c r="IT60" s="108"/>
      <c r="IU60" s="108"/>
      <c r="IV60" s="108"/>
      <c r="IW60" s="108"/>
    </row>
    <row r="61" spans="1:257" x14ac:dyDescent="0.3">
      <c r="A61" s="158"/>
      <c r="B61" s="158"/>
      <c r="C61" s="158"/>
      <c r="D61" s="158"/>
      <c r="E61" s="158"/>
      <c r="F61" s="158"/>
      <c r="G61" s="158"/>
      <c r="H61" s="158"/>
      <c r="I61" s="158"/>
      <c r="J61" s="158"/>
      <c r="K61" s="158"/>
      <c r="L61" s="158"/>
      <c r="M61" s="158"/>
      <c r="N61" s="158"/>
      <c r="O61" s="108"/>
      <c r="P61" s="108"/>
      <c r="Q61" s="108"/>
      <c r="R61" s="108"/>
      <c r="S61" s="108"/>
      <c r="T61" s="108"/>
      <c r="U61" s="108"/>
      <c r="V61" s="108"/>
      <c r="W61" s="108"/>
      <c r="X61" s="108"/>
      <c r="Y61" s="108"/>
      <c r="Z61" s="108"/>
      <c r="AA61" s="108"/>
      <c r="AB61" s="108"/>
      <c r="AC61" s="108"/>
      <c r="AD61" s="108"/>
      <c r="AE61" s="108"/>
      <c r="AF61" s="108"/>
      <c r="AG61" s="108"/>
      <c r="AH61" s="108"/>
      <c r="AI61" s="108"/>
      <c r="AJ61" s="108"/>
      <c r="AK61" s="108"/>
      <c r="AL61" s="108"/>
      <c r="AM61" s="108"/>
      <c r="AN61" s="108"/>
      <c r="AO61" s="108"/>
      <c r="AP61" s="108"/>
      <c r="AQ61" s="108"/>
      <c r="AR61" s="108"/>
      <c r="AS61" s="108"/>
      <c r="AT61" s="108"/>
      <c r="AU61" s="108"/>
      <c r="AV61" s="108"/>
      <c r="AW61" s="108"/>
      <c r="AX61" s="108"/>
      <c r="AY61" s="108"/>
      <c r="AZ61" s="108"/>
      <c r="BA61" s="108"/>
      <c r="BB61" s="108"/>
      <c r="BC61" s="108"/>
      <c r="BD61" s="108"/>
      <c r="BE61" s="108"/>
      <c r="BF61" s="108"/>
      <c r="BG61" s="108"/>
      <c r="BH61" s="108"/>
      <c r="BI61" s="108"/>
      <c r="BJ61" s="108"/>
      <c r="BK61" s="108"/>
      <c r="BL61" s="108"/>
      <c r="BM61" s="108"/>
      <c r="BN61" s="108"/>
      <c r="BO61" s="108"/>
      <c r="BP61" s="108"/>
      <c r="BQ61" s="108"/>
      <c r="BR61" s="108"/>
      <c r="BS61" s="108"/>
      <c r="BT61" s="108"/>
      <c r="BU61" s="108"/>
      <c r="BV61" s="108"/>
      <c r="BW61" s="108"/>
      <c r="BX61" s="108"/>
      <c r="BY61" s="108"/>
      <c r="BZ61" s="108"/>
      <c r="CA61" s="108"/>
      <c r="CB61" s="108"/>
      <c r="CC61" s="108"/>
      <c r="CD61" s="108"/>
      <c r="CE61" s="108"/>
      <c r="CF61" s="108"/>
      <c r="CG61" s="108"/>
      <c r="CH61" s="108"/>
      <c r="CI61" s="108"/>
      <c r="CJ61" s="108"/>
      <c r="CK61" s="108"/>
      <c r="CL61" s="108"/>
      <c r="CM61" s="108"/>
      <c r="CN61" s="108"/>
      <c r="CO61" s="108"/>
      <c r="CP61" s="108"/>
      <c r="CQ61" s="108"/>
      <c r="CR61" s="108"/>
      <c r="CS61" s="108"/>
      <c r="CT61" s="108"/>
      <c r="CU61" s="108"/>
      <c r="CV61" s="108"/>
      <c r="CW61" s="108"/>
      <c r="CX61" s="108"/>
      <c r="CY61" s="108"/>
      <c r="CZ61" s="108"/>
      <c r="DA61" s="108"/>
      <c r="DB61" s="108"/>
      <c r="DC61" s="108"/>
      <c r="DD61" s="108"/>
      <c r="DE61" s="108"/>
      <c r="DF61" s="108"/>
      <c r="DG61" s="108"/>
      <c r="DH61" s="108"/>
      <c r="DI61" s="108"/>
      <c r="DJ61" s="108"/>
      <c r="DK61" s="108"/>
      <c r="DL61" s="108"/>
      <c r="DM61" s="108"/>
      <c r="DN61" s="108"/>
      <c r="DO61" s="108"/>
      <c r="DP61" s="108"/>
      <c r="DQ61" s="108"/>
      <c r="DR61" s="108"/>
      <c r="DS61" s="108"/>
      <c r="DT61" s="108"/>
      <c r="DU61" s="108"/>
      <c r="DV61" s="108"/>
      <c r="DW61" s="108"/>
      <c r="DX61" s="108"/>
      <c r="DY61" s="108"/>
      <c r="DZ61" s="108"/>
      <c r="EA61" s="108"/>
      <c r="EB61" s="108"/>
      <c r="EC61" s="108"/>
      <c r="ED61" s="108"/>
      <c r="EE61" s="108"/>
      <c r="EF61" s="108"/>
      <c r="EG61" s="108"/>
      <c r="EH61" s="108"/>
      <c r="EI61" s="108"/>
      <c r="EJ61" s="108"/>
      <c r="EK61" s="108"/>
      <c r="EL61" s="108"/>
      <c r="EM61" s="108"/>
      <c r="EN61" s="108"/>
      <c r="EO61" s="108"/>
      <c r="EP61" s="108"/>
      <c r="EQ61" s="108"/>
      <c r="ER61" s="108"/>
      <c r="ES61" s="108"/>
      <c r="ET61" s="108"/>
      <c r="EU61" s="108"/>
      <c r="EV61" s="108"/>
      <c r="EW61" s="108"/>
      <c r="EX61" s="108"/>
      <c r="EY61" s="108"/>
      <c r="EZ61" s="108"/>
      <c r="FA61" s="108"/>
      <c r="FB61" s="108"/>
      <c r="FC61" s="108"/>
      <c r="FD61" s="108"/>
      <c r="FE61" s="108"/>
      <c r="FF61" s="108"/>
      <c r="FG61" s="108"/>
      <c r="FH61" s="108"/>
      <c r="FI61" s="108"/>
      <c r="FJ61" s="108"/>
      <c r="FK61" s="108"/>
      <c r="FL61" s="108"/>
      <c r="FM61" s="108"/>
      <c r="FN61" s="108"/>
      <c r="FO61" s="108"/>
      <c r="FP61" s="108"/>
      <c r="FQ61" s="108"/>
      <c r="FR61" s="108"/>
      <c r="FS61" s="108"/>
      <c r="FT61" s="108"/>
      <c r="FU61" s="108"/>
      <c r="FV61" s="108"/>
      <c r="FW61" s="108"/>
      <c r="FX61" s="108"/>
      <c r="FY61" s="108"/>
      <c r="FZ61" s="108"/>
      <c r="GA61" s="108"/>
      <c r="GB61" s="108"/>
      <c r="GC61" s="108"/>
      <c r="GD61" s="108"/>
      <c r="GE61" s="108"/>
      <c r="GF61" s="108"/>
      <c r="GG61" s="108"/>
      <c r="GH61" s="108"/>
      <c r="GI61" s="108"/>
      <c r="GJ61" s="108"/>
      <c r="GK61" s="108"/>
      <c r="GL61" s="108"/>
      <c r="GM61" s="108"/>
      <c r="GN61" s="108"/>
      <c r="GO61" s="108"/>
      <c r="GP61" s="108"/>
      <c r="GQ61" s="108"/>
      <c r="GR61" s="108"/>
      <c r="GS61" s="108"/>
      <c r="GT61" s="108"/>
      <c r="GU61" s="108"/>
      <c r="GV61" s="108"/>
      <c r="GW61" s="108"/>
      <c r="GX61" s="108"/>
      <c r="GY61" s="108"/>
      <c r="GZ61" s="108"/>
      <c r="HA61" s="108"/>
      <c r="HB61" s="108"/>
      <c r="HC61" s="108"/>
      <c r="HD61" s="108"/>
      <c r="HE61" s="108"/>
      <c r="HF61" s="108"/>
      <c r="HG61" s="108"/>
      <c r="HH61" s="108"/>
      <c r="HI61" s="108"/>
      <c r="HJ61" s="108"/>
      <c r="HK61" s="108"/>
      <c r="HL61" s="108"/>
      <c r="HM61" s="108"/>
      <c r="HN61" s="108"/>
      <c r="HO61" s="108"/>
      <c r="HP61" s="108"/>
      <c r="HQ61" s="108"/>
      <c r="HR61" s="108"/>
      <c r="HS61" s="108"/>
      <c r="HT61" s="108"/>
      <c r="HU61" s="108"/>
      <c r="HV61" s="108"/>
      <c r="HW61" s="108"/>
      <c r="HX61" s="108"/>
      <c r="HY61" s="108"/>
      <c r="HZ61" s="108"/>
      <c r="IA61" s="108"/>
      <c r="IB61" s="108"/>
      <c r="IC61" s="108"/>
      <c r="ID61" s="108"/>
      <c r="IE61" s="108"/>
      <c r="IF61" s="108"/>
      <c r="IG61" s="108"/>
      <c r="IH61" s="108"/>
      <c r="II61" s="108"/>
      <c r="IJ61" s="108"/>
      <c r="IK61" s="108"/>
      <c r="IL61" s="108"/>
      <c r="IM61" s="108"/>
      <c r="IN61" s="108"/>
      <c r="IO61" s="108"/>
      <c r="IP61" s="108"/>
      <c r="IQ61" s="108"/>
      <c r="IR61" s="108"/>
      <c r="IS61" s="108"/>
      <c r="IT61" s="108"/>
      <c r="IU61" s="108"/>
      <c r="IV61" s="108"/>
      <c r="IW61" s="108"/>
    </row>
    <row r="62" spans="1:257" x14ac:dyDescent="0.3">
      <c r="A62" s="158"/>
      <c r="B62" s="158"/>
      <c r="C62" s="158"/>
      <c r="D62" s="158"/>
      <c r="E62" s="158"/>
      <c r="F62" s="158"/>
      <c r="G62" s="158"/>
      <c r="H62" s="158"/>
      <c r="I62" s="158"/>
      <c r="J62" s="158"/>
      <c r="K62" s="158"/>
      <c r="L62" s="158"/>
      <c r="M62" s="158"/>
      <c r="N62" s="158"/>
      <c r="O62" s="108"/>
      <c r="P62" s="108"/>
      <c r="Q62" s="108"/>
      <c r="R62" s="108"/>
      <c r="S62" s="108"/>
      <c r="T62" s="108"/>
      <c r="U62" s="108"/>
      <c r="V62" s="108"/>
      <c r="W62" s="108"/>
      <c r="X62" s="108"/>
      <c r="Y62" s="108"/>
      <c r="Z62" s="108"/>
      <c r="AA62" s="108"/>
      <c r="AB62" s="108"/>
      <c r="AC62" s="108"/>
      <c r="AD62" s="108"/>
      <c r="AE62" s="108"/>
      <c r="AF62" s="108"/>
      <c r="AG62" s="108"/>
      <c r="AH62" s="108"/>
      <c r="AI62" s="108"/>
      <c r="AJ62" s="108"/>
      <c r="AK62" s="108"/>
      <c r="AL62" s="108"/>
      <c r="AM62" s="108"/>
      <c r="AN62" s="108"/>
      <c r="AO62" s="108"/>
      <c r="AP62" s="108"/>
      <c r="AQ62" s="108"/>
      <c r="AR62" s="108"/>
      <c r="AS62" s="108"/>
      <c r="AT62" s="108"/>
      <c r="AU62" s="108"/>
      <c r="AV62" s="108"/>
      <c r="AW62" s="108"/>
      <c r="AX62" s="108"/>
      <c r="AY62" s="108"/>
      <c r="AZ62" s="108"/>
      <c r="BA62" s="108"/>
      <c r="BB62" s="108"/>
      <c r="BC62" s="108"/>
      <c r="BD62" s="108"/>
      <c r="BE62" s="108"/>
      <c r="BF62" s="108"/>
      <c r="BG62" s="108"/>
      <c r="BH62" s="108"/>
      <c r="BI62" s="108"/>
      <c r="BJ62" s="108"/>
      <c r="BK62" s="108"/>
      <c r="BL62" s="108"/>
      <c r="BM62" s="108"/>
      <c r="BN62" s="108"/>
      <c r="BO62" s="108"/>
      <c r="BP62" s="108"/>
      <c r="BQ62" s="108"/>
      <c r="BR62" s="108"/>
      <c r="BS62" s="108"/>
      <c r="BT62" s="108"/>
      <c r="BU62" s="108"/>
      <c r="BV62" s="108"/>
      <c r="BW62" s="108"/>
      <c r="BX62" s="108"/>
      <c r="BY62" s="108"/>
      <c r="BZ62" s="108"/>
      <c r="CA62" s="108"/>
      <c r="CB62" s="108"/>
      <c r="CC62" s="108"/>
      <c r="CD62" s="108"/>
      <c r="CE62" s="108"/>
      <c r="CF62" s="108"/>
      <c r="CG62" s="108"/>
      <c r="CH62" s="108"/>
      <c r="CI62" s="108"/>
      <c r="CJ62" s="108"/>
      <c r="CK62" s="108"/>
      <c r="CL62" s="108"/>
      <c r="CM62" s="108"/>
      <c r="CN62" s="108"/>
      <c r="CO62" s="108"/>
      <c r="CP62" s="108"/>
      <c r="CQ62" s="108"/>
      <c r="CR62" s="108"/>
      <c r="CS62" s="108"/>
      <c r="CT62" s="108"/>
      <c r="CU62" s="108"/>
      <c r="CV62" s="108"/>
      <c r="CW62" s="108"/>
      <c r="CX62" s="108"/>
      <c r="CY62" s="108"/>
      <c r="CZ62" s="108"/>
      <c r="DA62" s="108"/>
      <c r="DB62" s="108"/>
      <c r="DC62" s="108"/>
      <c r="DD62" s="108"/>
      <c r="DE62" s="108"/>
      <c r="DF62" s="108"/>
      <c r="DG62" s="108"/>
      <c r="DH62" s="108"/>
      <c r="DI62" s="108"/>
      <c r="DJ62" s="108"/>
      <c r="DK62" s="108"/>
      <c r="DL62" s="108"/>
      <c r="DM62" s="108"/>
      <c r="DN62" s="108"/>
      <c r="DO62" s="108"/>
      <c r="DP62" s="108"/>
      <c r="DQ62" s="108"/>
      <c r="DR62" s="108"/>
      <c r="DS62" s="108"/>
      <c r="DT62" s="108"/>
      <c r="DU62" s="108"/>
      <c r="DV62" s="108"/>
      <c r="DW62" s="108"/>
      <c r="DX62" s="108"/>
      <c r="DY62" s="108"/>
      <c r="DZ62" s="108"/>
      <c r="EA62" s="108"/>
      <c r="EB62" s="108"/>
      <c r="EC62" s="108"/>
      <c r="ED62" s="108"/>
      <c r="EE62" s="108"/>
      <c r="EF62" s="108"/>
      <c r="EG62" s="108"/>
      <c r="EH62" s="108"/>
      <c r="EI62" s="108"/>
      <c r="EJ62" s="108"/>
      <c r="EK62" s="108"/>
      <c r="EL62" s="108"/>
      <c r="EM62" s="108"/>
      <c r="EN62" s="108"/>
      <c r="EO62" s="108"/>
      <c r="EP62" s="108"/>
      <c r="EQ62" s="108"/>
      <c r="ER62" s="108"/>
      <c r="ES62" s="108"/>
      <c r="ET62" s="108"/>
      <c r="EU62" s="108"/>
      <c r="EV62" s="108"/>
      <c r="EW62" s="108"/>
      <c r="EX62" s="108"/>
      <c r="EY62" s="108"/>
      <c r="EZ62" s="108"/>
      <c r="FA62" s="108"/>
      <c r="FB62" s="108"/>
      <c r="FC62" s="108"/>
      <c r="FD62" s="108"/>
      <c r="FE62" s="108"/>
      <c r="FF62" s="108"/>
      <c r="FG62" s="108"/>
      <c r="FH62" s="108"/>
      <c r="FI62" s="108"/>
      <c r="FJ62" s="108"/>
      <c r="FK62" s="108"/>
      <c r="FL62" s="108"/>
      <c r="FM62" s="108"/>
      <c r="FN62" s="108"/>
      <c r="FO62" s="108"/>
      <c r="FP62" s="108"/>
      <c r="FQ62" s="108"/>
      <c r="FR62" s="108"/>
      <c r="FS62" s="108"/>
      <c r="FT62" s="108"/>
      <c r="FU62" s="108"/>
      <c r="FV62" s="108"/>
      <c r="FW62" s="108"/>
      <c r="FX62" s="108"/>
      <c r="FY62" s="108"/>
      <c r="FZ62" s="108"/>
      <c r="GA62" s="108"/>
      <c r="GB62" s="108"/>
      <c r="GC62" s="108"/>
      <c r="GD62" s="108"/>
      <c r="GE62" s="108"/>
      <c r="GF62" s="108"/>
      <c r="GG62" s="108"/>
      <c r="GH62" s="108"/>
      <c r="GI62" s="108"/>
      <c r="GJ62" s="108"/>
      <c r="GK62" s="108"/>
      <c r="GL62" s="108"/>
      <c r="GM62" s="108"/>
      <c r="GN62" s="108"/>
      <c r="GO62" s="108"/>
      <c r="GP62" s="108"/>
      <c r="GQ62" s="108"/>
      <c r="GR62" s="108"/>
      <c r="GS62" s="108"/>
      <c r="GT62" s="108"/>
      <c r="GU62" s="108"/>
      <c r="GV62" s="108"/>
      <c r="GW62" s="108"/>
      <c r="GX62" s="108"/>
      <c r="GY62" s="108"/>
      <c r="GZ62" s="108"/>
      <c r="HA62" s="108"/>
      <c r="HB62" s="108"/>
      <c r="HC62" s="108"/>
      <c r="HD62" s="108"/>
      <c r="HE62" s="108"/>
      <c r="HF62" s="108"/>
      <c r="HG62" s="108"/>
      <c r="HH62" s="108"/>
      <c r="HI62" s="108"/>
      <c r="HJ62" s="108"/>
      <c r="HK62" s="108"/>
      <c r="HL62" s="108"/>
      <c r="HM62" s="108"/>
      <c r="HN62" s="108"/>
      <c r="HO62" s="108"/>
      <c r="HP62" s="108"/>
      <c r="HQ62" s="108"/>
      <c r="HR62" s="108"/>
      <c r="HS62" s="108"/>
      <c r="HT62" s="108"/>
      <c r="HU62" s="108"/>
      <c r="HV62" s="108"/>
      <c r="HW62" s="108"/>
      <c r="HX62" s="108"/>
      <c r="HY62" s="108"/>
      <c r="HZ62" s="108"/>
      <c r="IA62" s="108"/>
      <c r="IB62" s="108"/>
      <c r="IC62" s="108"/>
      <c r="ID62" s="108"/>
      <c r="IE62" s="108"/>
      <c r="IF62" s="108"/>
      <c r="IG62" s="108"/>
      <c r="IH62" s="108"/>
      <c r="II62" s="108"/>
      <c r="IJ62" s="108"/>
      <c r="IK62" s="108"/>
      <c r="IL62" s="108"/>
      <c r="IM62" s="108"/>
      <c r="IN62" s="108"/>
      <c r="IO62" s="108"/>
      <c r="IP62" s="108"/>
      <c r="IQ62" s="108"/>
      <c r="IR62" s="108"/>
      <c r="IS62" s="108"/>
      <c r="IT62" s="108"/>
      <c r="IU62" s="108"/>
      <c r="IV62" s="108"/>
      <c r="IW62" s="108"/>
    </row>
    <row r="63" spans="1:257" x14ac:dyDescent="0.3">
      <c r="A63" s="158"/>
      <c r="B63" s="158"/>
      <c r="C63" s="158"/>
      <c r="D63" s="158"/>
      <c r="E63" s="158"/>
      <c r="F63" s="158"/>
      <c r="G63" s="158"/>
      <c r="H63" s="158"/>
      <c r="I63" s="158"/>
      <c r="J63" s="158"/>
      <c r="K63" s="158"/>
      <c r="L63" s="158"/>
      <c r="M63" s="158"/>
      <c r="N63" s="158"/>
      <c r="O63" s="108"/>
      <c r="P63" s="108"/>
      <c r="Q63" s="108"/>
      <c r="R63" s="108"/>
      <c r="S63" s="108"/>
      <c r="T63" s="108"/>
      <c r="U63" s="108"/>
      <c r="V63" s="108"/>
      <c r="W63" s="108"/>
      <c r="X63" s="108"/>
      <c r="Y63" s="108"/>
      <c r="Z63" s="108"/>
      <c r="AA63" s="108"/>
      <c r="AB63" s="108"/>
      <c r="AC63" s="108"/>
      <c r="AD63" s="108"/>
      <c r="AE63" s="108"/>
      <c r="AF63" s="108"/>
      <c r="AG63" s="108"/>
      <c r="AH63" s="108"/>
      <c r="AI63" s="108"/>
      <c r="AJ63" s="108"/>
      <c r="AK63" s="108"/>
      <c r="AL63" s="108"/>
      <c r="AM63" s="108"/>
      <c r="AN63" s="108"/>
      <c r="AO63" s="108"/>
      <c r="AP63" s="108"/>
      <c r="AQ63" s="108"/>
      <c r="AR63" s="108"/>
      <c r="AS63" s="108"/>
      <c r="AT63" s="108"/>
      <c r="AU63" s="108"/>
      <c r="AV63" s="108"/>
      <c r="AW63" s="108"/>
      <c r="AX63" s="108"/>
      <c r="AY63" s="108"/>
      <c r="AZ63" s="108"/>
      <c r="BA63" s="108"/>
      <c r="BB63" s="108"/>
      <c r="BC63" s="108"/>
      <c r="BD63" s="108"/>
      <c r="BE63" s="108"/>
      <c r="BF63" s="108"/>
      <c r="BG63" s="108"/>
      <c r="BH63" s="108"/>
      <c r="BI63" s="108"/>
      <c r="BJ63" s="108"/>
      <c r="BK63" s="108"/>
      <c r="BL63" s="108"/>
      <c r="BM63" s="108"/>
      <c r="BN63" s="108"/>
      <c r="BO63" s="108"/>
      <c r="BP63" s="108"/>
      <c r="BQ63" s="108"/>
      <c r="BR63" s="108"/>
      <c r="BS63" s="108"/>
      <c r="BT63" s="108"/>
      <c r="BU63" s="108"/>
      <c r="BV63" s="108"/>
      <c r="BW63" s="108"/>
      <c r="BX63" s="108"/>
      <c r="BY63" s="108"/>
      <c r="BZ63" s="108"/>
      <c r="CA63" s="108"/>
      <c r="CB63" s="108"/>
      <c r="CC63" s="108"/>
      <c r="CD63" s="108"/>
      <c r="CE63" s="108"/>
      <c r="CF63" s="108"/>
      <c r="CG63" s="108"/>
      <c r="CH63" s="108"/>
      <c r="CI63" s="108"/>
      <c r="CJ63" s="108"/>
      <c r="CK63" s="108"/>
      <c r="CL63" s="108"/>
      <c r="CM63" s="108"/>
      <c r="CN63" s="108"/>
      <c r="CO63" s="108"/>
      <c r="CP63" s="108"/>
      <c r="CQ63" s="108"/>
      <c r="CR63" s="108"/>
      <c r="CS63" s="108"/>
      <c r="CT63" s="108"/>
      <c r="CU63" s="108"/>
      <c r="CV63" s="108"/>
      <c r="CW63" s="108"/>
      <c r="CX63" s="108"/>
      <c r="CY63" s="108"/>
      <c r="CZ63" s="108"/>
      <c r="DA63" s="108"/>
      <c r="DB63" s="108"/>
      <c r="DC63" s="108"/>
      <c r="DD63" s="108"/>
      <c r="DE63" s="108"/>
      <c r="DF63" s="108"/>
      <c r="DG63" s="108"/>
      <c r="DH63" s="108"/>
      <c r="DI63" s="108"/>
      <c r="DJ63" s="108"/>
      <c r="DK63" s="108"/>
      <c r="DL63" s="108"/>
      <c r="DM63" s="108"/>
      <c r="DN63" s="108"/>
      <c r="DO63" s="108"/>
      <c r="DP63" s="108"/>
      <c r="DQ63" s="108"/>
      <c r="DR63" s="108"/>
      <c r="DS63" s="108"/>
      <c r="DT63" s="108"/>
      <c r="DU63" s="108"/>
      <c r="DV63" s="108"/>
      <c r="DW63" s="108"/>
      <c r="DX63" s="108"/>
      <c r="DY63" s="108"/>
      <c r="DZ63" s="108"/>
      <c r="EA63" s="108"/>
      <c r="EB63" s="108"/>
      <c r="EC63" s="108"/>
      <c r="ED63" s="108"/>
      <c r="EE63" s="108"/>
      <c r="EF63" s="108"/>
      <c r="EG63" s="108"/>
      <c r="EH63" s="108"/>
      <c r="EI63" s="108"/>
      <c r="EJ63" s="108"/>
      <c r="EK63" s="108"/>
      <c r="EL63" s="108"/>
      <c r="EM63" s="108"/>
      <c r="EN63" s="108"/>
      <c r="EO63" s="108"/>
      <c r="EP63" s="108"/>
      <c r="EQ63" s="108"/>
      <c r="ER63" s="108"/>
      <c r="ES63" s="108"/>
      <c r="ET63" s="108"/>
      <c r="EU63" s="108"/>
      <c r="EV63" s="108"/>
      <c r="EW63" s="108"/>
      <c r="EX63" s="108"/>
      <c r="EY63" s="108"/>
      <c r="EZ63" s="108"/>
      <c r="FA63" s="108"/>
      <c r="FB63" s="108"/>
      <c r="FC63" s="108"/>
      <c r="FD63" s="108"/>
      <c r="FE63" s="108"/>
      <c r="FF63" s="108"/>
      <c r="FG63" s="108"/>
      <c r="FH63" s="108"/>
      <c r="FI63" s="108"/>
      <c r="FJ63" s="108"/>
      <c r="FK63" s="108"/>
      <c r="FL63" s="108"/>
      <c r="FM63" s="108"/>
      <c r="FN63" s="108"/>
      <c r="FO63" s="108"/>
      <c r="FP63" s="108"/>
      <c r="FQ63" s="108"/>
      <c r="FR63" s="108"/>
      <c r="FS63" s="108"/>
      <c r="FT63" s="108"/>
      <c r="FU63" s="108"/>
      <c r="FV63" s="108"/>
      <c r="FW63" s="108"/>
      <c r="FX63" s="108"/>
      <c r="FY63" s="108"/>
      <c r="FZ63" s="108"/>
      <c r="GA63" s="108"/>
      <c r="GB63" s="108"/>
      <c r="GC63" s="108"/>
      <c r="GD63" s="108"/>
      <c r="GE63" s="108"/>
      <c r="GF63" s="108"/>
      <c r="GG63" s="108"/>
      <c r="GH63" s="108"/>
      <c r="GI63" s="108"/>
      <c r="GJ63" s="108"/>
      <c r="GK63" s="108"/>
      <c r="GL63" s="108"/>
      <c r="GM63" s="108"/>
      <c r="GN63" s="108"/>
      <c r="GO63" s="108"/>
      <c r="GP63" s="108"/>
      <c r="GQ63" s="108"/>
      <c r="GR63" s="108"/>
      <c r="GS63" s="108"/>
      <c r="GT63" s="108"/>
      <c r="GU63" s="108"/>
      <c r="GV63" s="108"/>
      <c r="GW63" s="108"/>
      <c r="GX63" s="108"/>
      <c r="GY63" s="108"/>
      <c r="GZ63" s="108"/>
      <c r="HA63" s="108"/>
      <c r="HB63" s="108"/>
      <c r="HC63" s="108"/>
      <c r="HD63" s="108"/>
      <c r="HE63" s="108"/>
      <c r="HF63" s="108"/>
      <c r="HG63" s="108"/>
      <c r="HH63" s="108"/>
      <c r="HI63" s="108"/>
      <c r="HJ63" s="108"/>
      <c r="HK63" s="108"/>
      <c r="HL63" s="108"/>
      <c r="HM63" s="108"/>
      <c r="HN63" s="108"/>
      <c r="HO63" s="108"/>
      <c r="HP63" s="108"/>
      <c r="HQ63" s="108"/>
      <c r="HR63" s="108"/>
      <c r="HS63" s="108"/>
      <c r="HT63" s="108"/>
      <c r="HU63" s="108"/>
      <c r="HV63" s="108"/>
      <c r="HW63" s="108"/>
      <c r="HX63" s="108"/>
      <c r="HY63" s="108"/>
      <c r="HZ63" s="108"/>
      <c r="IA63" s="108"/>
      <c r="IB63" s="108"/>
      <c r="IC63" s="108"/>
      <c r="ID63" s="108"/>
      <c r="IE63" s="108"/>
      <c r="IF63" s="108"/>
      <c r="IG63" s="108"/>
      <c r="IH63" s="108"/>
      <c r="II63" s="108"/>
      <c r="IJ63" s="108"/>
      <c r="IK63" s="108"/>
      <c r="IL63" s="108"/>
      <c r="IM63" s="108"/>
      <c r="IN63" s="108"/>
      <c r="IO63" s="108"/>
      <c r="IP63" s="108"/>
      <c r="IQ63" s="108"/>
      <c r="IR63" s="108"/>
      <c r="IS63" s="108"/>
      <c r="IT63" s="108"/>
      <c r="IU63" s="108"/>
      <c r="IV63" s="108"/>
      <c r="IW63" s="108"/>
    </row>
    <row r="64" spans="1:257" x14ac:dyDescent="0.3">
      <c r="A64" s="158"/>
      <c r="B64" s="158"/>
      <c r="C64" s="158"/>
      <c r="D64" s="158"/>
      <c r="E64" s="158"/>
      <c r="F64" s="158"/>
      <c r="G64" s="158"/>
      <c r="H64" s="158"/>
      <c r="I64" s="158"/>
      <c r="J64" s="158"/>
      <c r="K64" s="158"/>
      <c r="L64" s="158"/>
      <c r="M64" s="158"/>
      <c r="N64" s="158"/>
      <c r="O64" s="108"/>
      <c r="P64" s="108"/>
      <c r="Q64" s="108"/>
      <c r="R64" s="108"/>
      <c r="S64" s="108"/>
      <c r="T64" s="108"/>
      <c r="U64" s="108"/>
      <c r="V64" s="108"/>
      <c r="W64" s="108"/>
      <c r="X64" s="108"/>
      <c r="Y64" s="108"/>
      <c r="Z64" s="108"/>
      <c r="AA64" s="108"/>
      <c r="AB64" s="108"/>
      <c r="AC64" s="108"/>
      <c r="AD64" s="108"/>
      <c r="AE64" s="108"/>
      <c r="AF64" s="108"/>
      <c r="AG64" s="108"/>
      <c r="AH64" s="108"/>
      <c r="AI64" s="108"/>
      <c r="AJ64" s="108"/>
      <c r="AK64" s="108"/>
      <c r="AL64" s="108"/>
      <c r="AM64" s="108"/>
      <c r="AN64" s="108"/>
      <c r="AO64" s="108"/>
      <c r="AP64" s="108"/>
      <c r="AQ64" s="108"/>
      <c r="AR64" s="108"/>
      <c r="AS64" s="108"/>
      <c r="AT64" s="108"/>
      <c r="AU64" s="108"/>
      <c r="AV64" s="108"/>
      <c r="AW64" s="108"/>
      <c r="AX64" s="108"/>
      <c r="AY64" s="108"/>
      <c r="AZ64" s="108"/>
      <c r="BA64" s="108"/>
      <c r="BB64" s="108"/>
      <c r="BC64" s="108"/>
      <c r="BD64" s="108"/>
      <c r="BE64" s="108"/>
      <c r="BF64" s="108"/>
      <c r="BG64" s="108"/>
      <c r="BH64" s="108"/>
      <c r="BI64" s="108"/>
      <c r="BJ64" s="108"/>
      <c r="BK64" s="108"/>
      <c r="BL64" s="108"/>
      <c r="BM64" s="108"/>
      <c r="BN64" s="108"/>
      <c r="BO64" s="108"/>
      <c r="BP64" s="108"/>
      <c r="BQ64" s="108"/>
      <c r="BR64" s="108"/>
      <c r="BS64" s="108"/>
      <c r="BT64" s="108"/>
      <c r="BU64" s="108"/>
      <c r="BV64" s="108"/>
      <c r="BW64" s="108"/>
      <c r="BX64" s="108"/>
      <c r="BY64" s="108"/>
      <c r="BZ64" s="108"/>
      <c r="CA64" s="108"/>
      <c r="CB64" s="108"/>
      <c r="CC64" s="108"/>
      <c r="CD64" s="108"/>
      <c r="CE64" s="108"/>
      <c r="CF64" s="108"/>
      <c r="CG64" s="108"/>
      <c r="CH64" s="108"/>
      <c r="CI64" s="108"/>
      <c r="CJ64" s="108"/>
      <c r="CK64" s="108"/>
      <c r="CL64" s="108"/>
      <c r="CM64" s="108"/>
      <c r="CN64" s="108"/>
      <c r="CO64" s="108"/>
      <c r="CP64" s="108"/>
      <c r="CQ64" s="108"/>
      <c r="CR64" s="108"/>
      <c r="CS64" s="108"/>
      <c r="CT64" s="108"/>
      <c r="CU64" s="108"/>
      <c r="CV64" s="108"/>
      <c r="CW64" s="108"/>
      <c r="CX64" s="108"/>
      <c r="CY64" s="108"/>
      <c r="CZ64" s="108"/>
      <c r="DA64" s="108"/>
      <c r="DB64" s="108"/>
      <c r="DC64" s="108"/>
      <c r="DD64" s="108"/>
      <c r="DE64" s="108"/>
      <c r="DF64" s="108"/>
      <c r="DG64" s="108"/>
      <c r="DH64" s="108"/>
      <c r="DI64" s="108"/>
      <c r="DJ64" s="108"/>
      <c r="DK64" s="108"/>
      <c r="DL64" s="108"/>
      <c r="DM64" s="108"/>
      <c r="DN64" s="108"/>
      <c r="DO64" s="108"/>
      <c r="DP64" s="108"/>
      <c r="DQ64" s="108"/>
      <c r="DR64" s="108"/>
      <c r="DS64" s="108"/>
      <c r="DT64" s="108"/>
      <c r="DU64" s="108"/>
      <c r="DV64" s="108"/>
      <c r="DW64" s="108"/>
      <c r="DX64" s="108"/>
      <c r="DY64" s="108"/>
      <c r="DZ64" s="108"/>
      <c r="EA64" s="108"/>
      <c r="EB64" s="108"/>
      <c r="EC64" s="108"/>
      <c r="ED64" s="108"/>
      <c r="EE64" s="108"/>
      <c r="EF64" s="108"/>
      <c r="EG64" s="108"/>
      <c r="EH64" s="108"/>
      <c r="EI64" s="108"/>
      <c r="EJ64" s="108"/>
      <c r="EK64" s="108"/>
      <c r="EL64" s="108"/>
      <c r="EM64" s="108"/>
      <c r="EN64" s="108"/>
      <c r="EO64" s="108"/>
      <c r="EP64" s="108"/>
      <c r="EQ64" s="108"/>
      <c r="ER64" s="108"/>
      <c r="ES64" s="108"/>
      <c r="ET64" s="108"/>
      <c r="EU64" s="108"/>
      <c r="EV64" s="108"/>
      <c r="EW64" s="108"/>
      <c r="EX64" s="108"/>
      <c r="EY64" s="108"/>
      <c r="EZ64" s="108"/>
      <c r="FA64" s="108"/>
      <c r="FB64" s="108"/>
      <c r="FC64" s="108"/>
      <c r="FD64" s="108"/>
      <c r="FE64" s="108"/>
      <c r="FF64" s="108"/>
      <c r="FG64" s="108"/>
      <c r="FH64" s="108"/>
      <c r="FI64" s="108"/>
      <c r="FJ64" s="108"/>
      <c r="FK64" s="108"/>
      <c r="FL64" s="108"/>
      <c r="FM64" s="108"/>
      <c r="FN64" s="108"/>
      <c r="FO64" s="108"/>
      <c r="FP64" s="108"/>
      <c r="FQ64" s="108"/>
      <c r="FR64" s="108"/>
      <c r="FS64" s="108"/>
      <c r="FT64" s="108"/>
      <c r="FU64" s="108"/>
      <c r="FV64" s="108"/>
      <c r="FW64" s="108"/>
      <c r="FX64" s="108"/>
      <c r="FY64" s="108"/>
      <c r="FZ64" s="108"/>
      <c r="GA64" s="108"/>
      <c r="GB64" s="108"/>
      <c r="GC64" s="108"/>
      <c r="GD64" s="108"/>
      <c r="GE64" s="108"/>
      <c r="GF64" s="108"/>
      <c r="GG64" s="108"/>
      <c r="GH64" s="108"/>
      <c r="GI64" s="108"/>
      <c r="GJ64" s="108"/>
      <c r="GK64" s="108"/>
      <c r="GL64" s="108"/>
      <c r="GM64" s="108"/>
      <c r="GN64" s="108"/>
      <c r="GO64" s="108"/>
      <c r="GP64" s="108"/>
      <c r="GQ64" s="108"/>
      <c r="GR64" s="108"/>
      <c r="GS64" s="108"/>
      <c r="GT64" s="108"/>
      <c r="GU64" s="108"/>
      <c r="GV64" s="108"/>
      <c r="GW64" s="108"/>
      <c r="GX64" s="108"/>
      <c r="GY64" s="108"/>
      <c r="GZ64" s="108"/>
      <c r="HA64" s="108"/>
      <c r="HB64" s="108"/>
      <c r="HC64" s="108"/>
      <c r="HD64" s="108"/>
      <c r="HE64" s="108"/>
      <c r="HF64" s="108"/>
      <c r="HG64" s="108"/>
      <c r="HH64" s="108"/>
      <c r="HI64" s="108"/>
      <c r="HJ64" s="108"/>
      <c r="HK64" s="108"/>
      <c r="HL64" s="108"/>
      <c r="HM64" s="108"/>
      <c r="HN64" s="108"/>
      <c r="HO64" s="108"/>
      <c r="HP64" s="108"/>
      <c r="HQ64" s="108"/>
      <c r="HR64" s="108"/>
      <c r="HS64" s="108"/>
      <c r="HT64" s="108"/>
      <c r="HU64" s="108"/>
      <c r="HV64" s="108"/>
      <c r="HW64" s="108"/>
      <c r="HX64" s="108"/>
      <c r="HY64" s="108"/>
      <c r="HZ64" s="108"/>
      <c r="IA64" s="108"/>
      <c r="IB64" s="108"/>
      <c r="IC64" s="108"/>
      <c r="ID64" s="108"/>
      <c r="IE64" s="108"/>
      <c r="IF64" s="108"/>
      <c r="IG64" s="108"/>
      <c r="IH64" s="108"/>
      <c r="II64" s="108"/>
      <c r="IJ64" s="108"/>
      <c r="IK64" s="108"/>
      <c r="IL64" s="108"/>
      <c r="IM64" s="108"/>
      <c r="IN64" s="108"/>
      <c r="IO64" s="108"/>
      <c r="IP64" s="108"/>
      <c r="IQ64" s="108"/>
      <c r="IR64" s="108"/>
      <c r="IS64" s="108"/>
      <c r="IT64" s="108"/>
      <c r="IU64" s="108"/>
      <c r="IV64" s="108"/>
      <c r="IW64" s="108"/>
    </row>
    <row r="65" spans="1:257" x14ac:dyDescent="0.3">
      <c r="A65" s="158"/>
      <c r="B65" s="158"/>
      <c r="C65" s="158"/>
      <c r="D65" s="158"/>
      <c r="E65" s="158"/>
      <c r="F65" s="158"/>
      <c r="G65" s="158"/>
      <c r="H65" s="158"/>
      <c r="I65" s="158"/>
      <c r="J65" s="158"/>
      <c r="K65" s="158"/>
      <c r="L65" s="158"/>
      <c r="M65" s="158"/>
      <c r="N65" s="158"/>
      <c r="O65" s="108"/>
      <c r="P65" s="108"/>
      <c r="Q65" s="108"/>
      <c r="R65" s="108"/>
      <c r="S65" s="108"/>
      <c r="T65" s="108"/>
      <c r="U65" s="108"/>
      <c r="V65" s="108"/>
      <c r="W65" s="108"/>
      <c r="X65" s="108"/>
      <c r="Y65" s="108"/>
      <c r="Z65" s="108"/>
      <c r="AA65" s="108"/>
      <c r="AB65" s="108"/>
      <c r="AC65" s="108"/>
      <c r="AD65" s="108"/>
      <c r="AE65" s="108"/>
      <c r="AF65" s="108"/>
      <c r="AG65" s="108"/>
      <c r="AH65" s="108"/>
      <c r="AI65" s="108"/>
      <c r="AJ65" s="108"/>
      <c r="AK65" s="108"/>
      <c r="AL65" s="108"/>
      <c r="AM65" s="108"/>
      <c r="AN65" s="108"/>
      <c r="AO65" s="108"/>
      <c r="AP65" s="108"/>
      <c r="AQ65" s="108"/>
      <c r="AR65" s="108"/>
      <c r="AS65" s="108"/>
      <c r="AT65" s="108"/>
      <c r="AU65" s="108"/>
      <c r="AV65" s="108"/>
      <c r="AW65" s="108"/>
      <c r="AX65" s="108"/>
      <c r="AY65" s="108"/>
      <c r="AZ65" s="108"/>
      <c r="BA65" s="108"/>
      <c r="BB65" s="108"/>
      <c r="BC65" s="108"/>
      <c r="BD65" s="108"/>
      <c r="BE65" s="108"/>
      <c r="BF65" s="108"/>
      <c r="BG65" s="108"/>
      <c r="BH65" s="108"/>
      <c r="BI65" s="108"/>
      <c r="BJ65" s="108"/>
      <c r="BK65" s="108"/>
      <c r="BL65" s="108"/>
      <c r="BM65" s="108"/>
      <c r="BN65" s="108"/>
      <c r="BO65" s="108"/>
      <c r="BP65" s="108"/>
      <c r="BQ65" s="108"/>
      <c r="BR65" s="108"/>
      <c r="BS65" s="108"/>
      <c r="BT65" s="108"/>
      <c r="BU65" s="108"/>
      <c r="BV65" s="108"/>
      <c r="BW65" s="108"/>
      <c r="BX65" s="108"/>
      <c r="BY65" s="108"/>
      <c r="BZ65" s="108"/>
      <c r="CA65" s="108"/>
      <c r="CB65" s="108"/>
      <c r="CC65" s="108"/>
      <c r="CD65" s="108"/>
      <c r="CE65" s="108"/>
      <c r="CF65" s="108"/>
      <c r="CG65" s="108"/>
      <c r="CH65" s="108"/>
      <c r="CI65" s="108"/>
      <c r="CJ65" s="108"/>
      <c r="CK65" s="108"/>
      <c r="CL65" s="108"/>
      <c r="CM65" s="108"/>
      <c r="CN65" s="108"/>
      <c r="CO65" s="108"/>
      <c r="CP65" s="108"/>
      <c r="CQ65" s="108"/>
      <c r="CR65" s="108"/>
      <c r="CS65" s="108"/>
      <c r="CT65" s="108"/>
      <c r="CU65" s="108"/>
      <c r="CV65" s="108"/>
      <c r="CW65" s="108"/>
      <c r="CX65" s="108"/>
      <c r="CY65" s="108"/>
      <c r="CZ65" s="108"/>
      <c r="DA65" s="108"/>
      <c r="DB65" s="108"/>
      <c r="DC65" s="108"/>
      <c r="DD65" s="108"/>
      <c r="DE65" s="108"/>
      <c r="DF65" s="108"/>
      <c r="DG65" s="108"/>
      <c r="DH65" s="108"/>
      <c r="DI65" s="108"/>
      <c r="DJ65" s="108"/>
      <c r="DK65" s="108"/>
      <c r="DL65" s="108"/>
      <c r="DM65" s="108"/>
      <c r="DN65" s="108"/>
      <c r="DO65" s="108"/>
      <c r="DP65" s="108"/>
      <c r="DQ65" s="108"/>
      <c r="DR65" s="108"/>
      <c r="DS65" s="108"/>
      <c r="DT65" s="108"/>
      <c r="DU65" s="108"/>
      <c r="DV65" s="108"/>
      <c r="DW65" s="108"/>
      <c r="DX65" s="108"/>
      <c r="DY65" s="108"/>
      <c r="DZ65" s="108"/>
      <c r="EA65" s="108"/>
      <c r="EB65" s="108"/>
      <c r="EC65" s="108"/>
      <c r="ED65" s="108"/>
      <c r="EE65" s="108"/>
      <c r="EF65" s="108"/>
      <c r="EG65" s="108"/>
      <c r="EH65" s="108"/>
      <c r="EI65" s="108"/>
      <c r="EJ65" s="108"/>
      <c r="EK65" s="108"/>
      <c r="EL65" s="108"/>
      <c r="EM65" s="108"/>
      <c r="EN65" s="108"/>
      <c r="EO65" s="108"/>
      <c r="EP65" s="108"/>
      <c r="EQ65" s="108"/>
      <c r="ER65" s="108"/>
      <c r="ES65" s="108"/>
      <c r="ET65" s="108"/>
      <c r="EU65" s="108"/>
      <c r="EV65" s="108"/>
      <c r="EW65" s="108"/>
      <c r="EX65" s="108"/>
      <c r="EY65" s="108"/>
      <c r="EZ65" s="108"/>
      <c r="FA65" s="108"/>
      <c r="FB65" s="108"/>
      <c r="FC65" s="108"/>
      <c r="FD65" s="108"/>
      <c r="FE65" s="108"/>
      <c r="FF65" s="108"/>
      <c r="FG65" s="108"/>
      <c r="FH65" s="108"/>
      <c r="FI65" s="108"/>
      <c r="FJ65" s="108"/>
      <c r="FK65" s="108"/>
      <c r="FL65" s="108"/>
      <c r="FM65" s="108"/>
      <c r="FN65" s="108"/>
      <c r="FO65" s="108"/>
      <c r="FP65" s="108"/>
      <c r="FQ65" s="108"/>
      <c r="FR65" s="108"/>
      <c r="FS65" s="108"/>
      <c r="FT65" s="108"/>
      <c r="FU65" s="108"/>
      <c r="FV65" s="108"/>
      <c r="FW65" s="108"/>
      <c r="FX65" s="108"/>
      <c r="FY65" s="108"/>
      <c r="FZ65" s="108"/>
      <c r="GA65" s="108"/>
      <c r="GB65" s="108"/>
      <c r="GC65" s="108"/>
      <c r="GD65" s="108"/>
      <c r="GE65" s="108"/>
      <c r="GF65" s="108"/>
      <c r="GG65" s="108"/>
      <c r="GH65" s="108"/>
      <c r="GI65" s="108"/>
      <c r="GJ65" s="108"/>
      <c r="GK65" s="108"/>
      <c r="GL65" s="108"/>
      <c r="GM65" s="108"/>
      <c r="GN65" s="108"/>
      <c r="GO65" s="108"/>
      <c r="GP65" s="108"/>
      <c r="GQ65" s="108"/>
      <c r="GR65" s="108"/>
      <c r="GS65" s="108"/>
      <c r="GT65" s="108"/>
      <c r="GU65" s="108"/>
      <c r="GV65" s="108"/>
      <c r="GW65" s="108"/>
      <c r="GX65" s="108"/>
      <c r="GY65" s="108"/>
      <c r="GZ65" s="108"/>
      <c r="HA65" s="108"/>
      <c r="HB65" s="108"/>
      <c r="HC65" s="108"/>
      <c r="HD65" s="108"/>
      <c r="HE65" s="108"/>
      <c r="HF65" s="108"/>
      <c r="HG65" s="108"/>
      <c r="HH65" s="108"/>
      <c r="HI65" s="108"/>
      <c r="HJ65" s="108"/>
      <c r="HK65" s="108"/>
      <c r="HL65" s="108"/>
      <c r="HM65" s="108"/>
      <c r="HN65" s="108"/>
      <c r="HO65" s="108"/>
      <c r="HP65" s="108"/>
      <c r="HQ65" s="108"/>
      <c r="HR65" s="108"/>
      <c r="HS65" s="108"/>
      <c r="HT65" s="108"/>
      <c r="HU65" s="108"/>
      <c r="HV65" s="108"/>
      <c r="HW65" s="108"/>
      <c r="HX65" s="108"/>
      <c r="HY65" s="108"/>
      <c r="HZ65" s="108"/>
      <c r="IA65" s="108"/>
      <c r="IB65" s="108"/>
      <c r="IC65" s="108"/>
      <c r="ID65" s="108"/>
      <c r="IE65" s="108"/>
      <c r="IF65" s="108"/>
      <c r="IG65" s="108"/>
      <c r="IH65" s="108"/>
      <c r="II65" s="108"/>
      <c r="IJ65" s="108"/>
      <c r="IK65" s="108"/>
      <c r="IL65" s="108"/>
      <c r="IM65" s="108"/>
      <c r="IN65" s="108"/>
      <c r="IO65" s="108"/>
      <c r="IP65" s="108"/>
      <c r="IQ65" s="108"/>
      <c r="IR65" s="108"/>
      <c r="IS65" s="108"/>
      <c r="IT65" s="108"/>
      <c r="IU65" s="108"/>
      <c r="IV65" s="108"/>
      <c r="IW65" s="108"/>
    </row>
    <row r="66" spans="1:257" x14ac:dyDescent="0.3">
      <c r="A66" s="158"/>
      <c r="B66" s="158"/>
      <c r="C66" s="158"/>
      <c r="D66" s="158"/>
      <c r="E66" s="158"/>
      <c r="F66" s="158"/>
      <c r="G66" s="158"/>
      <c r="H66" s="158"/>
      <c r="I66" s="158"/>
      <c r="J66" s="158"/>
      <c r="K66" s="158"/>
      <c r="L66" s="158"/>
      <c r="M66" s="158"/>
      <c r="N66" s="158"/>
      <c r="O66" s="108"/>
      <c r="P66" s="108"/>
      <c r="Q66" s="108"/>
      <c r="R66" s="108"/>
      <c r="S66" s="108"/>
      <c r="T66" s="108"/>
      <c r="U66" s="108"/>
      <c r="V66" s="108"/>
      <c r="W66" s="108"/>
      <c r="X66" s="108"/>
      <c r="Y66" s="108"/>
      <c r="Z66" s="108"/>
      <c r="AA66" s="108"/>
      <c r="AB66" s="108"/>
      <c r="AC66" s="108"/>
      <c r="AD66" s="108"/>
      <c r="AE66" s="108"/>
      <c r="AF66" s="108"/>
      <c r="AG66" s="108"/>
      <c r="AH66" s="108"/>
      <c r="AI66" s="108"/>
      <c r="AJ66" s="108"/>
      <c r="AK66" s="108"/>
      <c r="AL66" s="108"/>
      <c r="AM66" s="108"/>
      <c r="AN66" s="108"/>
      <c r="AO66" s="108"/>
      <c r="AP66" s="108"/>
      <c r="AQ66" s="108"/>
      <c r="AR66" s="108"/>
      <c r="AS66" s="108"/>
      <c r="AT66" s="108"/>
      <c r="AU66" s="108"/>
      <c r="AV66" s="108"/>
      <c r="AW66" s="108"/>
      <c r="AX66" s="108"/>
      <c r="AY66" s="108"/>
      <c r="AZ66" s="108"/>
      <c r="BA66" s="108"/>
      <c r="BB66" s="108"/>
      <c r="BC66" s="108"/>
      <c r="BD66" s="108"/>
      <c r="BE66" s="108"/>
      <c r="BF66" s="108"/>
      <c r="BG66" s="108"/>
      <c r="BH66" s="108"/>
      <c r="BI66" s="108"/>
      <c r="BJ66" s="108"/>
      <c r="BK66" s="108"/>
      <c r="BL66" s="108"/>
      <c r="BM66" s="108"/>
      <c r="BN66" s="108"/>
      <c r="BO66" s="108"/>
      <c r="BP66" s="108"/>
      <c r="BQ66" s="108"/>
      <c r="BR66" s="108"/>
      <c r="BS66" s="108"/>
      <c r="BT66" s="108"/>
      <c r="BU66" s="108"/>
      <c r="BV66" s="108"/>
      <c r="BW66" s="108"/>
      <c r="BX66" s="108"/>
      <c r="BY66" s="108"/>
      <c r="BZ66" s="108"/>
      <c r="CA66" s="108"/>
      <c r="CB66" s="108"/>
      <c r="CC66" s="108"/>
      <c r="CD66" s="108"/>
      <c r="CE66" s="108"/>
      <c r="CF66" s="108"/>
      <c r="CG66" s="108"/>
      <c r="CH66" s="108"/>
      <c r="CI66" s="108"/>
      <c r="CJ66" s="108"/>
      <c r="CK66" s="108"/>
      <c r="CL66" s="108"/>
      <c r="CM66" s="108"/>
      <c r="CN66" s="108"/>
      <c r="CO66" s="108"/>
      <c r="CP66" s="108"/>
      <c r="CQ66" s="108"/>
      <c r="CR66" s="108"/>
      <c r="CS66" s="108"/>
      <c r="CT66" s="108"/>
      <c r="CU66" s="108"/>
      <c r="CV66" s="108"/>
      <c r="CW66" s="108"/>
      <c r="CX66" s="108"/>
      <c r="CY66" s="108"/>
      <c r="CZ66" s="108"/>
      <c r="DA66" s="108"/>
      <c r="DB66" s="108"/>
      <c r="DC66" s="108"/>
      <c r="DD66" s="108"/>
      <c r="DE66" s="108"/>
      <c r="DF66" s="108"/>
      <c r="DG66" s="108"/>
      <c r="DH66" s="108"/>
      <c r="DI66" s="108"/>
      <c r="DJ66" s="108"/>
      <c r="DK66" s="108"/>
      <c r="DL66" s="108"/>
      <c r="DM66" s="108"/>
      <c r="DN66" s="108"/>
      <c r="DO66" s="108"/>
      <c r="DP66" s="108"/>
      <c r="DQ66" s="108"/>
      <c r="DR66" s="108"/>
      <c r="DS66" s="108"/>
      <c r="DT66" s="108"/>
      <c r="DU66" s="108"/>
      <c r="DV66" s="108"/>
      <c r="DW66" s="108"/>
      <c r="DX66" s="108"/>
      <c r="DY66" s="108"/>
      <c r="DZ66" s="108"/>
      <c r="EA66" s="108"/>
      <c r="EB66" s="108"/>
      <c r="EC66" s="108"/>
      <c r="ED66" s="108"/>
      <c r="EE66" s="108"/>
      <c r="EF66" s="108"/>
      <c r="EG66" s="108"/>
      <c r="EH66" s="108"/>
      <c r="EI66" s="108"/>
      <c r="EJ66" s="108"/>
      <c r="EK66" s="108"/>
      <c r="EL66" s="108"/>
      <c r="EM66" s="108"/>
      <c r="EN66" s="108"/>
      <c r="EO66" s="108"/>
      <c r="EP66" s="108"/>
      <c r="EQ66" s="108"/>
      <c r="ER66" s="108"/>
      <c r="ES66" s="108"/>
      <c r="ET66" s="108"/>
      <c r="EU66" s="108"/>
      <c r="EV66" s="108"/>
      <c r="EW66" s="108"/>
      <c r="EX66" s="108"/>
      <c r="EY66" s="108"/>
      <c r="EZ66" s="108"/>
      <c r="FA66" s="108"/>
      <c r="FB66" s="108"/>
      <c r="FC66" s="108"/>
      <c r="FD66" s="108"/>
      <c r="FE66" s="108"/>
      <c r="FF66" s="108"/>
      <c r="FG66" s="108"/>
      <c r="FH66" s="108"/>
      <c r="FI66" s="108"/>
      <c r="FJ66" s="108"/>
      <c r="FK66" s="108"/>
      <c r="FL66" s="108"/>
      <c r="FM66" s="108"/>
      <c r="FN66" s="108"/>
      <c r="FO66" s="108"/>
      <c r="FP66" s="108"/>
      <c r="FQ66" s="108"/>
      <c r="FR66" s="108"/>
      <c r="FS66" s="108"/>
      <c r="FT66" s="108"/>
      <c r="FU66" s="108"/>
      <c r="FV66" s="108"/>
      <c r="FW66" s="108"/>
      <c r="FX66" s="108"/>
      <c r="FY66" s="108"/>
      <c r="FZ66" s="108"/>
      <c r="GA66" s="108"/>
      <c r="GB66" s="108"/>
      <c r="GC66" s="108"/>
      <c r="GD66" s="108"/>
      <c r="GE66" s="108"/>
      <c r="GF66" s="108"/>
      <c r="GG66" s="108"/>
      <c r="GH66" s="108"/>
      <c r="GI66" s="108"/>
      <c r="GJ66" s="108"/>
      <c r="GK66" s="108"/>
      <c r="GL66" s="108"/>
      <c r="GM66" s="108"/>
      <c r="GN66" s="108"/>
      <c r="GO66" s="108"/>
      <c r="GP66" s="108"/>
      <c r="GQ66" s="108"/>
      <c r="GR66" s="108"/>
      <c r="GS66" s="108"/>
      <c r="GT66" s="108"/>
      <c r="GU66" s="108"/>
      <c r="GV66" s="108"/>
      <c r="GW66" s="108"/>
      <c r="GX66" s="108"/>
      <c r="GY66" s="108"/>
      <c r="GZ66" s="108"/>
      <c r="HA66" s="108"/>
      <c r="HB66" s="108"/>
      <c r="HC66" s="108"/>
      <c r="HD66" s="108"/>
      <c r="HE66" s="108"/>
      <c r="HF66" s="108"/>
      <c r="HG66" s="108"/>
      <c r="HH66" s="108"/>
      <c r="HI66" s="108"/>
      <c r="HJ66" s="108"/>
      <c r="HK66" s="108"/>
      <c r="HL66" s="108"/>
      <c r="HM66" s="108"/>
      <c r="HN66" s="108"/>
      <c r="HO66" s="108"/>
      <c r="HP66" s="108"/>
      <c r="HQ66" s="108"/>
      <c r="HR66" s="108"/>
      <c r="HS66" s="108"/>
      <c r="HT66" s="108"/>
      <c r="HU66" s="108"/>
      <c r="HV66" s="108"/>
      <c r="HW66" s="108"/>
      <c r="HX66" s="108"/>
      <c r="HY66" s="108"/>
      <c r="HZ66" s="108"/>
      <c r="IA66" s="108"/>
      <c r="IB66" s="108"/>
      <c r="IC66" s="108"/>
      <c r="ID66" s="108"/>
      <c r="IE66" s="108"/>
      <c r="IF66" s="108"/>
      <c r="IG66" s="108"/>
      <c r="IH66" s="108"/>
      <c r="II66" s="108"/>
      <c r="IJ66" s="108"/>
      <c r="IK66" s="108"/>
      <c r="IL66" s="108"/>
      <c r="IM66" s="108"/>
      <c r="IN66" s="108"/>
      <c r="IO66" s="108"/>
      <c r="IP66" s="108"/>
      <c r="IQ66" s="108"/>
      <c r="IR66" s="108"/>
      <c r="IS66" s="108"/>
      <c r="IT66" s="108"/>
      <c r="IU66" s="108"/>
      <c r="IV66" s="108"/>
      <c r="IW66" s="108"/>
    </row>
    <row r="67" spans="1:257" x14ac:dyDescent="0.3">
      <c r="A67" s="158"/>
      <c r="B67" s="158"/>
      <c r="C67" s="158"/>
      <c r="D67" s="158"/>
      <c r="E67" s="158"/>
      <c r="F67" s="158"/>
      <c r="G67" s="158"/>
      <c r="H67" s="158"/>
      <c r="I67" s="158"/>
      <c r="J67" s="158"/>
      <c r="K67" s="158"/>
      <c r="L67" s="158"/>
      <c r="M67" s="158"/>
      <c r="N67" s="158"/>
      <c r="O67" s="108"/>
      <c r="P67" s="108"/>
      <c r="Q67" s="108"/>
      <c r="R67" s="108"/>
      <c r="S67" s="108"/>
      <c r="T67" s="108"/>
      <c r="U67" s="108"/>
      <c r="V67" s="108"/>
      <c r="W67" s="108"/>
      <c r="X67" s="108"/>
      <c r="Y67" s="108"/>
      <c r="Z67" s="108"/>
      <c r="AA67" s="108"/>
      <c r="AB67" s="108"/>
      <c r="AC67" s="108"/>
      <c r="AD67" s="108"/>
      <c r="AE67" s="108"/>
      <c r="AF67" s="108"/>
      <c r="AG67" s="108"/>
      <c r="AH67" s="108"/>
      <c r="AI67" s="108"/>
      <c r="AJ67" s="108"/>
      <c r="AK67" s="108"/>
      <c r="AL67" s="108"/>
      <c r="AM67" s="108"/>
      <c r="AN67" s="108"/>
      <c r="AO67" s="108"/>
      <c r="AP67" s="108"/>
      <c r="AQ67" s="108"/>
      <c r="AR67" s="108"/>
      <c r="AS67" s="108"/>
      <c r="AT67" s="108"/>
      <c r="AU67" s="108"/>
      <c r="AV67" s="108"/>
      <c r="AW67" s="108"/>
      <c r="AX67" s="108"/>
      <c r="AY67" s="108"/>
      <c r="AZ67" s="108"/>
      <c r="BA67" s="108"/>
      <c r="BB67" s="108"/>
      <c r="BC67" s="108"/>
      <c r="BD67" s="108"/>
      <c r="BE67" s="108"/>
      <c r="BF67" s="108"/>
      <c r="BG67" s="108"/>
      <c r="BH67" s="108"/>
      <c r="BI67" s="108"/>
      <c r="BJ67" s="108"/>
      <c r="BK67" s="108"/>
      <c r="BL67" s="108"/>
      <c r="BM67" s="108"/>
      <c r="BN67" s="108"/>
      <c r="BO67" s="108"/>
      <c r="BP67" s="108"/>
      <c r="BQ67" s="108"/>
      <c r="BR67" s="108"/>
      <c r="BS67" s="108"/>
      <c r="BT67" s="108"/>
      <c r="BU67" s="108"/>
      <c r="BV67" s="108"/>
      <c r="BW67" s="108"/>
      <c r="BX67" s="108"/>
      <c r="BY67" s="108"/>
      <c r="BZ67" s="108"/>
      <c r="CA67" s="108"/>
      <c r="CB67" s="108"/>
      <c r="CC67" s="108"/>
      <c r="CD67" s="108"/>
      <c r="CE67" s="108"/>
      <c r="CF67" s="108"/>
      <c r="CG67" s="108"/>
      <c r="CH67" s="108"/>
      <c r="CI67" s="108"/>
      <c r="CJ67" s="108"/>
      <c r="CK67" s="108"/>
      <c r="CL67" s="108"/>
      <c r="CM67" s="108"/>
      <c r="CN67" s="108"/>
      <c r="CO67" s="108"/>
      <c r="CP67" s="108"/>
      <c r="CQ67" s="108"/>
      <c r="CR67" s="108"/>
      <c r="CS67" s="108"/>
      <c r="CT67" s="108"/>
      <c r="CU67" s="108"/>
      <c r="CV67" s="108"/>
      <c r="CW67" s="108"/>
      <c r="CX67" s="108"/>
      <c r="CY67" s="108"/>
      <c r="CZ67" s="108"/>
      <c r="DA67" s="108"/>
      <c r="DB67" s="108"/>
      <c r="DC67" s="108"/>
      <c r="DD67" s="108"/>
      <c r="DE67" s="108"/>
      <c r="DF67" s="108"/>
      <c r="DG67" s="108"/>
      <c r="DH67" s="108"/>
      <c r="DI67" s="108"/>
      <c r="DJ67" s="108"/>
      <c r="DK67" s="108"/>
      <c r="DL67" s="108"/>
      <c r="DM67" s="108"/>
      <c r="DN67" s="108"/>
      <c r="DO67" s="108"/>
      <c r="DP67" s="108"/>
      <c r="DQ67" s="108"/>
      <c r="DR67" s="108"/>
      <c r="DS67" s="108"/>
      <c r="DT67" s="108"/>
      <c r="DU67" s="108"/>
      <c r="DV67" s="108"/>
      <c r="DW67" s="108"/>
      <c r="DX67" s="108"/>
      <c r="DY67" s="108"/>
      <c r="DZ67" s="108"/>
      <c r="EA67" s="108"/>
      <c r="EB67" s="108"/>
      <c r="EC67" s="108"/>
      <c r="ED67" s="108"/>
      <c r="EE67" s="108"/>
      <c r="EF67" s="108"/>
      <c r="EG67" s="108"/>
      <c r="EH67" s="108"/>
      <c r="EI67" s="108"/>
      <c r="EJ67" s="108"/>
      <c r="EK67" s="108"/>
      <c r="EL67" s="108"/>
      <c r="EM67" s="108"/>
      <c r="EN67" s="108"/>
      <c r="EO67" s="108"/>
      <c r="EP67" s="108"/>
      <c r="EQ67" s="108"/>
      <c r="ER67" s="108"/>
      <c r="ES67" s="108"/>
      <c r="ET67" s="108"/>
      <c r="EU67" s="108"/>
      <c r="EV67" s="108"/>
      <c r="EW67" s="108"/>
      <c r="EX67" s="108"/>
      <c r="EY67" s="108"/>
      <c r="EZ67" s="108"/>
      <c r="FA67" s="108"/>
      <c r="FB67" s="108"/>
      <c r="FC67" s="108"/>
      <c r="FD67" s="108"/>
      <c r="FE67" s="108"/>
      <c r="FF67" s="108"/>
      <c r="FG67" s="108"/>
      <c r="FH67" s="108"/>
      <c r="FI67" s="108"/>
      <c r="FJ67" s="108"/>
      <c r="FK67" s="108"/>
      <c r="FL67" s="108"/>
      <c r="FM67" s="108"/>
      <c r="FN67" s="108"/>
      <c r="FO67" s="108"/>
      <c r="FP67" s="108"/>
      <c r="FQ67" s="108"/>
      <c r="FR67" s="108"/>
      <c r="FS67" s="108"/>
      <c r="FT67" s="108"/>
      <c r="FU67" s="108"/>
      <c r="FV67" s="108"/>
      <c r="FW67" s="108"/>
      <c r="FX67" s="108"/>
      <c r="FY67" s="108"/>
      <c r="FZ67" s="108"/>
      <c r="GA67" s="108"/>
      <c r="GB67" s="108"/>
      <c r="GC67" s="108"/>
      <c r="GD67" s="108"/>
      <c r="GE67" s="108"/>
      <c r="GF67" s="108"/>
      <c r="GG67" s="108"/>
      <c r="GH67" s="108"/>
      <c r="GI67" s="108"/>
      <c r="GJ67" s="108"/>
      <c r="GK67" s="108"/>
      <c r="GL67" s="108"/>
      <c r="GM67" s="108"/>
      <c r="GN67" s="108"/>
      <c r="GO67" s="108"/>
      <c r="GP67" s="108"/>
      <c r="GQ67" s="108"/>
      <c r="GR67" s="108"/>
      <c r="GS67" s="108"/>
      <c r="GT67" s="108"/>
      <c r="GU67" s="108"/>
      <c r="GV67" s="108"/>
      <c r="GW67" s="108"/>
      <c r="GX67" s="108"/>
      <c r="GY67" s="108"/>
      <c r="GZ67" s="108"/>
      <c r="HA67" s="108"/>
      <c r="HB67" s="108"/>
      <c r="HC67" s="108"/>
      <c r="HD67" s="108"/>
      <c r="HE67" s="108"/>
      <c r="HF67" s="108"/>
      <c r="HG67" s="108"/>
      <c r="HH67" s="108"/>
      <c r="HI67" s="108"/>
      <c r="HJ67" s="108"/>
      <c r="HK67" s="108"/>
      <c r="HL67" s="108"/>
      <c r="HM67" s="108"/>
      <c r="HN67" s="108"/>
      <c r="HO67" s="108"/>
      <c r="HP67" s="108"/>
      <c r="HQ67" s="108"/>
      <c r="HR67" s="108"/>
      <c r="HS67" s="108"/>
      <c r="HT67" s="108"/>
      <c r="HU67" s="108"/>
      <c r="HV67" s="108"/>
      <c r="HW67" s="108"/>
      <c r="HX67" s="108"/>
      <c r="HY67" s="108"/>
      <c r="HZ67" s="108"/>
      <c r="IA67" s="108"/>
      <c r="IB67" s="108"/>
      <c r="IC67" s="108"/>
      <c r="ID67" s="108"/>
      <c r="IE67" s="108"/>
      <c r="IF67" s="108"/>
      <c r="IG67" s="108"/>
      <c r="IH67" s="108"/>
      <c r="II67" s="108"/>
      <c r="IJ67" s="108"/>
      <c r="IK67" s="108"/>
      <c r="IL67" s="108"/>
      <c r="IM67" s="108"/>
      <c r="IN67" s="108"/>
      <c r="IO67" s="108"/>
      <c r="IP67" s="108"/>
      <c r="IQ67" s="108"/>
      <c r="IR67" s="108"/>
      <c r="IS67" s="108"/>
      <c r="IT67" s="108"/>
      <c r="IU67" s="108"/>
      <c r="IV67" s="108"/>
      <c r="IW67" s="108"/>
    </row>
    <row r="68" spans="1:257" x14ac:dyDescent="0.3">
      <c r="A68" s="158"/>
      <c r="B68" s="158"/>
      <c r="C68" s="158"/>
      <c r="D68" s="158"/>
      <c r="E68" s="158"/>
      <c r="F68" s="158"/>
      <c r="G68" s="158"/>
      <c r="H68" s="158"/>
      <c r="I68" s="158"/>
      <c r="J68" s="158"/>
      <c r="K68" s="158"/>
      <c r="L68" s="158"/>
      <c r="M68" s="158"/>
      <c r="N68" s="158"/>
      <c r="O68" s="108"/>
      <c r="P68" s="108"/>
      <c r="Q68" s="108"/>
      <c r="R68" s="108"/>
      <c r="S68" s="108"/>
      <c r="T68" s="108"/>
      <c r="U68" s="108"/>
      <c r="V68" s="108"/>
      <c r="W68" s="108"/>
      <c r="X68" s="108"/>
      <c r="Y68" s="108"/>
      <c r="Z68" s="108"/>
      <c r="AA68" s="108"/>
      <c r="AB68" s="108"/>
      <c r="AC68" s="108"/>
      <c r="AD68" s="108"/>
      <c r="AE68" s="108"/>
      <c r="AF68" s="108"/>
      <c r="AG68" s="108"/>
      <c r="AH68" s="108"/>
      <c r="AI68" s="108"/>
      <c r="AJ68" s="108"/>
      <c r="AK68" s="108"/>
      <c r="AL68" s="108"/>
      <c r="AM68" s="108"/>
      <c r="AN68" s="108"/>
      <c r="AO68" s="108"/>
      <c r="AP68" s="108"/>
      <c r="AQ68" s="108"/>
      <c r="AR68" s="108"/>
      <c r="AS68" s="108"/>
      <c r="AT68" s="108"/>
      <c r="AU68" s="108"/>
      <c r="AV68" s="108"/>
      <c r="AW68" s="108"/>
      <c r="AX68" s="108"/>
      <c r="AY68" s="108"/>
      <c r="AZ68" s="108"/>
      <c r="BA68" s="108"/>
      <c r="BB68" s="108"/>
      <c r="BC68" s="108"/>
      <c r="BD68" s="108"/>
      <c r="BE68" s="108"/>
      <c r="BF68" s="108"/>
      <c r="BG68" s="108"/>
      <c r="BH68" s="108"/>
      <c r="BI68" s="108"/>
      <c r="BJ68" s="108"/>
      <c r="BK68" s="108"/>
      <c r="BL68" s="108"/>
      <c r="BM68" s="108"/>
      <c r="BN68" s="108"/>
      <c r="BO68" s="108"/>
      <c r="BP68" s="108"/>
      <c r="BQ68" s="108"/>
      <c r="BR68" s="108"/>
      <c r="BS68" s="108"/>
      <c r="BT68" s="108"/>
      <c r="BU68" s="108"/>
      <c r="BV68" s="108"/>
      <c r="BW68" s="108"/>
      <c r="BX68" s="108"/>
      <c r="BY68" s="108"/>
      <c r="BZ68" s="108"/>
      <c r="CA68" s="108"/>
      <c r="CB68" s="108"/>
      <c r="CC68" s="108"/>
      <c r="CD68" s="108"/>
      <c r="CE68" s="108"/>
      <c r="CF68" s="108"/>
      <c r="CG68" s="108"/>
      <c r="CH68" s="108"/>
      <c r="CI68" s="108"/>
      <c r="CJ68" s="108"/>
      <c r="CK68" s="108"/>
      <c r="CL68" s="108"/>
      <c r="CM68" s="108"/>
      <c r="CN68" s="108"/>
      <c r="CO68" s="108"/>
      <c r="CP68" s="108"/>
      <c r="CQ68" s="108"/>
      <c r="CR68" s="108"/>
      <c r="CS68" s="108"/>
      <c r="CT68" s="108"/>
      <c r="CU68" s="108"/>
      <c r="CV68" s="108"/>
      <c r="CW68" s="108"/>
      <c r="CX68" s="108"/>
      <c r="CY68" s="108"/>
      <c r="CZ68" s="108"/>
      <c r="DA68" s="108"/>
      <c r="DB68" s="108"/>
      <c r="DC68" s="108"/>
      <c r="DD68" s="108"/>
      <c r="DE68" s="108"/>
      <c r="DF68" s="108"/>
      <c r="DG68" s="108"/>
      <c r="DH68" s="108"/>
      <c r="DI68" s="108"/>
      <c r="DJ68" s="108"/>
      <c r="DK68" s="108"/>
      <c r="DL68" s="108"/>
      <c r="DM68" s="108"/>
      <c r="DN68" s="108"/>
      <c r="DO68" s="108"/>
      <c r="DP68" s="108"/>
      <c r="DQ68" s="108"/>
      <c r="DR68" s="108"/>
      <c r="DS68" s="108"/>
      <c r="DT68" s="108"/>
      <c r="DU68" s="108"/>
      <c r="DV68" s="108"/>
      <c r="DW68" s="108"/>
      <c r="DX68" s="108"/>
      <c r="DY68" s="108"/>
      <c r="DZ68" s="108"/>
      <c r="EA68" s="108"/>
      <c r="EB68" s="108"/>
      <c r="EC68" s="108"/>
      <c r="ED68" s="108"/>
      <c r="EE68" s="108"/>
      <c r="EF68" s="108"/>
      <c r="EG68" s="108"/>
      <c r="EH68" s="108"/>
      <c r="EI68" s="108"/>
      <c r="EJ68" s="108"/>
      <c r="EK68" s="108"/>
      <c r="EL68" s="108"/>
      <c r="EM68" s="108"/>
      <c r="EN68" s="108"/>
      <c r="EO68" s="108"/>
      <c r="EP68" s="108"/>
      <c r="EQ68" s="108"/>
      <c r="ER68" s="108"/>
      <c r="ES68" s="108"/>
      <c r="ET68" s="108"/>
      <c r="EU68" s="108"/>
      <c r="EV68" s="108"/>
      <c r="EW68" s="108"/>
      <c r="EX68" s="108"/>
      <c r="EY68" s="108"/>
      <c r="EZ68" s="108"/>
      <c r="FA68" s="108"/>
      <c r="FB68" s="108"/>
      <c r="FC68" s="108"/>
      <c r="FD68" s="108"/>
      <c r="FE68" s="108"/>
      <c r="FF68" s="108"/>
      <c r="FG68" s="108"/>
      <c r="FH68" s="108"/>
      <c r="FI68" s="108"/>
      <c r="FJ68" s="108"/>
      <c r="FK68" s="108"/>
      <c r="FL68" s="108"/>
      <c r="FM68" s="108"/>
      <c r="FN68" s="108"/>
      <c r="FO68" s="108"/>
      <c r="FP68" s="108"/>
      <c r="FQ68" s="108"/>
      <c r="FR68" s="108"/>
      <c r="FS68" s="108"/>
      <c r="FT68" s="108"/>
      <c r="FU68" s="108"/>
      <c r="FV68" s="108"/>
      <c r="FW68" s="108"/>
      <c r="FX68" s="108"/>
      <c r="FY68" s="108"/>
      <c r="FZ68" s="108"/>
      <c r="GA68" s="108"/>
      <c r="GB68" s="108"/>
      <c r="GC68" s="108"/>
      <c r="GD68" s="108"/>
      <c r="GE68" s="108"/>
      <c r="GF68" s="108"/>
      <c r="GG68" s="108"/>
      <c r="GH68" s="108"/>
      <c r="GI68" s="108"/>
      <c r="GJ68" s="108"/>
      <c r="GK68" s="108"/>
      <c r="GL68" s="108"/>
      <c r="GM68" s="108"/>
      <c r="GN68" s="108"/>
      <c r="GO68" s="108"/>
      <c r="GP68" s="108"/>
      <c r="GQ68" s="108"/>
      <c r="GR68" s="108"/>
      <c r="GS68" s="108"/>
      <c r="GT68" s="108"/>
      <c r="GU68" s="108"/>
      <c r="GV68" s="108"/>
      <c r="GW68" s="108"/>
      <c r="GX68" s="108"/>
      <c r="GY68" s="108"/>
      <c r="GZ68" s="108"/>
      <c r="HA68" s="108"/>
      <c r="HB68" s="108"/>
      <c r="HC68" s="108"/>
      <c r="HD68" s="108"/>
      <c r="HE68" s="108"/>
      <c r="HF68" s="108"/>
      <c r="HG68" s="108"/>
      <c r="HH68" s="108"/>
      <c r="HI68" s="108"/>
      <c r="HJ68" s="108"/>
      <c r="HK68" s="108"/>
      <c r="HL68" s="108"/>
      <c r="HM68" s="108"/>
      <c r="HN68" s="108"/>
      <c r="HO68" s="108"/>
      <c r="HP68" s="108"/>
      <c r="HQ68" s="108"/>
      <c r="HR68" s="108"/>
      <c r="HS68" s="108"/>
      <c r="HT68" s="108"/>
      <c r="HU68" s="108"/>
      <c r="HV68" s="108"/>
      <c r="HW68" s="108"/>
      <c r="HX68" s="108"/>
      <c r="HY68" s="108"/>
      <c r="HZ68" s="108"/>
      <c r="IA68" s="108"/>
      <c r="IB68" s="108"/>
      <c r="IC68" s="108"/>
      <c r="ID68" s="108"/>
      <c r="IE68" s="108"/>
      <c r="IF68" s="108"/>
      <c r="IG68" s="108"/>
      <c r="IH68" s="108"/>
      <c r="II68" s="108"/>
      <c r="IJ68" s="108"/>
      <c r="IK68" s="108"/>
      <c r="IL68" s="108"/>
      <c r="IM68" s="108"/>
      <c r="IN68" s="108"/>
      <c r="IO68" s="108"/>
      <c r="IP68" s="108"/>
      <c r="IQ68" s="108"/>
      <c r="IR68" s="108"/>
      <c r="IS68" s="108"/>
      <c r="IT68" s="108"/>
      <c r="IU68" s="108"/>
      <c r="IV68" s="108"/>
      <c r="IW68" s="108"/>
    </row>
    <row r="69" spans="1:257" x14ac:dyDescent="0.3">
      <c r="A69" s="158"/>
      <c r="B69" s="158"/>
      <c r="C69" s="158"/>
      <c r="D69" s="158"/>
      <c r="E69" s="158"/>
      <c r="F69" s="158"/>
      <c r="G69" s="158"/>
      <c r="H69" s="158"/>
      <c r="I69" s="158"/>
      <c r="J69" s="158"/>
      <c r="K69" s="158"/>
      <c r="L69" s="158"/>
      <c r="M69" s="158"/>
      <c r="N69" s="158"/>
      <c r="O69" s="108"/>
      <c r="P69" s="108"/>
      <c r="Q69" s="108"/>
      <c r="R69" s="108"/>
      <c r="S69" s="108"/>
      <c r="T69" s="108"/>
      <c r="U69" s="108"/>
      <c r="V69" s="108"/>
      <c r="W69" s="108"/>
      <c r="X69" s="108"/>
      <c r="Y69" s="108"/>
      <c r="Z69" s="108"/>
      <c r="AA69" s="108"/>
      <c r="AB69" s="108"/>
      <c r="AC69" s="108"/>
      <c r="AD69" s="108"/>
      <c r="AE69" s="108"/>
      <c r="AF69" s="108"/>
      <c r="AG69" s="108"/>
      <c r="AH69" s="108"/>
      <c r="AI69" s="108"/>
      <c r="AJ69" s="108"/>
      <c r="AK69" s="108"/>
      <c r="AL69" s="108"/>
      <c r="AM69" s="108"/>
      <c r="AN69" s="108"/>
      <c r="AO69" s="108"/>
      <c r="AP69" s="108"/>
      <c r="AQ69" s="108"/>
      <c r="AR69" s="108"/>
      <c r="AS69" s="108"/>
      <c r="AT69" s="108"/>
      <c r="AU69" s="108"/>
      <c r="AV69" s="108"/>
      <c r="AW69" s="108"/>
      <c r="AX69" s="108"/>
      <c r="AY69" s="108"/>
      <c r="AZ69" s="108"/>
      <c r="BA69" s="108"/>
      <c r="BB69" s="108"/>
      <c r="BC69" s="108"/>
      <c r="BD69" s="108"/>
      <c r="BE69" s="108"/>
      <c r="BF69" s="108"/>
      <c r="BG69" s="108"/>
      <c r="BH69" s="108"/>
      <c r="BI69" s="108"/>
      <c r="BJ69" s="108"/>
      <c r="BK69" s="108"/>
      <c r="BL69" s="108"/>
      <c r="BM69" s="108"/>
      <c r="BN69" s="108"/>
      <c r="BO69" s="108"/>
      <c r="BP69" s="108"/>
      <c r="BQ69" s="108"/>
      <c r="BR69" s="108"/>
      <c r="BS69" s="108"/>
      <c r="BT69" s="108"/>
      <c r="BU69" s="108"/>
      <c r="BV69" s="108"/>
      <c r="BW69" s="108"/>
      <c r="BX69" s="108"/>
      <c r="BY69" s="108"/>
      <c r="BZ69" s="108"/>
      <c r="CA69" s="108"/>
      <c r="CB69" s="108"/>
      <c r="CC69" s="108"/>
      <c r="CD69" s="108"/>
      <c r="CE69" s="108"/>
      <c r="CF69" s="108"/>
      <c r="CG69" s="108"/>
      <c r="CH69" s="108"/>
      <c r="CI69" s="108"/>
      <c r="CJ69" s="108"/>
      <c r="CK69" s="108"/>
      <c r="CL69" s="108"/>
      <c r="CM69" s="108"/>
      <c r="CN69" s="108"/>
      <c r="CO69" s="108"/>
      <c r="CP69" s="108"/>
      <c r="CQ69" s="108"/>
      <c r="CR69" s="108"/>
      <c r="CS69" s="108"/>
      <c r="CT69" s="108"/>
      <c r="CU69" s="108"/>
      <c r="CV69" s="108"/>
      <c r="CW69" s="108"/>
      <c r="CX69" s="108"/>
      <c r="CY69" s="108"/>
      <c r="CZ69" s="108"/>
      <c r="DA69" s="108"/>
      <c r="DB69" s="108"/>
      <c r="DC69" s="108"/>
      <c r="DD69" s="108"/>
      <c r="DE69" s="108"/>
      <c r="DF69" s="108"/>
      <c r="DG69" s="108"/>
      <c r="DH69" s="108"/>
      <c r="DI69" s="108"/>
      <c r="DJ69" s="108"/>
      <c r="DK69" s="108"/>
      <c r="DL69" s="108"/>
      <c r="DM69" s="108"/>
      <c r="DN69" s="108"/>
      <c r="DO69" s="108"/>
      <c r="DP69" s="108"/>
      <c r="DQ69" s="108"/>
      <c r="DR69" s="108"/>
      <c r="DS69" s="108"/>
      <c r="DT69" s="108"/>
      <c r="DU69" s="108"/>
      <c r="DV69" s="108"/>
      <c r="DW69" s="108"/>
      <c r="DX69" s="108"/>
      <c r="DY69" s="108"/>
      <c r="DZ69" s="108"/>
      <c r="EA69" s="108"/>
      <c r="EB69" s="108"/>
      <c r="EC69" s="108"/>
      <c r="ED69" s="108"/>
      <c r="EE69" s="108"/>
      <c r="EF69" s="108"/>
      <c r="EG69" s="108"/>
      <c r="EH69" s="108"/>
      <c r="EI69" s="108"/>
      <c r="EJ69" s="108"/>
      <c r="EK69" s="108"/>
      <c r="EL69" s="108"/>
      <c r="EM69" s="108"/>
      <c r="EN69" s="108"/>
      <c r="EO69" s="108"/>
      <c r="EP69" s="108"/>
      <c r="EQ69" s="108"/>
      <c r="ER69" s="108"/>
      <c r="ES69" s="108"/>
      <c r="ET69" s="108"/>
      <c r="EU69" s="108"/>
      <c r="EV69" s="108"/>
      <c r="EW69" s="108"/>
      <c r="EX69" s="108"/>
      <c r="EY69" s="108"/>
      <c r="EZ69" s="108"/>
      <c r="FA69" s="108"/>
      <c r="FB69" s="108"/>
      <c r="FC69" s="108"/>
      <c r="FD69" s="108"/>
      <c r="FE69" s="108"/>
      <c r="FF69" s="108"/>
      <c r="FG69" s="108"/>
      <c r="FH69" s="108"/>
      <c r="FI69" s="108"/>
      <c r="FJ69" s="108"/>
      <c r="FK69" s="108"/>
      <c r="FL69" s="108"/>
      <c r="FM69" s="108"/>
      <c r="FN69" s="108"/>
      <c r="FO69" s="108"/>
      <c r="FP69" s="108"/>
      <c r="FQ69" s="108"/>
      <c r="FR69" s="108"/>
      <c r="FS69" s="108"/>
      <c r="FT69" s="108"/>
      <c r="FU69" s="108"/>
      <c r="FV69" s="108"/>
      <c r="FW69" s="108"/>
      <c r="FX69" s="108"/>
      <c r="FY69" s="108"/>
      <c r="FZ69" s="108"/>
      <c r="GA69" s="108"/>
      <c r="GB69" s="108"/>
      <c r="GC69" s="108"/>
      <c r="GD69" s="108"/>
      <c r="GE69" s="108"/>
      <c r="GF69" s="108"/>
      <c r="GG69" s="108"/>
      <c r="GH69" s="108"/>
      <c r="GI69" s="108"/>
      <c r="GJ69" s="108"/>
      <c r="GK69" s="108"/>
      <c r="GL69" s="108"/>
      <c r="GM69" s="108"/>
      <c r="GN69" s="108"/>
      <c r="GO69" s="108"/>
      <c r="GP69" s="108"/>
      <c r="GQ69" s="108"/>
      <c r="GR69" s="108"/>
      <c r="GS69" s="108"/>
      <c r="GT69" s="108"/>
      <c r="GU69" s="108"/>
      <c r="GV69" s="108"/>
      <c r="GW69" s="108"/>
      <c r="GX69" s="108"/>
      <c r="GY69" s="108"/>
      <c r="GZ69" s="108"/>
      <c r="HA69" s="108"/>
      <c r="HB69" s="108"/>
      <c r="HC69" s="108"/>
      <c r="HD69" s="108"/>
      <c r="HE69" s="108"/>
      <c r="HF69" s="108"/>
      <c r="HG69" s="108"/>
      <c r="HH69" s="108"/>
      <c r="HI69" s="108"/>
      <c r="HJ69" s="108"/>
      <c r="HK69" s="108"/>
      <c r="HL69" s="108"/>
      <c r="HM69" s="108"/>
      <c r="HN69" s="108"/>
      <c r="HO69" s="108"/>
      <c r="HP69" s="108"/>
      <c r="HQ69" s="108"/>
      <c r="HR69" s="108"/>
      <c r="HS69" s="108"/>
      <c r="HT69" s="108"/>
      <c r="HU69" s="108"/>
      <c r="HV69" s="108"/>
      <c r="HW69" s="108"/>
      <c r="HX69" s="108"/>
      <c r="HY69" s="108"/>
      <c r="HZ69" s="108"/>
      <c r="IA69" s="108"/>
      <c r="IB69" s="108"/>
      <c r="IC69" s="108"/>
      <c r="ID69" s="108"/>
      <c r="IE69" s="108"/>
      <c r="IF69" s="108"/>
      <c r="IG69" s="108"/>
      <c r="IH69" s="108"/>
      <c r="II69" s="108"/>
      <c r="IJ69" s="108"/>
      <c r="IK69" s="108"/>
      <c r="IL69" s="108"/>
      <c r="IM69" s="108"/>
      <c r="IN69" s="108"/>
      <c r="IO69" s="108"/>
      <c r="IP69" s="108"/>
      <c r="IQ69" s="108"/>
      <c r="IR69" s="108"/>
      <c r="IS69" s="108"/>
      <c r="IT69" s="108"/>
      <c r="IU69" s="108"/>
      <c r="IV69" s="108"/>
      <c r="IW69" s="108"/>
    </row>
    <row r="70" spans="1:257" x14ac:dyDescent="0.3">
      <c r="A70" s="158"/>
      <c r="B70" s="158"/>
      <c r="C70" s="158"/>
      <c r="D70" s="158"/>
      <c r="E70" s="158"/>
      <c r="F70" s="158"/>
      <c r="G70" s="158"/>
      <c r="H70" s="158"/>
      <c r="I70" s="158"/>
      <c r="J70" s="158"/>
      <c r="K70" s="158"/>
      <c r="L70" s="158"/>
      <c r="M70" s="158"/>
      <c r="N70" s="158"/>
      <c r="O70" s="108"/>
      <c r="P70" s="108"/>
      <c r="Q70" s="108"/>
      <c r="R70" s="108"/>
      <c r="S70" s="108"/>
      <c r="T70" s="108"/>
      <c r="U70" s="108"/>
      <c r="V70" s="108"/>
      <c r="W70" s="108"/>
      <c r="X70" s="108"/>
      <c r="Y70" s="108"/>
      <c r="Z70" s="108"/>
      <c r="AA70" s="108"/>
      <c r="AB70" s="108"/>
      <c r="AC70" s="108"/>
      <c r="AD70" s="108"/>
      <c r="AE70" s="108"/>
      <c r="AF70" s="108"/>
      <c r="AG70" s="108"/>
      <c r="AH70" s="108"/>
      <c r="AI70" s="108"/>
      <c r="AJ70" s="108"/>
      <c r="AK70" s="108"/>
      <c r="AL70" s="108"/>
      <c r="AM70" s="108"/>
      <c r="AN70" s="108"/>
      <c r="AO70" s="108"/>
      <c r="AP70" s="108"/>
      <c r="AQ70" s="108"/>
      <c r="AR70" s="108"/>
      <c r="AS70" s="108"/>
      <c r="AT70" s="108"/>
      <c r="AU70" s="108"/>
      <c r="AV70" s="108"/>
      <c r="AW70" s="108"/>
      <c r="AX70" s="108"/>
      <c r="AY70" s="108"/>
      <c r="AZ70" s="108"/>
      <c r="BA70" s="108"/>
      <c r="BB70" s="108"/>
      <c r="BC70" s="108"/>
      <c r="BD70" s="108"/>
      <c r="BE70" s="108"/>
      <c r="BF70" s="108"/>
      <c r="BG70" s="108"/>
      <c r="BH70" s="108"/>
      <c r="BI70" s="108"/>
      <c r="BJ70" s="108"/>
      <c r="BK70" s="108"/>
      <c r="BL70" s="108"/>
      <c r="BM70" s="108"/>
      <c r="BN70" s="108"/>
      <c r="BO70" s="108"/>
      <c r="BP70" s="108"/>
      <c r="BQ70" s="108"/>
      <c r="BR70" s="108"/>
      <c r="BS70" s="108"/>
      <c r="BT70" s="108"/>
      <c r="BU70" s="108"/>
      <c r="BV70" s="108"/>
      <c r="BW70" s="108"/>
      <c r="BX70" s="108"/>
      <c r="BY70" s="108"/>
      <c r="BZ70" s="108"/>
      <c r="CA70" s="108"/>
      <c r="CB70" s="108"/>
      <c r="CC70" s="108"/>
      <c r="CD70" s="108"/>
      <c r="CE70" s="108"/>
      <c r="CF70" s="108"/>
      <c r="CG70" s="108"/>
      <c r="CH70" s="108"/>
      <c r="CI70" s="108"/>
      <c r="CJ70" s="108"/>
      <c r="CK70" s="108"/>
      <c r="CL70" s="108"/>
      <c r="CM70" s="108"/>
      <c r="CN70" s="108"/>
      <c r="CO70" s="108"/>
      <c r="CP70" s="108"/>
      <c r="CQ70" s="108"/>
      <c r="CR70" s="108"/>
      <c r="CS70" s="108"/>
      <c r="CT70" s="108"/>
      <c r="CU70" s="108"/>
      <c r="CV70" s="108"/>
      <c r="CW70" s="108"/>
      <c r="CX70" s="108"/>
      <c r="CY70" s="108"/>
      <c r="CZ70" s="108"/>
      <c r="DA70" s="108"/>
      <c r="DB70" s="108"/>
      <c r="DC70" s="108"/>
      <c r="DD70" s="108"/>
      <c r="DE70" s="108"/>
      <c r="DF70" s="108"/>
      <c r="DG70" s="108"/>
      <c r="DH70" s="108"/>
      <c r="DI70" s="108"/>
      <c r="DJ70" s="108"/>
      <c r="DK70" s="108"/>
      <c r="DL70" s="108"/>
      <c r="DM70" s="108"/>
      <c r="DN70" s="108"/>
      <c r="DO70" s="108"/>
      <c r="DP70" s="108"/>
      <c r="DQ70" s="108"/>
      <c r="DR70" s="108"/>
      <c r="DS70" s="108"/>
      <c r="DT70" s="108"/>
      <c r="DU70" s="108"/>
      <c r="DV70" s="108"/>
      <c r="DW70" s="108"/>
      <c r="DX70" s="108"/>
      <c r="DY70" s="108"/>
      <c r="DZ70" s="108"/>
      <c r="EA70" s="108"/>
      <c r="EB70" s="108"/>
      <c r="EC70" s="108"/>
      <c r="ED70" s="108"/>
      <c r="EE70" s="108"/>
      <c r="EF70" s="108"/>
      <c r="EG70" s="108"/>
      <c r="EH70" s="108"/>
      <c r="EI70" s="108"/>
      <c r="EJ70" s="108"/>
      <c r="EK70" s="108"/>
      <c r="EL70" s="108"/>
      <c r="EM70" s="108"/>
      <c r="EN70" s="108"/>
      <c r="EO70" s="108"/>
      <c r="EP70" s="108"/>
      <c r="EQ70" s="108"/>
      <c r="ER70" s="108"/>
      <c r="ES70" s="108"/>
      <c r="ET70" s="108"/>
      <c r="EU70" s="108"/>
      <c r="EV70" s="108"/>
      <c r="EW70" s="108"/>
      <c r="EX70" s="108"/>
      <c r="EY70" s="108"/>
      <c r="EZ70" s="108"/>
      <c r="FA70" s="108"/>
      <c r="FB70" s="108"/>
      <c r="FC70" s="108"/>
      <c r="FD70" s="108"/>
      <c r="FE70" s="108"/>
      <c r="FF70" s="108"/>
      <c r="FG70" s="108"/>
      <c r="FH70" s="108"/>
      <c r="FI70" s="108"/>
      <c r="FJ70" s="108"/>
      <c r="FK70" s="108"/>
      <c r="FL70" s="108"/>
      <c r="FM70" s="108"/>
      <c r="FN70" s="108"/>
      <c r="FO70" s="108"/>
      <c r="FP70" s="108"/>
      <c r="FQ70" s="108"/>
      <c r="FR70" s="108"/>
      <c r="FS70" s="108"/>
      <c r="FT70" s="108"/>
      <c r="FU70" s="108"/>
      <c r="FV70" s="108"/>
      <c r="FW70" s="108"/>
      <c r="FX70" s="108"/>
      <c r="FY70" s="108"/>
      <c r="FZ70" s="108"/>
      <c r="GA70" s="108"/>
      <c r="GB70" s="108"/>
      <c r="GC70" s="108"/>
      <c r="GD70" s="108"/>
      <c r="GE70" s="108"/>
      <c r="GF70" s="108"/>
      <c r="GG70" s="108"/>
      <c r="GH70" s="108"/>
      <c r="GI70" s="108"/>
      <c r="GJ70" s="108"/>
      <c r="GK70" s="108"/>
      <c r="GL70" s="108"/>
      <c r="GM70" s="108"/>
      <c r="GN70" s="108"/>
      <c r="GO70" s="108"/>
      <c r="GP70" s="108"/>
      <c r="GQ70" s="108"/>
      <c r="GR70" s="108"/>
      <c r="GS70" s="108"/>
      <c r="GT70" s="108"/>
      <c r="GU70" s="108"/>
      <c r="GV70" s="108"/>
      <c r="GW70" s="108"/>
      <c r="GX70" s="108"/>
      <c r="GY70" s="108"/>
      <c r="GZ70" s="108"/>
      <c r="HA70" s="108"/>
      <c r="HB70" s="108"/>
      <c r="HC70" s="108"/>
      <c r="HD70" s="108"/>
      <c r="HE70" s="108"/>
      <c r="HF70" s="108"/>
      <c r="HG70" s="108"/>
      <c r="HH70" s="108"/>
      <c r="HI70" s="108"/>
      <c r="HJ70" s="108"/>
      <c r="HK70" s="108"/>
      <c r="HL70" s="108"/>
      <c r="HM70" s="108"/>
      <c r="HN70" s="108"/>
      <c r="HO70" s="108"/>
      <c r="HP70" s="108"/>
      <c r="HQ70" s="108"/>
      <c r="HR70" s="108"/>
      <c r="HS70" s="108"/>
      <c r="HT70" s="108"/>
      <c r="HU70" s="108"/>
      <c r="HV70" s="108"/>
      <c r="HW70" s="108"/>
      <c r="HX70" s="108"/>
      <c r="HY70" s="108"/>
      <c r="HZ70" s="108"/>
      <c r="IA70" s="108"/>
      <c r="IB70" s="108"/>
      <c r="IC70" s="108"/>
      <c r="ID70" s="108"/>
      <c r="IE70" s="108"/>
      <c r="IF70" s="108"/>
      <c r="IG70" s="108"/>
      <c r="IH70" s="108"/>
      <c r="II70" s="108"/>
      <c r="IJ70" s="108"/>
      <c r="IK70" s="108"/>
      <c r="IL70" s="108"/>
      <c r="IM70" s="108"/>
      <c r="IN70" s="108"/>
      <c r="IO70" s="108"/>
      <c r="IP70" s="108"/>
      <c r="IQ70" s="108"/>
      <c r="IR70" s="108"/>
      <c r="IS70" s="108"/>
      <c r="IT70" s="108"/>
      <c r="IU70" s="108"/>
      <c r="IV70" s="108"/>
      <c r="IW70" s="108"/>
    </row>
    <row r="71" spans="1:257" x14ac:dyDescent="0.3">
      <c r="A71" s="158"/>
      <c r="B71" s="158"/>
      <c r="C71" s="158"/>
      <c r="D71" s="158"/>
      <c r="E71" s="158"/>
      <c r="F71" s="158"/>
      <c r="G71" s="158"/>
      <c r="H71" s="158"/>
      <c r="I71" s="158"/>
      <c r="J71" s="158"/>
      <c r="K71" s="158"/>
      <c r="L71" s="158"/>
      <c r="M71" s="158"/>
      <c r="N71" s="158"/>
      <c r="O71" s="108"/>
      <c r="P71" s="108"/>
      <c r="Q71" s="108"/>
      <c r="R71" s="108"/>
      <c r="S71" s="108"/>
      <c r="T71" s="108"/>
      <c r="U71" s="108"/>
      <c r="V71" s="108"/>
      <c r="W71" s="108"/>
      <c r="X71" s="108"/>
      <c r="Y71" s="108"/>
      <c r="Z71" s="108"/>
      <c r="AA71" s="108"/>
      <c r="AB71" s="108"/>
      <c r="AC71" s="108"/>
      <c r="AD71" s="108"/>
      <c r="AE71" s="108"/>
      <c r="AF71" s="108"/>
      <c r="AG71" s="108"/>
      <c r="AH71" s="108"/>
      <c r="AI71" s="108"/>
      <c r="AJ71" s="108"/>
      <c r="AK71" s="108"/>
      <c r="AL71" s="108"/>
      <c r="AM71" s="108"/>
      <c r="AN71" s="108"/>
      <c r="AO71" s="108"/>
      <c r="AP71" s="108"/>
      <c r="AQ71" s="108"/>
      <c r="AR71" s="108"/>
      <c r="AS71" s="108"/>
      <c r="AT71" s="108"/>
      <c r="AU71" s="108"/>
      <c r="AV71" s="108"/>
      <c r="AW71" s="108"/>
      <c r="AX71" s="108"/>
      <c r="AY71" s="108"/>
      <c r="AZ71" s="108"/>
      <c r="BA71" s="108"/>
      <c r="BB71" s="108"/>
      <c r="BC71" s="108"/>
      <c r="BD71" s="108"/>
      <c r="BE71" s="108"/>
      <c r="BF71" s="108"/>
      <c r="BG71" s="108"/>
      <c r="BH71" s="108"/>
      <c r="BI71" s="108"/>
      <c r="BJ71" s="108"/>
      <c r="BK71" s="108"/>
      <c r="BL71" s="108"/>
      <c r="BM71" s="108"/>
      <c r="BN71" s="108"/>
      <c r="BO71" s="108"/>
      <c r="BP71" s="108"/>
      <c r="BQ71" s="108"/>
      <c r="BR71" s="108"/>
      <c r="BS71" s="108"/>
      <c r="BT71" s="108"/>
      <c r="BU71" s="108"/>
      <c r="BV71" s="108"/>
      <c r="BW71" s="108"/>
      <c r="BX71" s="108"/>
      <c r="BY71" s="108"/>
      <c r="BZ71" s="108"/>
      <c r="CA71" s="108"/>
      <c r="CB71" s="108"/>
      <c r="CC71" s="108"/>
      <c r="CD71" s="108"/>
      <c r="CE71" s="108"/>
      <c r="CF71" s="108"/>
      <c r="CG71" s="108"/>
      <c r="CH71" s="108"/>
      <c r="CI71" s="108"/>
      <c r="CJ71" s="108"/>
      <c r="CK71" s="108"/>
      <c r="CL71" s="108"/>
      <c r="CM71" s="108"/>
      <c r="CN71" s="108"/>
      <c r="CO71" s="108"/>
      <c r="CP71" s="108"/>
      <c r="CQ71" s="108"/>
      <c r="CR71" s="108"/>
      <c r="CS71" s="108"/>
      <c r="CT71" s="108"/>
      <c r="CU71" s="108"/>
      <c r="CV71" s="108"/>
      <c r="CW71" s="108"/>
      <c r="CX71" s="108"/>
      <c r="CY71" s="108"/>
      <c r="CZ71" s="108"/>
      <c r="DA71" s="108"/>
      <c r="DB71" s="108"/>
      <c r="DC71" s="108"/>
      <c r="DD71" s="108"/>
      <c r="DE71" s="108"/>
      <c r="DF71" s="108"/>
      <c r="DG71" s="108"/>
      <c r="DH71" s="108"/>
      <c r="DI71" s="108"/>
      <c r="DJ71" s="108"/>
      <c r="DK71" s="108"/>
      <c r="DL71" s="108"/>
      <c r="DM71" s="108"/>
      <c r="DN71" s="108"/>
      <c r="DO71" s="108"/>
      <c r="DP71" s="108"/>
      <c r="DQ71" s="108"/>
      <c r="DR71" s="108"/>
      <c r="DS71" s="108"/>
      <c r="DT71" s="108"/>
      <c r="DU71" s="108"/>
      <c r="DV71" s="108"/>
      <c r="DW71" s="108"/>
      <c r="DX71" s="108"/>
      <c r="DY71" s="108"/>
      <c r="DZ71" s="108"/>
      <c r="EA71" s="108"/>
      <c r="EB71" s="108"/>
      <c r="EC71" s="108"/>
      <c r="ED71" s="108"/>
      <c r="EE71" s="108"/>
      <c r="EF71" s="108"/>
      <c r="EG71" s="108"/>
      <c r="EH71" s="108"/>
      <c r="EI71" s="108"/>
      <c r="EJ71" s="108"/>
      <c r="EK71" s="108"/>
      <c r="EL71" s="108"/>
      <c r="EM71" s="108"/>
      <c r="EN71" s="108"/>
      <c r="EO71" s="108"/>
      <c r="EP71" s="108"/>
      <c r="EQ71" s="108"/>
      <c r="ER71" s="108"/>
      <c r="ES71" s="108"/>
      <c r="ET71" s="108"/>
      <c r="EU71" s="108"/>
      <c r="EV71" s="108"/>
      <c r="EW71" s="108"/>
      <c r="EX71" s="108"/>
      <c r="EY71" s="108"/>
      <c r="EZ71" s="108"/>
      <c r="FA71" s="108"/>
      <c r="FB71" s="108"/>
      <c r="FC71" s="108"/>
      <c r="FD71" s="108"/>
      <c r="FE71" s="108"/>
      <c r="FF71" s="108"/>
      <c r="FG71" s="108"/>
      <c r="FH71" s="108"/>
      <c r="FI71" s="108"/>
      <c r="FJ71" s="108"/>
      <c r="FK71" s="108"/>
      <c r="FL71" s="108"/>
      <c r="FM71" s="108"/>
      <c r="FN71" s="108"/>
      <c r="FO71" s="108"/>
      <c r="FP71" s="108"/>
      <c r="FQ71" s="108"/>
      <c r="FR71" s="108"/>
      <c r="FS71" s="108"/>
      <c r="FT71" s="108"/>
      <c r="FU71" s="108"/>
      <c r="FV71" s="108"/>
      <c r="FW71" s="108"/>
      <c r="FX71" s="108"/>
      <c r="FY71" s="108"/>
      <c r="FZ71" s="108"/>
      <c r="GA71" s="108"/>
      <c r="GB71" s="108"/>
      <c r="GC71" s="108"/>
      <c r="GD71" s="108"/>
      <c r="GE71" s="108"/>
      <c r="GF71" s="108"/>
      <c r="GG71" s="108"/>
      <c r="GH71" s="108"/>
      <c r="GI71" s="108"/>
      <c r="GJ71" s="108"/>
      <c r="GK71" s="108"/>
      <c r="GL71" s="108"/>
      <c r="GM71" s="108"/>
      <c r="GN71" s="108"/>
      <c r="GO71" s="108"/>
      <c r="GP71" s="108"/>
      <c r="GQ71" s="108"/>
      <c r="GR71" s="108"/>
      <c r="GS71" s="108"/>
      <c r="GT71" s="108"/>
      <c r="GU71" s="108"/>
      <c r="GV71" s="108"/>
      <c r="GW71" s="108"/>
      <c r="GX71" s="108"/>
      <c r="GY71" s="108"/>
      <c r="GZ71" s="108"/>
      <c r="HA71" s="108"/>
      <c r="HB71" s="108"/>
      <c r="HC71" s="108"/>
      <c r="HD71" s="108"/>
      <c r="HE71" s="108"/>
      <c r="HF71" s="108"/>
      <c r="HG71" s="108"/>
      <c r="HH71" s="108"/>
      <c r="HI71" s="108"/>
      <c r="HJ71" s="108"/>
      <c r="HK71" s="108"/>
      <c r="HL71" s="108"/>
      <c r="HM71" s="108"/>
      <c r="HN71" s="108"/>
      <c r="HO71" s="108"/>
      <c r="HP71" s="108"/>
      <c r="HQ71" s="108"/>
      <c r="HR71" s="108"/>
      <c r="HS71" s="108"/>
      <c r="HT71" s="108"/>
      <c r="HU71" s="108"/>
      <c r="HV71" s="108"/>
      <c r="HW71" s="108"/>
      <c r="HX71" s="108"/>
      <c r="HY71" s="108"/>
      <c r="HZ71" s="108"/>
      <c r="IA71" s="108"/>
      <c r="IB71" s="108"/>
      <c r="IC71" s="108"/>
      <c r="ID71" s="108"/>
      <c r="IE71" s="108"/>
      <c r="IF71" s="108"/>
      <c r="IG71" s="108"/>
      <c r="IH71" s="108"/>
      <c r="II71" s="108"/>
      <c r="IJ71" s="108"/>
      <c r="IK71" s="108"/>
      <c r="IL71" s="108"/>
      <c r="IM71" s="108"/>
      <c r="IN71" s="108"/>
      <c r="IO71" s="108"/>
      <c r="IP71" s="108"/>
      <c r="IQ71" s="108"/>
      <c r="IR71" s="108"/>
      <c r="IS71" s="108"/>
      <c r="IT71" s="108"/>
      <c r="IU71" s="108"/>
      <c r="IV71" s="108"/>
      <c r="IW71" s="108"/>
    </row>
    <row r="72" spans="1:257" x14ac:dyDescent="0.3">
      <c r="A72" s="158"/>
      <c r="B72" s="158"/>
      <c r="C72" s="158"/>
      <c r="D72" s="158"/>
      <c r="E72" s="158"/>
      <c r="F72" s="158"/>
      <c r="G72" s="158"/>
      <c r="H72" s="158"/>
      <c r="I72" s="158"/>
      <c r="J72" s="158"/>
      <c r="K72" s="158"/>
      <c r="L72" s="158"/>
      <c r="M72" s="158"/>
      <c r="N72" s="158"/>
      <c r="O72" s="108"/>
      <c r="P72" s="108"/>
      <c r="Q72" s="108"/>
      <c r="R72" s="108"/>
      <c r="S72" s="108"/>
      <c r="T72" s="108"/>
      <c r="U72" s="108"/>
      <c r="V72" s="108"/>
      <c r="W72" s="108"/>
      <c r="X72" s="108"/>
      <c r="Y72" s="108"/>
      <c r="Z72" s="108"/>
      <c r="AA72" s="108"/>
      <c r="AB72" s="108"/>
      <c r="AC72" s="108"/>
      <c r="AD72" s="108"/>
      <c r="AE72" s="108"/>
      <c r="AF72" s="108"/>
      <c r="AG72" s="108"/>
      <c r="AH72" s="108"/>
      <c r="AI72" s="108"/>
      <c r="AJ72" s="108"/>
      <c r="AK72" s="108"/>
      <c r="AL72" s="108"/>
      <c r="AM72" s="108"/>
      <c r="AN72" s="108"/>
      <c r="AO72" s="108"/>
      <c r="AP72" s="108"/>
      <c r="AQ72" s="108"/>
      <c r="AR72" s="108"/>
      <c r="AS72" s="108"/>
      <c r="AT72" s="108"/>
      <c r="AU72" s="108"/>
      <c r="AV72" s="108"/>
      <c r="AW72" s="108"/>
      <c r="AX72" s="108"/>
      <c r="AY72" s="108"/>
      <c r="AZ72" s="108"/>
      <c r="BA72" s="108"/>
      <c r="BB72" s="108"/>
      <c r="BC72" s="108"/>
      <c r="BD72" s="108"/>
      <c r="BE72" s="108"/>
      <c r="BF72" s="108"/>
      <c r="BG72" s="108"/>
      <c r="BH72" s="108"/>
      <c r="BI72" s="108"/>
      <c r="BJ72" s="108"/>
      <c r="BK72" s="108"/>
      <c r="BL72" s="108"/>
      <c r="BM72" s="108"/>
      <c r="BN72" s="108"/>
      <c r="BO72" s="108"/>
      <c r="BP72" s="108"/>
      <c r="BQ72" s="108"/>
      <c r="BR72" s="108"/>
      <c r="BS72" s="108"/>
      <c r="BT72" s="108"/>
      <c r="BU72" s="108"/>
      <c r="BV72" s="108"/>
      <c r="BW72" s="108"/>
      <c r="BX72" s="108"/>
      <c r="BY72" s="108"/>
      <c r="BZ72" s="108"/>
      <c r="CA72" s="108"/>
      <c r="CB72" s="108"/>
      <c r="CC72" s="108"/>
      <c r="CD72" s="108"/>
      <c r="CE72" s="108"/>
      <c r="CF72" s="108"/>
      <c r="CG72" s="108"/>
      <c r="CH72" s="108"/>
      <c r="CI72" s="108"/>
      <c r="CJ72" s="108"/>
      <c r="CK72" s="108"/>
      <c r="CL72" s="108"/>
      <c r="CM72" s="108"/>
      <c r="CN72" s="108"/>
      <c r="CO72" s="108"/>
      <c r="CP72" s="108"/>
      <c r="CQ72" s="108"/>
      <c r="CR72" s="108"/>
      <c r="CS72" s="108"/>
      <c r="CT72" s="108"/>
      <c r="CU72" s="108"/>
      <c r="CV72" s="108"/>
      <c r="CW72" s="108"/>
      <c r="CX72" s="108"/>
      <c r="CY72" s="108"/>
      <c r="CZ72" s="108"/>
      <c r="DA72" s="108"/>
      <c r="DB72" s="108"/>
      <c r="DC72" s="108"/>
      <c r="DD72" s="108"/>
      <c r="DE72" s="108"/>
      <c r="DF72" s="108"/>
      <c r="DG72" s="108"/>
      <c r="DH72" s="108"/>
      <c r="DI72" s="108"/>
      <c r="DJ72" s="108"/>
      <c r="DK72" s="108"/>
      <c r="DL72" s="108"/>
      <c r="DM72" s="108"/>
      <c r="DN72" s="108"/>
      <c r="DO72" s="108"/>
      <c r="DP72" s="108"/>
      <c r="DQ72" s="108"/>
      <c r="DR72" s="108"/>
      <c r="DS72" s="108"/>
      <c r="DT72" s="108"/>
      <c r="DU72" s="108"/>
      <c r="DV72" s="108"/>
      <c r="DW72" s="108"/>
      <c r="DX72" s="108"/>
      <c r="DY72" s="108"/>
      <c r="DZ72" s="108"/>
      <c r="EA72" s="108"/>
      <c r="EB72" s="108"/>
      <c r="EC72" s="108"/>
      <c r="ED72" s="108"/>
      <c r="EE72" s="108"/>
      <c r="EF72" s="108"/>
      <c r="EG72" s="108"/>
      <c r="EH72" s="108"/>
      <c r="EI72" s="108"/>
      <c r="EJ72" s="108"/>
      <c r="EK72" s="108"/>
      <c r="EL72" s="108"/>
      <c r="EM72" s="108"/>
      <c r="EN72" s="108"/>
      <c r="EO72" s="108"/>
      <c r="EP72" s="108"/>
      <c r="EQ72" s="108"/>
      <c r="ER72" s="108"/>
      <c r="ES72" s="108"/>
      <c r="ET72" s="108"/>
      <c r="EU72" s="108"/>
      <c r="EV72" s="108"/>
      <c r="EW72" s="108"/>
      <c r="EX72" s="108"/>
      <c r="EY72" s="108"/>
      <c r="EZ72" s="108"/>
      <c r="FA72" s="108"/>
      <c r="FB72" s="108"/>
      <c r="FC72" s="108"/>
      <c r="FD72" s="108"/>
      <c r="FE72" s="108"/>
      <c r="FF72" s="108"/>
      <c r="FG72" s="108"/>
      <c r="FH72" s="108"/>
      <c r="FI72" s="108"/>
      <c r="FJ72" s="108"/>
      <c r="FK72" s="108"/>
      <c r="FL72" s="108"/>
      <c r="FM72" s="108"/>
      <c r="FN72" s="108"/>
      <c r="FO72" s="108"/>
      <c r="FP72" s="108"/>
      <c r="FQ72" s="108"/>
      <c r="FR72" s="108"/>
      <c r="FS72" s="108"/>
      <c r="FT72" s="108"/>
      <c r="FU72" s="108"/>
      <c r="FV72" s="108"/>
      <c r="FW72" s="108"/>
      <c r="FX72" s="108"/>
      <c r="FY72" s="108"/>
      <c r="FZ72" s="108"/>
      <c r="GA72" s="108"/>
      <c r="GB72" s="108"/>
      <c r="GC72" s="108"/>
      <c r="GD72" s="108"/>
      <c r="GE72" s="108"/>
      <c r="GF72" s="108"/>
      <c r="GG72" s="108"/>
      <c r="GH72" s="108"/>
      <c r="GI72" s="108"/>
      <c r="GJ72" s="108"/>
      <c r="GK72" s="108"/>
      <c r="GL72" s="108"/>
      <c r="GM72" s="108"/>
      <c r="GN72" s="108"/>
      <c r="GO72" s="108"/>
      <c r="GP72" s="108"/>
      <c r="GQ72" s="108"/>
      <c r="GR72" s="108"/>
      <c r="GS72" s="108"/>
      <c r="GT72" s="108"/>
      <c r="GU72" s="108"/>
      <c r="GV72" s="108"/>
      <c r="GW72" s="108"/>
      <c r="GX72" s="108"/>
      <c r="GY72" s="108"/>
      <c r="GZ72" s="108"/>
      <c r="HA72" s="108"/>
      <c r="HB72" s="108"/>
      <c r="HC72" s="108"/>
      <c r="HD72" s="108"/>
      <c r="HE72" s="108"/>
      <c r="HF72" s="108"/>
      <c r="HG72" s="108"/>
      <c r="HH72" s="108"/>
      <c r="HI72" s="108"/>
      <c r="HJ72" s="108"/>
      <c r="HK72" s="108"/>
      <c r="HL72" s="108"/>
      <c r="HM72" s="108"/>
      <c r="HN72" s="108"/>
      <c r="HO72" s="108"/>
      <c r="HP72" s="108"/>
      <c r="HQ72" s="108"/>
      <c r="HR72" s="108"/>
      <c r="HS72" s="108"/>
      <c r="HT72" s="108"/>
      <c r="HU72" s="108"/>
      <c r="HV72" s="108"/>
      <c r="HW72" s="108"/>
      <c r="HX72" s="108"/>
      <c r="HY72" s="108"/>
      <c r="HZ72" s="108"/>
      <c r="IA72" s="108"/>
      <c r="IB72" s="108"/>
      <c r="IC72" s="108"/>
      <c r="ID72" s="108"/>
      <c r="IE72" s="108"/>
      <c r="IF72" s="108"/>
      <c r="IG72" s="108"/>
      <c r="IH72" s="108"/>
      <c r="II72" s="108"/>
      <c r="IJ72" s="108"/>
      <c r="IK72" s="108"/>
      <c r="IL72" s="108"/>
      <c r="IM72" s="108"/>
      <c r="IN72" s="108"/>
      <c r="IO72" s="108"/>
      <c r="IP72" s="108"/>
      <c r="IQ72" s="108"/>
      <c r="IR72" s="108"/>
      <c r="IS72" s="108"/>
      <c r="IT72" s="108"/>
      <c r="IU72" s="108"/>
      <c r="IV72" s="108"/>
      <c r="IW72" s="108"/>
    </row>
    <row r="73" spans="1:257" x14ac:dyDescent="0.3">
      <c r="A73" s="158"/>
      <c r="B73" s="158"/>
      <c r="C73" s="158"/>
      <c r="D73" s="158"/>
      <c r="E73" s="158"/>
      <c r="F73" s="158"/>
      <c r="G73" s="158"/>
      <c r="H73" s="158"/>
      <c r="I73" s="158"/>
      <c r="J73" s="158"/>
      <c r="K73" s="158"/>
      <c r="L73" s="158"/>
      <c r="M73" s="158"/>
      <c r="N73" s="158"/>
      <c r="O73" s="108"/>
      <c r="P73" s="108"/>
      <c r="Q73" s="108"/>
      <c r="R73" s="108"/>
      <c r="S73" s="108"/>
      <c r="T73" s="108"/>
      <c r="U73" s="108"/>
      <c r="V73" s="108"/>
      <c r="W73" s="108"/>
      <c r="X73" s="108"/>
      <c r="Y73" s="108"/>
      <c r="Z73" s="108"/>
      <c r="AA73" s="108"/>
      <c r="AB73" s="108"/>
      <c r="AC73" s="108"/>
      <c r="AD73" s="108"/>
      <c r="AE73" s="108"/>
      <c r="AF73" s="108"/>
      <c r="AG73" s="108"/>
      <c r="AH73" s="108"/>
      <c r="AI73" s="108"/>
      <c r="AJ73" s="108"/>
      <c r="AK73" s="108"/>
      <c r="AL73" s="108"/>
      <c r="AM73" s="108"/>
      <c r="AN73" s="108"/>
      <c r="AO73" s="108"/>
      <c r="AP73" s="108"/>
      <c r="AQ73" s="108"/>
      <c r="AR73" s="108"/>
      <c r="AS73" s="108"/>
      <c r="AT73" s="108"/>
      <c r="AU73" s="108"/>
      <c r="AV73" s="108"/>
      <c r="AW73" s="108"/>
      <c r="AX73" s="108"/>
      <c r="AY73" s="108"/>
      <c r="AZ73" s="108"/>
      <c r="BA73" s="108"/>
      <c r="BB73" s="108"/>
      <c r="BC73" s="108"/>
      <c r="BD73" s="108"/>
      <c r="BE73" s="108"/>
      <c r="BF73" s="108"/>
      <c r="BG73" s="108"/>
      <c r="BH73" s="108"/>
      <c r="BI73" s="108"/>
      <c r="BJ73" s="108"/>
      <c r="BK73" s="108"/>
      <c r="BL73" s="108"/>
      <c r="BM73" s="108"/>
      <c r="BN73" s="108"/>
      <c r="BO73" s="108"/>
      <c r="BP73" s="108"/>
      <c r="BQ73" s="108"/>
      <c r="BR73" s="108"/>
      <c r="BS73" s="108"/>
      <c r="BT73" s="108"/>
      <c r="BU73" s="108"/>
      <c r="BV73" s="108"/>
      <c r="BW73" s="108"/>
      <c r="BX73" s="108"/>
      <c r="BY73" s="108"/>
      <c r="BZ73" s="108"/>
      <c r="CA73" s="108"/>
      <c r="CB73" s="108"/>
      <c r="CC73" s="108"/>
      <c r="CD73" s="108"/>
      <c r="CE73" s="108"/>
      <c r="CF73" s="108"/>
      <c r="CG73" s="108"/>
      <c r="CH73" s="108"/>
      <c r="CI73" s="108"/>
      <c r="CJ73" s="108"/>
      <c r="CK73" s="108"/>
      <c r="CL73" s="108"/>
      <c r="CM73" s="108"/>
      <c r="CN73" s="108"/>
      <c r="CO73" s="108"/>
      <c r="CP73" s="108"/>
      <c r="CQ73" s="108"/>
      <c r="CR73" s="108"/>
      <c r="CS73" s="108"/>
      <c r="CT73" s="108"/>
      <c r="CU73" s="108"/>
      <c r="CV73" s="108"/>
      <c r="CW73" s="108"/>
      <c r="CX73" s="108"/>
      <c r="CY73" s="108"/>
      <c r="CZ73" s="108"/>
      <c r="DA73" s="108"/>
      <c r="DB73" s="108"/>
      <c r="DC73" s="108"/>
      <c r="DD73" s="108"/>
      <c r="DE73" s="108"/>
      <c r="DF73" s="108"/>
      <c r="DG73" s="108"/>
      <c r="DH73" s="108"/>
      <c r="DI73" s="108"/>
      <c r="DJ73" s="108"/>
      <c r="DK73" s="108"/>
      <c r="DL73" s="108"/>
      <c r="DM73" s="108"/>
      <c r="DN73" s="108"/>
      <c r="DO73" s="108"/>
      <c r="DP73" s="108"/>
      <c r="DQ73" s="108"/>
      <c r="DR73" s="108"/>
      <c r="DS73" s="108"/>
      <c r="DT73" s="108"/>
      <c r="DU73" s="108"/>
      <c r="DV73" s="108"/>
      <c r="DW73" s="108"/>
      <c r="DX73" s="108"/>
      <c r="DY73" s="108"/>
      <c r="DZ73" s="108"/>
      <c r="EA73" s="108"/>
      <c r="EB73" s="108"/>
      <c r="EC73" s="108"/>
      <c r="ED73" s="108"/>
      <c r="EE73" s="108"/>
      <c r="EF73" s="108"/>
      <c r="EG73" s="108"/>
      <c r="EH73" s="108"/>
      <c r="EI73" s="108"/>
      <c r="EJ73" s="108"/>
      <c r="EK73" s="108"/>
      <c r="EL73" s="108"/>
      <c r="EM73" s="108"/>
      <c r="EN73" s="108"/>
      <c r="EO73" s="108"/>
      <c r="EP73" s="108"/>
      <c r="EQ73" s="108"/>
      <c r="ER73" s="108"/>
      <c r="ES73" s="108"/>
      <c r="ET73" s="108"/>
      <c r="EU73" s="108"/>
      <c r="EV73" s="108"/>
      <c r="EW73" s="108"/>
      <c r="EX73" s="108"/>
      <c r="EY73" s="108"/>
      <c r="EZ73" s="108"/>
      <c r="FA73" s="108"/>
      <c r="FB73" s="108"/>
      <c r="FC73" s="108"/>
      <c r="FD73" s="108"/>
      <c r="FE73" s="108"/>
      <c r="FF73" s="108"/>
      <c r="FG73" s="108"/>
      <c r="FH73" s="108"/>
      <c r="FI73" s="108"/>
      <c r="FJ73" s="108"/>
      <c r="FK73" s="108"/>
      <c r="FL73" s="108"/>
      <c r="FM73" s="108"/>
      <c r="FN73" s="108"/>
      <c r="FO73" s="108"/>
      <c r="FP73" s="108"/>
      <c r="FQ73" s="108"/>
      <c r="FR73" s="108"/>
      <c r="FS73" s="108"/>
      <c r="FT73" s="108"/>
      <c r="FU73" s="108"/>
      <c r="FV73" s="108"/>
      <c r="FW73" s="108"/>
      <c r="FX73" s="108"/>
      <c r="FY73" s="108"/>
      <c r="FZ73" s="108"/>
      <c r="GA73" s="108"/>
      <c r="GB73" s="108"/>
      <c r="GC73" s="108"/>
      <c r="GD73" s="108"/>
      <c r="GE73" s="108"/>
      <c r="GF73" s="108"/>
      <c r="GG73" s="108"/>
      <c r="GH73" s="108"/>
      <c r="GI73" s="108"/>
      <c r="GJ73" s="108"/>
      <c r="GK73" s="108"/>
      <c r="GL73" s="108"/>
      <c r="GM73" s="108"/>
      <c r="GN73" s="108"/>
      <c r="GO73" s="108"/>
      <c r="GP73" s="108"/>
      <c r="GQ73" s="108"/>
      <c r="GR73" s="108"/>
      <c r="GS73" s="108"/>
      <c r="GT73" s="108"/>
      <c r="GU73" s="108"/>
      <c r="GV73" s="108"/>
      <c r="GW73" s="108"/>
      <c r="GX73" s="108"/>
      <c r="GY73" s="108"/>
      <c r="GZ73" s="108"/>
      <c r="HA73" s="108"/>
      <c r="HB73" s="108"/>
      <c r="HC73" s="108"/>
      <c r="HD73" s="108"/>
      <c r="HE73" s="108"/>
      <c r="HF73" s="108"/>
      <c r="HG73" s="108"/>
      <c r="HH73" s="108"/>
      <c r="HI73" s="108"/>
      <c r="HJ73" s="108"/>
      <c r="HK73" s="108"/>
      <c r="HL73" s="108"/>
      <c r="HM73" s="108"/>
      <c r="HN73" s="108"/>
      <c r="HO73" s="108"/>
      <c r="HP73" s="108"/>
      <c r="HQ73" s="108"/>
      <c r="HR73" s="108"/>
      <c r="HS73" s="108"/>
      <c r="HT73" s="108"/>
      <c r="HU73" s="108"/>
      <c r="HV73" s="108"/>
      <c r="HW73" s="108"/>
      <c r="HX73" s="108"/>
      <c r="HY73" s="108"/>
      <c r="HZ73" s="108"/>
      <c r="IA73" s="108"/>
      <c r="IB73" s="108"/>
      <c r="IC73" s="108"/>
      <c r="ID73" s="108"/>
      <c r="IE73" s="108"/>
      <c r="IF73" s="108"/>
      <c r="IG73" s="108"/>
      <c r="IH73" s="108"/>
      <c r="II73" s="108"/>
      <c r="IJ73" s="108"/>
      <c r="IK73" s="108"/>
      <c r="IL73" s="108"/>
      <c r="IM73" s="108"/>
      <c r="IN73" s="108"/>
      <c r="IO73" s="108"/>
      <c r="IP73" s="108"/>
      <c r="IQ73" s="108"/>
      <c r="IR73" s="108"/>
      <c r="IS73" s="108"/>
      <c r="IT73" s="108"/>
      <c r="IU73" s="108"/>
      <c r="IV73" s="108"/>
      <c r="IW73" s="108"/>
    </row>
    <row r="74" spans="1:257" x14ac:dyDescent="0.3">
      <c r="A74" s="158"/>
      <c r="B74" s="158"/>
      <c r="C74" s="158"/>
      <c r="D74" s="158"/>
      <c r="E74" s="158"/>
      <c r="F74" s="158"/>
      <c r="G74" s="158"/>
      <c r="H74" s="158"/>
      <c r="I74" s="158"/>
      <c r="J74" s="158"/>
      <c r="K74" s="158"/>
      <c r="L74" s="158"/>
      <c r="M74" s="158"/>
      <c r="N74" s="158"/>
      <c r="O74" s="108"/>
      <c r="P74" s="108"/>
      <c r="Q74" s="108"/>
      <c r="R74" s="108"/>
      <c r="S74" s="108"/>
      <c r="T74" s="108"/>
      <c r="U74" s="108"/>
      <c r="V74" s="108"/>
      <c r="W74" s="108"/>
      <c r="X74" s="108"/>
      <c r="Y74" s="108"/>
      <c r="Z74" s="108"/>
      <c r="AA74" s="108"/>
      <c r="AB74" s="108"/>
      <c r="AC74" s="108"/>
      <c r="AD74" s="108"/>
      <c r="AE74" s="108"/>
      <c r="AF74" s="108"/>
      <c r="AG74" s="108"/>
      <c r="AH74" s="108"/>
      <c r="AI74" s="108"/>
      <c r="AJ74" s="108"/>
      <c r="AK74" s="108"/>
      <c r="AL74" s="108"/>
      <c r="AM74" s="108"/>
      <c r="AN74" s="108"/>
      <c r="AO74" s="108"/>
      <c r="AP74" s="108"/>
      <c r="AQ74" s="108"/>
      <c r="AR74" s="108"/>
      <c r="AS74" s="108"/>
      <c r="AT74" s="108"/>
      <c r="AU74" s="108"/>
      <c r="AV74" s="108"/>
      <c r="AW74" s="108"/>
      <c r="AX74" s="108"/>
      <c r="AY74" s="108"/>
      <c r="AZ74" s="108"/>
      <c r="BA74" s="108"/>
      <c r="BB74" s="108"/>
      <c r="BC74" s="108"/>
      <c r="BD74" s="108"/>
      <c r="BE74" s="108"/>
      <c r="BF74" s="108"/>
      <c r="BG74" s="108"/>
      <c r="BH74" s="108"/>
      <c r="BI74" s="108"/>
      <c r="BJ74" s="108"/>
      <c r="BK74" s="108"/>
      <c r="BL74" s="108"/>
      <c r="BM74" s="108"/>
      <c r="BN74" s="108"/>
      <c r="BO74" s="108"/>
      <c r="BP74" s="108"/>
      <c r="BQ74" s="108"/>
      <c r="BR74" s="108"/>
      <c r="BS74" s="108"/>
      <c r="BT74" s="108"/>
      <c r="BU74" s="108"/>
      <c r="BV74" s="108"/>
      <c r="BW74" s="108"/>
      <c r="BX74" s="108"/>
      <c r="BY74" s="108"/>
      <c r="BZ74" s="108"/>
      <c r="CA74" s="108"/>
      <c r="CB74" s="108"/>
      <c r="CC74" s="108"/>
      <c r="CD74" s="108"/>
      <c r="CE74" s="108"/>
      <c r="CF74" s="108"/>
      <c r="CG74" s="108"/>
      <c r="CH74" s="108"/>
      <c r="CI74" s="108"/>
      <c r="CJ74" s="108"/>
      <c r="CK74" s="108"/>
      <c r="CL74" s="108"/>
      <c r="CM74" s="108"/>
      <c r="CN74" s="108"/>
      <c r="CO74" s="108"/>
      <c r="CP74" s="108"/>
      <c r="CQ74" s="108"/>
      <c r="CR74" s="108"/>
      <c r="CS74" s="108"/>
      <c r="CT74" s="108"/>
      <c r="CU74" s="108"/>
      <c r="CV74" s="108"/>
      <c r="CW74" s="108"/>
      <c r="CX74" s="108"/>
      <c r="CY74" s="108"/>
      <c r="CZ74" s="108"/>
      <c r="DA74" s="108"/>
      <c r="DB74" s="108"/>
      <c r="DC74" s="108"/>
      <c r="DD74" s="108"/>
      <c r="DE74" s="108"/>
      <c r="DF74" s="108"/>
      <c r="DG74" s="108"/>
      <c r="DH74" s="108"/>
      <c r="DI74" s="108"/>
      <c r="DJ74" s="108"/>
      <c r="DK74" s="108"/>
      <c r="DL74" s="108"/>
      <c r="DM74" s="108"/>
      <c r="DN74" s="108"/>
      <c r="DO74" s="108"/>
      <c r="DP74" s="108"/>
      <c r="DQ74" s="108"/>
      <c r="DR74" s="108"/>
      <c r="DS74" s="108"/>
      <c r="DT74" s="108"/>
      <c r="DU74" s="108"/>
      <c r="DV74" s="108"/>
      <c r="DW74" s="108"/>
      <c r="DX74" s="108"/>
      <c r="DY74" s="108"/>
      <c r="DZ74" s="108"/>
      <c r="EA74" s="108"/>
      <c r="EB74" s="108"/>
      <c r="EC74" s="108"/>
      <c r="ED74" s="108"/>
      <c r="EE74" s="108"/>
      <c r="EF74" s="108"/>
      <c r="EG74" s="108"/>
      <c r="EH74" s="108"/>
      <c r="EI74" s="108"/>
      <c r="EJ74" s="108"/>
      <c r="EK74" s="108"/>
      <c r="EL74" s="108"/>
      <c r="EM74" s="108"/>
      <c r="EN74" s="108"/>
      <c r="EO74" s="108"/>
      <c r="EP74" s="108"/>
      <c r="EQ74" s="108"/>
      <c r="ER74" s="108"/>
      <c r="ES74" s="108"/>
      <c r="ET74" s="108"/>
      <c r="EU74" s="108"/>
      <c r="EV74" s="108"/>
      <c r="EW74" s="108"/>
      <c r="EX74" s="108"/>
      <c r="EY74" s="108"/>
      <c r="EZ74" s="108"/>
      <c r="FA74" s="108"/>
      <c r="FB74" s="108"/>
      <c r="FC74" s="108"/>
      <c r="FD74" s="108"/>
      <c r="FE74" s="108"/>
      <c r="FF74" s="108"/>
      <c r="FG74" s="108"/>
      <c r="FH74" s="108"/>
      <c r="FI74" s="108"/>
      <c r="FJ74" s="108"/>
      <c r="FK74" s="108"/>
      <c r="FL74" s="108"/>
      <c r="FM74" s="108"/>
      <c r="FN74" s="108"/>
      <c r="FO74" s="108"/>
      <c r="FP74" s="108"/>
      <c r="FQ74" s="108"/>
      <c r="FR74" s="108"/>
      <c r="FS74" s="108"/>
      <c r="FT74" s="108"/>
      <c r="FU74" s="108"/>
      <c r="FV74" s="108"/>
      <c r="FW74" s="108"/>
      <c r="FX74" s="108"/>
      <c r="FY74" s="108"/>
      <c r="FZ74" s="108"/>
      <c r="GA74" s="108"/>
      <c r="GB74" s="108"/>
      <c r="GC74" s="108"/>
      <c r="GD74" s="108"/>
      <c r="GE74" s="108"/>
      <c r="GF74" s="108"/>
      <c r="GG74" s="108"/>
      <c r="GH74" s="108"/>
      <c r="GI74" s="108"/>
      <c r="GJ74" s="108"/>
      <c r="GK74" s="108"/>
      <c r="GL74" s="108"/>
      <c r="GM74" s="108"/>
      <c r="GN74" s="108"/>
      <c r="GO74" s="108"/>
      <c r="GP74" s="108"/>
      <c r="GQ74" s="108"/>
      <c r="GR74" s="108"/>
      <c r="GS74" s="108"/>
      <c r="GT74" s="108"/>
      <c r="GU74" s="108"/>
      <c r="GV74" s="108"/>
      <c r="GW74" s="108"/>
      <c r="GX74" s="108"/>
      <c r="GY74" s="108"/>
      <c r="GZ74" s="108"/>
      <c r="HA74" s="108"/>
      <c r="HB74" s="108"/>
      <c r="HC74" s="108"/>
      <c r="HD74" s="108"/>
      <c r="HE74" s="108"/>
      <c r="HF74" s="108"/>
      <c r="HG74" s="108"/>
      <c r="HH74" s="108"/>
      <c r="HI74" s="108"/>
      <c r="HJ74" s="108"/>
      <c r="HK74" s="108"/>
      <c r="HL74" s="108"/>
      <c r="HM74" s="108"/>
      <c r="HN74" s="108"/>
      <c r="HO74" s="108"/>
      <c r="HP74" s="108"/>
      <c r="HQ74" s="108"/>
      <c r="HR74" s="108"/>
      <c r="HS74" s="108"/>
      <c r="HT74" s="108"/>
      <c r="HU74" s="108"/>
      <c r="HV74" s="108"/>
      <c r="HW74" s="108"/>
      <c r="HX74" s="108"/>
      <c r="HY74" s="108"/>
      <c r="HZ74" s="108"/>
      <c r="IA74" s="108"/>
      <c r="IB74" s="108"/>
      <c r="IC74" s="108"/>
      <c r="ID74" s="108"/>
      <c r="IE74" s="108"/>
      <c r="IF74" s="108"/>
      <c r="IG74" s="108"/>
      <c r="IH74" s="108"/>
      <c r="II74" s="108"/>
      <c r="IJ74" s="108"/>
      <c r="IK74" s="108"/>
      <c r="IL74" s="108"/>
      <c r="IM74" s="108"/>
      <c r="IN74" s="108"/>
      <c r="IO74" s="108"/>
      <c r="IP74" s="108"/>
      <c r="IQ74" s="108"/>
      <c r="IR74" s="108"/>
      <c r="IS74" s="108"/>
      <c r="IT74" s="108"/>
      <c r="IU74" s="108"/>
      <c r="IV74" s="108"/>
      <c r="IW74" s="108"/>
    </row>
    <row r="75" spans="1:257" x14ac:dyDescent="0.3">
      <c r="A75" s="158"/>
      <c r="B75" s="158"/>
      <c r="C75" s="158"/>
      <c r="D75" s="158"/>
      <c r="E75" s="158"/>
      <c r="F75" s="158"/>
      <c r="G75" s="158"/>
      <c r="H75" s="158"/>
      <c r="I75" s="158"/>
      <c r="J75" s="158"/>
      <c r="K75" s="158"/>
      <c r="L75" s="158"/>
      <c r="M75" s="158"/>
      <c r="N75" s="158"/>
      <c r="O75" s="108"/>
      <c r="P75" s="108"/>
      <c r="Q75" s="108"/>
      <c r="R75" s="108"/>
      <c r="S75" s="108"/>
      <c r="T75" s="108"/>
      <c r="U75" s="108"/>
      <c r="V75" s="108"/>
      <c r="W75" s="108"/>
      <c r="X75" s="108"/>
      <c r="Y75" s="108"/>
      <c r="Z75" s="108"/>
      <c r="AA75" s="108"/>
      <c r="AB75" s="108"/>
      <c r="AC75" s="108"/>
      <c r="AD75" s="108"/>
      <c r="AE75" s="108"/>
      <c r="AF75" s="108"/>
      <c r="AG75" s="108"/>
      <c r="AH75" s="108"/>
      <c r="AI75" s="108"/>
      <c r="AJ75" s="108"/>
      <c r="AK75" s="108"/>
      <c r="AL75" s="108"/>
      <c r="AM75" s="108"/>
      <c r="AN75" s="108"/>
      <c r="AO75" s="108"/>
      <c r="AP75" s="108"/>
      <c r="AQ75" s="108"/>
      <c r="AR75" s="108"/>
      <c r="AS75" s="108"/>
      <c r="AT75" s="108"/>
      <c r="AU75" s="108"/>
      <c r="AV75" s="108"/>
      <c r="AW75" s="108"/>
      <c r="AX75" s="108"/>
      <c r="AY75" s="108"/>
      <c r="AZ75" s="108"/>
      <c r="BA75" s="108"/>
      <c r="BB75" s="108"/>
      <c r="BC75" s="108"/>
      <c r="BD75" s="108"/>
      <c r="BE75" s="108"/>
      <c r="BF75" s="108"/>
      <c r="BG75" s="108"/>
      <c r="BH75" s="108"/>
      <c r="BI75" s="108"/>
      <c r="BJ75" s="108"/>
      <c r="BK75" s="108"/>
      <c r="BL75" s="108"/>
      <c r="BM75" s="108"/>
      <c r="BN75" s="108"/>
      <c r="BO75" s="108"/>
      <c r="BP75" s="108"/>
      <c r="BQ75" s="108"/>
      <c r="BR75" s="108"/>
      <c r="BS75" s="108"/>
      <c r="BT75" s="108"/>
      <c r="BU75" s="108"/>
      <c r="BV75" s="108"/>
      <c r="BW75" s="108"/>
      <c r="BX75" s="108"/>
      <c r="BY75" s="108"/>
      <c r="BZ75" s="108"/>
      <c r="CA75" s="108"/>
      <c r="CB75" s="108"/>
      <c r="CC75" s="108"/>
      <c r="CD75" s="108"/>
      <c r="CE75" s="108"/>
      <c r="CF75" s="108"/>
      <c r="CG75" s="108"/>
      <c r="CH75" s="108"/>
      <c r="CI75" s="108"/>
      <c r="CJ75" s="108"/>
      <c r="CK75" s="108"/>
      <c r="CL75" s="108"/>
      <c r="CM75" s="108"/>
      <c r="CN75" s="108"/>
      <c r="CO75" s="108"/>
      <c r="CP75" s="108"/>
      <c r="CQ75" s="108"/>
      <c r="CR75" s="108"/>
      <c r="CS75" s="108"/>
      <c r="CT75" s="108"/>
      <c r="CU75" s="108"/>
      <c r="CV75" s="108"/>
      <c r="CW75" s="108"/>
      <c r="CX75" s="108"/>
      <c r="CY75" s="108"/>
      <c r="CZ75" s="108"/>
      <c r="DA75" s="108"/>
      <c r="DB75" s="108"/>
      <c r="DC75" s="108"/>
      <c r="DD75" s="108"/>
      <c r="DE75" s="108"/>
      <c r="DF75" s="108"/>
      <c r="DG75" s="108"/>
      <c r="DH75" s="108"/>
      <c r="DI75" s="108"/>
      <c r="DJ75" s="108"/>
      <c r="DK75" s="108"/>
      <c r="DL75" s="108"/>
      <c r="DM75" s="108"/>
      <c r="DN75" s="108"/>
      <c r="DO75" s="108"/>
      <c r="DP75" s="108"/>
      <c r="DQ75" s="108"/>
      <c r="DR75" s="108"/>
      <c r="DS75" s="108"/>
      <c r="DT75" s="108"/>
      <c r="DU75" s="108"/>
      <c r="DV75" s="108"/>
      <c r="DW75" s="108"/>
      <c r="DX75" s="108"/>
      <c r="DY75" s="108"/>
      <c r="DZ75" s="108"/>
      <c r="EA75" s="108"/>
      <c r="EB75" s="108"/>
      <c r="EC75" s="108"/>
      <c r="ED75" s="108"/>
      <c r="EE75" s="108"/>
      <c r="EF75" s="108"/>
      <c r="EG75" s="108"/>
      <c r="EH75" s="108"/>
      <c r="EI75" s="108"/>
      <c r="EJ75" s="108"/>
      <c r="EK75" s="108"/>
      <c r="EL75" s="108"/>
      <c r="EM75" s="108"/>
      <c r="EN75" s="108"/>
      <c r="EO75" s="108"/>
      <c r="EP75" s="108"/>
      <c r="EQ75" s="108"/>
      <c r="ER75" s="108"/>
      <c r="ES75" s="108"/>
      <c r="ET75" s="108"/>
      <c r="EU75" s="108"/>
      <c r="EV75" s="108"/>
      <c r="EW75" s="108"/>
      <c r="EX75" s="108"/>
      <c r="EY75" s="108"/>
      <c r="EZ75" s="108"/>
      <c r="FA75" s="108"/>
      <c r="FB75" s="108"/>
      <c r="FC75" s="108"/>
      <c r="FD75" s="108"/>
      <c r="FE75" s="108"/>
      <c r="FF75" s="108"/>
      <c r="FG75" s="108"/>
      <c r="FH75" s="108"/>
      <c r="FI75" s="108"/>
      <c r="FJ75" s="108"/>
      <c r="FK75" s="108"/>
      <c r="FL75" s="108"/>
      <c r="FM75" s="108"/>
      <c r="FN75" s="108"/>
      <c r="FO75" s="108"/>
      <c r="FP75" s="108"/>
      <c r="FQ75" s="108"/>
      <c r="FR75" s="108"/>
      <c r="FS75" s="108"/>
      <c r="FT75" s="108"/>
      <c r="FU75" s="108"/>
      <c r="FV75" s="108"/>
      <c r="FW75" s="108"/>
      <c r="FX75" s="108"/>
      <c r="FY75" s="108"/>
      <c r="FZ75" s="108"/>
      <c r="GA75" s="108"/>
      <c r="GB75" s="108"/>
      <c r="GC75" s="108"/>
      <c r="GD75" s="108"/>
      <c r="GE75" s="108"/>
      <c r="GF75" s="108"/>
      <c r="GG75" s="108"/>
      <c r="GH75" s="108"/>
      <c r="GI75" s="108"/>
      <c r="GJ75" s="108"/>
      <c r="GK75" s="108"/>
      <c r="GL75" s="108"/>
      <c r="GM75" s="108"/>
      <c r="GN75" s="108"/>
      <c r="GO75" s="108"/>
      <c r="GP75" s="108"/>
      <c r="GQ75" s="108"/>
      <c r="GR75" s="108"/>
      <c r="GS75" s="108"/>
      <c r="GT75" s="108"/>
      <c r="GU75" s="108"/>
      <c r="GV75" s="108"/>
      <c r="GW75" s="108"/>
      <c r="GX75" s="108"/>
      <c r="GY75" s="108"/>
      <c r="GZ75" s="108"/>
      <c r="HA75" s="108"/>
      <c r="HB75" s="108"/>
      <c r="HC75" s="108"/>
      <c r="HD75" s="108"/>
      <c r="HE75" s="108"/>
      <c r="HF75" s="108"/>
      <c r="HG75" s="108"/>
      <c r="HH75" s="108"/>
      <c r="HI75" s="108"/>
      <c r="HJ75" s="108"/>
      <c r="HK75" s="108"/>
      <c r="HL75" s="108"/>
      <c r="HM75" s="108"/>
      <c r="HN75" s="108"/>
      <c r="HO75" s="108"/>
      <c r="HP75" s="108"/>
      <c r="HQ75" s="108"/>
      <c r="HR75" s="108"/>
      <c r="HS75" s="108"/>
      <c r="HT75" s="108"/>
      <c r="HU75" s="108"/>
      <c r="HV75" s="108"/>
      <c r="HW75" s="108"/>
      <c r="HX75" s="108"/>
      <c r="HY75" s="108"/>
      <c r="HZ75" s="108"/>
      <c r="IA75" s="108"/>
      <c r="IB75" s="108"/>
      <c r="IC75" s="108"/>
      <c r="ID75" s="108"/>
      <c r="IE75" s="108"/>
      <c r="IF75" s="108"/>
      <c r="IG75" s="108"/>
      <c r="IH75" s="108"/>
      <c r="II75" s="108"/>
      <c r="IJ75" s="108"/>
      <c r="IK75" s="108"/>
      <c r="IL75" s="108"/>
      <c r="IM75" s="108"/>
      <c r="IN75" s="108"/>
      <c r="IO75" s="108"/>
      <c r="IP75" s="108"/>
      <c r="IQ75" s="108"/>
      <c r="IR75" s="108"/>
      <c r="IS75" s="108"/>
      <c r="IT75" s="108"/>
      <c r="IU75" s="108"/>
      <c r="IV75" s="108"/>
      <c r="IW75" s="108"/>
    </row>
    <row r="76" spans="1:257" x14ac:dyDescent="0.3">
      <c r="A76" s="158"/>
      <c r="B76" s="158"/>
      <c r="C76" s="158"/>
      <c r="D76" s="158"/>
      <c r="E76" s="158"/>
      <c r="F76" s="158"/>
      <c r="G76" s="158"/>
      <c r="H76" s="158"/>
      <c r="I76" s="158"/>
      <c r="J76" s="158"/>
      <c r="K76" s="158"/>
      <c r="L76" s="158"/>
      <c r="M76" s="158"/>
      <c r="N76" s="158"/>
      <c r="O76" s="108"/>
      <c r="P76" s="108"/>
      <c r="Q76" s="108"/>
      <c r="R76" s="108"/>
      <c r="S76" s="108"/>
      <c r="T76" s="108"/>
      <c r="U76" s="108"/>
      <c r="V76" s="108"/>
      <c r="W76" s="108"/>
      <c r="X76" s="108"/>
      <c r="Y76" s="108"/>
      <c r="Z76" s="108"/>
      <c r="AA76" s="108"/>
      <c r="AB76" s="108"/>
      <c r="AC76" s="108"/>
      <c r="AD76" s="108"/>
      <c r="AE76" s="108"/>
      <c r="AF76" s="108"/>
      <c r="AG76" s="108"/>
      <c r="AH76" s="108"/>
      <c r="AI76" s="108"/>
      <c r="AJ76" s="108"/>
      <c r="AK76" s="108"/>
      <c r="AL76" s="108"/>
      <c r="AM76" s="108"/>
      <c r="AN76" s="108"/>
      <c r="AO76" s="108"/>
      <c r="AP76" s="108"/>
      <c r="AQ76" s="108"/>
      <c r="AR76" s="108"/>
      <c r="AS76" s="108"/>
      <c r="AT76" s="108"/>
      <c r="AU76" s="108"/>
      <c r="AV76" s="108"/>
      <c r="AW76" s="108"/>
      <c r="AX76" s="108"/>
      <c r="AY76" s="108"/>
      <c r="AZ76" s="108"/>
      <c r="BA76" s="108"/>
      <c r="BB76" s="108"/>
      <c r="BC76" s="108"/>
      <c r="BD76" s="108"/>
      <c r="BE76" s="108"/>
      <c r="BF76" s="108"/>
      <c r="BG76" s="108"/>
      <c r="BH76" s="108"/>
      <c r="BI76" s="108"/>
      <c r="BJ76" s="108"/>
      <c r="BK76" s="108"/>
      <c r="BL76" s="108"/>
      <c r="BM76" s="108"/>
      <c r="BN76" s="108"/>
      <c r="BO76" s="108"/>
      <c r="BP76" s="108"/>
      <c r="BQ76" s="108"/>
      <c r="BR76" s="108"/>
      <c r="BS76" s="108"/>
      <c r="BT76" s="108"/>
      <c r="BU76" s="108"/>
      <c r="BV76" s="108"/>
      <c r="BW76" s="108"/>
      <c r="BX76" s="108"/>
      <c r="BY76" s="108"/>
      <c r="BZ76" s="108"/>
      <c r="CA76" s="108"/>
      <c r="CB76" s="108"/>
      <c r="CC76" s="108"/>
      <c r="CD76" s="108"/>
      <c r="CE76" s="108"/>
      <c r="CF76" s="108"/>
      <c r="CG76" s="108"/>
      <c r="CH76" s="108"/>
      <c r="CI76" s="108"/>
      <c r="CJ76" s="108"/>
      <c r="CK76" s="108"/>
      <c r="CL76" s="108"/>
      <c r="CM76" s="108"/>
      <c r="CN76" s="108"/>
      <c r="CO76" s="108"/>
      <c r="CP76" s="108"/>
      <c r="CQ76" s="108"/>
      <c r="CR76" s="108"/>
      <c r="CS76" s="108"/>
      <c r="CT76" s="108"/>
      <c r="CU76" s="108"/>
      <c r="CV76" s="108"/>
      <c r="CW76" s="108"/>
      <c r="CX76" s="108"/>
      <c r="CY76" s="108"/>
      <c r="CZ76" s="108"/>
      <c r="DA76" s="108"/>
      <c r="DB76" s="108"/>
      <c r="DC76" s="108"/>
      <c r="DD76" s="108"/>
      <c r="DE76" s="108"/>
      <c r="DF76" s="108"/>
      <c r="DG76" s="108"/>
      <c r="DH76" s="108"/>
      <c r="DI76" s="108"/>
      <c r="DJ76" s="108"/>
      <c r="DK76" s="108"/>
      <c r="DL76" s="108"/>
      <c r="DM76" s="108"/>
      <c r="DN76" s="108"/>
      <c r="DO76" s="108"/>
      <c r="DP76" s="108"/>
      <c r="DQ76" s="108"/>
      <c r="DR76" s="108"/>
      <c r="DS76" s="108"/>
      <c r="DT76" s="108"/>
      <c r="DU76" s="108"/>
      <c r="DV76" s="108"/>
      <c r="DW76" s="108"/>
      <c r="DX76" s="108"/>
      <c r="DY76" s="108"/>
      <c r="DZ76" s="108"/>
      <c r="EA76" s="108"/>
      <c r="EB76" s="108"/>
      <c r="EC76" s="108"/>
      <c r="ED76" s="108"/>
      <c r="EE76" s="108"/>
      <c r="EF76" s="108"/>
      <c r="EG76" s="108"/>
      <c r="EH76" s="108"/>
      <c r="EI76" s="108"/>
      <c r="EJ76" s="108"/>
      <c r="EK76" s="108"/>
      <c r="EL76" s="108"/>
      <c r="EM76" s="108"/>
      <c r="EN76" s="108"/>
      <c r="EO76" s="108"/>
      <c r="EP76" s="108"/>
      <c r="EQ76" s="108"/>
      <c r="ER76" s="108"/>
      <c r="ES76" s="108"/>
      <c r="ET76" s="108"/>
      <c r="EU76" s="108"/>
      <c r="EV76" s="108"/>
      <c r="EW76" s="108"/>
      <c r="EX76" s="108"/>
      <c r="EY76" s="108"/>
      <c r="EZ76" s="108"/>
      <c r="FA76" s="108"/>
      <c r="FB76" s="108"/>
      <c r="FC76" s="108"/>
      <c r="FD76" s="108"/>
      <c r="FE76" s="108"/>
      <c r="FF76" s="108"/>
      <c r="FG76" s="108"/>
      <c r="FH76" s="108"/>
      <c r="FI76" s="108"/>
      <c r="FJ76" s="108"/>
      <c r="FK76" s="108"/>
      <c r="FL76" s="108"/>
      <c r="FM76" s="108"/>
      <c r="FN76" s="108"/>
      <c r="FO76" s="108"/>
      <c r="FP76" s="108"/>
      <c r="FQ76" s="108"/>
      <c r="FR76" s="108"/>
      <c r="FS76" s="108"/>
      <c r="FT76" s="108"/>
      <c r="FU76" s="108"/>
      <c r="FV76" s="108"/>
      <c r="FW76" s="108"/>
      <c r="FX76" s="108"/>
      <c r="FY76" s="108"/>
      <c r="FZ76" s="108"/>
      <c r="GA76" s="108"/>
      <c r="GB76" s="108"/>
      <c r="GC76" s="108"/>
      <c r="GD76" s="108"/>
      <c r="GE76" s="108"/>
      <c r="GF76" s="108"/>
      <c r="GG76" s="108"/>
      <c r="GH76" s="108"/>
      <c r="GI76" s="108"/>
      <c r="GJ76" s="108"/>
      <c r="GK76" s="108"/>
      <c r="GL76" s="108"/>
      <c r="GM76" s="108"/>
      <c r="GN76" s="108"/>
      <c r="GO76" s="108"/>
      <c r="GP76" s="108"/>
      <c r="GQ76" s="108"/>
      <c r="GR76" s="108"/>
      <c r="GS76" s="108"/>
      <c r="GT76" s="108"/>
      <c r="GU76" s="108"/>
      <c r="GV76" s="108"/>
      <c r="GW76" s="108"/>
      <c r="GX76" s="108"/>
      <c r="GY76" s="108"/>
      <c r="GZ76" s="108"/>
      <c r="HA76" s="108"/>
      <c r="HB76" s="108"/>
      <c r="HC76" s="108"/>
      <c r="HD76" s="108"/>
      <c r="HE76" s="108"/>
      <c r="HF76" s="108"/>
      <c r="HG76" s="108"/>
      <c r="HH76" s="108"/>
      <c r="HI76" s="108"/>
      <c r="HJ76" s="108"/>
      <c r="HK76" s="108"/>
      <c r="HL76" s="108"/>
      <c r="HM76" s="108"/>
      <c r="HN76" s="108"/>
      <c r="HO76" s="108"/>
      <c r="HP76" s="108"/>
      <c r="HQ76" s="108"/>
      <c r="HR76" s="108"/>
      <c r="HS76" s="108"/>
      <c r="HT76" s="108"/>
      <c r="HU76" s="108"/>
      <c r="HV76" s="108"/>
      <c r="HW76" s="108"/>
      <c r="HX76" s="108"/>
      <c r="HY76" s="108"/>
      <c r="HZ76" s="108"/>
      <c r="IA76" s="108"/>
      <c r="IB76" s="108"/>
      <c r="IC76" s="108"/>
      <c r="ID76" s="108"/>
      <c r="IE76" s="108"/>
      <c r="IF76" s="108"/>
      <c r="IG76" s="108"/>
      <c r="IH76" s="108"/>
      <c r="II76" s="108"/>
      <c r="IJ76" s="108"/>
      <c r="IK76" s="108"/>
      <c r="IL76" s="108"/>
      <c r="IM76" s="108"/>
      <c r="IN76" s="108"/>
      <c r="IO76" s="108"/>
      <c r="IP76" s="108"/>
      <c r="IQ76" s="108"/>
      <c r="IR76" s="108"/>
      <c r="IS76" s="108"/>
      <c r="IT76" s="108"/>
      <c r="IU76" s="108"/>
      <c r="IV76" s="108"/>
      <c r="IW76" s="108"/>
    </row>
    <row r="77" spans="1:257" x14ac:dyDescent="0.3">
      <c r="A77" s="158"/>
      <c r="B77" s="158"/>
      <c r="C77" s="158"/>
      <c r="D77" s="158"/>
      <c r="E77" s="158"/>
      <c r="F77" s="158"/>
      <c r="G77" s="158"/>
      <c r="H77" s="158"/>
      <c r="I77" s="158"/>
      <c r="J77" s="158"/>
      <c r="K77" s="158"/>
      <c r="L77" s="158"/>
      <c r="M77" s="158"/>
      <c r="N77" s="158"/>
      <c r="O77" s="108"/>
      <c r="P77" s="108"/>
      <c r="Q77" s="108"/>
      <c r="R77" s="108"/>
      <c r="S77" s="108"/>
      <c r="T77" s="108"/>
      <c r="U77" s="108"/>
      <c r="V77" s="108"/>
      <c r="W77" s="108"/>
      <c r="X77" s="108"/>
      <c r="Y77" s="108"/>
      <c r="Z77" s="108"/>
      <c r="AA77" s="108"/>
      <c r="AB77" s="108"/>
      <c r="AC77" s="108"/>
      <c r="AD77" s="108"/>
      <c r="AE77" s="108"/>
      <c r="AF77" s="108"/>
      <c r="AG77" s="108"/>
      <c r="AH77" s="108"/>
      <c r="AI77" s="108"/>
      <c r="AJ77" s="108"/>
      <c r="AK77" s="108"/>
      <c r="AL77" s="108"/>
      <c r="AM77" s="108"/>
      <c r="AN77" s="108"/>
      <c r="AO77" s="108"/>
      <c r="AP77" s="108"/>
      <c r="AQ77" s="108"/>
      <c r="AR77" s="108"/>
      <c r="AS77" s="108"/>
      <c r="AT77" s="108"/>
      <c r="AU77" s="108"/>
      <c r="AV77" s="108"/>
      <c r="AW77" s="108"/>
      <c r="AX77" s="108"/>
      <c r="AY77" s="108"/>
      <c r="AZ77" s="108"/>
      <c r="BA77" s="108"/>
      <c r="BB77" s="108"/>
      <c r="BC77" s="108"/>
      <c r="BD77" s="108"/>
      <c r="BE77" s="108"/>
      <c r="BF77" s="108"/>
      <c r="BG77" s="108"/>
      <c r="BH77" s="108"/>
      <c r="BI77" s="108"/>
      <c r="BJ77" s="108"/>
      <c r="BK77" s="108"/>
      <c r="BL77" s="108"/>
      <c r="BM77" s="108"/>
      <c r="BN77" s="108"/>
      <c r="BO77" s="108"/>
      <c r="BP77" s="108"/>
      <c r="BQ77" s="108"/>
      <c r="BR77" s="108"/>
      <c r="BS77" s="108"/>
      <c r="BT77" s="108"/>
      <c r="BU77" s="108"/>
      <c r="BV77" s="108"/>
      <c r="BW77" s="108"/>
      <c r="BX77" s="108"/>
      <c r="BY77" s="108"/>
      <c r="BZ77" s="108"/>
      <c r="CA77" s="108"/>
      <c r="CB77" s="108"/>
      <c r="CC77" s="108"/>
      <c r="CD77" s="108"/>
      <c r="CE77" s="108"/>
      <c r="CF77" s="108"/>
      <c r="CG77" s="108"/>
      <c r="CH77" s="108"/>
      <c r="CI77" s="108"/>
      <c r="CJ77" s="108"/>
      <c r="CK77" s="108"/>
      <c r="CL77" s="108"/>
      <c r="CM77" s="108"/>
      <c r="CN77" s="108"/>
      <c r="CO77" s="108"/>
      <c r="CP77" s="108"/>
      <c r="CQ77" s="108"/>
      <c r="CR77" s="108"/>
      <c r="CS77" s="108"/>
      <c r="CT77" s="108"/>
      <c r="CU77" s="108"/>
      <c r="CV77" s="108"/>
      <c r="CW77" s="108"/>
      <c r="CX77" s="108"/>
      <c r="CY77" s="108"/>
      <c r="CZ77" s="108"/>
      <c r="DA77" s="108"/>
      <c r="DB77" s="108"/>
      <c r="DC77" s="108"/>
      <c r="DD77" s="108"/>
      <c r="DE77" s="108"/>
      <c r="DF77" s="108"/>
      <c r="DG77" s="108"/>
      <c r="DH77" s="108"/>
      <c r="DI77" s="108"/>
      <c r="DJ77" s="108"/>
      <c r="DK77" s="108"/>
      <c r="DL77" s="108"/>
      <c r="DM77" s="108"/>
      <c r="DN77" s="108"/>
      <c r="DO77" s="108"/>
      <c r="DP77" s="108"/>
      <c r="DQ77" s="108"/>
      <c r="DR77" s="108"/>
      <c r="DS77" s="108"/>
      <c r="DT77" s="108"/>
      <c r="DU77" s="108"/>
      <c r="DV77" s="108"/>
      <c r="DW77" s="108"/>
      <c r="DX77" s="108"/>
      <c r="DY77" s="108"/>
      <c r="DZ77" s="108"/>
      <c r="EA77" s="108"/>
      <c r="EB77" s="108"/>
      <c r="EC77" s="108"/>
      <c r="ED77" s="108"/>
      <c r="EE77" s="108"/>
      <c r="EF77" s="108"/>
      <c r="EG77" s="108"/>
      <c r="EH77" s="108"/>
      <c r="EI77" s="108"/>
      <c r="EJ77" s="108"/>
      <c r="EK77" s="108"/>
      <c r="EL77" s="108"/>
      <c r="EM77" s="108"/>
      <c r="EN77" s="108"/>
      <c r="EO77" s="108"/>
      <c r="EP77" s="108"/>
      <c r="EQ77" s="108"/>
      <c r="ER77" s="108"/>
      <c r="ES77" s="108"/>
      <c r="ET77" s="108"/>
      <c r="EU77" s="108"/>
      <c r="EV77" s="108"/>
      <c r="EW77" s="108"/>
      <c r="EX77" s="108"/>
      <c r="EY77" s="108"/>
      <c r="EZ77" s="108"/>
      <c r="FA77" s="108"/>
      <c r="FB77" s="108"/>
      <c r="FC77" s="108"/>
      <c r="FD77" s="108"/>
      <c r="FE77" s="108"/>
      <c r="FF77" s="108"/>
      <c r="FG77" s="108"/>
      <c r="FH77" s="108"/>
      <c r="FI77" s="108"/>
      <c r="FJ77" s="108"/>
      <c r="FK77" s="108"/>
      <c r="FL77" s="108"/>
      <c r="FM77" s="108"/>
      <c r="FN77" s="108"/>
      <c r="FO77" s="108"/>
      <c r="FP77" s="108"/>
      <c r="FQ77" s="108"/>
      <c r="FR77" s="108"/>
      <c r="FS77" s="108"/>
      <c r="FT77" s="108"/>
      <c r="FU77" s="108"/>
      <c r="FV77" s="108"/>
      <c r="FW77" s="108"/>
      <c r="FX77" s="108"/>
      <c r="FY77" s="108"/>
      <c r="FZ77" s="108"/>
      <c r="GA77" s="108"/>
      <c r="GB77" s="108"/>
      <c r="GC77" s="108"/>
      <c r="GD77" s="108"/>
      <c r="GE77" s="108"/>
      <c r="GF77" s="108"/>
      <c r="GG77" s="108"/>
      <c r="GH77" s="108"/>
      <c r="GI77" s="108"/>
      <c r="GJ77" s="108"/>
      <c r="GK77" s="108"/>
      <c r="GL77" s="108"/>
      <c r="GM77" s="108"/>
      <c r="GN77" s="108"/>
      <c r="GO77" s="108"/>
      <c r="GP77" s="108"/>
      <c r="GQ77" s="108"/>
      <c r="GR77" s="108"/>
      <c r="GS77" s="108"/>
      <c r="GT77" s="108"/>
      <c r="GU77" s="108"/>
      <c r="GV77" s="108"/>
      <c r="GW77" s="108"/>
      <c r="GX77" s="108"/>
      <c r="GY77" s="108"/>
      <c r="GZ77" s="108"/>
      <c r="HA77" s="108"/>
      <c r="HB77" s="108"/>
      <c r="HC77" s="108"/>
      <c r="HD77" s="108"/>
      <c r="HE77" s="108"/>
      <c r="HF77" s="108"/>
      <c r="HG77" s="108"/>
      <c r="HH77" s="108"/>
      <c r="HI77" s="108"/>
      <c r="HJ77" s="108"/>
      <c r="HK77" s="108"/>
      <c r="HL77" s="108"/>
      <c r="HM77" s="108"/>
      <c r="HN77" s="108"/>
      <c r="HO77" s="108"/>
      <c r="HP77" s="108"/>
      <c r="HQ77" s="108"/>
      <c r="HR77" s="108"/>
      <c r="HS77" s="108"/>
      <c r="HT77" s="108"/>
      <c r="HU77" s="108"/>
      <c r="HV77" s="108"/>
      <c r="HW77" s="108"/>
      <c r="HX77" s="108"/>
      <c r="HY77" s="108"/>
      <c r="HZ77" s="108"/>
      <c r="IA77" s="108"/>
      <c r="IB77" s="108"/>
      <c r="IC77" s="108"/>
      <c r="ID77" s="108"/>
      <c r="IE77" s="108"/>
      <c r="IF77" s="108"/>
      <c r="IG77" s="108"/>
      <c r="IH77" s="108"/>
      <c r="II77" s="108"/>
      <c r="IJ77" s="108"/>
      <c r="IK77" s="108"/>
      <c r="IL77" s="108"/>
      <c r="IM77" s="108"/>
      <c r="IN77" s="108"/>
      <c r="IO77" s="108"/>
      <c r="IP77" s="108"/>
      <c r="IQ77" s="108"/>
      <c r="IR77" s="108"/>
      <c r="IS77" s="108"/>
      <c r="IT77" s="108"/>
      <c r="IU77" s="108"/>
      <c r="IV77" s="108"/>
      <c r="IW77" s="108"/>
    </row>
    <row r="78" spans="1:257" x14ac:dyDescent="0.3">
      <c r="A78" s="158"/>
      <c r="B78" s="158"/>
      <c r="C78" s="158"/>
      <c r="D78" s="158"/>
      <c r="E78" s="158"/>
      <c r="F78" s="158"/>
      <c r="G78" s="158"/>
      <c r="H78" s="158"/>
      <c r="I78" s="158"/>
      <c r="J78" s="158"/>
      <c r="K78" s="158"/>
      <c r="L78" s="158"/>
      <c r="M78" s="158"/>
      <c r="N78" s="158"/>
      <c r="O78" s="108"/>
      <c r="P78" s="108"/>
      <c r="Q78" s="108"/>
      <c r="R78" s="108"/>
      <c r="S78" s="108"/>
      <c r="T78" s="108"/>
      <c r="U78" s="108"/>
      <c r="V78" s="108"/>
      <c r="W78" s="108"/>
      <c r="X78" s="108"/>
      <c r="Y78" s="108"/>
      <c r="Z78" s="108"/>
      <c r="AA78" s="108"/>
      <c r="AB78" s="108"/>
      <c r="AC78" s="108"/>
      <c r="AD78" s="108"/>
      <c r="AE78" s="108"/>
      <c r="AF78" s="108"/>
      <c r="AG78" s="108"/>
      <c r="AH78" s="108"/>
      <c r="AI78" s="108"/>
      <c r="AJ78" s="108"/>
      <c r="AK78" s="108"/>
      <c r="AL78" s="108"/>
      <c r="AM78" s="108"/>
      <c r="AN78" s="108"/>
      <c r="AO78" s="108"/>
      <c r="AP78" s="108"/>
      <c r="AQ78" s="108"/>
      <c r="AR78" s="108"/>
      <c r="AS78" s="108"/>
      <c r="AT78" s="108"/>
      <c r="AU78" s="108"/>
      <c r="AV78" s="108"/>
      <c r="AW78" s="108"/>
      <c r="AX78" s="108"/>
      <c r="AY78" s="108"/>
      <c r="AZ78" s="108"/>
      <c r="BA78" s="108"/>
      <c r="BB78" s="108"/>
      <c r="BC78" s="108"/>
      <c r="BD78" s="108"/>
      <c r="BE78" s="108"/>
      <c r="BF78" s="108"/>
      <c r="BG78" s="108"/>
      <c r="BH78" s="108"/>
      <c r="BI78" s="108"/>
      <c r="BJ78" s="108"/>
      <c r="BK78" s="108"/>
      <c r="BL78" s="108"/>
      <c r="BM78" s="108"/>
      <c r="BN78" s="108"/>
      <c r="BO78" s="108"/>
      <c r="BP78" s="108"/>
      <c r="BQ78" s="108"/>
      <c r="BR78" s="108"/>
      <c r="BS78" s="108"/>
      <c r="BT78" s="108"/>
      <c r="BU78" s="108"/>
      <c r="BV78" s="108"/>
      <c r="BW78" s="108"/>
      <c r="BX78" s="108"/>
      <c r="BY78" s="108"/>
      <c r="BZ78" s="108"/>
      <c r="CA78" s="108"/>
      <c r="CB78" s="108"/>
      <c r="CC78" s="108"/>
      <c r="CD78" s="108"/>
      <c r="CE78" s="108"/>
      <c r="CF78" s="108"/>
      <c r="CG78" s="108"/>
      <c r="CH78" s="108"/>
      <c r="CI78" s="108"/>
      <c r="CJ78" s="108"/>
      <c r="CK78" s="108"/>
      <c r="CL78" s="108"/>
      <c r="CM78" s="108"/>
      <c r="CN78" s="108"/>
      <c r="CO78" s="108"/>
      <c r="CP78" s="108"/>
      <c r="CQ78" s="108"/>
      <c r="CR78" s="108"/>
      <c r="CS78" s="108"/>
      <c r="CT78" s="108"/>
      <c r="CU78" s="108"/>
      <c r="CV78" s="108"/>
      <c r="CW78" s="108"/>
      <c r="CX78" s="108"/>
      <c r="CY78" s="108"/>
      <c r="CZ78" s="108"/>
      <c r="DA78" s="108"/>
      <c r="DB78" s="108"/>
      <c r="DC78" s="108"/>
      <c r="DD78" s="108"/>
      <c r="DE78" s="108"/>
      <c r="DF78" s="108"/>
      <c r="DG78" s="108"/>
      <c r="DH78" s="108"/>
      <c r="DI78" s="108"/>
      <c r="DJ78" s="108"/>
      <c r="DK78" s="108"/>
      <c r="DL78" s="108"/>
      <c r="DM78" s="108"/>
      <c r="DN78" s="108"/>
      <c r="DO78" s="108"/>
      <c r="DP78" s="108"/>
      <c r="DQ78" s="108"/>
      <c r="DR78" s="108"/>
      <c r="DS78" s="108"/>
      <c r="DT78" s="108"/>
      <c r="DU78" s="108"/>
      <c r="DV78" s="108"/>
      <c r="DW78" s="108"/>
      <c r="DX78" s="108"/>
      <c r="DY78" s="108"/>
      <c r="DZ78" s="108"/>
      <c r="EA78" s="108"/>
      <c r="EB78" s="108"/>
      <c r="EC78" s="108"/>
      <c r="ED78" s="108"/>
      <c r="EE78" s="108"/>
      <c r="EF78" s="108"/>
      <c r="EG78" s="108"/>
      <c r="EH78" s="108"/>
      <c r="EI78" s="108"/>
      <c r="EJ78" s="108"/>
      <c r="EK78" s="108"/>
      <c r="EL78" s="108"/>
      <c r="EM78" s="108"/>
      <c r="EN78" s="108"/>
      <c r="EO78" s="108"/>
      <c r="EP78" s="108"/>
      <c r="EQ78" s="108"/>
      <c r="ER78" s="108"/>
      <c r="ES78" s="108"/>
      <c r="ET78" s="108"/>
      <c r="EU78" s="108"/>
      <c r="EV78" s="108"/>
      <c r="EW78" s="108"/>
      <c r="EX78" s="108"/>
      <c r="EY78" s="108"/>
      <c r="EZ78" s="108"/>
      <c r="FA78" s="108"/>
      <c r="FB78" s="108"/>
      <c r="FC78" s="108"/>
      <c r="FD78" s="108"/>
      <c r="FE78" s="108"/>
      <c r="FF78" s="108"/>
      <c r="FG78" s="108"/>
      <c r="FH78" s="108"/>
      <c r="FI78" s="108"/>
      <c r="FJ78" s="108"/>
      <c r="FK78" s="108"/>
      <c r="FL78" s="108"/>
      <c r="FM78" s="108"/>
      <c r="FN78" s="108"/>
      <c r="FO78" s="108"/>
      <c r="FP78" s="108"/>
      <c r="FQ78" s="108"/>
      <c r="FR78" s="108"/>
      <c r="FS78" s="108"/>
      <c r="FT78" s="108"/>
      <c r="FU78" s="108"/>
      <c r="FV78" s="108"/>
      <c r="FW78" s="108"/>
      <c r="FX78" s="108"/>
      <c r="FY78" s="108"/>
      <c r="FZ78" s="108"/>
      <c r="GA78" s="108"/>
      <c r="GB78" s="108"/>
      <c r="GC78" s="108"/>
      <c r="GD78" s="108"/>
      <c r="GE78" s="108"/>
      <c r="GF78" s="108"/>
      <c r="GG78" s="108"/>
      <c r="GH78" s="108"/>
      <c r="GI78" s="108"/>
      <c r="GJ78" s="108"/>
      <c r="GK78" s="108"/>
      <c r="GL78" s="108"/>
      <c r="GM78" s="108"/>
      <c r="GN78" s="108"/>
      <c r="GO78" s="108"/>
      <c r="GP78" s="108"/>
      <c r="GQ78" s="108"/>
      <c r="GR78" s="108"/>
      <c r="GS78" s="108"/>
      <c r="GT78" s="108"/>
      <c r="GU78" s="108"/>
      <c r="GV78" s="108"/>
      <c r="GW78" s="108"/>
      <c r="GX78" s="108"/>
      <c r="GY78" s="108"/>
      <c r="GZ78" s="108"/>
      <c r="HA78" s="108"/>
      <c r="HB78" s="108"/>
      <c r="HC78" s="108"/>
      <c r="HD78" s="108"/>
      <c r="HE78" s="108"/>
      <c r="HF78" s="108"/>
      <c r="HG78" s="108"/>
      <c r="HH78" s="108"/>
      <c r="HI78" s="108"/>
      <c r="HJ78" s="108"/>
      <c r="HK78" s="108"/>
      <c r="HL78" s="108"/>
      <c r="HM78" s="108"/>
      <c r="HN78" s="108"/>
      <c r="HO78" s="108"/>
      <c r="HP78" s="108"/>
      <c r="HQ78" s="108"/>
      <c r="HR78" s="108"/>
      <c r="HS78" s="108"/>
      <c r="HT78" s="108"/>
      <c r="HU78" s="108"/>
      <c r="HV78" s="108"/>
      <c r="HW78" s="108"/>
      <c r="HX78" s="108"/>
      <c r="HY78" s="108"/>
      <c r="HZ78" s="108"/>
      <c r="IA78" s="108"/>
      <c r="IB78" s="108"/>
      <c r="IC78" s="108"/>
      <c r="ID78" s="108"/>
      <c r="IE78" s="108"/>
      <c r="IF78" s="108"/>
      <c r="IG78" s="108"/>
      <c r="IH78" s="108"/>
      <c r="II78" s="108"/>
      <c r="IJ78" s="108"/>
      <c r="IK78" s="108"/>
      <c r="IL78" s="108"/>
      <c r="IM78" s="108"/>
      <c r="IN78" s="108"/>
      <c r="IO78" s="108"/>
      <c r="IP78" s="108"/>
      <c r="IQ78" s="108"/>
      <c r="IR78" s="108"/>
      <c r="IS78" s="108"/>
      <c r="IT78" s="108"/>
      <c r="IU78" s="108"/>
      <c r="IV78" s="108"/>
      <c r="IW78" s="108"/>
    </row>
    <row r="79" spans="1:257" x14ac:dyDescent="0.3">
      <c r="A79" s="158"/>
      <c r="B79" s="158"/>
      <c r="C79" s="158"/>
      <c r="D79" s="158"/>
      <c r="E79" s="158"/>
      <c r="F79" s="158"/>
      <c r="G79" s="158"/>
      <c r="H79" s="158"/>
      <c r="I79" s="158"/>
      <c r="J79" s="158"/>
      <c r="K79" s="158"/>
      <c r="L79" s="158"/>
      <c r="M79" s="158"/>
      <c r="N79" s="158"/>
      <c r="O79" s="108"/>
      <c r="P79" s="108"/>
      <c r="Q79" s="108"/>
      <c r="R79" s="108"/>
      <c r="S79" s="108"/>
      <c r="T79" s="108"/>
      <c r="U79" s="108"/>
      <c r="V79" s="108"/>
      <c r="W79" s="108"/>
      <c r="X79" s="108"/>
      <c r="Y79" s="108"/>
      <c r="Z79" s="108"/>
      <c r="AA79" s="108"/>
      <c r="AB79" s="108"/>
      <c r="AC79" s="108"/>
      <c r="AD79" s="108"/>
      <c r="AE79" s="108"/>
      <c r="AF79" s="108"/>
      <c r="AG79" s="108"/>
      <c r="AH79" s="108"/>
      <c r="AI79" s="108"/>
      <c r="AJ79" s="108"/>
      <c r="AK79" s="108"/>
      <c r="AL79" s="108"/>
      <c r="AM79" s="108"/>
      <c r="AN79" s="108"/>
      <c r="AO79" s="108"/>
      <c r="AP79" s="108"/>
      <c r="AQ79" s="108"/>
      <c r="AR79" s="108"/>
      <c r="AS79" s="108"/>
      <c r="AT79" s="108"/>
      <c r="AU79" s="108"/>
      <c r="AV79" s="108"/>
      <c r="AW79" s="108"/>
      <c r="AX79" s="108"/>
      <c r="AY79" s="108"/>
      <c r="AZ79" s="108"/>
      <c r="BA79" s="108"/>
      <c r="BB79" s="108"/>
      <c r="BC79" s="108"/>
      <c r="BD79" s="108"/>
      <c r="BE79" s="108"/>
      <c r="BF79" s="108"/>
      <c r="BG79" s="108"/>
      <c r="BH79" s="108"/>
      <c r="BI79" s="108"/>
      <c r="BJ79" s="108"/>
      <c r="BK79" s="108"/>
      <c r="BL79" s="108"/>
      <c r="BM79" s="108"/>
      <c r="BN79" s="108"/>
      <c r="BO79" s="108"/>
      <c r="BP79" s="108"/>
      <c r="BQ79" s="108"/>
      <c r="BR79" s="108"/>
      <c r="BS79" s="108"/>
      <c r="BT79" s="108"/>
      <c r="BU79" s="108"/>
      <c r="BV79" s="108"/>
      <c r="BW79" s="108"/>
      <c r="BX79" s="108"/>
      <c r="BY79" s="108"/>
      <c r="BZ79" s="108"/>
      <c r="CA79" s="108"/>
      <c r="CB79" s="108"/>
      <c r="CC79" s="108"/>
      <c r="CD79" s="108"/>
      <c r="CE79" s="108"/>
      <c r="CF79" s="108"/>
      <c r="CG79" s="108"/>
      <c r="CH79" s="108"/>
      <c r="CI79" s="108"/>
      <c r="CJ79" s="108"/>
      <c r="CK79" s="108"/>
      <c r="CL79" s="108"/>
      <c r="CM79" s="108"/>
      <c r="CN79" s="108"/>
      <c r="CO79" s="108"/>
      <c r="CP79" s="108"/>
      <c r="CQ79" s="108"/>
      <c r="CR79" s="108"/>
      <c r="CS79" s="108"/>
      <c r="CT79" s="108"/>
      <c r="CU79" s="108"/>
      <c r="CV79" s="108"/>
      <c r="CW79" s="108"/>
      <c r="CX79" s="108"/>
      <c r="CY79" s="108"/>
      <c r="CZ79" s="108"/>
      <c r="DA79" s="108"/>
      <c r="DB79" s="108"/>
      <c r="DC79" s="108"/>
      <c r="DD79" s="108"/>
      <c r="DE79" s="108"/>
      <c r="DF79" s="108"/>
      <c r="DG79" s="108"/>
      <c r="DH79" s="108"/>
      <c r="DI79" s="108"/>
      <c r="DJ79" s="108"/>
      <c r="DK79" s="108"/>
      <c r="DL79" s="108"/>
      <c r="DM79" s="108"/>
      <c r="DN79" s="108"/>
      <c r="DO79" s="108"/>
      <c r="DP79" s="108"/>
      <c r="DQ79" s="108"/>
      <c r="DR79" s="108"/>
      <c r="DS79" s="108"/>
      <c r="DT79" s="108"/>
      <c r="DU79" s="108"/>
      <c r="DV79" s="108"/>
      <c r="DW79" s="108"/>
      <c r="DX79" s="108"/>
      <c r="DY79" s="108"/>
      <c r="DZ79" s="108"/>
      <c r="EA79" s="108"/>
      <c r="EB79" s="108"/>
      <c r="EC79" s="108"/>
      <c r="ED79" s="108"/>
      <c r="EE79" s="108"/>
      <c r="EF79" s="108"/>
      <c r="EG79" s="108"/>
      <c r="EH79" s="108"/>
      <c r="EI79" s="108"/>
      <c r="EJ79" s="108"/>
      <c r="EK79" s="108"/>
      <c r="EL79" s="108"/>
      <c r="EM79" s="108"/>
      <c r="EN79" s="108"/>
      <c r="EO79" s="108"/>
      <c r="EP79" s="108"/>
      <c r="EQ79" s="108"/>
      <c r="ER79" s="108"/>
      <c r="ES79" s="108"/>
      <c r="ET79" s="108"/>
      <c r="EU79" s="108"/>
      <c r="EV79" s="108"/>
      <c r="EW79" s="108"/>
      <c r="EX79" s="108"/>
      <c r="EY79" s="108"/>
      <c r="EZ79" s="108"/>
      <c r="FA79" s="108"/>
      <c r="FB79" s="108"/>
      <c r="FC79" s="108"/>
      <c r="FD79" s="108"/>
      <c r="FE79" s="108"/>
      <c r="FF79" s="108"/>
      <c r="FG79" s="108"/>
      <c r="FH79" s="108"/>
      <c r="FI79" s="108"/>
      <c r="FJ79" s="108"/>
      <c r="FK79" s="108"/>
      <c r="FL79" s="108"/>
      <c r="FM79" s="108"/>
      <c r="FN79" s="108"/>
      <c r="FO79" s="108"/>
      <c r="FP79" s="108"/>
      <c r="FQ79" s="108"/>
      <c r="FR79" s="108"/>
      <c r="FS79" s="108"/>
      <c r="FT79" s="108"/>
      <c r="FU79" s="108"/>
      <c r="FV79" s="108"/>
      <c r="FW79" s="108"/>
      <c r="FX79" s="108"/>
      <c r="FY79" s="108"/>
      <c r="FZ79" s="108"/>
      <c r="GA79" s="108"/>
      <c r="GB79" s="108"/>
      <c r="GC79" s="108"/>
      <c r="GD79" s="108"/>
      <c r="GE79" s="108"/>
      <c r="GF79" s="108"/>
      <c r="GG79" s="108"/>
      <c r="GH79" s="108"/>
      <c r="GI79" s="108"/>
      <c r="GJ79" s="108"/>
      <c r="GK79" s="108"/>
      <c r="GL79" s="108"/>
      <c r="GM79" s="108"/>
      <c r="GN79" s="108"/>
      <c r="GO79" s="108"/>
      <c r="GP79" s="108"/>
      <c r="GQ79" s="108"/>
      <c r="GR79" s="108"/>
      <c r="GS79" s="108"/>
      <c r="GT79" s="108"/>
      <c r="GU79" s="108"/>
      <c r="GV79" s="108"/>
      <c r="GW79" s="108"/>
      <c r="GX79" s="108"/>
      <c r="GY79" s="108"/>
      <c r="GZ79" s="108"/>
      <c r="HA79" s="108"/>
      <c r="HB79" s="108"/>
      <c r="HC79" s="108"/>
      <c r="HD79" s="108"/>
      <c r="HE79" s="108"/>
      <c r="HF79" s="108"/>
      <c r="HG79" s="108"/>
      <c r="HH79" s="108"/>
      <c r="HI79" s="108"/>
      <c r="HJ79" s="108"/>
      <c r="HK79" s="108"/>
      <c r="HL79" s="108"/>
      <c r="HM79" s="108"/>
      <c r="HN79" s="108"/>
      <c r="HO79" s="108"/>
      <c r="HP79" s="108"/>
      <c r="HQ79" s="108"/>
      <c r="HR79" s="108"/>
      <c r="HS79" s="108"/>
      <c r="HT79" s="108"/>
      <c r="HU79" s="108"/>
      <c r="HV79" s="108"/>
      <c r="HW79" s="108"/>
      <c r="HX79" s="108"/>
      <c r="HY79" s="108"/>
      <c r="HZ79" s="108"/>
      <c r="IA79" s="108"/>
      <c r="IB79" s="108"/>
      <c r="IC79" s="108"/>
      <c r="ID79" s="108"/>
      <c r="IE79" s="108"/>
      <c r="IF79" s="108"/>
      <c r="IG79" s="108"/>
      <c r="IH79" s="108"/>
      <c r="II79" s="108"/>
      <c r="IJ79" s="108"/>
      <c r="IK79" s="108"/>
      <c r="IL79" s="108"/>
      <c r="IM79" s="108"/>
      <c r="IN79" s="108"/>
      <c r="IO79" s="108"/>
      <c r="IP79" s="108"/>
      <c r="IQ79" s="108"/>
      <c r="IR79" s="108"/>
      <c r="IS79" s="108"/>
      <c r="IT79" s="108"/>
      <c r="IU79" s="108"/>
      <c r="IV79" s="108"/>
      <c r="IW79" s="108"/>
    </row>
    <row r="80" spans="1:257" x14ac:dyDescent="0.3">
      <c r="A80" s="158"/>
      <c r="B80" s="158"/>
      <c r="C80" s="158"/>
      <c r="D80" s="158"/>
      <c r="E80" s="158"/>
      <c r="F80" s="158"/>
      <c r="G80" s="158"/>
      <c r="H80" s="158"/>
      <c r="I80" s="158"/>
      <c r="J80" s="158"/>
      <c r="K80" s="158"/>
      <c r="L80" s="158"/>
      <c r="M80" s="158"/>
      <c r="N80" s="158"/>
      <c r="O80" s="108"/>
      <c r="P80" s="108"/>
      <c r="Q80" s="108"/>
      <c r="R80" s="108"/>
      <c r="S80" s="108"/>
      <c r="T80" s="108"/>
      <c r="U80" s="108"/>
      <c r="V80" s="108"/>
      <c r="W80" s="108"/>
      <c r="X80" s="108"/>
      <c r="Y80" s="108"/>
      <c r="Z80" s="108"/>
      <c r="AA80" s="108"/>
      <c r="AB80" s="108"/>
      <c r="AC80" s="108"/>
      <c r="AD80" s="108"/>
      <c r="AE80" s="108"/>
      <c r="AF80" s="108"/>
      <c r="AG80" s="108"/>
      <c r="AH80" s="108"/>
      <c r="AI80" s="108"/>
      <c r="AJ80" s="108"/>
      <c r="AK80" s="108"/>
      <c r="AL80" s="108"/>
      <c r="AM80" s="108"/>
      <c r="AN80" s="108"/>
      <c r="AO80" s="108"/>
      <c r="AP80" s="108"/>
      <c r="AQ80" s="108"/>
      <c r="AR80" s="108"/>
      <c r="AS80" s="108"/>
      <c r="AT80" s="108"/>
      <c r="AU80" s="108"/>
      <c r="AV80" s="108"/>
      <c r="AW80" s="108"/>
      <c r="AX80" s="108"/>
      <c r="AY80" s="108"/>
      <c r="AZ80" s="108"/>
      <c r="BA80" s="108"/>
      <c r="BB80" s="108"/>
      <c r="BC80" s="108"/>
      <c r="BD80" s="108"/>
      <c r="BE80" s="108"/>
      <c r="BF80" s="108"/>
      <c r="BG80" s="108"/>
      <c r="BH80" s="108"/>
      <c r="BI80" s="108"/>
      <c r="BJ80" s="108"/>
      <c r="BK80" s="108"/>
      <c r="BL80" s="108"/>
      <c r="BM80" s="108"/>
      <c r="BN80" s="108"/>
      <c r="BO80" s="108"/>
      <c r="BP80" s="108"/>
      <c r="BQ80" s="108"/>
      <c r="BR80" s="108"/>
      <c r="BS80" s="108"/>
      <c r="BT80" s="108"/>
      <c r="BU80" s="108"/>
      <c r="BV80" s="108"/>
      <c r="BW80" s="108"/>
      <c r="BX80" s="108"/>
      <c r="BY80" s="108"/>
      <c r="BZ80" s="108"/>
      <c r="CA80" s="108"/>
      <c r="CB80" s="108"/>
      <c r="CC80" s="108"/>
      <c r="CD80" s="108"/>
      <c r="CE80" s="108"/>
      <c r="CF80" s="108"/>
      <c r="CG80" s="108"/>
      <c r="CH80" s="108"/>
      <c r="CI80" s="108"/>
      <c r="CJ80" s="108"/>
      <c r="CK80" s="108"/>
      <c r="CL80" s="108"/>
      <c r="CM80" s="108"/>
      <c r="CN80" s="108"/>
      <c r="CO80" s="108"/>
      <c r="CP80" s="108"/>
      <c r="CQ80" s="108"/>
      <c r="CR80" s="108"/>
      <c r="CS80" s="108"/>
      <c r="CT80" s="108"/>
      <c r="CU80" s="108"/>
      <c r="CV80" s="108"/>
      <c r="CW80" s="108"/>
      <c r="CX80" s="108"/>
      <c r="CY80" s="108"/>
      <c r="CZ80" s="108"/>
      <c r="DA80" s="108"/>
      <c r="DB80" s="108"/>
      <c r="DC80" s="108"/>
      <c r="DD80" s="108"/>
      <c r="DE80" s="108"/>
      <c r="DF80" s="108"/>
      <c r="DG80" s="108"/>
      <c r="DH80" s="108"/>
      <c r="DI80" s="108"/>
      <c r="DJ80" s="108"/>
      <c r="DK80" s="108"/>
      <c r="DL80" s="108"/>
      <c r="DM80" s="108"/>
      <c r="DN80" s="108"/>
      <c r="DO80" s="108"/>
      <c r="DP80" s="108"/>
      <c r="DQ80" s="108"/>
      <c r="DR80" s="108"/>
      <c r="DS80" s="108"/>
      <c r="DT80" s="108"/>
      <c r="DU80" s="108"/>
      <c r="DV80" s="108"/>
      <c r="DW80" s="108"/>
      <c r="DX80" s="108"/>
      <c r="DY80" s="108"/>
      <c r="DZ80" s="108"/>
      <c r="EA80" s="108"/>
      <c r="EB80" s="108"/>
      <c r="EC80" s="108"/>
      <c r="ED80" s="108"/>
      <c r="EE80" s="108"/>
      <c r="EF80" s="108"/>
      <c r="EG80" s="108"/>
      <c r="EH80" s="108"/>
      <c r="EI80" s="108"/>
      <c r="EJ80" s="108"/>
      <c r="EK80" s="108"/>
      <c r="EL80" s="108"/>
      <c r="EM80" s="108"/>
      <c r="EN80" s="108"/>
      <c r="EO80" s="108"/>
      <c r="EP80" s="108"/>
      <c r="EQ80" s="108"/>
      <c r="ER80" s="108"/>
      <c r="ES80" s="108"/>
      <c r="ET80" s="108"/>
      <c r="EU80" s="108"/>
      <c r="EV80" s="108"/>
      <c r="EW80" s="108"/>
      <c r="EX80" s="108"/>
      <c r="EY80" s="108"/>
      <c r="EZ80" s="108"/>
      <c r="FA80" s="108"/>
      <c r="FB80" s="108"/>
      <c r="FC80" s="108"/>
      <c r="FD80" s="108"/>
      <c r="FE80" s="108"/>
      <c r="FF80" s="108"/>
      <c r="FG80" s="108"/>
      <c r="FH80" s="108"/>
      <c r="FI80" s="108"/>
      <c r="FJ80" s="108"/>
      <c r="FK80" s="108"/>
      <c r="FL80" s="108"/>
      <c r="FM80" s="108"/>
      <c r="FN80" s="108"/>
      <c r="FO80" s="108"/>
      <c r="FP80" s="108"/>
      <c r="FQ80" s="108"/>
      <c r="FR80" s="108"/>
      <c r="FS80" s="108"/>
      <c r="FT80" s="108"/>
      <c r="FU80" s="108"/>
      <c r="FV80" s="108"/>
      <c r="FW80" s="108"/>
      <c r="FX80" s="108"/>
      <c r="FY80" s="108"/>
      <c r="FZ80" s="108"/>
      <c r="GA80" s="108"/>
      <c r="GB80" s="108"/>
      <c r="GC80" s="108"/>
      <c r="GD80" s="108"/>
      <c r="GE80" s="108"/>
      <c r="GF80" s="108"/>
      <c r="GG80" s="108"/>
      <c r="GH80" s="108"/>
      <c r="GI80" s="108"/>
      <c r="GJ80" s="108"/>
      <c r="GK80" s="108"/>
      <c r="GL80" s="108"/>
      <c r="GM80" s="108"/>
      <c r="GN80" s="108"/>
      <c r="GO80" s="108"/>
      <c r="GP80" s="108"/>
      <c r="GQ80" s="108"/>
      <c r="GR80" s="108"/>
      <c r="GS80" s="108"/>
      <c r="GT80" s="108"/>
      <c r="GU80" s="108"/>
      <c r="GV80" s="108"/>
      <c r="GW80" s="108"/>
      <c r="GX80" s="108"/>
      <c r="GY80" s="108"/>
      <c r="GZ80" s="108"/>
      <c r="HA80" s="108"/>
      <c r="HB80" s="108"/>
      <c r="HC80" s="108"/>
      <c r="HD80" s="108"/>
      <c r="HE80" s="108"/>
      <c r="HF80" s="108"/>
      <c r="HG80" s="108"/>
      <c r="HH80" s="108"/>
      <c r="HI80" s="108"/>
      <c r="HJ80" s="108"/>
      <c r="HK80" s="108"/>
      <c r="HL80" s="108"/>
      <c r="HM80" s="108"/>
      <c r="HN80" s="108"/>
      <c r="HO80" s="108"/>
      <c r="HP80" s="108"/>
      <c r="HQ80" s="108"/>
      <c r="HR80" s="108"/>
      <c r="HS80" s="108"/>
      <c r="HT80" s="108"/>
      <c r="HU80" s="108"/>
      <c r="HV80" s="108"/>
      <c r="HW80" s="108"/>
      <c r="HX80" s="108"/>
      <c r="HY80" s="108"/>
      <c r="HZ80" s="108"/>
      <c r="IA80" s="108"/>
      <c r="IB80" s="108"/>
      <c r="IC80" s="108"/>
      <c r="ID80" s="108"/>
      <c r="IE80" s="108"/>
      <c r="IF80" s="108"/>
      <c r="IG80" s="108"/>
      <c r="IH80" s="108"/>
      <c r="II80" s="108"/>
      <c r="IJ80" s="108"/>
      <c r="IK80" s="108"/>
      <c r="IL80" s="108"/>
      <c r="IM80" s="108"/>
      <c r="IN80" s="108"/>
      <c r="IO80" s="108"/>
      <c r="IP80" s="108"/>
      <c r="IQ80" s="108"/>
      <c r="IR80" s="108"/>
      <c r="IS80" s="108"/>
      <c r="IT80" s="108"/>
      <c r="IU80" s="108"/>
      <c r="IV80" s="108"/>
      <c r="IW80" s="108"/>
    </row>
    <row r="81" spans="1:257" x14ac:dyDescent="0.3">
      <c r="A81" s="158"/>
      <c r="B81" s="158"/>
      <c r="C81" s="158"/>
      <c r="D81" s="158"/>
      <c r="E81" s="158"/>
      <c r="F81" s="158"/>
      <c r="G81" s="158"/>
      <c r="H81" s="158"/>
      <c r="I81" s="158"/>
      <c r="J81" s="158"/>
      <c r="K81" s="158"/>
      <c r="L81" s="158"/>
      <c r="M81" s="158"/>
      <c r="N81" s="158"/>
      <c r="O81" s="108"/>
      <c r="P81" s="108"/>
      <c r="Q81" s="108"/>
      <c r="R81" s="108"/>
      <c r="S81" s="108"/>
      <c r="T81" s="108"/>
      <c r="U81" s="108"/>
      <c r="V81" s="108"/>
      <c r="W81" s="108"/>
      <c r="X81" s="108"/>
      <c r="Y81" s="108"/>
      <c r="Z81" s="108"/>
      <c r="AA81" s="108"/>
      <c r="AB81" s="108"/>
      <c r="AC81" s="108"/>
      <c r="AD81" s="108"/>
      <c r="AE81" s="108"/>
      <c r="AF81" s="108"/>
      <c r="AG81" s="108"/>
      <c r="AH81" s="108"/>
      <c r="AI81" s="108"/>
      <c r="AJ81" s="108"/>
      <c r="AK81" s="108"/>
      <c r="AL81" s="108"/>
      <c r="AM81" s="108"/>
      <c r="AN81" s="108"/>
      <c r="AO81" s="108"/>
      <c r="AP81" s="108"/>
      <c r="AQ81" s="108"/>
      <c r="AR81" s="108"/>
      <c r="AS81" s="108"/>
      <c r="AT81" s="108"/>
      <c r="AU81" s="108"/>
      <c r="AV81" s="108"/>
      <c r="AW81" s="108"/>
      <c r="AX81" s="108"/>
      <c r="AY81" s="108"/>
      <c r="AZ81" s="108"/>
      <c r="BA81" s="108"/>
      <c r="BB81" s="108"/>
      <c r="BC81" s="108"/>
      <c r="BD81" s="108"/>
      <c r="BE81" s="108"/>
      <c r="BF81" s="108"/>
      <c r="BG81" s="108"/>
      <c r="BH81" s="108"/>
      <c r="BI81" s="108"/>
      <c r="BJ81" s="108"/>
      <c r="BK81" s="108"/>
      <c r="BL81" s="108"/>
      <c r="BM81" s="108"/>
      <c r="BN81" s="108"/>
      <c r="BO81" s="108"/>
      <c r="BP81" s="108"/>
      <c r="BQ81" s="108"/>
      <c r="BR81" s="108"/>
      <c r="BS81" s="108"/>
      <c r="BT81" s="108"/>
      <c r="BU81" s="108"/>
      <c r="BV81" s="108"/>
      <c r="BW81" s="108"/>
      <c r="BX81" s="108"/>
      <c r="BY81" s="108"/>
      <c r="BZ81" s="108"/>
      <c r="CA81" s="108"/>
      <c r="CB81" s="108"/>
      <c r="CC81" s="108"/>
      <c r="CD81" s="108"/>
      <c r="CE81" s="108"/>
      <c r="CF81" s="108"/>
      <c r="CG81" s="108"/>
      <c r="CH81" s="108"/>
      <c r="CI81" s="108"/>
      <c r="CJ81" s="108"/>
      <c r="CK81" s="108"/>
      <c r="CL81" s="108"/>
      <c r="CM81" s="108"/>
      <c r="CN81" s="108"/>
      <c r="CO81" s="108"/>
      <c r="CP81" s="108"/>
      <c r="CQ81" s="108"/>
      <c r="CR81" s="108"/>
      <c r="CS81" s="108"/>
      <c r="CT81" s="108"/>
      <c r="CU81" s="108"/>
      <c r="CV81" s="108"/>
      <c r="CW81" s="108"/>
      <c r="CX81" s="108"/>
      <c r="CY81" s="108"/>
      <c r="CZ81" s="108"/>
      <c r="DA81" s="108"/>
      <c r="DB81" s="108"/>
      <c r="DC81" s="108"/>
      <c r="DD81" s="108"/>
      <c r="DE81" s="108"/>
      <c r="DF81" s="108"/>
      <c r="DG81" s="108"/>
      <c r="DH81" s="108"/>
      <c r="DI81" s="108"/>
      <c r="DJ81" s="108"/>
      <c r="DK81" s="108"/>
      <c r="DL81" s="108"/>
      <c r="DM81" s="108"/>
      <c r="DN81" s="108"/>
      <c r="DO81" s="108"/>
      <c r="DP81" s="108"/>
      <c r="DQ81" s="108"/>
      <c r="DR81" s="108"/>
      <c r="DS81" s="108"/>
      <c r="DT81" s="108"/>
      <c r="DU81" s="108"/>
      <c r="DV81" s="108"/>
      <c r="DW81" s="108"/>
      <c r="DX81" s="108"/>
      <c r="DY81" s="108"/>
      <c r="DZ81" s="108"/>
      <c r="EA81" s="108"/>
      <c r="EB81" s="108"/>
      <c r="EC81" s="108"/>
      <c r="ED81" s="108"/>
      <c r="EE81" s="108"/>
      <c r="EF81" s="108"/>
      <c r="EG81" s="108"/>
      <c r="EH81" s="108"/>
      <c r="EI81" s="108"/>
      <c r="EJ81" s="108"/>
      <c r="EK81" s="108"/>
      <c r="EL81" s="108"/>
      <c r="EM81" s="108"/>
      <c r="EN81" s="108"/>
      <c r="EO81" s="108"/>
      <c r="EP81" s="108"/>
      <c r="EQ81" s="108"/>
      <c r="ER81" s="108"/>
      <c r="ES81" s="108"/>
      <c r="ET81" s="108"/>
      <c r="EU81" s="108"/>
      <c r="EV81" s="108"/>
      <c r="EW81" s="108"/>
      <c r="EX81" s="108"/>
      <c r="EY81" s="108"/>
      <c r="EZ81" s="108"/>
      <c r="FA81" s="108"/>
      <c r="FB81" s="108"/>
      <c r="FC81" s="108"/>
      <c r="FD81" s="108"/>
      <c r="FE81" s="108"/>
      <c r="FF81" s="108"/>
      <c r="FG81" s="108"/>
      <c r="FH81" s="108"/>
      <c r="FI81" s="108"/>
      <c r="FJ81" s="108"/>
      <c r="FK81" s="108"/>
      <c r="FL81" s="108"/>
      <c r="FM81" s="108"/>
      <c r="FN81" s="108"/>
      <c r="FO81" s="108"/>
      <c r="FP81" s="108"/>
      <c r="FQ81" s="108"/>
      <c r="FR81" s="108"/>
      <c r="FS81" s="108"/>
      <c r="FT81" s="108"/>
      <c r="FU81" s="108"/>
      <c r="FV81" s="108"/>
      <c r="FW81" s="108"/>
      <c r="FX81" s="108"/>
      <c r="FY81" s="108"/>
      <c r="FZ81" s="108"/>
      <c r="GA81" s="108"/>
      <c r="GB81" s="108"/>
      <c r="GC81" s="108"/>
      <c r="GD81" s="108"/>
      <c r="GE81" s="108"/>
      <c r="GF81" s="108"/>
      <c r="GG81" s="108"/>
      <c r="GH81" s="108"/>
      <c r="GI81" s="108"/>
      <c r="GJ81" s="108"/>
      <c r="GK81" s="108"/>
      <c r="GL81" s="108"/>
      <c r="GM81" s="108"/>
      <c r="GN81" s="108"/>
      <c r="GO81" s="108"/>
      <c r="GP81" s="108"/>
      <c r="GQ81" s="108"/>
      <c r="GR81" s="108"/>
      <c r="GS81" s="108"/>
      <c r="GT81" s="108"/>
      <c r="GU81" s="108"/>
      <c r="GV81" s="108"/>
      <c r="GW81" s="108"/>
      <c r="GX81" s="108"/>
      <c r="GY81" s="108"/>
      <c r="GZ81" s="108"/>
      <c r="HA81" s="108"/>
      <c r="HB81" s="108"/>
      <c r="HC81" s="108"/>
      <c r="HD81" s="108"/>
      <c r="HE81" s="108"/>
      <c r="HF81" s="108"/>
      <c r="HG81" s="108"/>
      <c r="HH81" s="108"/>
      <c r="HI81" s="108"/>
      <c r="HJ81" s="108"/>
      <c r="HK81" s="108"/>
      <c r="HL81" s="108"/>
      <c r="HM81" s="108"/>
      <c r="HN81" s="108"/>
      <c r="HO81" s="108"/>
      <c r="HP81" s="108"/>
      <c r="HQ81" s="108"/>
      <c r="HR81" s="108"/>
      <c r="HS81" s="108"/>
      <c r="HT81" s="108"/>
      <c r="HU81" s="108"/>
      <c r="HV81" s="108"/>
      <c r="HW81" s="108"/>
      <c r="HX81" s="108"/>
      <c r="HY81" s="108"/>
      <c r="HZ81" s="108"/>
      <c r="IA81" s="108"/>
      <c r="IB81" s="108"/>
      <c r="IC81" s="108"/>
      <c r="ID81" s="108"/>
      <c r="IE81" s="108"/>
      <c r="IF81" s="108"/>
      <c r="IG81" s="108"/>
      <c r="IH81" s="108"/>
      <c r="II81" s="108"/>
      <c r="IJ81" s="108"/>
      <c r="IK81" s="108"/>
      <c r="IL81" s="108"/>
      <c r="IM81" s="108"/>
      <c r="IN81" s="108"/>
      <c r="IO81" s="108"/>
      <c r="IP81" s="108"/>
      <c r="IQ81" s="108"/>
      <c r="IR81" s="108"/>
      <c r="IS81" s="108"/>
      <c r="IT81" s="108"/>
      <c r="IU81" s="108"/>
      <c r="IV81" s="108"/>
      <c r="IW81" s="108"/>
    </row>
    <row r="82" spans="1:257" x14ac:dyDescent="0.3">
      <c r="A82" s="158"/>
      <c r="B82" s="158"/>
      <c r="C82" s="158"/>
      <c r="D82" s="158"/>
      <c r="E82" s="158"/>
      <c r="F82" s="158"/>
      <c r="G82" s="158"/>
      <c r="H82" s="158"/>
      <c r="I82" s="158"/>
      <c r="J82" s="158"/>
      <c r="K82" s="158"/>
      <c r="L82" s="158"/>
      <c r="M82" s="158"/>
      <c r="N82" s="158"/>
      <c r="O82" s="108"/>
      <c r="P82" s="108"/>
      <c r="Q82" s="108"/>
      <c r="R82" s="108"/>
      <c r="S82" s="108"/>
      <c r="T82" s="108"/>
      <c r="U82" s="108"/>
      <c r="V82" s="108"/>
      <c r="W82" s="108"/>
      <c r="X82" s="108"/>
      <c r="Y82" s="108"/>
      <c r="Z82" s="108"/>
      <c r="AA82" s="108"/>
      <c r="AB82" s="108"/>
      <c r="AC82" s="108"/>
      <c r="AD82" s="108"/>
      <c r="AE82" s="108"/>
      <c r="AF82" s="108"/>
      <c r="AG82" s="108"/>
      <c r="AH82" s="108"/>
      <c r="AI82" s="108"/>
      <c r="AJ82" s="108"/>
      <c r="AK82" s="108"/>
      <c r="AL82" s="108"/>
      <c r="AM82" s="108"/>
      <c r="AN82" s="108"/>
      <c r="AO82" s="108"/>
      <c r="AP82" s="108"/>
      <c r="AQ82" s="108"/>
      <c r="AR82" s="108"/>
      <c r="AS82" s="108"/>
      <c r="AT82" s="108"/>
      <c r="AU82" s="108"/>
      <c r="AV82" s="108"/>
      <c r="AW82" s="108"/>
      <c r="AX82" s="108"/>
      <c r="AY82" s="108"/>
      <c r="AZ82" s="108"/>
      <c r="BA82" s="108"/>
      <c r="BB82" s="108"/>
      <c r="BC82" s="108"/>
      <c r="BD82" s="108"/>
      <c r="BE82" s="108"/>
      <c r="BF82" s="108"/>
      <c r="BG82" s="108"/>
      <c r="BH82" s="108"/>
      <c r="BI82" s="108"/>
      <c r="BJ82" s="108"/>
      <c r="BK82" s="108"/>
      <c r="BL82" s="108"/>
      <c r="BM82" s="108"/>
      <c r="BN82" s="108"/>
      <c r="BO82" s="108"/>
      <c r="BP82" s="108"/>
      <c r="BQ82" s="108"/>
      <c r="BR82" s="108"/>
      <c r="BS82" s="108"/>
      <c r="BT82" s="108"/>
      <c r="BU82" s="108"/>
      <c r="BV82" s="108"/>
      <c r="BW82" s="108"/>
      <c r="BX82" s="108"/>
      <c r="BY82" s="108"/>
      <c r="BZ82" s="108"/>
      <c r="CA82" s="108"/>
      <c r="CB82" s="108"/>
      <c r="CC82" s="108"/>
      <c r="CD82" s="108"/>
      <c r="CE82" s="108"/>
      <c r="CF82" s="108"/>
      <c r="CG82" s="108"/>
      <c r="CH82" s="108"/>
      <c r="CI82" s="108"/>
      <c r="CJ82" s="108"/>
      <c r="CK82" s="108"/>
      <c r="CL82" s="108"/>
      <c r="CM82" s="108"/>
      <c r="CN82" s="108"/>
      <c r="CO82" s="108"/>
      <c r="CP82" s="108"/>
      <c r="CQ82" s="108"/>
      <c r="CR82" s="108"/>
      <c r="CS82" s="108"/>
      <c r="CT82" s="108"/>
      <c r="CU82" s="108"/>
      <c r="CV82" s="108"/>
      <c r="CW82" s="108"/>
      <c r="CX82" s="108"/>
      <c r="CY82" s="108"/>
      <c r="CZ82" s="108"/>
      <c r="DA82" s="108"/>
      <c r="DB82" s="108"/>
      <c r="DC82" s="108"/>
      <c r="DD82" s="108"/>
      <c r="DE82" s="108"/>
      <c r="DF82" s="108"/>
      <c r="DG82" s="108"/>
      <c r="DH82" s="108"/>
      <c r="DI82" s="108"/>
      <c r="DJ82" s="108"/>
      <c r="DK82" s="108"/>
      <c r="DL82" s="108"/>
      <c r="DM82" s="108"/>
      <c r="DN82" s="108"/>
      <c r="DO82" s="108"/>
      <c r="DP82" s="108"/>
      <c r="DQ82" s="108"/>
      <c r="DR82" s="108"/>
      <c r="DS82" s="108"/>
      <c r="DT82" s="108"/>
      <c r="DU82" s="108"/>
      <c r="DV82" s="108"/>
      <c r="DW82" s="108"/>
      <c r="DX82" s="108"/>
      <c r="DY82" s="108"/>
      <c r="DZ82" s="108"/>
      <c r="EA82" s="108"/>
      <c r="EB82" s="108"/>
      <c r="EC82" s="108"/>
      <c r="ED82" s="108"/>
      <c r="EE82" s="108"/>
      <c r="EF82" s="108"/>
      <c r="EG82" s="108"/>
      <c r="EH82" s="108"/>
      <c r="EI82" s="108"/>
      <c r="EJ82" s="108"/>
      <c r="EK82" s="108"/>
      <c r="EL82" s="108"/>
      <c r="EM82" s="108"/>
      <c r="EN82" s="108"/>
      <c r="EO82" s="108"/>
      <c r="EP82" s="108"/>
      <c r="EQ82" s="108"/>
      <c r="ER82" s="108"/>
      <c r="ES82" s="108"/>
      <c r="ET82" s="108"/>
      <c r="EU82" s="108"/>
      <c r="EV82" s="108"/>
      <c r="EW82" s="108"/>
      <c r="EX82" s="108"/>
      <c r="EY82" s="108"/>
      <c r="EZ82" s="108"/>
      <c r="FA82" s="108"/>
      <c r="FB82" s="108"/>
      <c r="FC82" s="108"/>
      <c r="FD82" s="108"/>
      <c r="FE82" s="108"/>
      <c r="FF82" s="108"/>
      <c r="FG82" s="108"/>
      <c r="FH82" s="108"/>
      <c r="FI82" s="108"/>
      <c r="FJ82" s="108"/>
      <c r="FK82" s="108"/>
      <c r="FL82" s="108"/>
      <c r="FM82" s="108"/>
      <c r="FN82" s="108"/>
      <c r="FO82" s="108"/>
      <c r="FP82" s="108"/>
      <c r="FQ82" s="108"/>
      <c r="FR82" s="108"/>
      <c r="FS82" s="108"/>
      <c r="FT82" s="108"/>
      <c r="FU82" s="108"/>
      <c r="FV82" s="108"/>
      <c r="FW82" s="108"/>
      <c r="FX82" s="108"/>
      <c r="FY82" s="108"/>
      <c r="FZ82" s="108"/>
      <c r="GA82" s="108"/>
      <c r="GB82" s="108"/>
      <c r="GC82" s="108"/>
      <c r="GD82" s="108"/>
      <c r="GE82" s="108"/>
      <c r="GF82" s="108"/>
      <c r="GG82" s="108"/>
      <c r="GH82" s="108"/>
      <c r="GI82" s="108"/>
      <c r="GJ82" s="108"/>
      <c r="GK82" s="108"/>
      <c r="GL82" s="108"/>
      <c r="GM82" s="108"/>
      <c r="GN82" s="108"/>
      <c r="GO82" s="108"/>
      <c r="GP82" s="108"/>
      <c r="GQ82" s="108"/>
      <c r="GR82" s="108"/>
      <c r="GS82" s="108"/>
      <c r="GT82" s="108"/>
      <c r="GU82" s="108"/>
      <c r="GV82" s="108"/>
      <c r="GW82" s="108"/>
      <c r="GX82" s="108"/>
      <c r="GY82" s="108"/>
      <c r="GZ82" s="108"/>
      <c r="HA82" s="108"/>
      <c r="HB82" s="108"/>
      <c r="HC82" s="108"/>
      <c r="HD82" s="108"/>
      <c r="HE82" s="108"/>
      <c r="HF82" s="108"/>
      <c r="HG82" s="108"/>
      <c r="HH82" s="108"/>
      <c r="HI82" s="108"/>
      <c r="HJ82" s="108"/>
      <c r="HK82" s="108"/>
      <c r="HL82" s="108"/>
      <c r="HM82" s="108"/>
      <c r="HN82" s="108"/>
      <c r="HO82" s="108"/>
      <c r="HP82" s="108"/>
      <c r="HQ82" s="108"/>
      <c r="HR82" s="108"/>
      <c r="HS82" s="108"/>
      <c r="HT82" s="108"/>
      <c r="HU82" s="108"/>
      <c r="HV82" s="108"/>
      <c r="HW82" s="108"/>
      <c r="HX82" s="108"/>
      <c r="HY82" s="108"/>
      <c r="HZ82" s="108"/>
      <c r="IA82" s="108"/>
      <c r="IB82" s="108"/>
      <c r="IC82" s="108"/>
      <c r="ID82" s="108"/>
      <c r="IE82" s="108"/>
      <c r="IF82" s="108"/>
      <c r="IG82" s="108"/>
      <c r="IH82" s="108"/>
      <c r="II82" s="108"/>
      <c r="IJ82" s="108"/>
      <c r="IK82" s="108"/>
      <c r="IL82" s="108"/>
      <c r="IM82" s="108"/>
      <c r="IN82" s="108"/>
      <c r="IO82" s="108"/>
      <c r="IP82" s="108"/>
      <c r="IQ82" s="108"/>
      <c r="IR82" s="108"/>
      <c r="IS82" s="108"/>
      <c r="IT82" s="108"/>
      <c r="IU82" s="108"/>
      <c r="IV82" s="108"/>
      <c r="IW82" s="108"/>
    </row>
    <row r="83" spans="1:257" x14ac:dyDescent="0.3">
      <c r="A83" s="158"/>
      <c r="B83" s="158"/>
      <c r="C83" s="158"/>
      <c r="D83" s="158"/>
      <c r="E83" s="158"/>
      <c r="F83" s="158"/>
      <c r="G83" s="158"/>
      <c r="H83" s="158"/>
      <c r="I83" s="158"/>
      <c r="J83" s="158"/>
      <c r="K83" s="158"/>
      <c r="L83" s="158"/>
      <c r="M83" s="158"/>
      <c r="N83" s="158"/>
      <c r="O83" s="108"/>
      <c r="P83" s="108"/>
      <c r="Q83" s="108"/>
      <c r="R83" s="108"/>
      <c r="S83" s="108"/>
      <c r="T83" s="108"/>
      <c r="U83" s="108"/>
      <c r="V83" s="108"/>
      <c r="W83" s="108"/>
      <c r="X83" s="108"/>
      <c r="Y83" s="108"/>
      <c r="Z83" s="108"/>
      <c r="AA83" s="108"/>
      <c r="AB83" s="108"/>
      <c r="AC83" s="108"/>
      <c r="AD83" s="108"/>
      <c r="AE83" s="108"/>
      <c r="AF83" s="108"/>
      <c r="AG83" s="108"/>
      <c r="AH83" s="108"/>
      <c r="AI83" s="108"/>
      <c r="AJ83" s="108"/>
      <c r="AK83" s="108"/>
      <c r="AL83" s="108"/>
      <c r="AM83" s="108"/>
      <c r="AN83" s="108"/>
      <c r="AO83" s="108"/>
      <c r="AP83" s="108"/>
      <c r="AQ83" s="108"/>
      <c r="AR83" s="108"/>
      <c r="AS83" s="108"/>
      <c r="AT83" s="108"/>
      <c r="AU83" s="108"/>
      <c r="AV83" s="108"/>
      <c r="AW83" s="108"/>
      <c r="AX83" s="108"/>
      <c r="AY83" s="108"/>
      <c r="AZ83" s="108"/>
      <c r="BA83" s="108"/>
      <c r="BB83" s="108"/>
      <c r="BC83" s="108"/>
      <c r="BD83" s="108"/>
      <c r="BE83" s="108"/>
      <c r="BF83" s="108"/>
      <c r="BG83" s="108"/>
      <c r="BH83" s="108"/>
      <c r="BI83" s="108"/>
      <c r="BJ83" s="108"/>
      <c r="BK83" s="108"/>
      <c r="BL83" s="108"/>
      <c r="BM83" s="108"/>
      <c r="BN83" s="108"/>
      <c r="BO83" s="108"/>
      <c r="BP83" s="108"/>
      <c r="BQ83" s="108"/>
      <c r="BR83" s="108"/>
      <c r="BS83" s="108"/>
      <c r="BT83" s="108"/>
      <c r="BU83" s="108"/>
      <c r="BV83" s="108"/>
      <c r="BW83" s="108"/>
      <c r="BX83" s="108"/>
      <c r="BY83" s="108"/>
      <c r="BZ83" s="108"/>
      <c r="CA83" s="108"/>
      <c r="CB83" s="108"/>
      <c r="CC83" s="108"/>
      <c r="CD83" s="108"/>
      <c r="CE83" s="108"/>
      <c r="CF83" s="108"/>
      <c r="CG83" s="108"/>
      <c r="CH83" s="108"/>
      <c r="CI83" s="108"/>
      <c r="CJ83" s="108"/>
      <c r="CK83" s="108"/>
      <c r="CL83" s="108"/>
      <c r="CM83" s="108"/>
      <c r="CN83" s="108"/>
      <c r="CO83" s="108"/>
      <c r="CP83" s="108"/>
      <c r="CQ83" s="108"/>
      <c r="CR83" s="108"/>
      <c r="CS83" s="108"/>
      <c r="CT83" s="108"/>
      <c r="CU83" s="108"/>
      <c r="CV83" s="108"/>
      <c r="CW83" s="108"/>
      <c r="CX83" s="108"/>
      <c r="CY83" s="108"/>
      <c r="CZ83" s="108"/>
      <c r="DA83" s="108"/>
      <c r="DB83" s="108"/>
      <c r="DC83" s="108"/>
      <c r="DD83" s="108"/>
      <c r="DE83" s="108"/>
      <c r="DF83" s="108"/>
      <c r="DG83" s="108"/>
      <c r="DH83" s="108"/>
      <c r="DI83" s="108"/>
      <c r="DJ83" s="108"/>
      <c r="DK83" s="108"/>
      <c r="DL83" s="108"/>
      <c r="DM83" s="108"/>
      <c r="DN83" s="108"/>
      <c r="DO83" s="108"/>
      <c r="DP83" s="108"/>
      <c r="DQ83" s="108"/>
      <c r="DR83" s="108"/>
      <c r="DS83" s="108"/>
      <c r="DT83" s="108"/>
      <c r="DU83" s="108"/>
      <c r="DV83" s="108"/>
      <c r="DW83" s="108"/>
      <c r="DX83" s="108"/>
      <c r="DY83" s="108"/>
      <c r="DZ83" s="108"/>
      <c r="EA83" s="108"/>
      <c r="EB83" s="108"/>
      <c r="EC83" s="108"/>
      <c r="ED83" s="108"/>
      <c r="EE83" s="108"/>
      <c r="EF83" s="108"/>
      <c r="EG83" s="108"/>
      <c r="EH83" s="108"/>
      <c r="EI83" s="108"/>
      <c r="EJ83" s="108"/>
      <c r="EK83" s="108"/>
      <c r="EL83" s="108"/>
      <c r="EM83" s="108"/>
      <c r="EN83" s="108"/>
      <c r="EO83" s="108"/>
      <c r="EP83" s="108"/>
      <c r="EQ83" s="108"/>
      <c r="ER83" s="108"/>
      <c r="ES83" s="108"/>
      <c r="ET83" s="108"/>
      <c r="EU83" s="108"/>
      <c r="EV83" s="108"/>
      <c r="EW83" s="108"/>
      <c r="EX83" s="108"/>
      <c r="EY83" s="108"/>
      <c r="EZ83" s="108"/>
      <c r="FA83" s="108"/>
      <c r="FB83" s="108"/>
      <c r="FC83" s="108"/>
      <c r="FD83" s="108"/>
      <c r="FE83" s="108"/>
      <c r="FF83" s="108"/>
      <c r="FG83" s="108"/>
      <c r="FH83" s="108"/>
      <c r="FI83" s="108"/>
      <c r="FJ83" s="108"/>
      <c r="FK83" s="108"/>
      <c r="FL83" s="108"/>
      <c r="FM83" s="108"/>
      <c r="FN83" s="108"/>
      <c r="FO83" s="108"/>
      <c r="FP83" s="108"/>
      <c r="FQ83" s="108"/>
      <c r="FR83" s="108"/>
      <c r="FS83" s="108"/>
      <c r="FT83" s="108"/>
      <c r="FU83" s="108"/>
      <c r="FV83" s="108"/>
      <c r="FW83" s="108"/>
      <c r="FX83" s="108"/>
      <c r="FY83" s="108"/>
      <c r="FZ83" s="108"/>
      <c r="GA83" s="108"/>
      <c r="GB83" s="108"/>
      <c r="GC83" s="108"/>
      <c r="GD83" s="108"/>
      <c r="GE83" s="108"/>
      <c r="GF83" s="108"/>
      <c r="GG83" s="108"/>
      <c r="GH83" s="108"/>
      <c r="GI83" s="108"/>
      <c r="GJ83" s="108"/>
      <c r="GK83" s="108"/>
      <c r="GL83" s="108"/>
      <c r="GM83" s="108"/>
      <c r="GN83" s="108"/>
      <c r="GO83" s="108"/>
      <c r="GP83" s="108"/>
      <c r="GQ83" s="108"/>
      <c r="GR83" s="108"/>
      <c r="GS83" s="108"/>
      <c r="GT83" s="108"/>
      <c r="GU83" s="108"/>
      <c r="GV83" s="108"/>
      <c r="GW83" s="108"/>
      <c r="GX83" s="108"/>
      <c r="GY83" s="108"/>
      <c r="GZ83" s="108"/>
      <c r="HA83" s="108"/>
      <c r="HB83" s="108"/>
      <c r="HC83" s="108"/>
      <c r="HD83" s="108"/>
      <c r="HE83" s="108"/>
      <c r="HF83" s="108"/>
      <c r="HG83" s="108"/>
      <c r="HH83" s="108"/>
      <c r="HI83" s="108"/>
      <c r="HJ83" s="108"/>
      <c r="HK83" s="108"/>
      <c r="HL83" s="108"/>
      <c r="HM83" s="108"/>
      <c r="HN83" s="108"/>
      <c r="HO83" s="108"/>
      <c r="HP83" s="108"/>
      <c r="HQ83" s="108"/>
      <c r="HR83" s="108"/>
      <c r="HS83" s="108"/>
      <c r="HT83" s="108"/>
      <c r="HU83" s="108"/>
      <c r="HV83" s="108"/>
      <c r="HW83" s="108"/>
      <c r="HX83" s="108"/>
      <c r="HY83" s="108"/>
      <c r="HZ83" s="108"/>
      <c r="IA83" s="108"/>
      <c r="IB83" s="108"/>
      <c r="IC83" s="108"/>
      <c r="ID83" s="108"/>
      <c r="IE83" s="108"/>
      <c r="IF83" s="108"/>
      <c r="IG83" s="108"/>
      <c r="IH83" s="108"/>
      <c r="II83" s="108"/>
      <c r="IJ83" s="108"/>
      <c r="IK83" s="108"/>
      <c r="IL83" s="108"/>
      <c r="IM83" s="108"/>
      <c r="IN83" s="108"/>
      <c r="IO83" s="108"/>
      <c r="IP83" s="108"/>
      <c r="IQ83" s="108"/>
      <c r="IR83" s="108"/>
      <c r="IS83" s="108"/>
      <c r="IT83" s="108"/>
      <c r="IU83" s="108"/>
      <c r="IV83" s="108"/>
      <c r="IW83" s="108"/>
    </row>
    <row r="84" spans="1:257" x14ac:dyDescent="0.3">
      <c r="A84" s="158"/>
      <c r="B84" s="158"/>
      <c r="C84" s="158"/>
      <c r="D84" s="158"/>
      <c r="E84" s="158"/>
      <c r="F84" s="158"/>
      <c r="G84" s="158"/>
      <c r="H84" s="158"/>
      <c r="I84" s="158"/>
      <c r="J84" s="158"/>
      <c r="K84" s="158"/>
      <c r="L84" s="158"/>
      <c r="M84" s="158"/>
      <c r="N84" s="158"/>
      <c r="O84" s="108"/>
      <c r="P84" s="108"/>
      <c r="Q84" s="108"/>
      <c r="R84" s="108"/>
      <c r="S84" s="108"/>
      <c r="T84" s="108"/>
      <c r="U84" s="108"/>
      <c r="V84" s="108"/>
      <c r="W84" s="108"/>
      <c r="X84" s="108"/>
      <c r="Y84" s="108"/>
      <c r="Z84" s="108"/>
      <c r="AA84" s="108"/>
      <c r="AB84" s="108"/>
      <c r="AC84" s="108"/>
      <c r="AD84" s="108"/>
      <c r="AE84" s="108"/>
      <c r="AF84" s="108"/>
      <c r="AG84" s="108"/>
      <c r="AH84" s="108"/>
      <c r="AI84" s="108"/>
      <c r="AJ84" s="108"/>
      <c r="AK84" s="108"/>
      <c r="AL84" s="108"/>
      <c r="AM84" s="108"/>
      <c r="AN84" s="108"/>
      <c r="AO84" s="108"/>
      <c r="AP84" s="108"/>
      <c r="AQ84" s="108"/>
      <c r="AR84" s="108"/>
      <c r="AS84" s="108"/>
      <c r="AT84" s="108"/>
      <c r="AU84" s="108"/>
      <c r="AV84" s="108"/>
      <c r="AW84" s="108"/>
      <c r="AX84" s="108"/>
      <c r="AY84" s="108"/>
      <c r="AZ84" s="108"/>
      <c r="BA84" s="108"/>
      <c r="BB84" s="108"/>
      <c r="BC84" s="108"/>
      <c r="BD84" s="108"/>
      <c r="BE84" s="108"/>
      <c r="BF84" s="108"/>
      <c r="BG84" s="108"/>
      <c r="BH84" s="108"/>
      <c r="BI84" s="108"/>
      <c r="BJ84" s="108"/>
      <c r="BK84" s="108"/>
      <c r="BL84" s="108"/>
      <c r="BM84" s="108"/>
      <c r="BN84" s="108"/>
      <c r="BO84" s="108"/>
      <c r="BP84" s="108"/>
      <c r="BQ84" s="108"/>
      <c r="BR84" s="108"/>
      <c r="BS84" s="108"/>
      <c r="BT84" s="108"/>
      <c r="BU84" s="108"/>
      <c r="BV84" s="108"/>
      <c r="BW84" s="108"/>
      <c r="BX84" s="108"/>
      <c r="BY84" s="108"/>
      <c r="BZ84" s="108"/>
      <c r="CA84" s="108"/>
      <c r="CB84" s="108"/>
      <c r="CC84" s="108"/>
      <c r="CD84" s="108"/>
      <c r="CE84" s="108"/>
      <c r="CF84" s="108"/>
      <c r="CG84" s="108"/>
      <c r="CH84" s="108"/>
      <c r="CI84" s="108"/>
      <c r="CJ84" s="108"/>
      <c r="CK84" s="108"/>
      <c r="CL84" s="108"/>
      <c r="CM84" s="108"/>
      <c r="CN84" s="108"/>
      <c r="CO84" s="108"/>
      <c r="CP84" s="108"/>
      <c r="CQ84" s="108"/>
      <c r="CR84" s="108"/>
      <c r="CS84" s="108"/>
      <c r="CT84" s="108"/>
      <c r="CU84" s="108"/>
      <c r="CV84" s="108"/>
      <c r="CW84" s="108"/>
      <c r="CX84" s="108"/>
      <c r="CY84" s="108"/>
      <c r="CZ84" s="108"/>
      <c r="DA84" s="108"/>
      <c r="DB84" s="108"/>
      <c r="DC84" s="108"/>
      <c r="DD84" s="108"/>
      <c r="DE84" s="108"/>
      <c r="DF84" s="108"/>
      <c r="DG84" s="108"/>
      <c r="DH84" s="108"/>
      <c r="DI84" s="108"/>
      <c r="DJ84" s="108"/>
      <c r="DK84" s="108"/>
      <c r="DL84" s="108"/>
      <c r="DM84" s="108"/>
      <c r="DN84" s="108"/>
      <c r="DO84" s="108"/>
      <c r="DP84" s="108"/>
      <c r="DQ84" s="108"/>
      <c r="DR84" s="108"/>
      <c r="DS84" s="108"/>
      <c r="DT84" s="108"/>
      <c r="DU84" s="108"/>
      <c r="DV84" s="108"/>
      <c r="DW84" s="108"/>
      <c r="DX84" s="108"/>
      <c r="DY84" s="108"/>
      <c r="DZ84" s="108"/>
      <c r="EA84" s="108"/>
      <c r="EB84" s="108"/>
      <c r="EC84" s="108"/>
      <c r="ED84" s="108"/>
      <c r="EE84" s="108"/>
      <c r="EF84" s="108"/>
      <c r="EG84" s="108"/>
      <c r="EH84" s="108"/>
      <c r="EI84" s="108"/>
      <c r="EJ84" s="108"/>
      <c r="EK84" s="108"/>
      <c r="EL84" s="108"/>
      <c r="EM84" s="108"/>
      <c r="EN84" s="108"/>
      <c r="EO84" s="108"/>
      <c r="EP84" s="108"/>
      <c r="EQ84" s="108"/>
      <c r="ER84" s="108"/>
      <c r="ES84" s="108"/>
      <c r="ET84" s="108"/>
      <c r="EU84" s="108"/>
      <c r="EV84" s="108"/>
      <c r="EW84" s="108"/>
      <c r="EX84" s="108"/>
      <c r="EY84" s="108"/>
      <c r="EZ84" s="108"/>
      <c r="FA84" s="108"/>
      <c r="FB84" s="108"/>
      <c r="FC84" s="108"/>
      <c r="FD84" s="108"/>
      <c r="FE84" s="108"/>
      <c r="FF84" s="108"/>
      <c r="FG84" s="108"/>
      <c r="FH84" s="108"/>
      <c r="FI84" s="108"/>
      <c r="FJ84" s="108"/>
      <c r="FK84" s="108"/>
      <c r="FL84" s="108"/>
      <c r="FM84" s="108"/>
      <c r="FN84" s="108"/>
      <c r="FO84" s="108"/>
      <c r="FP84" s="108"/>
      <c r="FQ84" s="108"/>
      <c r="FR84" s="108"/>
      <c r="FS84" s="108"/>
      <c r="FT84" s="108"/>
      <c r="FU84" s="108"/>
      <c r="FV84" s="108"/>
      <c r="FW84" s="108"/>
      <c r="FX84" s="108"/>
      <c r="FY84" s="108"/>
      <c r="FZ84" s="108"/>
      <c r="GA84" s="108"/>
      <c r="GB84" s="108"/>
      <c r="GC84" s="108"/>
      <c r="GD84" s="108"/>
      <c r="GE84" s="108"/>
      <c r="GF84" s="108"/>
      <c r="GG84" s="108"/>
      <c r="GH84" s="108"/>
      <c r="GI84" s="108"/>
      <c r="GJ84" s="108"/>
      <c r="GK84" s="108"/>
      <c r="GL84" s="108"/>
      <c r="GM84" s="108"/>
      <c r="GN84" s="108"/>
      <c r="GO84" s="108"/>
      <c r="GP84" s="108"/>
      <c r="GQ84" s="108"/>
      <c r="GR84" s="108"/>
      <c r="GS84" s="108"/>
      <c r="GT84" s="108"/>
      <c r="GU84" s="108"/>
      <c r="GV84" s="108"/>
      <c r="GW84" s="108"/>
      <c r="GX84" s="108"/>
      <c r="GY84" s="108"/>
      <c r="GZ84" s="108"/>
      <c r="HA84" s="108"/>
      <c r="HB84" s="108"/>
      <c r="HC84" s="108"/>
      <c r="HD84" s="108"/>
      <c r="HE84" s="108"/>
      <c r="HF84" s="108"/>
      <c r="HG84" s="108"/>
      <c r="HH84" s="108"/>
      <c r="HI84" s="108"/>
      <c r="HJ84" s="108"/>
      <c r="HK84" s="108"/>
      <c r="HL84" s="108"/>
      <c r="HM84" s="108"/>
      <c r="HN84" s="108"/>
      <c r="HO84" s="108"/>
      <c r="HP84" s="108"/>
      <c r="HQ84" s="108"/>
      <c r="HR84" s="108"/>
      <c r="HS84" s="108"/>
      <c r="HT84" s="108"/>
      <c r="HU84" s="108"/>
      <c r="HV84" s="108"/>
      <c r="HW84" s="108"/>
      <c r="HX84" s="108"/>
      <c r="HY84" s="108"/>
      <c r="HZ84" s="108"/>
      <c r="IA84" s="108"/>
      <c r="IB84" s="108"/>
      <c r="IC84" s="108"/>
      <c r="ID84" s="108"/>
      <c r="IE84" s="108"/>
      <c r="IF84" s="108"/>
      <c r="IG84" s="108"/>
      <c r="IH84" s="108"/>
      <c r="II84" s="108"/>
      <c r="IJ84" s="108"/>
      <c r="IK84" s="108"/>
      <c r="IL84" s="108"/>
      <c r="IM84" s="108"/>
      <c r="IN84" s="108"/>
      <c r="IO84" s="108"/>
      <c r="IP84" s="108"/>
      <c r="IQ84" s="108"/>
      <c r="IR84" s="108"/>
      <c r="IS84" s="108"/>
      <c r="IT84" s="108"/>
      <c r="IU84" s="108"/>
      <c r="IV84" s="108"/>
      <c r="IW84" s="108"/>
    </row>
    <row r="85" spans="1:257" x14ac:dyDescent="0.3">
      <c r="A85" s="158"/>
      <c r="B85" s="158"/>
      <c r="C85" s="158"/>
      <c r="D85" s="158"/>
      <c r="E85" s="158"/>
      <c r="F85" s="158"/>
      <c r="G85" s="158"/>
      <c r="H85" s="158"/>
      <c r="I85" s="158"/>
      <c r="J85" s="158"/>
      <c r="K85" s="158"/>
      <c r="L85" s="158"/>
      <c r="M85" s="158"/>
      <c r="N85" s="158"/>
      <c r="O85" s="108"/>
      <c r="P85" s="108"/>
      <c r="Q85" s="108"/>
      <c r="R85" s="108"/>
      <c r="S85" s="108"/>
      <c r="T85" s="108"/>
      <c r="U85" s="108"/>
      <c r="V85" s="108"/>
      <c r="W85" s="108"/>
      <c r="X85" s="108"/>
      <c r="Y85" s="108"/>
      <c r="Z85" s="108"/>
      <c r="AA85" s="108"/>
      <c r="AB85" s="108"/>
      <c r="AC85" s="108"/>
      <c r="AD85" s="108"/>
      <c r="AE85" s="108"/>
      <c r="AF85" s="108"/>
      <c r="AG85" s="108"/>
      <c r="AH85" s="108"/>
      <c r="AI85" s="108"/>
      <c r="AJ85" s="108"/>
      <c r="AK85" s="108"/>
      <c r="AL85" s="108"/>
      <c r="AM85" s="108"/>
      <c r="AN85" s="108"/>
      <c r="AO85" s="108"/>
      <c r="AP85" s="108"/>
      <c r="AQ85" s="108"/>
      <c r="AR85" s="108"/>
      <c r="AS85" s="108"/>
      <c r="AT85" s="108"/>
      <c r="AU85" s="108"/>
      <c r="AV85" s="108"/>
      <c r="AW85" s="108"/>
      <c r="AX85" s="108"/>
      <c r="AY85" s="108"/>
      <c r="AZ85" s="108"/>
      <c r="BA85" s="108"/>
      <c r="BB85" s="108"/>
      <c r="BC85" s="108"/>
      <c r="BD85" s="108"/>
      <c r="BE85" s="108"/>
      <c r="BF85" s="108"/>
      <c r="BG85" s="108"/>
      <c r="BH85" s="108"/>
      <c r="BI85" s="108"/>
      <c r="BJ85" s="108"/>
      <c r="BK85" s="108"/>
      <c r="BL85" s="108"/>
      <c r="BM85" s="108"/>
      <c r="BN85" s="108"/>
      <c r="BO85" s="108"/>
      <c r="BP85" s="108"/>
      <c r="BQ85" s="108"/>
      <c r="BR85" s="108"/>
      <c r="BS85" s="108"/>
      <c r="BT85" s="108"/>
      <c r="BU85" s="108"/>
      <c r="BV85" s="108"/>
      <c r="BW85" s="108"/>
      <c r="BX85" s="108"/>
      <c r="BY85" s="108"/>
      <c r="BZ85" s="108"/>
      <c r="CA85" s="108"/>
      <c r="CB85" s="108"/>
      <c r="CC85" s="108"/>
      <c r="CD85" s="108"/>
      <c r="CE85" s="108"/>
      <c r="CF85" s="108"/>
      <c r="CG85" s="108"/>
      <c r="CH85" s="108"/>
      <c r="CI85" s="108"/>
      <c r="CJ85" s="108"/>
      <c r="CK85" s="108"/>
      <c r="CL85" s="108"/>
      <c r="CM85" s="108"/>
      <c r="CN85" s="108"/>
      <c r="CO85" s="108"/>
      <c r="CP85" s="108"/>
      <c r="CQ85" s="108"/>
      <c r="CR85" s="108"/>
      <c r="CS85" s="108"/>
      <c r="CT85" s="108"/>
      <c r="CU85" s="108"/>
      <c r="CV85" s="108"/>
      <c r="CW85" s="108"/>
      <c r="CX85" s="108"/>
      <c r="CY85" s="108"/>
      <c r="CZ85" s="108"/>
      <c r="DA85" s="108"/>
      <c r="DB85" s="108"/>
      <c r="DC85" s="108"/>
      <c r="DD85" s="108"/>
      <c r="DE85" s="108"/>
      <c r="DF85" s="108"/>
      <c r="DG85" s="108"/>
      <c r="DH85" s="108"/>
      <c r="DI85" s="108"/>
      <c r="DJ85" s="108"/>
      <c r="DK85" s="108"/>
      <c r="DL85" s="108"/>
      <c r="DM85" s="108"/>
      <c r="DN85" s="108"/>
      <c r="DO85" s="108"/>
      <c r="DP85" s="108"/>
      <c r="DQ85" s="108"/>
      <c r="DR85" s="108"/>
      <c r="DS85" s="108"/>
      <c r="DT85" s="108"/>
      <c r="DU85" s="108"/>
      <c r="DV85" s="108"/>
      <c r="DW85" s="108"/>
      <c r="DX85" s="108"/>
      <c r="DY85" s="108"/>
      <c r="DZ85" s="108"/>
      <c r="EA85" s="108"/>
      <c r="EB85" s="108"/>
      <c r="EC85" s="108"/>
      <c r="ED85" s="108"/>
      <c r="EE85" s="108"/>
      <c r="EF85" s="108"/>
      <c r="EG85" s="108"/>
      <c r="EH85" s="108"/>
      <c r="EI85" s="108"/>
      <c r="EJ85" s="108"/>
      <c r="EK85" s="108"/>
      <c r="EL85" s="108"/>
      <c r="EM85" s="108"/>
      <c r="EN85" s="108"/>
      <c r="EO85" s="108"/>
      <c r="EP85" s="108"/>
      <c r="EQ85" s="108"/>
      <c r="ER85" s="108"/>
      <c r="ES85" s="108"/>
      <c r="ET85" s="108"/>
      <c r="EU85" s="108"/>
      <c r="EV85" s="108"/>
      <c r="EW85" s="108"/>
      <c r="EX85" s="108"/>
      <c r="EY85" s="108"/>
      <c r="EZ85" s="108"/>
      <c r="FA85" s="108"/>
      <c r="FB85" s="108"/>
      <c r="FC85" s="108"/>
      <c r="FD85" s="108"/>
      <c r="FE85" s="108"/>
      <c r="FF85" s="108"/>
      <c r="FG85" s="108"/>
      <c r="FH85" s="108"/>
      <c r="FI85" s="108"/>
      <c r="FJ85" s="108"/>
      <c r="FK85" s="108"/>
      <c r="FL85" s="108"/>
      <c r="FM85" s="108"/>
      <c r="FN85" s="108"/>
      <c r="FO85" s="108"/>
      <c r="FP85" s="108"/>
      <c r="FQ85" s="108"/>
      <c r="FR85" s="108"/>
      <c r="FS85" s="108"/>
      <c r="FT85" s="108"/>
      <c r="FU85" s="108"/>
      <c r="FV85" s="108"/>
      <c r="FW85" s="108"/>
      <c r="FX85" s="108"/>
      <c r="FY85" s="108"/>
      <c r="FZ85" s="108"/>
      <c r="GA85" s="108"/>
      <c r="GB85" s="108"/>
      <c r="GC85" s="108"/>
      <c r="GD85" s="108"/>
      <c r="GE85" s="108"/>
      <c r="GF85" s="108"/>
      <c r="GG85" s="108"/>
      <c r="GH85" s="108"/>
      <c r="GI85" s="108"/>
      <c r="GJ85" s="108"/>
      <c r="GK85" s="108"/>
      <c r="GL85" s="108"/>
      <c r="GM85" s="108"/>
      <c r="GN85" s="108"/>
      <c r="GO85" s="108"/>
      <c r="GP85" s="108"/>
      <c r="GQ85" s="108"/>
      <c r="GR85" s="108"/>
      <c r="GS85" s="108"/>
      <c r="GT85" s="108"/>
      <c r="GU85" s="108"/>
      <c r="GV85" s="108"/>
      <c r="GW85" s="108"/>
      <c r="GX85" s="108"/>
      <c r="GY85" s="108"/>
      <c r="GZ85" s="108"/>
      <c r="HA85" s="108"/>
      <c r="HB85" s="108"/>
      <c r="HC85" s="108"/>
      <c r="HD85" s="108"/>
      <c r="HE85" s="108"/>
      <c r="HF85" s="108"/>
      <c r="HG85" s="108"/>
      <c r="HH85" s="108"/>
      <c r="HI85" s="108"/>
      <c r="HJ85" s="108"/>
      <c r="HK85" s="108"/>
      <c r="HL85" s="108"/>
      <c r="HM85" s="108"/>
      <c r="HN85" s="108"/>
      <c r="HO85" s="108"/>
      <c r="HP85" s="108"/>
      <c r="HQ85" s="108"/>
      <c r="HR85" s="108"/>
      <c r="HS85" s="108"/>
      <c r="HT85" s="108"/>
      <c r="HU85" s="108"/>
      <c r="HV85" s="108"/>
      <c r="HW85" s="108"/>
      <c r="HX85" s="108"/>
      <c r="HY85" s="108"/>
      <c r="HZ85" s="108"/>
      <c r="IA85" s="108"/>
      <c r="IB85" s="108"/>
      <c r="IC85" s="108"/>
      <c r="ID85" s="108"/>
      <c r="IE85" s="108"/>
      <c r="IF85" s="108"/>
      <c r="IG85" s="108"/>
      <c r="IH85" s="108"/>
      <c r="II85" s="108"/>
      <c r="IJ85" s="108"/>
      <c r="IK85" s="108"/>
      <c r="IL85" s="108"/>
      <c r="IM85" s="108"/>
      <c r="IN85" s="108"/>
      <c r="IO85" s="108"/>
      <c r="IP85" s="108"/>
      <c r="IQ85" s="108"/>
      <c r="IR85" s="108"/>
      <c r="IS85" s="108"/>
      <c r="IT85" s="108"/>
      <c r="IU85" s="108"/>
      <c r="IV85" s="108"/>
      <c r="IW85" s="108"/>
    </row>
    <row r="86" spans="1:257" x14ac:dyDescent="0.3">
      <c r="A86" s="158"/>
      <c r="B86" s="158"/>
      <c r="C86" s="158"/>
      <c r="D86" s="158"/>
      <c r="E86" s="158"/>
      <c r="F86" s="158"/>
      <c r="G86" s="158"/>
      <c r="H86" s="158"/>
      <c r="I86" s="158"/>
      <c r="J86" s="158"/>
      <c r="K86" s="158"/>
      <c r="L86" s="158"/>
      <c r="M86" s="158"/>
      <c r="N86" s="158"/>
      <c r="O86" s="108"/>
      <c r="P86" s="108"/>
      <c r="Q86" s="108"/>
      <c r="R86" s="108"/>
      <c r="S86" s="108"/>
      <c r="T86" s="108"/>
      <c r="U86" s="108"/>
      <c r="V86" s="108"/>
      <c r="W86" s="108"/>
      <c r="X86" s="108"/>
      <c r="Y86" s="108"/>
      <c r="Z86" s="108"/>
      <c r="AA86" s="108"/>
      <c r="AB86" s="108"/>
      <c r="AC86" s="108"/>
      <c r="AD86" s="108"/>
      <c r="AE86" s="108"/>
      <c r="AF86" s="108"/>
      <c r="AG86" s="108"/>
      <c r="AH86" s="108"/>
      <c r="AI86" s="108"/>
      <c r="AJ86" s="108"/>
      <c r="AK86" s="108"/>
      <c r="AL86" s="108"/>
      <c r="AM86" s="108"/>
      <c r="AN86" s="108"/>
      <c r="AO86" s="108"/>
      <c r="AP86" s="108"/>
      <c r="AQ86" s="108"/>
      <c r="AR86" s="108"/>
      <c r="AS86" s="108"/>
      <c r="AT86" s="108"/>
      <c r="AU86" s="108"/>
      <c r="AV86" s="108"/>
      <c r="AW86" s="108"/>
      <c r="AX86" s="108"/>
      <c r="AY86" s="108"/>
      <c r="AZ86" s="108"/>
      <c r="BA86" s="108"/>
      <c r="BB86" s="108"/>
      <c r="BC86" s="108"/>
      <c r="BD86" s="108"/>
      <c r="BE86" s="108"/>
      <c r="BF86" s="108"/>
      <c r="BG86" s="108"/>
      <c r="BH86" s="108"/>
      <c r="BI86" s="108"/>
      <c r="BJ86" s="108"/>
      <c r="BK86" s="108"/>
      <c r="BL86" s="108"/>
      <c r="BM86" s="108"/>
      <c r="BN86" s="108"/>
      <c r="BO86" s="108"/>
      <c r="BP86" s="108"/>
      <c r="BQ86" s="108"/>
      <c r="BR86" s="108"/>
      <c r="BS86" s="108"/>
      <c r="BT86" s="108"/>
      <c r="BU86" s="108"/>
      <c r="BV86" s="108"/>
      <c r="BW86" s="108"/>
      <c r="BX86" s="108"/>
      <c r="BY86" s="108"/>
      <c r="BZ86" s="108"/>
      <c r="CA86" s="108"/>
      <c r="CB86" s="108"/>
      <c r="CC86" s="108"/>
      <c r="CD86" s="108"/>
      <c r="CE86" s="108"/>
      <c r="CF86" s="108"/>
      <c r="CG86" s="108"/>
      <c r="CH86" s="108"/>
      <c r="CI86" s="108"/>
      <c r="CJ86" s="108"/>
      <c r="CK86" s="108"/>
      <c r="CL86" s="108"/>
      <c r="CM86" s="108"/>
      <c r="CN86" s="108"/>
      <c r="CO86" s="108"/>
      <c r="CP86" s="108"/>
      <c r="CQ86" s="108"/>
      <c r="CR86" s="108"/>
      <c r="CS86" s="108"/>
      <c r="CT86" s="108"/>
      <c r="CU86" s="108"/>
      <c r="CV86" s="108"/>
      <c r="CW86" s="108"/>
      <c r="CX86" s="108"/>
      <c r="CY86" s="108"/>
      <c r="CZ86" s="108"/>
      <c r="DA86" s="108"/>
      <c r="DB86" s="108"/>
      <c r="DC86" s="108"/>
      <c r="DD86" s="108"/>
      <c r="DE86" s="108"/>
      <c r="DF86" s="108"/>
      <c r="DG86" s="108"/>
      <c r="DH86" s="108"/>
      <c r="DI86" s="108"/>
      <c r="DJ86" s="108"/>
      <c r="DK86" s="108"/>
      <c r="DL86" s="108"/>
      <c r="DM86" s="108"/>
      <c r="DN86" s="108"/>
      <c r="DO86" s="108"/>
      <c r="DP86" s="108"/>
      <c r="DQ86" s="108"/>
      <c r="DR86" s="108"/>
      <c r="DS86" s="108"/>
      <c r="DT86" s="108"/>
      <c r="DU86" s="108"/>
      <c r="DV86" s="108"/>
      <c r="DW86" s="108"/>
      <c r="DX86" s="108"/>
      <c r="DY86" s="108"/>
      <c r="DZ86" s="108"/>
      <c r="EA86" s="108"/>
      <c r="EB86" s="108"/>
      <c r="EC86" s="108"/>
      <c r="ED86" s="108"/>
      <c r="EE86" s="108"/>
      <c r="EF86" s="108"/>
      <c r="EG86" s="108"/>
      <c r="EH86" s="108"/>
      <c r="EI86" s="108"/>
      <c r="EJ86" s="108"/>
      <c r="EK86" s="108"/>
      <c r="EL86" s="108"/>
      <c r="EM86" s="108"/>
      <c r="EN86" s="108"/>
      <c r="EO86" s="108"/>
      <c r="EP86" s="108"/>
      <c r="EQ86" s="108"/>
      <c r="ER86" s="108"/>
      <c r="ES86" s="108"/>
      <c r="ET86" s="108"/>
      <c r="EU86" s="108"/>
      <c r="EV86" s="108"/>
      <c r="EW86" s="108"/>
      <c r="EX86" s="108"/>
      <c r="EY86" s="108"/>
      <c r="EZ86" s="108"/>
      <c r="FA86" s="108"/>
      <c r="FB86" s="108"/>
      <c r="FC86" s="108"/>
      <c r="FD86" s="108"/>
      <c r="FE86" s="108"/>
      <c r="FF86" s="108"/>
      <c r="FG86" s="108"/>
      <c r="FH86" s="108"/>
      <c r="FI86" s="108"/>
      <c r="FJ86" s="108"/>
      <c r="FK86" s="108"/>
      <c r="FL86" s="108"/>
      <c r="FM86" s="108"/>
      <c r="FN86" s="108"/>
      <c r="FO86" s="108"/>
      <c r="FP86" s="108"/>
      <c r="FQ86" s="108"/>
      <c r="FR86" s="108"/>
      <c r="FS86" s="108"/>
      <c r="FT86" s="108"/>
      <c r="FU86" s="108"/>
      <c r="FV86" s="108"/>
      <c r="FW86" s="108"/>
      <c r="FX86" s="108"/>
      <c r="FY86" s="108"/>
      <c r="FZ86" s="108"/>
      <c r="GA86" s="108"/>
      <c r="GB86" s="108"/>
      <c r="GC86" s="108"/>
      <c r="GD86" s="108"/>
      <c r="GE86" s="108"/>
      <c r="GF86" s="108"/>
      <c r="GG86" s="108"/>
      <c r="GH86" s="108"/>
      <c r="GI86" s="108"/>
      <c r="GJ86" s="108"/>
      <c r="GK86" s="108"/>
      <c r="GL86" s="108"/>
      <c r="GM86" s="108"/>
      <c r="GN86" s="108"/>
      <c r="GO86" s="108"/>
      <c r="GP86" s="108"/>
      <c r="GQ86" s="108"/>
      <c r="GR86" s="108"/>
      <c r="GS86" s="108"/>
      <c r="GT86" s="108"/>
      <c r="GU86" s="108"/>
      <c r="GV86" s="108"/>
      <c r="GW86" s="108"/>
      <c r="GX86" s="108"/>
      <c r="GY86" s="108"/>
      <c r="GZ86" s="108"/>
      <c r="HA86" s="108"/>
      <c r="HB86" s="108"/>
      <c r="HC86" s="108"/>
      <c r="HD86" s="108"/>
      <c r="HE86" s="108"/>
      <c r="HF86" s="108"/>
      <c r="HG86" s="108"/>
      <c r="HH86" s="108"/>
      <c r="HI86" s="108"/>
      <c r="HJ86" s="108"/>
      <c r="HK86" s="108"/>
      <c r="HL86" s="108"/>
      <c r="HM86" s="108"/>
      <c r="HN86" s="108"/>
      <c r="HO86" s="108"/>
      <c r="HP86" s="108"/>
      <c r="HQ86" s="108"/>
      <c r="HR86" s="108"/>
      <c r="HS86" s="108"/>
      <c r="HT86" s="108"/>
      <c r="HU86" s="108"/>
      <c r="HV86" s="108"/>
      <c r="HW86" s="108"/>
      <c r="HX86" s="108"/>
      <c r="HY86" s="108"/>
      <c r="HZ86" s="108"/>
      <c r="IA86" s="108"/>
      <c r="IB86" s="108"/>
      <c r="IC86" s="108"/>
      <c r="ID86" s="108"/>
      <c r="IE86" s="108"/>
      <c r="IF86" s="108"/>
      <c r="IG86" s="108"/>
      <c r="IH86" s="108"/>
      <c r="II86" s="108"/>
      <c r="IJ86" s="108"/>
      <c r="IK86" s="108"/>
      <c r="IL86" s="108"/>
      <c r="IM86" s="108"/>
      <c r="IN86" s="108"/>
      <c r="IO86" s="108"/>
      <c r="IP86" s="108"/>
      <c r="IQ86" s="108"/>
      <c r="IR86" s="108"/>
      <c r="IS86" s="108"/>
      <c r="IT86" s="108"/>
      <c r="IU86" s="108"/>
      <c r="IV86" s="108"/>
      <c r="IW86" s="108"/>
    </row>
    <row r="87" spans="1:257" x14ac:dyDescent="0.3">
      <c r="A87" s="158"/>
      <c r="B87" s="158"/>
      <c r="C87" s="158"/>
      <c r="D87" s="158"/>
      <c r="E87" s="158"/>
      <c r="F87" s="158"/>
      <c r="G87" s="158"/>
      <c r="H87" s="158"/>
      <c r="I87" s="158"/>
      <c r="J87" s="158"/>
      <c r="K87" s="158"/>
      <c r="L87" s="158"/>
      <c r="M87" s="158"/>
      <c r="N87" s="158"/>
      <c r="O87" s="108"/>
      <c r="P87" s="108"/>
      <c r="Q87" s="108"/>
      <c r="R87" s="108"/>
      <c r="S87" s="108"/>
      <c r="T87" s="108"/>
      <c r="U87" s="108"/>
      <c r="V87" s="108"/>
      <c r="W87" s="108"/>
      <c r="X87" s="108"/>
      <c r="Y87" s="108"/>
      <c r="Z87" s="108"/>
      <c r="AA87" s="108"/>
      <c r="AB87" s="108"/>
      <c r="AC87" s="108"/>
      <c r="AD87" s="108"/>
      <c r="AE87" s="108"/>
      <c r="AF87" s="108"/>
      <c r="AG87" s="108"/>
      <c r="AH87" s="108"/>
      <c r="AI87" s="108"/>
      <c r="AJ87" s="108"/>
      <c r="AK87" s="108"/>
      <c r="AL87" s="108"/>
      <c r="AM87" s="108"/>
      <c r="AN87" s="108"/>
      <c r="AO87" s="108"/>
      <c r="AP87" s="108"/>
      <c r="AQ87" s="108"/>
      <c r="AR87" s="108"/>
      <c r="AS87" s="108"/>
      <c r="AT87" s="108"/>
      <c r="AU87" s="108"/>
      <c r="AV87" s="108"/>
      <c r="AW87" s="108"/>
      <c r="AX87" s="108"/>
      <c r="AY87" s="108"/>
      <c r="AZ87" s="108"/>
      <c r="BA87" s="108"/>
      <c r="BB87" s="108"/>
      <c r="BC87" s="108"/>
      <c r="BD87" s="108"/>
      <c r="BE87" s="108"/>
      <c r="BF87" s="108"/>
      <c r="BG87" s="108"/>
      <c r="BH87" s="108"/>
      <c r="BI87" s="108"/>
      <c r="BJ87" s="108"/>
      <c r="BK87" s="108"/>
      <c r="BL87" s="108"/>
      <c r="BM87" s="108"/>
      <c r="BN87" s="108"/>
      <c r="BO87" s="108"/>
      <c r="BP87" s="108"/>
      <c r="BQ87" s="108"/>
      <c r="BR87" s="108"/>
      <c r="BS87" s="108"/>
      <c r="BT87" s="108"/>
      <c r="BU87" s="108"/>
      <c r="BV87" s="108"/>
      <c r="BW87" s="108"/>
      <c r="BX87" s="108"/>
      <c r="BY87" s="108"/>
      <c r="BZ87" s="108"/>
      <c r="CA87" s="108"/>
      <c r="CB87" s="108"/>
      <c r="CC87" s="108"/>
      <c r="CD87" s="108"/>
      <c r="CE87" s="108"/>
      <c r="CF87" s="108"/>
      <c r="CG87" s="108"/>
      <c r="CH87" s="108"/>
      <c r="CI87" s="108"/>
      <c r="CJ87" s="108"/>
      <c r="CK87" s="108"/>
      <c r="CL87" s="108"/>
      <c r="CM87" s="108"/>
      <c r="CN87" s="108"/>
      <c r="CO87" s="108"/>
      <c r="CP87" s="108"/>
      <c r="CQ87" s="108"/>
      <c r="CR87" s="108"/>
      <c r="CS87" s="108"/>
      <c r="CT87" s="108"/>
      <c r="CU87" s="108"/>
      <c r="CV87" s="108"/>
      <c r="CW87" s="108"/>
      <c r="CX87" s="108"/>
      <c r="CY87" s="108"/>
      <c r="CZ87" s="108"/>
      <c r="DA87" s="108"/>
      <c r="DB87" s="108"/>
      <c r="DC87" s="108"/>
      <c r="DD87" s="108"/>
      <c r="DE87" s="108"/>
      <c r="DF87" s="108"/>
      <c r="DG87" s="108"/>
      <c r="DH87" s="108"/>
      <c r="DI87" s="108"/>
      <c r="DJ87" s="108"/>
      <c r="DK87" s="108"/>
      <c r="DL87" s="108"/>
      <c r="DM87" s="108"/>
      <c r="DN87" s="108"/>
      <c r="DO87" s="108"/>
      <c r="DP87" s="108"/>
      <c r="DQ87" s="108"/>
      <c r="DR87" s="108"/>
      <c r="DS87" s="108"/>
      <c r="DT87" s="108"/>
      <c r="DU87" s="108"/>
      <c r="DV87" s="108"/>
      <c r="DW87" s="108"/>
      <c r="DX87" s="108"/>
      <c r="DY87" s="108"/>
      <c r="DZ87" s="108"/>
      <c r="EA87" s="108"/>
      <c r="EB87" s="108"/>
      <c r="EC87" s="108"/>
      <c r="ED87" s="108"/>
      <c r="EE87" s="108"/>
      <c r="EF87" s="108"/>
      <c r="EG87" s="108"/>
      <c r="EH87" s="108"/>
      <c r="EI87" s="108"/>
      <c r="EJ87" s="108"/>
      <c r="EK87" s="108"/>
      <c r="EL87" s="108"/>
      <c r="EM87" s="108"/>
      <c r="EN87" s="108"/>
      <c r="EO87" s="108"/>
      <c r="EP87" s="108"/>
      <c r="EQ87" s="108"/>
      <c r="ER87" s="108"/>
      <c r="ES87" s="108"/>
      <c r="ET87" s="108"/>
      <c r="EU87" s="108"/>
      <c r="EV87" s="108"/>
      <c r="EW87" s="108"/>
      <c r="EX87" s="108"/>
      <c r="EY87" s="108"/>
      <c r="EZ87" s="108"/>
      <c r="FA87" s="108"/>
      <c r="FB87" s="108"/>
      <c r="FC87" s="108"/>
      <c r="FD87" s="108"/>
      <c r="FE87" s="108"/>
      <c r="FF87" s="108"/>
      <c r="FG87" s="108"/>
      <c r="FH87" s="108"/>
      <c r="FI87" s="108"/>
      <c r="FJ87" s="108"/>
      <c r="FK87" s="108"/>
      <c r="FL87" s="108"/>
      <c r="FM87" s="108"/>
      <c r="FN87" s="108"/>
      <c r="FO87" s="108"/>
      <c r="FP87" s="108"/>
      <c r="FQ87" s="108"/>
      <c r="FR87" s="108"/>
      <c r="FS87" s="108"/>
      <c r="FT87" s="108"/>
      <c r="FU87" s="108"/>
      <c r="FV87" s="108"/>
      <c r="FW87" s="108"/>
      <c r="FX87" s="108"/>
      <c r="FY87" s="108"/>
      <c r="FZ87" s="108"/>
      <c r="GA87" s="108"/>
      <c r="GB87" s="108"/>
      <c r="GC87" s="108"/>
      <c r="GD87" s="108"/>
      <c r="GE87" s="108"/>
      <c r="GF87" s="108"/>
      <c r="GG87" s="108"/>
      <c r="GH87" s="108"/>
      <c r="GI87" s="108"/>
      <c r="GJ87" s="108"/>
      <c r="GK87" s="108"/>
      <c r="GL87" s="108"/>
      <c r="GM87" s="108"/>
      <c r="GN87" s="108"/>
      <c r="GO87" s="108"/>
      <c r="GP87" s="108"/>
      <c r="GQ87" s="108"/>
      <c r="GR87" s="108"/>
      <c r="GS87" s="108"/>
      <c r="GT87" s="108"/>
      <c r="GU87" s="108"/>
      <c r="GV87" s="108"/>
      <c r="GW87" s="108"/>
      <c r="GX87" s="108"/>
      <c r="GY87" s="108"/>
      <c r="GZ87" s="108"/>
      <c r="HA87" s="108"/>
      <c r="HB87" s="108"/>
      <c r="HC87" s="108"/>
      <c r="HD87" s="108"/>
      <c r="HE87" s="108"/>
      <c r="HF87" s="108"/>
      <c r="HG87" s="108"/>
      <c r="HH87" s="108"/>
      <c r="HI87" s="108"/>
      <c r="HJ87" s="108"/>
      <c r="HK87" s="108"/>
      <c r="HL87" s="108"/>
      <c r="HM87" s="108"/>
      <c r="HN87" s="108"/>
      <c r="HO87" s="108"/>
      <c r="HP87" s="108"/>
      <c r="HQ87" s="108"/>
      <c r="HR87" s="108"/>
      <c r="HS87" s="108"/>
      <c r="HT87" s="108"/>
      <c r="HU87" s="108"/>
      <c r="HV87" s="108"/>
      <c r="HW87" s="108"/>
      <c r="HX87" s="108"/>
      <c r="HY87" s="108"/>
      <c r="HZ87" s="108"/>
      <c r="IA87" s="108"/>
      <c r="IB87" s="108"/>
      <c r="IC87" s="108"/>
      <c r="ID87" s="108"/>
      <c r="IE87" s="108"/>
      <c r="IF87" s="108"/>
      <c r="IG87" s="108"/>
      <c r="IH87" s="108"/>
      <c r="II87" s="108"/>
      <c r="IJ87" s="108"/>
      <c r="IK87" s="108"/>
      <c r="IL87" s="108"/>
      <c r="IM87" s="108"/>
      <c r="IN87" s="108"/>
      <c r="IO87" s="108"/>
      <c r="IP87" s="108"/>
      <c r="IQ87" s="108"/>
      <c r="IR87" s="108"/>
      <c r="IS87" s="108"/>
      <c r="IT87" s="108"/>
      <c r="IU87" s="108"/>
      <c r="IV87" s="108"/>
      <c r="IW87" s="108"/>
    </row>
    <row r="88" spans="1:257" x14ac:dyDescent="0.3">
      <c r="A88" s="158"/>
      <c r="B88" s="158"/>
      <c r="C88" s="158"/>
      <c r="D88" s="158"/>
      <c r="E88" s="158"/>
      <c r="F88" s="158"/>
      <c r="G88" s="158"/>
      <c r="H88" s="158"/>
      <c r="I88" s="158"/>
      <c r="J88" s="158"/>
      <c r="K88" s="158"/>
      <c r="L88" s="158"/>
      <c r="M88" s="158"/>
      <c r="N88" s="158"/>
      <c r="O88" s="108"/>
      <c r="P88" s="108"/>
      <c r="Q88" s="108"/>
      <c r="R88" s="108"/>
      <c r="S88" s="108"/>
      <c r="T88" s="108"/>
      <c r="U88" s="108"/>
      <c r="V88" s="108"/>
      <c r="W88" s="108"/>
      <c r="X88" s="108"/>
      <c r="Y88" s="108"/>
      <c r="Z88" s="108"/>
      <c r="AA88" s="108"/>
      <c r="AB88" s="108"/>
      <c r="AC88" s="108"/>
      <c r="AD88" s="108"/>
      <c r="AE88" s="108"/>
      <c r="AF88" s="108"/>
      <c r="AG88" s="108"/>
      <c r="AH88" s="108"/>
      <c r="AI88" s="108"/>
      <c r="AJ88" s="108"/>
      <c r="AK88" s="108"/>
      <c r="AL88" s="108"/>
      <c r="AM88" s="108"/>
      <c r="AN88" s="108"/>
      <c r="AO88" s="108"/>
      <c r="AP88" s="108"/>
      <c r="AQ88" s="108"/>
      <c r="AR88" s="108"/>
      <c r="AS88" s="108"/>
      <c r="AT88" s="108"/>
      <c r="AU88" s="108"/>
      <c r="AV88" s="108"/>
      <c r="AW88" s="108"/>
      <c r="AX88" s="108"/>
      <c r="AY88" s="108"/>
      <c r="AZ88" s="108"/>
      <c r="BA88" s="108"/>
      <c r="BB88" s="108"/>
      <c r="BC88" s="108"/>
      <c r="BD88" s="108"/>
      <c r="BE88" s="108"/>
      <c r="BF88" s="108"/>
      <c r="BG88" s="108"/>
      <c r="BH88" s="108"/>
      <c r="BI88" s="108"/>
      <c r="BJ88" s="108"/>
      <c r="BK88" s="108"/>
      <c r="BL88" s="108"/>
      <c r="BM88" s="108"/>
      <c r="BN88" s="108"/>
      <c r="BO88" s="108"/>
      <c r="BP88" s="108"/>
      <c r="BQ88" s="108"/>
      <c r="BR88" s="108"/>
      <c r="BS88" s="108"/>
      <c r="BT88" s="108"/>
      <c r="BU88" s="108"/>
      <c r="BV88" s="108"/>
      <c r="BW88" s="108"/>
      <c r="BX88" s="108"/>
      <c r="BY88" s="108"/>
      <c r="BZ88" s="108"/>
      <c r="CA88" s="108"/>
      <c r="CB88" s="108"/>
      <c r="CC88" s="108"/>
      <c r="CD88" s="108"/>
      <c r="CE88" s="108"/>
      <c r="CF88" s="108"/>
      <c r="CG88" s="108"/>
      <c r="CH88" s="108"/>
      <c r="CI88" s="108"/>
      <c r="CJ88" s="108"/>
      <c r="CK88" s="108"/>
      <c r="CL88" s="108"/>
      <c r="CM88" s="108"/>
      <c r="CN88" s="108"/>
      <c r="CO88" s="108"/>
      <c r="CP88" s="108"/>
      <c r="CQ88" s="108"/>
      <c r="CR88" s="108"/>
      <c r="CS88" s="108"/>
      <c r="CT88" s="108"/>
      <c r="CU88" s="108"/>
      <c r="CV88" s="108"/>
      <c r="CW88" s="108"/>
      <c r="CX88" s="108"/>
      <c r="CY88" s="108"/>
      <c r="CZ88" s="108"/>
      <c r="DA88" s="108"/>
      <c r="DB88" s="108"/>
      <c r="DC88" s="108"/>
      <c r="DD88" s="108"/>
      <c r="DE88" s="108"/>
      <c r="DF88" s="108"/>
      <c r="DG88" s="108"/>
      <c r="DH88" s="108"/>
      <c r="DI88" s="108"/>
      <c r="DJ88" s="108"/>
      <c r="DK88" s="108"/>
      <c r="DL88" s="108"/>
      <c r="DM88" s="108"/>
      <c r="DN88" s="108"/>
      <c r="DO88" s="108"/>
      <c r="DP88" s="108"/>
      <c r="DQ88" s="108"/>
      <c r="DR88" s="108"/>
      <c r="DS88" s="108"/>
      <c r="DT88" s="108"/>
      <c r="DU88" s="108"/>
      <c r="DV88" s="108"/>
      <c r="DW88" s="108"/>
      <c r="DX88" s="108"/>
      <c r="DY88" s="108"/>
      <c r="DZ88" s="108"/>
      <c r="EA88" s="108"/>
      <c r="EB88" s="108"/>
      <c r="EC88" s="108"/>
      <c r="ED88" s="108"/>
      <c r="EE88" s="108"/>
      <c r="EF88" s="108"/>
      <c r="EG88" s="108"/>
      <c r="EH88" s="108"/>
      <c r="EI88" s="108"/>
      <c r="EJ88" s="108"/>
      <c r="EK88" s="108"/>
      <c r="EL88" s="108"/>
      <c r="EM88" s="108"/>
      <c r="EN88" s="108"/>
      <c r="EO88" s="108"/>
      <c r="EP88" s="108"/>
      <c r="EQ88" s="108"/>
      <c r="ER88" s="108"/>
      <c r="ES88" s="108"/>
      <c r="ET88" s="108"/>
      <c r="EU88" s="108"/>
      <c r="EV88" s="108"/>
      <c r="EW88" s="108"/>
      <c r="EX88" s="108"/>
      <c r="EY88" s="108"/>
      <c r="EZ88" s="108"/>
      <c r="FA88" s="108"/>
      <c r="FB88" s="108"/>
      <c r="FC88" s="108"/>
      <c r="FD88" s="108"/>
      <c r="FE88" s="108"/>
      <c r="FF88" s="108"/>
      <c r="FG88" s="108"/>
      <c r="FH88" s="108"/>
      <c r="FI88" s="108"/>
      <c r="FJ88" s="108"/>
      <c r="FK88" s="108"/>
      <c r="FL88" s="108"/>
      <c r="FM88" s="108"/>
      <c r="FN88" s="108"/>
      <c r="FO88" s="108"/>
      <c r="FP88" s="108"/>
      <c r="FQ88" s="108"/>
      <c r="FR88" s="108"/>
      <c r="FS88" s="108"/>
      <c r="FT88" s="108"/>
      <c r="FU88" s="108"/>
      <c r="FV88" s="108"/>
      <c r="FW88" s="108"/>
      <c r="FX88" s="108"/>
      <c r="FY88" s="108"/>
      <c r="FZ88" s="108"/>
      <c r="GA88" s="108"/>
      <c r="GB88" s="108"/>
      <c r="GC88" s="108"/>
      <c r="GD88" s="108"/>
      <c r="GE88" s="108"/>
      <c r="GF88" s="108"/>
      <c r="GG88" s="108"/>
      <c r="GH88" s="108"/>
      <c r="GI88" s="108"/>
      <c r="GJ88" s="108"/>
      <c r="GK88" s="108"/>
      <c r="GL88" s="108"/>
      <c r="GM88" s="108"/>
      <c r="GN88" s="108"/>
      <c r="GO88" s="108"/>
      <c r="GP88" s="108"/>
      <c r="GQ88" s="108"/>
      <c r="GR88" s="108"/>
      <c r="GS88" s="108"/>
      <c r="GT88" s="108"/>
      <c r="GU88" s="108"/>
      <c r="GV88" s="108"/>
      <c r="GW88" s="108"/>
      <c r="GX88" s="108"/>
      <c r="GY88" s="108"/>
      <c r="GZ88" s="108"/>
      <c r="HA88" s="108"/>
      <c r="HB88" s="108"/>
      <c r="HC88" s="108"/>
      <c r="HD88" s="108"/>
      <c r="HE88" s="108"/>
      <c r="HF88" s="108"/>
      <c r="HG88" s="108"/>
      <c r="HH88" s="108"/>
      <c r="HI88" s="108"/>
      <c r="HJ88" s="108"/>
      <c r="HK88" s="108"/>
      <c r="HL88" s="108"/>
      <c r="HM88" s="108"/>
      <c r="HN88" s="108"/>
      <c r="HO88" s="108"/>
      <c r="HP88" s="108"/>
      <c r="HQ88" s="108"/>
      <c r="HR88" s="108"/>
      <c r="HS88" s="108"/>
      <c r="HT88" s="108"/>
      <c r="HU88" s="108"/>
      <c r="HV88" s="108"/>
      <c r="HW88" s="108"/>
      <c r="HX88" s="108"/>
      <c r="HY88" s="108"/>
      <c r="HZ88" s="108"/>
      <c r="IA88" s="108"/>
      <c r="IB88" s="108"/>
      <c r="IC88" s="108"/>
      <c r="ID88" s="108"/>
      <c r="IE88" s="108"/>
      <c r="IF88" s="108"/>
      <c r="IG88" s="108"/>
      <c r="IH88" s="108"/>
      <c r="II88" s="108"/>
      <c r="IJ88" s="108"/>
      <c r="IK88" s="108"/>
      <c r="IL88" s="108"/>
      <c r="IM88" s="108"/>
      <c r="IN88" s="108"/>
      <c r="IO88" s="108"/>
      <c r="IP88" s="108"/>
      <c r="IQ88" s="108"/>
      <c r="IR88" s="108"/>
      <c r="IS88" s="108"/>
      <c r="IT88" s="108"/>
      <c r="IU88" s="108"/>
      <c r="IV88" s="108"/>
      <c r="IW88" s="108"/>
    </row>
    <row r="89" spans="1:257" x14ac:dyDescent="0.3">
      <c r="A89" s="158"/>
      <c r="B89" s="158"/>
      <c r="C89" s="158"/>
      <c r="D89" s="158"/>
      <c r="E89" s="158"/>
      <c r="F89" s="158"/>
      <c r="G89" s="158"/>
      <c r="H89" s="158"/>
      <c r="I89" s="158"/>
      <c r="J89" s="158"/>
      <c r="K89" s="158"/>
      <c r="L89" s="158"/>
      <c r="M89" s="158"/>
      <c r="N89" s="158"/>
      <c r="O89" s="108"/>
      <c r="P89" s="108"/>
      <c r="Q89" s="108"/>
      <c r="R89" s="108"/>
      <c r="S89" s="108"/>
      <c r="T89" s="108"/>
      <c r="U89" s="108"/>
      <c r="V89" s="108"/>
      <c r="W89" s="108"/>
      <c r="X89" s="108"/>
      <c r="Y89" s="108"/>
      <c r="Z89" s="108"/>
      <c r="AA89" s="108"/>
      <c r="AB89" s="108"/>
      <c r="AC89" s="108"/>
      <c r="AD89" s="108"/>
      <c r="AE89" s="108"/>
      <c r="AF89" s="108"/>
      <c r="AG89" s="108"/>
      <c r="AH89" s="108"/>
      <c r="AI89" s="108"/>
      <c r="AJ89" s="108"/>
      <c r="AK89" s="108"/>
      <c r="AL89" s="108"/>
      <c r="AM89" s="108"/>
      <c r="AN89" s="108"/>
      <c r="AO89" s="108"/>
      <c r="AP89" s="108"/>
      <c r="AQ89" s="108"/>
      <c r="AR89" s="108"/>
      <c r="AS89" s="108"/>
      <c r="AT89" s="108"/>
      <c r="AU89" s="108"/>
      <c r="AV89" s="108"/>
      <c r="AW89" s="108"/>
      <c r="AX89" s="108"/>
      <c r="AY89" s="108"/>
      <c r="AZ89" s="108"/>
      <c r="BA89" s="108"/>
      <c r="BB89" s="108"/>
      <c r="BC89" s="108"/>
      <c r="BD89" s="108"/>
      <c r="BE89" s="108"/>
      <c r="BF89" s="108"/>
      <c r="BG89" s="108"/>
      <c r="BH89" s="108"/>
      <c r="BI89" s="108"/>
      <c r="BJ89" s="108"/>
      <c r="BK89" s="108"/>
      <c r="BL89" s="108"/>
      <c r="BM89" s="108"/>
      <c r="BN89" s="108"/>
      <c r="BO89" s="108"/>
      <c r="BP89" s="108"/>
      <c r="BQ89" s="108"/>
      <c r="BR89" s="108"/>
      <c r="BS89" s="108"/>
      <c r="BT89" s="108"/>
      <c r="BU89" s="108"/>
      <c r="BV89" s="108"/>
      <c r="BW89" s="108"/>
      <c r="BX89" s="108"/>
      <c r="BY89" s="108"/>
      <c r="BZ89" s="108"/>
      <c r="CA89" s="108"/>
      <c r="CB89" s="108"/>
      <c r="CC89" s="108"/>
      <c r="CD89" s="108"/>
      <c r="CE89" s="108"/>
      <c r="CF89" s="108"/>
      <c r="CG89" s="108"/>
      <c r="CH89" s="108"/>
      <c r="CI89" s="108"/>
      <c r="CJ89" s="108"/>
      <c r="CK89" s="108"/>
      <c r="CL89" s="108"/>
      <c r="CM89" s="108"/>
      <c r="CN89" s="108"/>
      <c r="CO89" s="108"/>
      <c r="CP89" s="108"/>
      <c r="CQ89" s="108"/>
      <c r="CR89" s="108"/>
      <c r="CS89" s="108"/>
      <c r="CT89" s="108"/>
      <c r="CU89" s="108"/>
      <c r="CV89" s="108"/>
      <c r="CW89" s="108"/>
      <c r="CX89" s="108"/>
      <c r="CY89" s="108"/>
      <c r="CZ89" s="108"/>
      <c r="DA89" s="108"/>
      <c r="DB89" s="108"/>
      <c r="DC89" s="108"/>
      <c r="DD89" s="108"/>
      <c r="DE89" s="108"/>
      <c r="DF89" s="108"/>
      <c r="DG89" s="108"/>
      <c r="DH89" s="108"/>
      <c r="DI89" s="108"/>
      <c r="DJ89" s="108"/>
      <c r="DK89" s="108"/>
      <c r="DL89" s="108"/>
      <c r="DM89" s="108"/>
      <c r="DN89" s="108"/>
      <c r="DO89" s="108"/>
      <c r="DP89" s="108"/>
      <c r="DQ89" s="108"/>
      <c r="DR89" s="108"/>
      <c r="DS89" s="108"/>
      <c r="DT89" s="108"/>
      <c r="DU89" s="108"/>
      <c r="DV89" s="108"/>
      <c r="DW89" s="108"/>
      <c r="DX89" s="108"/>
      <c r="DY89" s="108"/>
      <c r="DZ89" s="108"/>
      <c r="EA89" s="108"/>
      <c r="EB89" s="108"/>
      <c r="EC89" s="108"/>
      <c r="ED89" s="108"/>
      <c r="EE89" s="108"/>
      <c r="EF89" s="108"/>
      <c r="EG89" s="108"/>
      <c r="EH89" s="108"/>
      <c r="EI89" s="108"/>
      <c r="EJ89" s="108"/>
      <c r="EK89" s="108"/>
      <c r="EL89" s="108"/>
      <c r="EM89" s="108"/>
      <c r="EN89" s="108"/>
      <c r="EO89" s="108"/>
      <c r="EP89" s="108"/>
      <c r="EQ89" s="108"/>
      <c r="ER89" s="108"/>
      <c r="ES89" s="108"/>
      <c r="ET89" s="108"/>
      <c r="EU89" s="108"/>
      <c r="EV89" s="108"/>
      <c r="EW89" s="108"/>
      <c r="EX89" s="108"/>
      <c r="EY89" s="108"/>
      <c r="EZ89" s="108"/>
      <c r="FA89" s="108"/>
      <c r="FB89" s="108"/>
      <c r="FC89" s="108"/>
      <c r="FD89" s="108"/>
      <c r="FE89" s="108"/>
      <c r="FF89" s="108"/>
      <c r="FG89" s="108"/>
      <c r="FH89" s="108"/>
      <c r="FI89" s="108"/>
      <c r="FJ89" s="108"/>
      <c r="FK89" s="108"/>
      <c r="FL89" s="108"/>
      <c r="FM89" s="108"/>
      <c r="FN89" s="108"/>
      <c r="FO89" s="108"/>
      <c r="FP89" s="108"/>
      <c r="FQ89" s="108"/>
      <c r="FR89" s="108"/>
      <c r="FS89" s="108"/>
      <c r="FT89" s="108"/>
      <c r="FU89" s="108"/>
      <c r="FV89" s="108"/>
      <c r="FW89" s="108"/>
      <c r="FX89" s="108"/>
      <c r="FY89" s="108"/>
      <c r="FZ89" s="108"/>
      <c r="GA89" s="108"/>
      <c r="GB89" s="108"/>
      <c r="GC89" s="108"/>
      <c r="GD89" s="108"/>
      <c r="GE89" s="108"/>
      <c r="GF89" s="108"/>
      <c r="GG89" s="108"/>
      <c r="GH89" s="108"/>
      <c r="GI89" s="108"/>
      <c r="GJ89" s="108"/>
      <c r="GK89" s="108"/>
      <c r="GL89" s="108"/>
      <c r="GM89" s="108"/>
      <c r="GN89" s="108"/>
      <c r="GO89" s="108"/>
      <c r="GP89" s="108"/>
      <c r="GQ89" s="108"/>
      <c r="GR89" s="108"/>
      <c r="GS89" s="108"/>
      <c r="GT89" s="108"/>
      <c r="GU89" s="108"/>
      <c r="GV89" s="108"/>
      <c r="GW89" s="108"/>
      <c r="GX89" s="108"/>
      <c r="GY89" s="108"/>
      <c r="GZ89" s="108"/>
      <c r="HA89" s="108"/>
      <c r="HB89" s="108"/>
      <c r="HC89" s="108"/>
      <c r="HD89" s="108"/>
      <c r="HE89" s="108"/>
      <c r="HF89" s="108"/>
      <c r="HG89" s="108"/>
      <c r="HH89" s="108"/>
      <c r="HI89" s="108"/>
      <c r="HJ89" s="108"/>
      <c r="HK89" s="108"/>
      <c r="HL89" s="108"/>
      <c r="HM89" s="108"/>
      <c r="HN89" s="108"/>
      <c r="HO89" s="108"/>
      <c r="HP89" s="108"/>
      <c r="HQ89" s="108"/>
      <c r="HR89" s="108"/>
      <c r="HS89" s="108"/>
      <c r="HT89" s="108"/>
      <c r="HU89" s="108"/>
      <c r="HV89" s="108"/>
      <c r="HW89" s="108"/>
      <c r="HX89" s="108"/>
      <c r="HY89" s="108"/>
      <c r="HZ89" s="108"/>
      <c r="IA89" s="108"/>
      <c r="IB89" s="108"/>
      <c r="IC89" s="108"/>
      <c r="ID89" s="108"/>
      <c r="IE89" s="108"/>
      <c r="IF89" s="108"/>
      <c r="IG89" s="108"/>
      <c r="IH89" s="108"/>
      <c r="II89" s="108"/>
      <c r="IJ89" s="108"/>
      <c r="IK89" s="108"/>
      <c r="IL89" s="108"/>
      <c r="IM89" s="108"/>
      <c r="IN89" s="108"/>
      <c r="IO89" s="108"/>
      <c r="IP89" s="108"/>
      <c r="IQ89" s="108"/>
      <c r="IR89" s="108"/>
      <c r="IS89" s="108"/>
      <c r="IT89" s="108"/>
      <c r="IU89" s="108"/>
      <c r="IV89" s="108"/>
      <c r="IW89" s="108"/>
    </row>
    <row r="90" spans="1:257" x14ac:dyDescent="0.3">
      <c r="A90" s="158"/>
      <c r="B90" s="158"/>
      <c r="C90" s="158"/>
      <c r="D90" s="158"/>
      <c r="E90" s="158"/>
      <c r="F90" s="158"/>
      <c r="G90" s="158"/>
      <c r="H90" s="158"/>
      <c r="I90" s="158"/>
      <c r="J90" s="158"/>
      <c r="K90" s="158"/>
      <c r="L90" s="158"/>
      <c r="M90" s="158"/>
      <c r="N90" s="158"/>
      <c r="O90" s="108"/>
      <c r="P90" s="108"/>
      <c r="Q90" s="108"/>
      <c r="R90" s="108"/>
      <c r="S90" s="108"/>
      <c r="T90" s="108"/>
      <c r="U90" s="108"/>
      <c r="V90" s="108"/>
      <c r="W90" s="108"/>
      <c r="X90" s="108"/>
      <c r="Y90" s="108"/>
      <c r="Z90" s="108"/>
      <c r="AA90" s="108"/>
      <c r="AB90" s="108"/>
      <c r="AC90" s="108"/>
      <c r="AD90" s="108"/>
      <c r="AE90" s="108"/>
      <c r="AF90" s="108"/>
      <c r="AG90" s="108"/>
      <c r="AH90" s="108"/>
      <c r="AI90" s="108"/>
      <c r="AJ90" s="108"/>
      <c r="AK90" s="108"/>
      <c r="AL90" s="108"/>
      <c r="AM90" s="108"/>
      <c r="AN90" s="108"/>
      <c r="AO90" s="108"/>
      <c r="AP90" s="108"/>
      <c r="AQ90" s="108"/>
      <c r="AR90" s="108"/>
      <c r="AS90" s="108"/>
      <c r="AT90" s="108"/>
      <c r="AU90" s="108"/>
      <c r="AV90" s="108"/>
      <c r="AW90" s="108"/>
      <c r="AX90" s="108"/>
      <c r="AY90" s="108"/>
      <c r="AZ90" s="108"/>
      <c r="BA90" s="108"/>
      <c r="BB90" s="108"/>
      <c r="BC90" s="108"/>
      <c r="BD90" s="108"/>
      <c r="BE90" s="108"/>
      <c r="BF90" s="108"/>
      <c r="BG90" s="108"/>
      <c r="BH90" s="108"/>
      <c r="BI90" s="108"/>
      <c r="BJ90" s="108"/>
      <c r="BK90" s="108"/>
      <c r="BL90" s="108"/>
      <c r="BM90" s="108"/>
      <c r="BN90" s="108"/>
      <c r="BO90" s="108"/>
      <c r="BP90" s="108"/>
      <c r="BQ90" s="108"/>
      <c r="BR90" s="108"/>
      <c r="BS90" s="108"/>
      <c r="BT90" s="108"/>
      <c r="BU90" s="108"/>
      <c r="BV90" s="108"/>
      <c r="BW90" s="108"/>
      <c r="BX90" s="108"/>
      <c r="BY90" s="108"/>
      <c r="BZ90" s="108"/>
      <c r="CA90" s="108"/>
      <c r="CB90" s="108"/>
      <c r="CC90" s="108"/>
      <c r="CD90" s="108"/>
      <c r="CE90" s="108"/>
      <c r="CF90" s="108"/>
      <c r="CG90" s="108"/>
      <c r="CH90" s="108"/>
      <c r="CI90" s="108"/>
      <c r="CJ90" s="108"/>
      <c r="CK90" s="108"/>
      <c r="CL90" s="108"/>
      <c r="CM90" s="108"/>
      <c r="CN90" s="108"/>
      <c r="CO90" s="108"/>
      <c r="CP90" s="108"/>
      <c r="CQ90" s="108"/>
      <c r="CR90" s="108"/>
      <c r="CS90" s="108"/>
      <c r="CT90" s="108"/>
      <c r="CU90" s="108"/>
      <c r="CV90" s="108"/>
      <c r="CW90" s="108"/>
      <c r="CX90" s="108"/>
      <c r="CY90" s="108"/>
      <c r="CZ90" s="108"/>
      <c r="DA90" s="108"/>
      <c r="DB90" s="108"/>
      <c r="DC90" s="108"/>
      <c r="DD90" s="108"/>
      <c r="DE90" s="108"/>
      <c r="DF90" s="108"/>
      <c r="DG90" s="108"/>
      <c r="DH90" s="108"/>
      <c r="DI90" s="108"/>
      <c r="DJ90" s="108"/>
      <c r="DK90" s="108"/>
      <c r="DL90" s="108"/>
      <c r="DM90" s="108"/>
      <c r="DN90" s="108"/>
      <c r="DO90" s="108"/>
      <c r="DP90" s="108"/>
      <c r="DQ90" s="108"/>
      <c r="DR90" s="108"/>
      <c r="DS90" s="108"/>
      <c r="DT90" s="108"/>
      <c r="DU90" s="108"/>
      <c r="DV90" s="108"/>
      <c r="DW90" s="108"/>
      <c r="DX90" s="108"/>
      <c r="DY90" s="108"/>
      <c r="DZ90" s="108"/>
      <c r="EA90" s="108"/>
      <c r="EB90" s="108"/>
      <c r="EC90" s="108"/>
      <c r="ED90" s="108"/>
      <c r="EE90" s="108"/>
      <c r="EF90" s="108"/>
      <c r="EG90" s="108"/>
      <c r="EH90" s="108"/>
      <c r="EI90" s="108"/>
      <c r="EJ90" s="108"/>
      <c r="EK90" s="108"/>
      <c r="EL90" s="108"/>
      <c r="EM90" s="108"/>
      <c r="EN90" s="108"/>
      <c r="EO90" s="108"/>
      <c r="EP90" s="108"/>
      <c r="EQ90" s="108"/>
      <c r="ER90" s="108"/>
      <c r="ES90" s="108"/>
      <c r="ET90" s="108"/>
      <c r="EU90" s="108"/>
      <c r="EV90" s="108"/>
      <c r="EW90" s="108"/>
      <c r="EX90" s="108"/>
      <c r="EY90" s="108"/>
      <c r="EZ90" s="108"/>
      <c r="FA90" s="108"/>
      <c r="FB90" s="108"/>
      <c r="FC90" s="108"/>
      <c r="FD90" s="108"/>
      <c r="FE90" s="108"/>
      <c r="FF90" s="108"/>
      <c r="FG90" s="108"/>
      <c r="FH90" s="108"/>
      <c r="FI90" s="108"/>
      <c r="FJ90" s="108"/>
      <c r="FK90" s="108"/>
      <c r="FL90" s="108"/>
      <c r="FM90" s="108"/>
      <c r="FN90" s="108"/>
      <c r="FO90" s="108"/>
      <c r="FP90" s="108"/>
      <c r="FQ90" s="108"/>
      <c r="FR90" s="108"/>
      <c r="FS90" s="108"/>
      <c r="FT90" s="108"/>
      <c r="FU90" s="108"/>
      <c r="FV90" s="108"/>
      <c r="FW90" s="108"/>
      <c r="FX90" s="108"/>
      <c r="FY90" s="108"/>
      <c r="FZ90" s="108"/>
      <c r="GA90" s="108"/>
      <c r="GB90" s="108"/>
      <c r="GC90" s="108"/>
      <c r="GD90" s="108"/>
      <c r="GE90" s="108"/>
      <c r="GF90" s="108"/>
      <c r="GG90" s="108"/>
      <c r="GH90" s="108"/>
      <c r="GI90" s="108"/>
      <c r="GJ90" s="108"/>
      <c r="GK90" s="108"/>
      <c r="GL90" s="108"/>
      <c r="GM90" s="108"/>
      <c r="GN90" s="108"/>
      <c r="GO90" s="108"/>
      <c r="GP90" s="108"/>
      <c r="GQ90" s="108"/>
      <c r="GR90" s="108"/>
      <c r="GS90" s="108"/>
      <c r="GT90" s="108"/>
      <c r="GU90" s="108"/>
      <c r="GV90" s="108"/>
      <c r="GW90" s="108"/>
      <c r="GX90" s="108"/>
      <c r="GY90" s="108"/>
      <c r="GZ90" s="108"/>
      <c r="HA90" s="108"/>
      <c r="HB90" s="108"/>
      <c r="HC90" s="108"/>
      <c r="HD90" s="108"/>
      <c r="HE90" s="108"/>
      <c r="HF90" s="108"/>
      <c r="HG90" s="108"/>
      <c r="HH90" s="108"/>
      <c r="HI90" s="108"/>
      <c r="HJ90" s="108"/>
      <c r="HK90" s="108"/>
      <c r="HL90" s="108"/>
      <c r="HM90" s="108"/>
      <c r="HN90" s="108"/>
      <c r="HO90" s="108"/>
      <c r="HP90" s="108"/>
      <c r="HQ90" s="108"/>
      <c r="HR90" s="108"/>
      <c r="HS90" s="108"/>
      <c r="HT90" s="108"/>
      <c r="HU90" s="108"/>
      <c r="HV90" s="108"/>
      <c r="HW90" s="108"/>
      <c r="HX90" s="108"/>
      <c r="HY90" s="108"/>
      <c r="HZ90" s="108"/>
      <c r="IA90" s="108"/>
      <c r="IB90" s="108"/>
      <c r="IC90" s="108"/>
      <c r="ID90" s="108"/>
      <c r="IE90" s="108"/>
      <c r="IF90" s="108"/>
      <c r="IG90" s="108"/>
      <c r="IH90" s="108"/>
      <c r="II90" s="108"/>
      <c r="IJ90" s="108"/>
      <c r="IK90" s="108"/>
      <c r="IL90" s="108"/>
      <c r="IM90" s="108"/>
      <c r="IN90" s="108"/>
      <c r="IO90" s="108"/>
      <c r="IP90" s="108"/>
      <c r="IQ90" s="108"/>
      <c r="IR90" s="108"/>
      <c r="IS90" s="108"/>
      <c r="IT90" s="108"/>
      <c r="IU90" s="108"/>
      <c r="IV90" s="108"/>
      <c r="IW90" s="108"/>
    </row>
    <row r="91" spans="1:257" x14ac:dyDescent="0.3">
      <c r="A91" s="158"/>
      <c r="B91" s="158"/>
      <c r="C91" s="158"/>
      <c r="D91" s="158"/>
      <c r="E91" s="158"/>
      <c r="F91" s="158"/>
      <c r="G91" s="158"/>
      <c r="H91" s="158"/>
      <c r="I91" s="158"/>
      <c r="J91" s="158"/>
      <c r="K91" s="158"/>
      <c r="L91" s="158"/>
      <c r="M91" s="158"/>
      <c r="N91" s="158"/>
      <c r="O91" s="108"/>
      <c r="P91" s="108"/>
      <c r="Q91" s="108"/>
      <c r="R91" s="108"/>
      <c r="S91" s="108"/>
      <c r="T91" s="108"/>
      <c r="U91" s="108"/>
      <c r="V91" s="108"/>
      <c r="W91" s="108"/>
      <c r="X91" s="108"/>
      <c r="Y91" s="108"/>
      <c r="Z91" s="108"/>
      <c r="AA91" s="108"/>
      <c r="AB91" s="108"/>
      <c r="AC91" s="108"/>
      <c r="AD91" s="108"/>
      <c r="AE91" s="108"/>
      <c r="AF91" s="108"/>
      <c r="AG91" s="108"/>
      <c r="AH91" s="108"/>
      <c r="AI91" s="108"/>
      <c r="AJ91" s="108"/>
      <c r="AK91" s="108"/>
      <c r="AL91" s="108"/>
      <c r="AM91" s="108"/>
      <c r="AN91" s="108"/>
      <c r="AO91" s="108"/>
      <c r="AP91" s="108"/>
      <c r="AQ91" s="108"/>
      <c r="AR91" s="108"/>
      <c r="AS91" s="108"/>
      <c r="AT91" s="108"/>
      <c r="AU91" s="108"/>
      <c r="AV91" s="108"/>
      <c r="AW91" s="108"/>
      <c r="AX91" s="108"/>
      <c r="AY91" s="108"/>
      <c r="AZ91" s="108"/>
      <c r="BA91" s="108"/>
      <c r="BB91" s="108"/>
      <c r="BC91" s="108"/>
      <c r="BD91" s="108"/>
      <c r="BE91" s="108"/>
      <c r="BF91" s="108"/>
      <c r="BG91" s="108"/>
      <c r="BH91" s="108"/>
      <c r="BI91" s="108"/>
      <c r="BJ91" s="108"/>
      <c r="BK91" s="108"/>
      <c r="BL91" s="108"/>
      <c r="BM91" s="108"/>
      <c r="BN91" s="108"/>
      <c r="BO91" s="108"/>
      <c r="BP91" s="108"/>
      <c r="BQ91" s="108"/>
      <c r="BR91" s="108"/>
      <c r="BS91" s="108"/>
      <c r="BT91" s="108"/>
      <c r="BU91" s="108"/>
      <c r="BV91" s="108"/>
      <c r="BW91" s="108"/>
      <c r="BX91" s="108"/>
      <c r="BY91" s="108"/>
      <c r="BZ91" s="108"/>
      <c r="CA91" s="108"/>
      <c r="CB91" s="108"/>
      <c r="CC91" s="108"/>
      <c r="CD91" s="108"/>
      <c r="CE91" s="108"/>
      <c r="CF91" s="108"/>
      <c r="CG91" s="108"/>
      <c r="CH91" s="108"/>
      <c r="CI91" s="108"/>
      <c r="CJ91" s="108"/>
      <c r="CK91" s="108"/>
      <c r="CL91" s="108"/>
      <c r="CM91" s="108"/>
      <c r="CN91" s="108"/>
      <c r="CO91" s="108"/>
      <c r="CP91" s="108"/>
      <c r="CQ91" s="108"/>
      <c r="CR91" s="108"/>
      <c r="CS91" s="108"/>
      <c r="CT91" s="108"/>
      <c r="CU91" s="108"/>
      <c r="CV91" s="108"/>
      <c r="CW91" s="108"/>
      <c r="CX91" s="108"/>
      <c r="CY91" s="108"/>
      <c r="CZ91" s="108"/>
      <c r="DA91" s="108"/>
      <c r="DB91" s="108"/>
      <c r="DC91" s="108"/>
      <c r="DD91" s="108"/>
      <c r="DE91" s="108"/>
      <c r="DF91" s="108"/>
      <c r="DG91" s="108"/>
      <c r="DH91" s="108"/>
      <c r="DI91" s="108"/>
      <c r="DJ91" s="108"/>
      <c r="DK91" s="108"/>
      <c r="DL91" s="108"/>
      <c r="DM91" s="108"/>
      <c r="DN91" s="108"/>
      <c r="DO91" s="108"/>
      <c r="DP91" s="108"/>
      <c r="DQ91" s="108"/>
      <c r="DR91" s="108"/>
      <c r="DS91" s="108"/>
      <c r="DT91" s="108"/>
      <c r="DU91" s="108"/>
      <c r="DV91" s="108"/>
      <c r="DW91" s="108"/>
      <c r="DX91" s="108"/>
      <c r="DY91" s="108"/>
      <c r="DZ91" s="108"/>
      <c r="EA91" s="108"/>
      <c r="EB91" s="108"/>
      <c r="EC91" s="108"/>
      <c r="ED91" s="108"/>
      <c r="EE91" s="108"/>
      <c r="EF91" s="108"/>
      <c r="EG91" s="108"/>
      <c r="EH91" s="108"/>
      <c r="EI91" s="108"/>
      <c r="EJ91" s="108"/>
      <c r="EK91" s="108"/>
      <c r="EL91" s="108"/>
      <c r="EM91" s="108"/>
      <c r="EN91" s="108"/>
      <c r="EO91" s="108"/>
      <c r="EP91" s="108"/>
      <c r="EQ91" s="108"/>
      <c r="ER91" s="108"/>
      <c r="ES91" s="108"/>
      <c r="ET91" s="108"/>
      <c r="EU91" s="108"/>
      <c r="EV91" s="108"/>
      <c r="EW91" s="108"/>
      <c r="EX91" s="108"/>
      <c r="EY91" s="108"/>
      <c r="EZ91" s="108"/>
      <c r="FA91" s="108"/>
      <c r="FB91" s="108"/>
      <c r="FC91" s="108"/>
      <c r="FD91" s="108"/>
      <c r="FE91" s="108"/>
      <c r="FF91" s="108"/>
      <c r="FG91" s="108"/>
      <c r="FH91" s="108"/>
      <c r="FI91" s="108"/>
      <c r="FJ91" s="108"/>
      <c r="FK91" s="108"/>
      <c r="FL91" s="108"/>
      <c r="FM91" s="108"/>
      <c r="FN91" s="108"/>
      <c r="FO91" s="108"/>
      <c r="FP91" s="108"/>
      <c r="FQ91" s="108"/>
      <c r="FR91" s="108"/>
      <c r="FS91" s="108"/>
      <c r="FT91" s="108"/>
      <c r="FU91" s="108"/>
      <c r="FV91" s="108"/>
      <c r="FW91" s="108"/>
      <c r="FX91" s="108"/>
      <c r="FY91" s="108"/>
      <c r="FZ91" s="108"/>
      <c r="GA91" s="108"/>
      <c r="GB91" s="108"/>
      <c r="GC91" s="108"/>
      <c r="GD91" s="108"/>
      <c r="GE91" s="108"/>
      <c r="GF91" s="108"/>
      <c r="GG91" s="108"/>
      <c r="GH91" s="108"/>
      <c r="GI91" s="108"/>
      <c r="GJ91" s="108"/>
      <c r="GK91" s="108"/>
      <c r="GL91" s="108"/>
      <c r="GM91" s="108"/>
      <c r="GN91" s="108"/>
      <c r="GO91" s="108"/>
      <c r="GP91" s="108"/>
      <c r="GQ91" s="108"/>
      <c r="GR91" s="108"/>
      <c r="GS91" s="108"/>
      <c r="GT91" s="108"/>
      <c r="GU91" s="108"/>
      <c r="GV91" s="108"/>
      <c r="GW91" s="108"/>
      <c r="GX91" s="108"/>
      <c r="GY91" s="108"/>
      <c r="GZ91" s="108"/>
      <c r="HA91" s="108"/>
      <c r="HB91" s="108"/>
      <c r="HC91" s="108"/>
      <c r="HD91" s="108"/>
      <c r="HE91" s="108"/>
      <c r="HF91" s="108"/>
      <c r="HG91" s="108"/>
      <c r="HH91" s="108"/>
      <c r="HI91" s="108"/>
      <c r="HJ91" s="108"/>
      <c r="HK91" s="108"/>
      <c r="HL91" s="108"/>
      <c r="HM91" s="108"/>
      <c r="HN91" s="108"/>
      <c r="HO91" s="108"/>
      <c r="HP91" s="108"/>
      <c r="HQ91" s="108"/>
      <c r="HR91" s="108"/>
      <c r="HS91" s="108"/>
      <c r="HT91" s="108"/>
      <c r="HU91" s="108"/>
      <c r="HV91" s="108"/>
      <c r="HW91" s="108"/>
      <c r="HX91" s="108"/>
      <c r="HY91" s="108"/>
      <c r="HZ91" s="108"/>
      <c r="IA91" s="108"/>
      <c r="IB91" s="108"/>
      <c r="IC91" s="108"/>
      <c r="ID91" s="108"/>
      <c r="IE91" s="108"/>
      <c r="IF91" s="108"/>
      <c r="IG91" s="108"/>
      <c r="IH91" s="108"/>
      <c r="II91" s="108"/>
      <c r="IJ91" s="108"/>
      <c r="IK91" s="108"/>
      <c r="IL91" s="108"/>
      <c r="IM91" s="108"/>
      <c r="IN91" s="108"/>
      <c r="IO91" s="108"/>
      <c r="IP91" s="108"/>
      <c r="IQ91" s="108"/>
      <c r="IR91" s="108"/>
      <c r="IS91" s="108"/>
      <c r="IT91" s="108"/>
      <c r="IU91" s="108"/>
      <c r="IV91" s="108"/>
      <c r="IW91" s="108"/>
    </row>
    <row r="92" spans="1:257" x14ac:dyDescent="0.3">
      <c r="A92" s="158"/>
      <c r="B92" s="158"/>
      <c r="C92" s="158"/>
      <c r="D92" s="158"/>
      <c r="E92" s="158"/>
      <c r="F92" s="158"/>
      <c r="G92" s="158"/>
      <c r="H92" s="158"/>
      <c r="I92" s="158"/>
      <c r="J92" s="158"/>
      <c r="K92" s="158"/>
      <c r="L92" s="158"/>
      <c r="M92" s="158"/>
      <c r="N92" s="158"/>
      <c r="O92" s="108"/>
      <c r="P92" s="108"/>
      <c r="Q92" s="108"/>
      <c r="R92" s="108"/>
      <c r="S92" s="108"/>
      <c r="T92" s="108"/>
      <c r="U92" s="108"/>
      <c r="V92" s="108"/>
      <c r="W92" s="108"/>
      <c r="X92" s="108"/>
      <c r="Y92" s="108"/>
      <c r="Z92" s="108"/>
      <c r="AA92" s="108"/>
      <c r="AB92" s="108"/>
      <c r="AC92" s="108"/>
      <c r="AD92" s="108"/>
      <c r="AE92" s="108"/>
      <c r="AF92" s="108"/>
      <c r="AG92" s="108"/>
      <c r="AH92" s="108"/>
      <c r="AI92" s="108"/>
      <c r="AJ92" s="108"/>
      <c r="AK92" s="108"/>
      <c r="AL92" s="108"/>
      <c r="AM92" s="108"/>
      <c r="AN92" s="108"/>
      <c r="AO92" s="108"/>
      <c r="AP92" s="108"/>
      <c r="AQ92" s="108"/>
      <c r="AR92" s="108"/>
      <c r="AS92" s="108"/>
      <c r="AT92" s="108"/>
      <c r="AU92" s="108"/>
      <c r="AV92" s="108"/>
      <c r="AW92" s="108"/>
      <c r="AX92" s="108"/>
      <c r="AY92" s="108"/>
      <c r="AZ92" s="108"/>
      <c r="BA92" s="108"/>
      <c r="BB92" s="108"/>
      <c r="BC92" s="108"/>
      <c r="BD92" s="108"/>
      <c r="BE92" s="108"/>
      <c r="BF92" s="108"/>
      <c r="BG92" s="108"/>
      <c r="BH92" s="108"/>
      <c r="BI92" s="108"/>
      <c r="BJ92" s="108"/>
      <c r="BK92" s="108"/>
      <c r="BL92" s="108"/>
      <c r="BM92" s="108"/>
      <c r="BN92" s="108"/>
      <c r="BO92" s="108"/>
      <c r="BP92" s="108"/>
      <c r="BQ92" s="108"/>
      <c r="BR92" s="108"/>
      <c r="BS92" s="108"/>
      <c r="BT92" s="108"/>
      <c r="BU92" s="108"/>
      <c r="BV92" s="108"/>
      <c r="BW92" s="108"/>
      <c r="BX92" s="108"/>
      <c r="BY92" s="108"/>
      <c r="BZ92" s="108"/>
      <c r="CA92" s="108"/>
      <c r="CB92" s="108"/>
      <c r="CC92" s="108"/>
      <c r="CD92" s="108"/>
      <c r="CE92" s="108"/>
      <c r="CF92" s="108"/>
      <c r="CG92" s="108"/>
      <c r="CH92" s="108"/>
      <c r="CI92" s="108"/>
      <c r="CJ92" s="108"/>
      <c r="CK92" s="108"/>
      <c r="CL92" s="108"/>
      <c r="CM92" s="108"/>
      <c r="CN92" s="108"/>
      <c r="CO92" s="108"/>
      <c r="CP92" s="108"/>
      <c r="CQ92" s="108"/>
      <c r="CR92" s="108"/>
      <c r="CS92" s="108"/>
      <c r="CT92" s="108"/>
      <c r="CU92" s="108"/>
      <c r="CV92" s="108"/>
      <c r="CW92" s="108"/>
      <c r="CX92" s="108"/>
      <c r="CY92" s="108"/>
      <c r="CZ92" s="108"/>
      <c r="DA92" s="108"/>
      <c r="DB92" s="108"/>
      <c r="DC92" s="108"/>
      <c r="DD92" s="108"/>
      <c r="DE92" s="108"/>
      <c r="DF92" s="108"/>
      <c r="DG92" s="108"/>
      <c r="DH92" s="108"/>
      <c r="DI92" s="108"/>
      <c r="DJ92" s="108"/>
      <c r="DK92" s="108"/>
      <c r="DL92" s="108"/>
      <c r="DM92" s="108"/>
      <c r="DN92" s="108"/>
      <c r="DO92" s="108"/>
      <c r="DP92" s="108"/>
      <c r="DQ92" s="108"/>
      <c r="DR92" s="108"/>
      <c r="DS92" s="108"/>
      <c r="DT92" s="108"/>
      <c r="DU92" s="108"/>
      <c r="DV92" s="108"/>
      <c r="DW92" s="108"/>
      <c r="DX92" s="108"/>
      <c r="DY92" s="108"/>
      <c r="DZ92" s="108"/>
      <c r="EA92" s="108"/>
      <c r="EB92" s="108"/>
      <c r="EC92" s="108"/>
      <c r="ED92" s="108"/>
      <c r="EE92" s="108"/>
      <c r="EF92" s="108"/>
      <c r="EG92" s="108"/>
      <c r="EH92" s="108"/>
      <c r="EI92" s="108"/>
      <c r="EJ92" s="108"/>
      <c r="EK92" s="108"/>
      <c r="EL92" s="108"/>
      <c r="EM92" s="108"/>
      <c r="EN92" s="108"/>
      <c r="EO92" s="108"/>
      <c r="EP92" s="108"/>
      <c r="EQ92" s="108"/>
      <c r="ER92" s="108"/>
      <c r="ES92" s="108"/>
      <c r="ET92" s="108"/>
      <c r="EU92" s="108"/>
      <c r="EV92" s="108"/>
      <c r="EW92" s="108"/>
      <c r="EX92" s="108"/>
      <c r="EY92" s="108"/>
      <c r="EZ92" s="108"/>
      <c r="FA92" s="108"/>
      <c r="FB92" s="108"/>
      <c r="FC92" s="108"/>
      <c r="FD92" s="108"/>
      <c r="FE92" s="108"/>
      <c r="FF92" s="108"/>
      <c r="FG92" s="108"/>
      <c r="FH92" s="108"/>
      <c r="FI92" s="108"/>
      <c r="FJ92" s="108"/>
      <c r="FK92" s="108"/>
      <c r="FL92" s="108"/>
      <c r="FM92" s="108"/>
      <c r="FN92" s="108"/>
      <c r="FO92" s="108"/>
      <c r="FP92" s="108"/>
      <c r="FQ92" s="108"/>
      <c r="FR92" s="108"/>
      <c r="FS92" s="108"/>
      <c r="FT92" s="108"/>
      <c r="FU92" s="108"/>
      <c r="FV92" s="108"/>
      <c r="FW92" s="108"/>
      <c r="FX92" s="108"/>
      <c r="FY92" s="108"/>
      <c r="FZ92" s="108"/>
      <c r="GA92" s="108"/>
      <c r="GB92" s="108"/>
      <c r="GC92" s="108"/>
      <c r="GD92" s="108"/>
      <c r="GE92" s="108"/>
      <c r="GF92" s="108"/>
      <c r="GG92" s="108"/>
      <c r="GH92" s="108"/>
      <c r="GI92" s="108"/>
      <c r="GJ92" s="108"/>
      <c r="GK92" s="108"/>
      <c r="GL92" s="108"/>
      <c r="GM92" s="108"/>
      <c r="GN92" s="108"/>
      <c r="GO92" s="108"/>
      <c r="GP92" s="108"/>
      <c r="GQ92" s="108"/>
      <c r="GR92" s="108"/>
      <c r="GS92" s="108"/>
      <c r="GT92" s="108"/>
      <c r="GU92" s="108"/>
      <c r="GV92" s="108"/>
      <c r="GW92" s="108"/>
      <c r="GX92" s="108"/>
      <c r="GY92" s="108"/>
      <c r="GZ92" s="108"/>
      <c r="HA92" s="108"/>
      <c r="HB92" s="108"/>
      <c r="HC92" s="108"/>
      <c r="HD92" s="108"/>
      <c r="HE92" s="108"/>
      <c r="HF92" s="108"/>
      <c r="HG92" s="108"/>
      <c r="HH92" s="108"/>
      <c r="HI92" s="108"/>
      <c r="HJ92" s="108"/>
      <c r="HK92" s="108"/>
      <c r="HL92" s="108"/>
      <c r="HM92" s="108"/>
      <c r="HN92" s="108"/>
      <c r="HO92" s="108"/>
      <c r="HP92" s="108"/>
      <c r="HQ92" s="108"/>
      <c r="HR92" s="108"/>
      <c r="HS92" s="108"/>
      <c r="HT92" s="108"/>
      <c r="HU92" s="108"/>
      <c r="HV92" s="108"/>
      <c r="HW92" s="108"/>
      <c r="HX92" s="108"/>
      <c r="HY92" s="108"/>
      <c r="HZ92" s="108"/>
      <c r="IA92" s="108"/>
      <c r="IB92" s="108"/>
      <c r="IC92" s="108"/>
      <c r="ID92" s="108"/>
      <c r="IE92" s="108"/>
      <c r="IF92" s="108"/>
      <c r="IG92" s="108"/>
      <c r="IH92" s="108"/>
      <c r="II92" s="108"/>
      <c r="IJ92" s="108"/>
      <c r="IK92" s="108"/>
      <c r="IL92" s="108"/>
      <c r="IM92" s="108"/>
      <c r="IN92" s="108"/>
      <c r="IO92" s="108"/>
      <c r="IP92" s="108"/>
      <c r="IQ92" s="108"/>
      <c r="IR92" s="108"/>
      <c r="IS92" s="108"/>
      <c r="IT92" s="108"/>
      <c r="IU92" s="108"/>
      <c r="IV92" s="108"/>
      <c r="IW92" s="108"/>
    </row>
    <row r="93" spans="1:257" x14ac:dyDescent="0.3">
      <c r="A93" s="158"/>
      <c r="B93" s="158"/>
      <c r="C93" s="158"/>
      <c r="D93" s="158"/>
      <c r="E93" s="158"/>
      <c r="F93" s="158"/>
      <c r="G93" s="158"/>
      <c r="H93" s="158"/>
      <c r="I93" s="158"/>
      <c r="J93" s="158"/>
      <c r="K93" s="158"/>
      <c r="L93" s="158"/>
      <c r="M93" s="158"/>
      <c r="N93" s="158"/>
      <c r="O93" s="108"/>
      <c r="P93" s="108"/>
      <c r="Q93" s="108"/>
      <c r="R93" s="108"/>
      <c r="S93" s="108"/>
      <c r="T93" s="108"/>
      <c r="U93" s="108"/>
      <c r="V93" s="108"/>
      <c r="W93" s="108"/>
      <c r="X93" s="108"/>
      <c r="Y93" s="108"/>
      <c r="Z93" s="108"/>
      <c r="AA93" s="108"/>
      <c r="AB93" s="108"/>
      <c r="AC93" s="108"/>
      <c r="AD93" s="108"/>
      <c r="AE93" s="108"/>
      <c r="AF93" s="108"/>
      <c r="AG93" s="108"/>
      <c r="AH93" s="108"/>
      <c r="AI93" s="108"/>
      <c r="AJ93" s="108"/>
      <c r="AK93" s="108"/>
      <c r="AL93" s="108"/>
      <c r="AM93" s="108"/>
      <c r="AN93" s="108"/>
      <c r="AO93" s="108"/>
      <c r="AP93" s="108"/>
      <c r="AQ93" s="108"/>
      <c r="AR93" s="108"/>
      <c r="AS93" s="108"/>
      <c r="AT93" s="108"/>
      <c r="AU93" s="108"/>
      <c r="AV93" s="108"/>
      <c r="AW93" s="108"/>
      <c r="AX93" s="108"/>
      <c r="AY93" s="108"/>
      <c r="AZ93" s="108"/>
      <c r="BA93" s="108"/>
      <c r="BB93" s="108"/>
      <c r="BC93" s="108"/>
      <c r="BD93" s="108"/>
      <c r="BE93" s="108"/>
      <c r="BF93" s="108"/>
      <c r="BG93" s="108"/>
      <c r="BH93" s="108"/>
      <c r="BI93" s="108"/>
      <c r="BJ93" s="108"/>
      <c r="BK93" s="108"/>
      <c r="BL93" s="108"/>
      <c r="BM93" s="108"/>
      <c r="BN93" s="108"/>
      <c r="BO93" s="108"/>
      <c r="BP93" s="108"/>
      <c r="BQ93" s="108"/>
      <c r="BR93" s="108"/>
      <c r="BS93" s="108"/>
      <c r="BT93" s="108"/>
      <c r="BU93" s="108"/>
      <c r="BV93" s="108"/>
      <c r="BW93" s="108"/>
      <c r="BX93" s="108"/>
      <c r="BY93" s="108"/>
      <c r="BZ93" s="108"/>
      <c r="CA93" s="108"/>
      <c r="CB93" s="108"/>
      <c r="CC93" s="108"/>
      <c r="CD93" s="108"/>
      <c r="CE93" s="108"/>
      <c r="CF93" s="108"/>
      <c r="CG93" s="108"/>
      <c r="CH93" s="108"/>
      <c r="CI93" s="108"/>
      <c r="CJ93" s="108"/>
      <c r="CK93" s="108"/>
      <c r="CL93" s="108"/>
      <c r="CM93" s="108"/>
      <c r="CN93" s="108"/>
      <c r="CO93" s="108"/>
      <c r="CP93" s="108"/>
      <c r="CQ93" s="108"/>
      <c r="CR93" s="108"/>
      <c r="CS93" s="108"/>
      <c r="CT93" s="108"/>
      <c r="CU93" s="108"/>
      <c r="CV93" s="108"/>
      <c r="CW93" s="108"/>
      <c r="CX93" s="108"/>
      <c r="CY93" s="108"/>
      <c r="CZ93" s="108"/>
      <c r="DA93" s="108"/>
      <c r="DB93" s="108"/>
      <c r="DC93" s="108"/>
      <c r="DD93" s="108"/>
      <c r="DE93" s="108"/>
      <c r="DF93" s="108"/>
      <c r="DG93" s="108"/>
      <c r="DH93" s="108"/>
      <c r="DI93" s="108"/>
      <c r="DJ93" s="108"/>
      <c r="DK93" s="108"/>
      <c r="DL93" s="108"/>
      <c r="DM93" s="108"/>
      <c r="DN93" s="108"/>
      <c r="DO93" s="108"/>
      <c r="DP93" s="108"/>
      <c r="DQ93" s="108"/>
      <c r="DR93" s="108"/>
      <c r="DS93" s="108"/>
      <c r="DT93" s="108"/>
      <c r="DU93" s="108"/>
      <c r="DV93" s="108"/>
      <c r="DW93" s="108"/>
      <c r="DX93" s="108"/>
      <c r="DY93" s="108"/>
      <c r="DZ93" s="108"/>
      <c r="EA93" s="108"/>
      <c r="EB93" s="108"/>
      <c r="EC93" s="108"/>
      <c r="ED93" s="108"/>
      <c r="EE93" s="108"/>
      <c r="EF93" s="108"/>
      <c r="EG93" s="108"/>
      <c r="EH93" s="108"/>
      <c r="EI93" s="108"/>
      <c r="EJ93" s="108"/>
      <c r="EK93" s="108"/>
      <c r="EL93" s="108"/>
      <c r="EM93" s="108"/>
      <c r="EN93" s="108"/>
      <c r="EO93" s="108"/>
      <c r="EP93" s="108"/>
      <c r="EQ93" s="108"/>
      <c r="ER93" s="108"/>
      <c r="ES93" s="108"/>
      <c r="ET93" s="108"/>
      <c r="EU93" s="108"/>
      <c r="EV93" s="108"/>
      <c r="EW93" s="108"/>
      <c r="EX93" s="108"/>
      <c r="EY93" s="108"/>
      <c r="EZ93" s="108"/>
      <c r="FA93" s="108"/>
      <c r="FB93" s="108"/>
      <c r="FC93" s="108"/>
      <c r="FD93" s="108"/>
      <c r="FE93" s="108"/>
      <c r="FF93" s="108"/>
      <c r="FG93" s="108"/>
      <c r="FH93" s="108"/>
      <c r="FI93" s="108"/>
      <c r="FJ93" s="108"/>
      <c r="FK93" s="108"/>
      <c r="FL93" s="108"/>
      <c r="FM93" s="108"/>
      <c r="FN93" s="108"/>
      <c r="FO93" s="108"/>
      <c r="FP93" s="108"/>
      <c r="FQ93" s="108"/>
      <c r="FR93" s="108"/>
      <c r="FS93" s="108"/>
      <c r="FT93" s="108"/>
      <c r="FU93" s="108"/>
      <c r="FV93" s="108"/>
      <c r="FW93" s="108"/>
      <c r="FX93" s="108"/>
      <c r="FY93" s="108"/>
      <c r="FZ93" s="108"/>
      <c r="GA93" s="108"/>
      <c r="GB93" s="108"/>
      <c r="GC93" s="108"/>
      <c r="GD93" s="108"/>
      <c r="GE93" s="108"/>
      <c r="GF93" s="108"/>
      <c r="GG93" s="108"/>
      <c r="GH93" s="108"/>
      <c r="GI93" s="108"/>
      <c r="GJ93" s="108"/>
      <c r="GK93" s="108"/>
      <c r="GL93" s="108"/>
      <c r="GM93" s="108"/>
      <c r="GN93" s="108"/>
      <c r="GO93" s="108"/>
      <c r="GP93" s="108"/>
      <c r="GQ93" s="108"/>
      <c r="GR93" s="108"/>
      <c r="GS93" s="108"/>
      <c r="GT93" s="108"/>
      <c r="GU93" s="108"/>
      <c r="GV93" s="108"/>
      <c r="GW93" s="108"/>
      <c r="GX93" s="108"/>
      <c r="GY93" s="108"/>
      <c r="GZ93" s="108"/>
      <c r="HA93" s="108"/>
      <c r="HB93" s="108"/>
      <c r="HC93" s="108"/>
      <c r="HD93" s="108"/>
      <c r="HE93" s="108"/>
      <c r="HF93" s="108"/>
      <c r="HG93" s="108"/>
      <c r="HH93" s="108"/>
      <c r="HI93" s="108"/>
      <c r="HJ93" s="108"/>
      <c r="HK93" s="108"/>
      <c r="HL93" s="108"/>
      <c r="HM93" s="108"/>
      <c r="HN93" s="108"/>
      <c r="HO93" s="108"/>
      <c r="HP93" s="108"/>
      <c r="HQ93" s="108"/>
      <c r="HR93" s="108"/>
      <c r="HS93" s="108"/>
      <c r="HT93" s="108"/>
      <c r="HU93" s="108"/>
      <c r="HV93" s="108"/>
      <c r="HW93" s="108"/>
      <c r="HX93" s="108"/>
      <c r="HY93" s="108"/>
      <c r="HZ93" s="108"/>
      <c r="IA93" s="108"/>
      <c r="IB93" s="108"/>
      <c r="IC93" s="108"/>
      <c r="ID93" s="108"/>
      <c r="IE93" s="108"/>
      <c r="IF93" s="108"/>
      <c r="IG93" s="108"/>
      <c r="IH93" s="108"/>
      <c r="II93" s="108"/>
      <c r="IJ93" s="108"/>
      <c r="IK93" s="108"/>
      <c r="IL93" s="108"/>
      <c r="IM93" s="108"/>
      <c r="IN93" s="108"/>
      <c r="IO93" s="108"/>
      <c r="IP93" s="108"/>
      <c r="IQ93" s="108"/>
      <c r="IR93" s="108"/>
      <c r="IS93" s="108"/>
      <c r="IT93" s="108"/>
      <c r="IU93" s="108"/>
      <c r="IV93" s="108"/>
      <c r="IW93" s="108"/>
    </row>
    <row r="94" spans="1:257" x14ac:dyDescent="0.3">
      <c r="A94" s="158"/>
      <c r="B94" s="158"/>
      <c r="C94" s="158"/>
      <c r="D94" s="158"/>
      <c r="E94" s="158"/>
      <c r="F94" s="158"/>
      <c r="G94" s="158"/>
      <c r="H94" s="158"/>
      <c r="I94" s="158"/>
      <c r="J94" s="158"/>
      <c r="K94" s="158"/>
      <c r="L94" s="158"/>
      <c r="M94" s="158"/>
      <c r="N94" s="158"/>
      <c r="O94" s="108"/>
      <c r="P94" s="108"/>
      <c r="Q94" s="108"/>
      <c r="R94" s="108"/>
      <c r="S94" s="108"/>
      <c r="T94" s="108"/>
      <c r="U94" s="108"/>
      <c r="V94" s="108"/>
      <c r="W94" s="108"/>
      <c r="X94" s="108"/>
      <c r="Y94" s="108"/>
      <c r="Z94" s="108"/>
      <c r="AA94" s="108"/>
      <c r="AB94" s="108"/>
      <c r="AC94" s="108"/>
      <c r="AD94" s="108"/>
      <c r="AE94" s="108"/>
      <c r="AF94" s="108"/>
      <c r="AG94" s="108"/>
      <c r="AH94" s="108"/>
      <c r="AI94" s="108"/>
      <c r="AJ94" s="108"/>
      <c r="AK94" s="108"/>
      <c r="AL94" s="108"/>
      <c r="AM94" s="108"/>
      <c r="AN94" s="108"/>
      <c r="AO94" s="108"/>
      <c r="AP94" s="108"/>
      <c r="AQ94" s="108"/>
      <c r="AR94" s="108"/>
      <c r="AS94" s="108"/>
      <c r="AT94" s="108"/>
      <c r="AU94" s="108"/>
      <c r="AV94" s="108"/>
      <c r="AW94" s="108"/>
      <c r="AX94" s="108"/>
      <c r="AY94" s="108"/>
      <c r="AZ94" s="108"/>
      <c r="BA94" s="108"/>
      <c r="BB94" s="108"/>
      <c r="BC94" s="108"/>
      <c r="BD94" s="108"/>
      <c r="BE94" s="108"/>
      <c r="BF94" s="108"/>
      <c r="BG94" s="108"/>
      <c r="BH94" s="108"/>
      <c r="BI94" s="108"/>
      <c r="BJ94" s="108"/>
      <c r="BK94" s="108"/>
      <c r="BL94" s="108"/>
      <c r="BM94" s="108"/>
      <c r="BN94" s="108"/>
      <c r="BO94" s="108"/>
      <c r="BP94" s="108"/>
      <c r="BQ94" s="108"/>
      <c r="BR94" s="108"/>
      <c r="BS94" s="108"/>
      <c r="BT94" s="108"/>
      <c r="BU94" s="108"/>
      <c r="BV94" s="108"/>
      <c r="BW94" s="108"/>
      <c r="BX94" s="108"/>
      <c r="BY94" s="108"/>
      <c r="BZ94" s="108"/>
      <c r="CA94" s="108"/>
      <c r="CB94" s="108"/>
      <c r="CC94" s="108"/>
      <c r="CD94" s="108"/>
      <c r="CE94" s="108"/>
      <c r="CF94" s="108"/>
      <c r="CG94" s="108"/>
      <c r="CH94" s="108"/>
      <c r="CI94" s="108"/>
      <c r="CJ94" s="108"/>
      <c r="CK94" s="108"/>
      <c r="CL94" s="108"/>
      <c r="CM94" s="108"/>
      <c r="CN94" s="108"/>
      <c r="CO94" s="108"/>
      <c r="CP94" s="108"/>
      <c r="CQ94" s="108"/>
      <c r="CR94" s="108"/>
      <c r="CS94" s="108"/>
      <c r="CT94" s="108"/>
      <c r="CU94" s="108"/>
      <c r="CV94" s="108"/>
      <c r="CW94" s="108"/>
      <c r="CX94" s="108"/>
      <c r="CY94" s="108"/>
      <c r="CZ94" s="108"/>
      <c r="DA94" s="108"/>
      <c r="DB94" s="108"/>
      <c r="DC94" s="108"/>
      <c r="DD94" s="108"/>
      <c r="DE94" s="108"/>
      <c r="DF94" s="108"/>
      <c r="DG94" s="108"/>
      <c r="DH94" s="108"/>
      <c r="DI94" s="108"/>
      <c r="DJ94" s="108"/>
      <c r="DK94" s="108"/>
      <c r="DL94" s="108"/>
      <c r="DM94" s="108"/>
      <c r="DN94" s="108"/>
      <c r="DO94" s="108"/>
      <c r="DP94" s="108"/>
      <c r="DQ94" s="108"/>
      <c r="DR94" s="108"/>
      <c r="DS94" s="108"/>
      <c r="DT94" s="108"/>
      <c r="DU94" s="108"/>
      <c r="DV94" s="108"/>
      <c r="DW94" s="108"/>
      <c r="DX94" s="108"/>
      <c r="DY94" s="108"/>
      <c r="DZ94" s="108"/>
      <c r="EA94" s="108"/>
      <c r="EB94" s="108"/>
      <c r="EC94" s="108"/>
      <c r="ED94" s="108"/>
      <c r="EE94" s="108"/>
      <c r="EF94" s="108"/>
      <c r="EG94" s="108"/>
      <c r="EH94" s="108"/>
      <c r="EI94" s="108"/>
      <c r="EJ94" s="108"/>
      <c r="EK94" s="108"/>
      <c r="EL94" s="108"/>
      <c r="EM94" s="108"/>
      <c r="EN94" s="108"/>
      <c r="EO94" s="108"/>
      <c r="EP94" s="108"/>
      <c r="EQ94" s="108"/>
      <c r="ER94" s="108"/>
      <c r="ES94" s="108"/>
      <c r="ET94" s="108"/>
      <c r="EU94" s="108"/>
      <c r="EV94" s="108"/>
      <c r="EW94" s="108"/>
      <c r="EX94" s="108"/>
      <c r="EY94" s="108"/>
      <c r="EZ94" s="108"/>
      <c r="FA94" s="108"/>
      <c r="FB94" s="108"/>
      <c r="FC94" s="108"/>
      <c r="FD94" s="108"/>
      <c r="FE94" s="108"/>
      <c r="FF94" s="108"/>
      <c r="FG94" s="108"/>
      <c r="FH94" s="108"/>
      <c r="FI94" s="108"/>
      <c r="FJ94" s="108"/>
      <c r="FK94" s="108"/>
      <c r="FL94" s="108"/>
      <c r="FM94" s="108"/>
      <c r="FN94" s="108"/>
      <c r="FO94" s="108"/>
      <c r="FP94" s="108"/>
      <c r="FQ94" s="108"/>
      <c r="FR94" s="108"/>
      <c r="FS94" s="108"/>
      <c r="FT94" s="108"/>
      <c r="FU94" s="108"/>
      <c r="FV94" s="108"/>
      <c r="FW94" s="108"/>
      <c r="FX94" s="108"/>
      <c r="FY94" s="108"/>
      <c r="FZ94" s="108"/>
      <c r="GA94" s="108"/>
      <c r="GB94" s="108"/>
      <c r="GC94" s="108"/>
      <c r="GD94" s="108"/>
      <c r="GE94" s="108"/>
      <c r="GF94" s="108"/>
      <c r="GG94" s="108"/>
      <c r="GH94" s="108"/>
      <c r="GI94" s="108"/>
      <c r="GJ94" s="108"/>
      <c r="GK94" s="108"/>
      <c r="GL94" s="108"/>
      <c r="GM94" s="108"/>
      <c r="GN94" s="108"/>
      <c r="GO94" s="108"/>
      <c r="GP94" s="108"/>
      <c r="GQ94" s="108"/>
      <c r="GR94" s="108"/>
      <c r="GS94" s="108"/>
      <c r="GT94" s="108"/>
      <c r="GU94" s="108"/>
      <c r="GV94" s="108"/>
      <c r="GW94" s="108"/>
      <c r="GX94" s="108"/>
      <c r="GY94" s="108"/>
      <c r="GZ94" s="108"/>
      <c r="HA94" s="108"/>
      <c r="HB94" s="108"/>
      <c r="HC94" s="108"/>
      <c r="HD94" s="108"/>
      <c r="HE94" s="108"/>
      <c r="HF94" s="108"/>
      <c r="HG94" s="108"/>
      <c r="HH94" s="108"/>
      <c r="HI94" s="108"/>
      <c r="HJ94" s="108"/>
      <c r="HK94" s="108"/>
      <c r="HL94" s="108"/>
      <c r="HM94" s="108"/>
      <c r="HN94" s="108"/>
      <c r="HO94" s="108"/>
      <c r="HP94" s="108"/>
      <c r="HQ94" s="108"/>
      <c r="HR94" s="108"/>
      <c r="HS94" s="108"/>
      <c r="HT94" s="108"/>
      <c r="HU94" s="108"/>
      <c r="HV94" s="108"/>
      <c r="HW94" s="108"/>
      <c r="HX94" s="108"/>
      <c r="HY94" s="108"/>
      <c r="HZ94" s="108"/>
      <c r="IA94" s="108"/>
      <c r="IB94" s="108"/>
      <c r="IC94" s="108"/>
      <c r="ID94" s="108"/>
      <c r="IE94" s="108"/>
      <c r="IF94" s="108"/>
      <c r="IG94" s="108"/>
      <c r="IH94" s="108"/>
      <c r="II94" s="108"/>
      <c r="IJ94" s="108"/>
      <c r="IK94" s="108"/>
      <c r="IL94" s="108"/>
      <c r="IM94" s="108"/>
      <c r="IN94" s="108"/>
      <c r="IO94" s="108"/>
      <c r="IP94" s="108"/>
      <c r="IQ94" s="108"/>
      <c r="IR94" s="108"/>
      <c r="IS94" s="108"/>
      <c r="IT94" s="108"/>
      <c r="IU94" s="108"/>
      <c r="IV94" s="108"/>
      <c r="IW94" s="108"/>
    </row>
    <row r="95" spans="1:257" x14ac:dyDescent="0.3">
      <c r="A95" s="158"/>
      <c r="B95" s="158"/>
      <c r="C95" s="158"/>
      <c r="D95" s="158"/>
      <c r="E95" s="158"/>
      <c r="F95" s="158"/>
      <c r="G95" s="158"/>
      <c r="H95" s="158"/>
      <c r="I95" s="158"/>
      <c r="J95" s="158"/>
      <c r="K95" s="158"/>
      <c r="L95" s="158"/>
      <c r="M95" s="158"/>
      <c r="N95" s="158"/>
      <c r="O95" s="108"/>
      <c r="P95" s="108"/>
      <c r="Q95" s="108"/>
      <c r="R95" s="108"/>
      <c r="S95" s="108"/>
      <c r="T95" s="108"/>
      <c r="U95" s="108"/>
      <c r="V95" s="108"/>
      <c r="W95" s="108"/>
      <c r="X95" s="108"/>
      <c r="Y95" s="108"/>
      <c r="Z95" s="108"/>
      <c r="AA95" s="108"/>
      <c r="AB95" s="108"/>
      <c r="AC95" s="108"/>
      <c r="AD95" s="108"/>
      <c r="AE95" s="108"/>
      <c r="AF95" s="108"/>
      <c r="AG95" s="108"/>
      <c r="AH95" s="108"/>
      <c r="AI95" s="108"/>
      <c r="AJ95" s="108"/>
      <c r="AK95" s="108"/>
      <c r="AL95" s="108"/>
      <c r="AM95" s="108"/>
      <c r="AN95" s="108"/>
      <c r="AO95" s="108"/>
      <c r="AP95" s="108"/>
      <c r="AQ95" s="108"/>
      <c r="AR95" s="108"/>
      <c r="AS95" s="108"/>
      <c r="AT95" s="108"/>
      <c r="AU95" s="108"/>
      <c r="AV95" s="108"/>
      <c r="AW95" s="108"/>
      <c r="AX95" s="108"/>
      <c r="AY95" s="108"/>
      <c r="AZ95" s="108"/>
      <c r="BA95" s="108"/>
      <c r="BB95" s="108"/>
      <c r="BC95" s="108"/>
      <c r="BD95" s="108"/>
      <c r="BE95" s="108"/>
      <c r="BF95" s="108"/>
      <c r="BG95" s="108"/>
      <c r="BH95" s="108"/>
      <c r="BI95" s="108"/>
      <c r="BJ95" s="108"/>
      <c r="BK95" s="108"/>
      <c r="BL95" s="108"/>
      <c r="BM95" s="108"/>
      <c r="BN95" s="108"/>
      <c r="BO95" s="108"/>
      <c r="BP95" s="108"/>
      <c r="BQ95" s="108"/>
      <c r="BR95" s="108"/>
      <c r="BS95" s="108"/>
      <c r="BT95" s="108"/>
      <c r="BU95" s="108"/>
      <c r="BV95" s="108"/>
      <c r="BW95" s="108"/>
      <c r="BX95" s="108"/>
      <c r="BY95" s="108"/>
      <c r="BZ95" s="108"/>
      <c r="CA95" s="108"/>
      <c r="CB95" s="108"/>
      <c r="CC95" s="108"/>
      <c r="CD95" s="108"/>
      <c r="CE95" s="108"/>
      <c r="CF95" s="108"/>
      <c r="CG95" s="108"/>
      <c r="CH95" s="108"/>
      <c r="CI95" s="108"/>
      <c r="CJ95" s="108"/>
      <c r="CK95" s="108"/>
      <c r="CL95" s="108"/>
      <c r="CM95" s="108"/>
      <c r="CN95" s="108"/>
      <c r="CO95" s="108"/>
      <c r="CP95" s="108"/>
      <c r="CQ95" s="108"/>
      <c r="CR95" s="108"/>
      <c r="CS95" s="108"/>
      <c r="CT95" s="108"/>
      <c r="CU95" s="108"/>
      <c r="CV95" s="108"/>
      <c r="CW95" s="108"/>
      <c r="CX95" s="108"/>
      <c r="CY95" s="108"/>
      <c r="CZ95" s="108"/>
      <c r="DA95" s="108"/>
      <c r="DB95" s="108"/>
      <c r="DC95" s="108"/>
      <c r="DD95" s="108"/>
      <c r="DE95" s="108"/>
      <c r="DF95" s="108"/>
      <c r="DG95" s="108"/>
      <c r="DH95" s="108"/>
      <c r="DI95" s="108"/>
      <c r="DJ95" s="108"/>
      <c r="DK95" s="108"/>
      <c r="DL95" s="108"/>
      <c r="DM95" s="108"/>
      <c r="DN95" s="108"/>
      <c r="DO95" s="108"/>
      <c r="DP95" s="108"/>
      <c r="DQ95" s="108"/>
      <c r="DR95" s="108"/>
      <c r="DS95" s="108"/>
      <c r="DT95" s="108"/>
      <c r="DU95" s="108"/>
      <c r="DV95" s="108"/>
      <c r="DW95" s="108"/>
      <c r="DX95" s="108"/>
      <c r="DY95" s="108"/>
      <c r="DZ95" s="108"/>
      <c r="EA95" s="108"/>
      <c r="EB95" s="108"/>
      <c r="EC95" s="108"/>
      <c r="ED95" s="108"/>
      <c r="EE95" s="108"/>
      <c r="EF95" s="108"/>
      <c r="EG95" s="108"/>
      <c r="EH95" s="108"/>
      <c r="EI95" s="108"/>
      <c r="EJ95" s="108"/>
      <c r="EK95" s="108"/>
      <c r="EL95" s="108"/>
      <c r="EM95" s="108"/>
      <c r="EN95" s="108"/>
      <c r="EO95" s="108"/>
      <c r="EP95" s="108"/>
      <c r="EQ95" s="108"/>
      <c r="ER95" s="108"/>
      <c r="ES95" s="108"/>
      <c r="ET95" s="108"/>
      <c r="EU95" s="108"/>
      <c r="EV95" s="108"/>
      <c r="EW95" s="108"/>
      <c r="EX95" s="108"/>
      <c r="EY95" s="108"/>
      <c r="EZ95" s="108"/>
      <c r="FA95" s="108"/>
      <c r="FB95" s="108"/>
      <c r="FC95" s="108"/>
      <c r="FD95" s="108"/>
      <c r="FE95" s="108"/>
      <c r="FF95" s="108"/>
      <c r="FG95" s="108"/>
      <c r="FH95" s="108"/>
      <c r="FI95" s="108"/>
      <c r="FJ95" s="108"/>
      <c r="FK95" s="108"/>
      <c r="FL95" s="108"/>
      <c r="FM95" s="108"/>
      <c r="FN95" s="108"/>
      <c r="FO95" s="108"/>
      <c r="FP95" s="108"/>
      <c r="FQ95" s="108"/>
      <c r="FR95" s="108"/>
      <c r="FS95" s="108"/>
      <c r="FT95" s="108"/>
      <c r="FU95" s="108"/>
      <c r="FV95" s="108"/>
      <c r="FW95" s="108"/>
      <c r="FX95" s="108"/>
      <c r="FY95" s="108"/>
      <c r="FZ95" s="108"/>
      <c r="GA95" s="108"/>
      <c r="GB95" s="108"/>
      <c r="GC95" s="108"/>
      <c r="GD95" s="108"/>
      <c r="GE95" s="108"/>
      <c r="GF95" s="108"/>
      <c r="GG95" s="108"/>
      <c r="GH95" s="108"/>
      <c r="GI95" s="108"/>
      <c r="GJ95" s="108"/>
      <c r="GK95" s="108"/>
      <c r="GL95" s="108"/>
      <c r="GM95" s="108"/>
      <c r="GN95" s="108"/>
      <c r="GO95" s="108"/>
      <c r="GP95" s="108"/>
      <c r="GQ95" s="108"/>
      <c r="GR95" s="108"/>
      <c r="GS95" s="108"/>
      <c r="GT95" s="108"/>
      <c r="GU95" s="108"/>
      <c r="GV95" s="108"/>
      <c r="GW95" s="108"/>
      <c r="GX95" s="108"/>
      <c r="GY95" s="108"/>
      <c r="GZ95" s="108"/>
      <c r="HA95" s="108"/>
      <c r="HB95" s="108"/>
      <c r="HC95" s="108"/>
      <c r="HD95" s="108"/>
      <c r="HE95" s="108"/>
      <c r="HF95" s="108"/>
      <c r="HG95" s="108"/>
      <c r="HH95" s="108"/>
      <c r="HI95" s="108"/>
      <c r="HJ95" s="108"/>
      <c r="HK95" s="108"/>
      <c r="HL95" s="108"/>
      <c r="HM95" s="108"/>
      <c r="HN95" s="108"/>
      <c r="HO95" s="108"/>
      <c r="HP95" s="108"/>
      <c r="HQ95" s="108"/>
      <c r="HR95" s="108"/>
      <c r="HS95" s="108"/>
      <c r="HT95" s="108"/>
      <c r="HU95" s="108"/>
      <c r="HV95" s="108"/>
      <c r="HW95" s="108"/>
      <c r="HX95" s="108"/>
      <c r="HY95" s="108"/>
      <c r="HZ95" s="108"/>
      <c r="IA95" s="108"/>
      <c r="IB95" s="108"/>
      <c r="IC95" s="108"/>
      <c r="ID95" s="108"/>
      <c r="IE95" s="108"/>
      <c r="IF95" s="108"/>
      <c r="IG95" s="108"/>
      <c r="IH95" s="108"/>
      <c r="II95" s="108"/>
      <c r="IJ95" s="108"/>
      <c r="IK95" s="108"/>
      <c r="IL95" s="108"/>
      <c r="IM95" s="108"/>
      <c r="IN95" s="108"/>
      <c r="IO95" s="108"/>
      <c r="IP95" s="108"/>
      <c r="IQ95" s="108"/>
      <c r="IR95" s="108"/>
      <c r="IS95" s="108"/>
      <c r="IT95" s="108"/>
      <c r="IU95" s="108"/>
      <c r="IV95" s="108"/>
      <c r="IW95" s="108"/>
    </row>
    <row r="96" spans="1:257" x14ac:dyDescent="0.3">
      <c r="A96" s="158"/>
      <c r="B96" s="158"/>
      <c r="C96" s="158"/>
      <c r="D96" s="158"/>
      <c r="E96" s="158"/>
      <c r="F96" s="158"/>
      <c r="G96" s="158"/>
      <c r="H96" s="158"/>
      <c r="I96" s="158"/>
      <c r="J96" s="158"/>
      <c r="K96" s="158"/>
      <c r="L96" s="158"/>
      <c r="M96" s="158"/>
      <c r="N96" s="158"/>
      <c r="O96" s="108"/>
      <c r="P96" s="108"/>
      <c r="Q96" s="108"/>
      <c r="R96" s="108"/>
      <c r="S96" s="108"/>
      <c r="T96" s="108"/>
      <c r="U96" s="108"/>
      <c r="V96" s="108"/>
      <c r="W96" s="108"/>
      <c r="X96" s="108"/>
      <c r="Y96" s="108"/>
      <c r="Z96" s="108"/>
      <c r="AA96" s="108"/>
      <c r="AB96" s="108"/>
      <c r="AC96" s="108"/>
      <c r="AD96" s="108"/>
      <c r="AE96" s="108"/>
      <c r="AF96" s="108"/>
      <c r="AG96" s="108"/>
      <c r="AH96" s="108"/>
      <c r="AI96" s="108"/>
      <c r="AJ96" s="108"/>
      <c r="AK96" s="108"/>
      <c r="AL96" s="108"/>
      <c r="AM96" s="108"/>
      <c r="AN96" s="108"/>
      <c r="AO96" s="108"/>
      <c r="AP96" s="108"/>
      <c r="AQ96" s="108"/>
      <c r="AR96" s="108"/>
      <c r="AS96" s="108"/>
      <c r="AT96" s="108"/>
      <c r="AU96" s="108"/>
      <c r="AV96" s="108"/>
      <c r="AW96" s="108"/>
      <c r="AX96" s="108"/>
      <c r="AY96" s="108"/>
      <c r="AZ96" s="108"/>
      <c r="BA96" s="108"/>
      <c r="BB96" s="108"/>
      <c r="BC96" s="108"/>
      <c r="BD96" s="108"/>
      <c r="BE96" s="108"/>
      <c r="BF96" s="108"/>
      <c r="BG96" s="108"/>
      <c r="BH96" s="108"/>
      <c r="BI96" s="108"/>
      <c r="BJ96" s="108"/>
      <c r="BK96" s="108"/>
      <c r="BL96" s="108"/>
      <c r="BM96" s="108"/>
      <c r="BN96" s="108"/>
      <c r="BO96" s="108"/>
      <c r="BP96" s="108"/>
      <c r="BQ96" s="108"/>
      <c r="BR96" s="108"/>
      <c r="BS96" s="108"/>
      <c r="BT96" s="108"/>
      <c r="BU96" s="108"/>
      <c r="BV96" s="108"/>
      <c r="BW96" s="108"/>
      <c r="BX96" s="108"/>
      <c r="BY96" s="108"/>
      <c r="BZ96" s="108"/>
      <c r="CA96" s="108"/>
      <c r="CB96" s="108"/>
      <c r="CC96" s="108"/>
      <c r="CD96" s="108"/>
      <c r="CE96" s="108"/>
      <c r="CF96" s="108"/>
      <c r="CG96" s="108"/>
      <c r="CH96" s="108"/>
      <c r="CI96" s="108"/>
      <c r="CJ96" s="108"/>
      <c r="CK96" s="108"/>
      <c r="CL96" s="108"/>
      <c r="CM96" s="108"/>
      <c r="CN96" s="108"/>
      <c r="CO96" s="108"/>
      <c r="CP96" s="108"/>
      <c r="CQ96" s="108"/>
      <c r="CR96" s="108"/>
      <c r="CS96" s="108"/>
      <c r="CT96" s="108"/>
      <c r="CU96" s="108"/>
      <c r="CV96" s="108"/>
      <c r="CW96" s="108"/>
      <c r="CX96" s="108"/>
      <c r="CY96" s="108"/>
      <c r="CZ96" s="108"/>
      <c r="DA96" s="108"/>
      <c r="DB96" s="108"/>
      <c r="DC96" s="108"/>
      <c r="DD96" s="108"/>
      <c r="DE96" s="108"/>
      <c r="DF96" s="108"/>
      <c r="DG96" s="108"/>
      <c r="DH96" s="108"/>
      <c r="DI96" s="108"/>
      <c r="DJ96" s="108"/>
      <c r="DK96" s="108"/>
      <c r="DL96" s="108"/>
      <c r="DM96" s="108"/>
      <c r="DN96" s="108"/>
      <c r="DO96" s="108"/>
      <c r="DP96" s="108"/>
      <c r="DQ96" s="108"/>
      <c r="DR96" s="108"/>
      <c r="DS96" s="108"/>
      <c r="DT96" s="108"/>
      <c r="DU96" s="108"/>
      <c r="DV96" s="108"/>
      <c r="DW96" s="108"/>
      <c r="DX96" s="108"/>
      <c r="DY96" s="108"/>
      <c r="DZ96" s="108"/>
      <c r="EA96" s="108"/>
      <c r="EB96" s="108"/>
      <c r="EC96" s="108"/>
      <c r="ED96" s="108"/>
      <c r="EE96" s="108"/>
      <c r="EF96" s="108"/>
      <c r="EG96" s="108"/>
      <c r="EH96" s="108"/>
      <c r="EI96" s="108"/>
      <c r="EJ96" s="108"/>
      <c r="EK96" s="108"/>
      <c r="EL96" s="108"/>
      <c r="EM96" s="108"/>
      <c r="EN96" s="108"/>
      <c r="EO96" s="108"/>
      <c r="EP96" s="108"/>
      <c r="EQ96" s="108"/>
      <c r="ER96" s="108"/>
      <c r="ES96" s="108"/>
      <c r="ET96" s="108"/>
      <c r="EU96" s="108"/>
      <c r="EV96" s="108"/>
      <c r="EW96" s="108"/>
      <c r="EX96" s="108"/>
      <c r="EY96" s="108"/>
      <c r="EZ96" s="108"/>
      <c r="FA96" s="108"/>
      <c r="FB96" s="108"/>
      <c r="FC96" s="108"/>
      <c r="FD96" s="108"/>
      <c r="FE96" s="108"/>
      <c r="FF96" s="108"/>
      <c r="FG96" s="108"/>
      <c r="FH96" s="108"/>
      <c r="FI96" s="108"/>
      <c r="FJ96" s="108"/>
      <c r="FK96" s="108"/>
      <c r="FL96" s="108"/>
      <c r="FM96" s="108"/>
      <c r="FN96" s="108"/>
      <c r="FO96" s="108"/>
      <c r="FP96" s="108"/>
      <c r="FQ96" s="108"/>
      <c r="FR96" s="108"/>
      <c r="FS96" s="108"/>
      <c r="FT96" s="108"/>
      <c r="FU96" s="108"/>
      <c r="FV96" s="108"/>
      <c r="FW96" s="108"/>
      <c r="FX96" s="108"/>
      <c r="FY96" s="108"/>
      <c r="FZ96" s="108"/>
      <c r="GA96" s="108"/>
      <c r="GB96" s="108"/>
      <c r="GC96" s="108"/>
      <c r="GD96" s="108"/>
      <c r="GE96" s="108"/>
      <c r="GF96" s="108"/>
      <c r="GG96" s="108"/>
      <c r="GH96" s="108"/>
      <c r="GI96" s="108"/>
      <c r="GJ96" s="108"/>
      <c r="GK96" s="108"/>
      <c r="GL96" s="108"/>
      <c r="GM96" s="108"/>
      <c r="GN96" s="108"/>
      <c r="GO96" s="108"/>
      <c r="GP96" s="108"/>
      <c r="GQ96" s="108"/>
      <c r="GR96" s="108"/>
      <c r="GS96" s="108"/>
      <c r="GT96" s="108"/>
      <c r="GU96" s="108"/>
      <c r="GV96" s="108"/>
      <c r="GW96" s="108"/>
      <c r="GX96" s="108"/>
      <c r="GY96" s="108"/>
      <c r="GZ96" s="108"/>
      <c r="HA96" s="108"/>
      <c r="HB96" s="108"/>
      <c r="HC96" s="108"/>
      <c r="HD96" s="108"/>
      <c r="HE96" s="108"/>
      <c r="HF96" s="108"/>
      <c r="HG96" s="108"/>
      <c r="HH96" s="108"/>
      <c r="HI96" s="108"/>
      <c r="HJ96" s="108"/>
      <c r="HK96" s="108"/>
      <c r="HL96" s="108"/>
      <c r="HM96" s="108"/>
      <c r="HN96" s="108"/>
      <c r="HO96" s="108"/>
      <c r="HP96" s="108"/>
      <c r="HQ96" s="108"/>
      <c r="HR96" s="108"/>
      <c r="HS96" s="108"/>
      <c r="HT96" s="108"/>
      <c r="HU96" s="108"/>
      <c r="HV96" s="108"/>
      <c r="HW96" s="108"/>
      <c r="HX96" s="108"/>
      <c r="HY96" s="108"/>
      <c r="HZ96" s="108"/>
      <c r="IA96" s="108"/>
      <c r="IB96" s="108"/>
      <c r="IC96" s="108"/>
      <c r="ID96" s="108"/>
      <c r="IE96" s="108"/>
      <c r="IF96" s="108"/>
      <c r="IG96" s="108"/>
      <c r="IH96" s="108"/>
      <c r="II96" s="108"/>
      <c r="IJ96" s="108"/>
      <c r="IK96" s="108"/>
      <c r="IL96" s="108"/>
      <c r="IM96" s="108"/>
      <c r="IN96" s="108"/>
      <c r="IO96" s="108"/>
      <c r="IP96" s="108"/>
      <c r="IQ96" s="108"/>
      <c r="IR96" s="108"/>
      <c r="IS96" s="108"/>
      <c r="IT96" s="108"/>
      <c r="IU96" s="108"/>
      <c r="IV96" s="108"/>
      <c r="IW96" s="108"/>
    </row>
    <row r="97" spans="1:257" x14ac:dyDescent="0.3">
      <c r="A97" s="158"/>
      <c r="B97" s="158"/>
      <c r="C97" s="158"/>
      <c r="D97" s="158"/>
      <c r="E97" s="158"/>
      <c r="F97" s="158"/>
      <c r="G97" s="158"/>
      <c r="H97" s="158"/>
      <c r="I97" s="158"/>
      <c r="J97" s="158"/>
      <c r="K97" s="158"/>
      <c r="L97" s="158"/>
      <c r="M97" s="158"/>
      <c r="N97" s="158"/>
      <c r="O97" s="108"/>
      <c r="P97" s="108"/>
      <c r="Q97" s="108"/>
      <c r="R97" s="108"/>
      <c r="S97" s="108"/>
      <c r="T97" s="108"/>
      <c r="U97" s="108"/>
      <c r="V97" s="108"/>
      <c r="W97" s="108"/>
      <c r="X97" s="108"/>
      <c r="Y97" s="108"/>
      <c r="Z97" s="108"/>
      <c r="AA97" s="108"/>
      <c r="AB97" s="108"/>
      <c r="AC97" s="108"/>
      <c r="AD97" s="108"/>
      <c r="AE97" s="108"/>
      <c r="AF97" s="108"/>
      <c r="AG97" s="108"/>
      <c r="AH97" s="108"/>
      <c r="AI97" s="108"/>
      <c r="AJ97" s="108"/>
      <c r="AK97" s="108"/>
      <c r="AL97" s="108"/>
      <c r="AM97" s="108"/>
      <c r="AN97" s="108"/>
      <c r="AO97" s="108"/>
      <c r="AP97" s="108"/>
      <c r="AQ97" s="108"/>
      <c r="AR97" s="108"/>
      <c r="AS97" s="108"/>
      <c r="AT97" s="108"/>
      <c r="AU97" s="108"/>
      <c r="AV97" s="108"/>
      <c r="AW97" s="108"/>
      <c r="AX97" s="108"/>
      <c r="AY97" s="108"/>
      <c r="AZ97" s="108"/>
      <c r="BA97" s="108"/>
      <c r="BB97" s="108"/>
      <c r="BC97" s="108"/>
      <c r="BD97" s="108"/>
      <c r="BE97" s="108"/>
      <c r="BF97" s="108"/>
      <c r="BG97" s="108"/>
      <c r="BH97" s="108"/>
      <c r="BI97" s="108"/>
      <c r="BJ97" s="108"/>
      <c r="BK97" s="108"/>
      <c r="BL97" s="108"/>
      <c r="BM97" s="108"/>
      <c r="BN97" s="108"/>
      <c r="BO97" s="108"/>
      <c r="BP97" s="108"/>
      <c r="BQ97" s="108"/>
      <c r="BR97" s="108"/>
      <c r="BS97" s="108"/>
      <c r="BT97" s="108"/>
      <c r="BU97" s="108"/>
      <c r="BV97" s="108"/>
      <c r="BW97" s="108"/>
      <c r="BX97" s="108"/>
      <c r="BY97" s="108"/>
      <c r="BZ97" s="108"/>
      <c r="CA97" s="108"/>
      <c r="CB97" s="108"/>
      <c r="CC97" s="108"/>
      <c r="CD97" s="108"/>
      <c r="CE97" s="108"/>
      <c r="CF97" s="108"/>
      <c r="CG97" s="108"/>
      <c r="CH97" s="108"/>
      <c r="CI97" s="108"/>
      <c r="CJ97" s="108"/>
      <c r="CK97" s="108"/>
      <c r="CL97" s="108"/>
      <c r="CM97" s="108"/>
      <c r="CN97" s="108"/>
      <c r="CO97" s="108"/>
      <c r="CP97" s="108"/>
      <c r="CQ97" s="108"/>
      <c r="CR97" s="108"/>
      <c r="CS97" s="108"/>
      <c r="CT97" s="108"/>
      <c r="CU97" s="108"/>
      <c r="CV97" s="108"/>
      <c r="CW97" s="108"/>
      <c r="CX97" s="108"/>
      <c r="CY97" s="108"/>
      <c r="CZ97" s="108"/>
      <c r="DA97" s="108"/>
      <c r="DB97" s="108"/>
      <c r="DC97" s="108"/>
      <c r="DD97" s="108"/>
      <c r="DE97" s="108"/>
      <c r="DF97" s="108"/>
      <c r="DG97" s="108"/>
      <c r="DH97" s="108"/>
      <c r="DI97" s="108"/>
      <c r="DJ97" s="108"/>
      <c r="DK97" s="108"/>
      <c r="DL97" s="108"/>
      <c r="DM97" s="108"/>
      <c r="DN97" s="108"/>
      <c r="DO97" s="108"/>
      <c r="DP97" s="108"/>
      <c r="DQ97" s="108"/>
      <c r="DR97" s="108"/>
      <c r="DS97" s="108"/>
      <c r="DT97" s="108"/>
      <c r="DU97" s="108"/>
      <c r="DV97" s="108"/>
      <c r="DW97" s="108"/>
      <c r="DX97" s="108"/>
      <c r="DY97" s="108"/>
      <c r="DZ97" s="108"/>
      <c r="EA97" s="108"/>
      <c r="EB97" s="108"/>
      <c r="EC97" s="108"/>
      <c r="ED97" s="108"/>
      <c r="EE97" s="108"/>
      <c r="EF97" s="108"/>
      <c r="EG97" s="108"/>
      <c r="EH97" s="108"/>
      <c r="EI97" s="108"/>
      <c r="EJ97" s="108"/>
      <c r="EK97" s="108"/>
      <c r="EL97" s="108"/>
      <c r="EM97" s="108"/>
      <c r="EN97" s="108"/>
      <c r="EO97" s="108"/>
      <c r="EP97" s="108"/>
      <c r="EQ97" s="108"/>
      <c r="ER97" s="108"/>
      <c r="ES97" s="108"/>
      <c r="ET97" s="108"/>
      <c r="EU97" s="108"/>
      <c r="EV97" s="108"/>
      <c r="EW97" s="108"/>
      <c r="EX97" s="108"/>
      <c r="EY97" s="108"/>
      <c r="EZ97" s="108"/>
      <c r="FA97" s="108"/>
      <c r="FB97" s="108"/>
      <c r="FC97" s="108"/>
      <c r="FD97" s="108"/>
      <c r="FE97" s="108"/>
      <c r="FF97" s="108"/>
      <c r="FG97" s="108"/>
      <c r="FH97" s="108"/>
      <c r="FI97" s="108"/>
      <c r="FJ97" s="108"/>
      <c r="FK97" s="108"/>
      <c r="FL97" s="108"/>
      <c r="FM97" s="108"/>
      <c r="FN97" s="108"/>
      <c r="FO97" s="108"/>
      <c r="FP97" s="108"/>
      <c r="FQ97" s="108"/>
      <c r="FR97" s="108"/>
      <c r="FS97" s="108"/>
      <c r="FT97" s="108"/>
      <c r="FU97" s="108"/>
      <c r="FV97" s="108"/>
      <c r="FW97" s="108"/>
      <c r="FX97" s="108"/>
      <c r="FY97" s="108"/>
      <c r="FZ97" s="108"/>
      <c r="GA97" s="108"/>
      <c r="GB97" s="108"/>
      <c r="GC97" s="108"/>
      <c r="GD97" s="108"/>
      <c r="GE97" s="108"/>
      <c r="GF97" s="108"/>
      <c r="GG97" s="108"/>
      <c r="GH97" s="108"/>
      <c r="GI97" s="108"/>
      <c r="GJ97" s="108"/>
      <c r="GK97" s="108"/>
      <c r="GL97" s="108"/>
      <c r="GM97" s="108"/>
      <c r="GN97" s="108"/>
      <c r="GO97" s="108"/>
      <c r="GP97" s="108"/>
      <c r="GQ97" s="108"/>
      <c r="GR97" s="108"/>
      <c r="GS97" s="108"/>
      <c r="GT97" s="108"/>
      <c r="GU97" s="108"/>
      <c r="GV97" s="108"/>
      <c r="GW97" s="108"/>
      <c r="GX97" s="108"/>
      <c r="GY97" s="108"/>
      <c r="GZ97" s="108"/>
      <c r="HA97" s="108"/>
      <c r="HB97" s="108"/>
      <c r="HC97" s="108"/>
      <c r="HD97" s="108"/>
      <c r="HE97" s="108"/>
      <c r="HF97" s="108"/>
      <c r="HG97" s="108"/>
      <c r="HH97" s="108"/>
      <c r="HI97" s="108"/>
      <c r="HJ97" s="108"/>
      <c r="HK97" s="108"/>
      <c r="HL97" s="108"/>
      <c r="HM97" s="108"/>
      <c r="HN97" s="108"/>
      <c r="HO97" s="108"/>
      <c r="HP97" s="108"/>
      <c r="HQ97" s="108"/>
      <c r="HR97" s="108"/>
      <c r="HS97" s="108"/>
      <c r="HT97" s="108"/>
      <c r="HU97" s="108"/>
      <c r="HV97" s="108"/>
      <c r="HW97" s="108"/>
      <c r="HX97" s="108"/>
      <c r="HY97" s="108"/>
      <c r="HZ97" s="108"/>
      <c r="IA97" s="108"/>
      <c r="IB97" s="108"/>
      <c r="IC97" s="108"/>
      <c r="ID97" s="108"/>
      <c r="IE97" s="108"/>
      <c r="IF97" s="108"/>
      <c r="IG97" s="108"/>
      <c r="IH97" s="108"/>
      <c r="II97" s="108"/>
      <c r="IJ97" s="108"/>
      <c r="IK97" s="108"/>
      <c r="IL97" s="108"/>
      <c r="IM97" s="108"/>
      <c r="IN97" s="108"/>
      <c r="IO97" s="108"/>
      <c r="IP97" s="108"/>
      <c r="IQ97" s="108"/>
      <c r="IR97" s="108"/>
      <c r="IS97" s="108"/>
      <c r="IT97" s="108"/>
      <c r="IU97" s="108"/>
      <c r="IV97" s="108"/>
      <c r="IW97" s="108"/>
    </row>
    <row r="98" spans="1:257" x14ac:dyDescent="0.3">
      <c r="A98" s="158"/>
      <c r="B98" s="158"/>
      <c r="C98" s="158"/>
      <c r="D98" s="158"/>
      <c r="E98" s="158"/>
      <c r="F98" s="158"/>
      <c r="G98" s="158"/>
      <c r="H98" s="158"/>
      <c r="I98" s="158"/>
      <c r="J98" s="158"/>
      <c r="K98" s="158"/>
      <c r="L98" s="158"/>
      <c r="M98" s="158"/>
      <c r="N98" s="158"/>
      <c r="O98" s="108"/>
      <c r="P98" s="108"/>
      <c r="Q98" s="108"/>
      <c r="R98" s="108"/>
      <c r="S98" s="108"/>
      <c r="T98" s="108"/>
      <c r="U98" s="108"/>
      <c r="V98" s="108"/>
      <c r="W98" s="108"/>
      <c r="X98" s="108"/>
      <c r="Y98" s="108"/>
      <c r="Z98" s="108"/>
      <c r="AA98" s="108"/>
      <c r="AB98" s="108"/>
      <c r="AC98" s="108"/>
      <c r="AD98" s="108"/>
      <c r="AE98" s="108"/>
      <c r="AF98" s="108"/>
      <c r="AG98" s="108"/>
      <c r="AH98" s="108"/>
      <c r="AI98" s="108"/>
      <c r="AJ98" s="108"/>
      <c r="AK98" s="108"/>
      <c r="AL98" s="108"/>
      <c r="AM98" s="108"/>
      <c r="AN98" s="108"/>
      <c r="AO98" s="108"/>
      <c r="AP98" s="108"/>
      <c r="AQ98" s="108"/>
      <c r="AR98" s="108"/>
      <c r="AS98" s="108"/>
      <c r="AT98" s="108"/>
      <c r="AU98" s="108"/>
      <c r="AV98" s="108"/>
      <c r="AW98" s="108"/>
      <c r="AX98" s="108"/>
      <c r="AY98" s="108"/>
      <c r="AZ98" s="108"/>
      <c r="BA98" s="108"/>
      <c r="BB98" s="108"/>
      <c r="BC98" s="108"/>
      <c r="BD98" s="108"/>
      <c r="BE98" s="108"/>
      <c r="BF98" s="108"/>
      <c r="BG98" s="108"/>
      <c r="BH98" s="108"/>
      <c r="BI98" s="108"/>
      <c r="BJ98" s="108"/>
      <c r="BK98" s="108"/>
      <c r="BL98" s="108"/>
      <c r="BM98" s="108"/>
      <c r="BN98" s="108"/>
      <c r="BO98" s="108"/>
      <c r="BP98" s="108"/>
      <c r="BQ98" s="108"/>
      <c r="BR98" s="108"/>
      <c r="BS98" s="108"/>
      <c r="BT98" s="108"/>
      <c r="BU98" s="108"/>
      <c r="BV98" s="108"/>
      <c r="BW98" s="108"/>
      <c r="BX98" s="108"/>
      <c r="BY98" s="108"/>
      <c r="BZ98" s="108"/>
      <c r="CA98" s="108"/>
      <c r="CB98" s="108"/>
      <c r="CC98" s="108"/>
      <c r="CD98" s="108"/>
      <c r="CE98" s="108"/>
      <c r="CF98" s="108"/>
      <c r="CG98" s="108"/>
      <c r="CH98" s="108"/>
      <c r="CI98" s="108"/>
      <c r="CJ98" s="108"/>
      <c r="CK98" s="108"/>
      <c r="CL98" s="108"/>
      <c r="CM98" s="108"/>
      <c r="CN98" s="108"/>
      <c r="CO98" s="108"/>
      <c r="CP98" s="108"/>
      <c r="CQ98" s="108"/>
      <c r="CR98" s="108"/>
      <c r="CS98" s="108"/>
      <c r="CT98" s="108"/>
      <c r="CU98" s="108"/>
      <c r="CV98" s="108"/>
      <c r="CW98" s="108"/>
      <c r="CX98" s="108"/>
      <c r="CY98" s="108"/>
      <c r="CZ98" s="108"/>
      <c r="DA98" s="108"/>
      <c r="DB98" s="108"/>
      <c r="DC98" s="108"/>
      <c r="DD98" s="108"/>
      <c r="DE98" s="108"/>
      <c r="DF98" s="108"/>
      <c r="DG98" s="108"/>
      <c r="DH98" s="108"/>
      <c r="DI98" s="108"/>
      <c r="DJ98" s="108"/>
      <c r="DK98" s="108"/>
      <c r="DL98" s="108"/>
      <c r="DM98" s="108"/>
      <c r="DN98" s="108"/>
      <c r="DO98" s="108"/>
      <c r="DP98" s="108"/>
      <c r="DQ98" s="108"/>
      <c r="DR98" s="108"/>
      <c r="DS98" s="108"/>
      <c r="DT98" s="108"/>
      <c r="DU98" s="108"/>
      <c r="DV98" s="108"/>
      <c r="DW98" s="108"/>
      <c r="DX98" s="108"/>
      <c r="DY98" s="108"/>
      <c r="DZ98" s="108"/>
      <c r="EA98" s="108"/>
      <c r="EB98" s="108"/>
      <c r="EC98" s="108"/>
      <c r="ED98" s="108"/>
      <c r="EE98" s="108"/>
      <c r="EF98" s="108"/>
      <c r="EG98" s="108"/>
      <c r="EH98" s="108"/>
      <c r="EI98" s="108"/>
      <c r="EJ98" s="108"/>
      <c r="EK98" s="108"/>
      <c r="EL98" s="108"/>
      <c r="EM98" s="108"/>
      <c r="EN98" s="108"/>
      <c r="EO98" s="108"/>
      <c r="EP98" s="108"/>
      <c r="EQ98" s="108"/>
      <c r="ER98" s="108"/>
      <c r="ES98" s="108"/>
      <c r="ET98" s="108"/>
      <c r="EU98" s="108"/>
      <c r="EV98" s="108"/>
      <c r="EW98" s="108"/>
      <c r="EX98" s="108"/>
      <c r="EY98" s="108"/>
      <c r="EZ98" s="108"/>
      <c r="FA98" s="108"/>
      <c r="FB98" s="108"/>
      <c r="FC98" s="108"/>
      <c r="FD98" s="108"/>
      <c r="FE98" s="108"/>
      <c r="FF98" s="108"/>
      <c r="FG98" s="108"/>
      <c r="FH98" s="108"/>
      <c r="FI98" s="108"/>
      <c r="FJ98" s="108"/>
      <c r="FK98" s="108"/>
      <c r="FL98" s="108"/>
      <c r="FM98" s="108"/>
      <c r="FN98" s="108"/>
      <c r="FO98" s="108"/>
      <c r="FP98" s="108"/>
      <c r="FQ98" s="108"/>
      <c r="FR98" s="108"/>
      <c r="FS98" s="108"/>
      <c r="FT98" s="108"/>
      <c r="FU98" s="108"/>
      <c r="FV98" s="108"/>
      <c r="FW98" s="108"/>
      <c r="FX98" s="108"/>
      <c r="FY98" s="108"/>
      <c r="FZ98" s="108"/>
      <c r="GA98" s="108"/>
      <c r="GB98" s="108"/>
      <c r="GC98" s="108"/>
      <c r="GD98" s="108"/>
      <c r="GE98" s="108"/>
      <c r="GF98" s="108"/>
      <c r="GG98" s="108"/>
      <c r="GH98" s="108"/>
      <c r="GI98" s="108"/>
      <c r="GJ98" s="108"/>
      <c r="GK98" s="108"/>
      <c r="GL98" s="108"/>
      <c r="GM98" s="108"/>
      <c r="GN98" s="108"/>
      <c r="GO98" s="108"/>
      <c r="GP98" s="108"/>
      <c r="GQ98" s="108"/>
      <c r="GR98" s="108"/>
      <c r="GS98" s="108"/>
      <c r="GT98" s="108"/>
      <c r="GU98" s="108"/>
      <c r="GV98" s="108"/>
      <c r="GW98" s="108"/>
      <c r="GX98" s="108"/>
      <c r="GY98" s="108"/>
      <c r="GZ98" s="108"/>
      <c r="HA98" s="108"/>
      <c r="HB98" s="108"/>
      <c r="HC98" s="108"/>
      <c r="HD98" s="108"/>
      <c r="HE98" s="108"/>
      <c r="HF98" s="108"/>
      <c r="HG98" s="108"/>
      <c r="HH98" s="108"/>
      <c r="HI98" s="108"/>
      <c r="HJ98" s="108"/>
      <c r="HK98" s="108"/>
      <c r="HL98" s="108"/>
      <c r="HM98" s="108"/>
      <c r="HN98" s="108"/>
      <c r="HO98" s="108"/>
      <c r="HP98" s="108"/>
      <c r="HQ98" s="108"/>
      <c r="HR98" s="108"/>
      <c r="HS98" s="108"/>
      <c r="HT98" s="108"/>
      <c r="HU98" s="108"/>
      <c r="HV98" s="108"/>
      <c r="HW98" s="108"/>
      <c r="HX98" s="108"/>
      <c r="HY98" s="108"/>
      <c r="HZ98" s="108"/>
      <c r="IA98" s="108"/>
      <c r="IB98" s="108"/>
      <c r="IC98" s="108"/>
      <c r="ID98" s="108"/>
      <c r="IE98" s="108"/>
      <c r="IF98" s="108"/>
      <c r="IG98" s="108"/>
      <c r="IH98" s="108"/>
      <c r="II98" s="108"/>
      <c r="IJ98" s="108"/>
      <c r="IK98" s="108"/>
      <c r="IL98" s="108"/>
      <c r="IM98" s="108"/>
      <c r="IN98" s="108"/>
      <c r="IO98" s="108"/>
      <c r="IP98" s="108"/>
      <c r="IQ98" s="108"/>
      <c r="IR98" s="108"/>
      <c r="IS98" s="108"/>
      <c r="IT98" s="108"/>
      <c r="IU98" s="108"/>
      <c r="IV98" s="108"/>
      <c r="IW98" s="108"/>
    </row>
    <row r="99" spans="1:257" x14ac:dyDescent="0.3">
      <c r="A99" s="158"/>
      <c r="B99" s="158"/>
      <c r="C99" s="158"/>
      <c r="D99" s="158"/>
      <c r="E99" s="158"/>
      <c r="F99" s="158"/>
      <c r="G99" s="158"/>
      <c r="H99" s="158"/>
      <c r="I99" s="158"/>
      <c r="J99" s="158"/>
      <c r="K99" s="158"/>
      <c r="L99" s="158"/>
      <c r="M99" s="158"/>
      <c r="N99" s="158"/>
      <c r="O99" s="108"/>
      <c r="P99" s="108"/>
      <c r="Q99" s="108"/>
      <c r="R99" s="108"/>
      <c r="S99" s="108"/>
      <c r="T99" s="108"/>
      <c r="U99" s="108"/>
      <c r="V99" s="108"/>
      <c r="W99" s="108"/>
      <c r="X99" s="108"/>
      <c r="Y99" s="108"/>
      <c r="Z99" s="108"/>
      <c r="AA99" s="108"/>
      <c r="AB99" s="108"/>
      <c r="AC99" s="108"/>
      <c r="AD99" s="108"/>
      <c r="AE99" s="108"/>
      <c r="AF99" s="108"/>
      <c r="AG99" s="108"/>
      <c r="AH99" s="108"/>
      <c r="AI99" s="108"/>
      <c r="AJ99" s="108"/>
      <c r="AK99" s="108"/>
      <c r="AL99" s="108"/>
      <c r="AM99" s="108"/>
      <c r="AN99" s="108"/>
      <c r="AO99" s="108"/>
      <c r="AP99" s="108"/>
      <c r="AQ99" s="108"/>
      <c r="AR99" s="108"/>
      <c r="AS99" s="108"/>
      <c r="AT99" s="108"/>
      <c r="AU99" s="108"/>
      <c r="AV99" s="108"/>
      <c r="AW99" s="108"/>
      <c r="AX99" s="108"/>
      <c r="AY99" s="108"/>
      <c r="AZ99" s="108"/>
      <c r="BA99" s="108"/>
      <c r="BB99" s="108"/>
      <c r="BC99" s="108"/>
      <c r="BD99" s="108"/>
      <c r="BE99" s="108"/>
      <c r="BF99" s="108"/>
      <c r="BG99" s="108"/>
      <c r="BH99" s="108"/>
      <c r="BI99" s="108"/>
      <c r="BJ99" s="108"/>
      <c r="BK99" s="108"/>
      <c r="BL99" s="108"/>
      <c r="BM99" s="108"/>
      <c r="BN99" s="108"/>
      <c r="BO99" s="108"/>
      <c r="BP99" s="108"/>
      <c r="BQ99" s="108"/>
      <c r="BR99" s="108"/>
      <c r="BS99" s="108"/>
      <c r="BT99" s="108"/>
      <c r="BU99" s="108"/>
      <c r="BV99" s="108"/>
      <c r="BW99" s="108"/>
      <c r="BX99" s="108"/>
      <c r="BY99" s="108"/>
      <c r="BZ99" s="108"/>
      <c r="CA99" s="108"/>
      <c r="CB99" s="108"/>
      <c r="CC99" s="108"/>
      <c r="CD99" s="108"/>
      <c r="CE99" s="108"/>
      <c r="CF99" s="108"/>
      <c r="CG99" s="108"/>
      <c r="CH99" s="108"/>
      <c r="CI99" s="108"/>
      <c r="CJ99" s="108"/>
      <c r="CK99" s="108"/>
      <c r="CL99" s="108"/>
      <c r="CM99" s="108"/>
      <c r="CN99" s="108"/>
      <c r="CO99" s="108"/>
      <c r="CP99" s="108"/>
      <c r="CQ99" s="108"/>
      <c r="CR99" s="108"/>
      <c r="CS99" s="108"/>
      <c r="CT99" s="108"/>
      <c r="CU99" s="108"/>
      <c r="CV99" s="108"/>
      <c r="CW99" s="108"/>
      <c r="CX99" s="108"/>
      <c r="CY99" s="108"/>
      <c r="CZ99" s="108"/>
      <c r="DA99" s="108"/>
      <c r="DB99" s="108"/>
      <c r="DC99" s="108"/>
      <c r="DD99" s="108"/>
      <c r="DE99" s="108"/>
      <c r="DF99" s="108"/>
      <c r="DG99" s="108"/>
      <c r="DH99" s="108"/>
      <c r="DI99" s="108"/>
      <c r="DJ99" s="108"/>
      <c r="DK99" s="108"/>
      <c r="DL99" s="108"/>
      <c r="DM99" s="108"/>
      <c r="DN99" s="108"/>
      <c r="DO99" s="108"/>
      <c r="DP99" s="108"/>
      <c r="DQ99" s="108"/>
      <c r="DR99" s="108"/>
      <c r="DS99" s="108"/>
      <c r="DT99" s="108"/>
      <c r="DU99" s="108"/>
      <c r="DV99" s="108"/>
      <c r="DW99" s="108"/>
      <c r="DX99" s="108"/>
      <c r="DY99" s="108"/>
      <c r="DZ99" s="108"/>
      <c r="EA99" s="108"/>
      <c r="EB99" s="108"/>
      <c r="EC99" s="108"/>
      <c r="ED99" s="108"/>
      <c r="EE99" s="108"/>
      <c r="EF99" s="108"/>
      <c r="EG99" s="108"/>
      <c r="EH99" s="108"/>
      <c r="EI99" s="108"/>
      <c r="EJ99" s="108"/>
      <c r="EK99" s="108"/>
      <c r="EL99" s="108"/>
      <c r="EM99" s="108"/>
      <c r="EN99" s="108"/>
      <c r="EO99" s="108"/>
      <c r="EP99" s="108"/>
      <c r="EQ99" s="108"/>
      <c r="ER99" s="108"/>
      <c r="ES99" s="108"/>
      <c r="ET99" s="108"/>
      <c r="EU99" s="108"/>
      <c r="EV99" s="108"/>
      <c r="EW99" s="108"/>
      <c r="EX99" s="108"/>
      <c r="EY99" s="108"/>
      <c r="EZ99" s="108"/>
      <c r="FA99" s="108"/>
      <c r="FB99" s="108"/>
      <c r="FC99" s="108"/>
      <c r="FD99" s="108"/>
      <c r="FE99" s="108"/>
      <c r="FF99" s="108"/>
      <c r="FG99" s="108"/>
      <c r="FH99" s="108"/>
      <c r="FI99" s="108"/>
      <c r="FJ99" s="108"/>
      <c r="FK99" s="108"/>
      <c r="FL99" s="108"/>
      <c r="FM99" s="108"/>
      <c r="FN99" s="108"/>
      <c r="FO99" s="108"/>
      <c r="FP99" s="108"/>
      <c r="FQ99" s="108"/>
      <c r="FR99" s="108"/>
      <c r="FS99" s="108"/>
      <c r="FT99" s="108"/>
      <c r="FU99" s="108"/>
      <c r="FV99" s="108"/>
      <c r="FW99" s="108"/>
      <c r="FX99" s="108"/>
      <c r="FY99" s="108"/>
      <c r="FZ99" s="108"/>
      <c r="GA99" s="108"/>
      <c r="GB99" s="108"/>
      <c r="GC99" s="108"/>
      <c r="GD99" s="108"/>
      <c r="GE99" s="108"/>
      <c r="GF99" s="108"/>
      <c r="GG99" s="108"/>
      <c r="GH99" s="108"/>
      <c r="GI99" s="108"/>
      <c r="GJ99" s="108"/>
      <c r="GK99" s="108"/>
      <c r="GL99" s="108"/>
      <c r="GM99" s="108"/>
      <c r="GN99" s="108"/>
      <c r="GO99" s="108"/>
      <c r="GP99" s="108"/>
      <c r="GQ99" s="108"/>
      <c r="GR99" s="108"/>
      <c r="GS99" s="108"/>
      <c r="GT99" s="108"/>
      <c r="GU99" s="108"/>
      <c r="GV99" s="108"/>
      <c r="GW99" s="108"/>
      <c r="GX99" s="108"/>
      <c r="GY99" s="108"/>
      <c r="GZ99" s="108"/>
      <c r="HA99" s="108"/>
      <c r="HB99" s="108"/>
      <c r="HC99" s="108"/>
      <c r="HD99" s="108"/>
      <c r="HE99" s="108"/>
      <c r="HF99" s="108"/>
      <c r="HG99" s="108"/>
      <c r="HH99" s="108"/>
      <c r="HI99" s="108"/>
      <c r="HJ99" s="108"/>
      <c r="HK99" s="108"/>
      <c r="HL99" s="108"/>
      <c r="HM99" s="108"/>
      <c r="HN99" s="108"/>
      <c r="HO99" s="108"/>
      <c r="HP99" s="108"/>
      <c r="HQ99" s="108"/>
      <c r="HR99" s="108"/>
      <c r="HS99" s="108"/>
      <c r="HT99" s="108"/>
      <c r="HU99" s="108"/>
      <c r="HV99" s="108"/>
      <c r="HW99" s="108"/>
      <c r="HX99" s="108"/>
      <c r="HY99" s="108"/>
      <c r="HZ99" s="108"/>
      <c r="IA99" s="108"/>
      <c r="IB99" s="108"/>
      <c r="IC99" s="108"/>
      <c r="ID99" s="108"/>
      <c r="IE99" s="108"/>
      <c r="IF99" s="108"/>
      <c r="IG99" s="108"/>
      <c r="IH99" s="108"/>
      <c r="II99" s="108"/>
      <c r="IJ99" s="108"/>
      <c r="IK99" s="108"/>
      <c r="IL99" s="108"/>
      <c r="IM99" s="108"/>
      <c r="IN99" s="108"/>
      <c r="IO99" s="108"/>
      <c r="IP99" s="108"/>
      <c r="IQ99" s="108"/>
      <c r="IR99" s="108"/>
      <c r="IS99" s="108"/>
      <c r="IT99" s="108"/>
      <c r="IU99" s="108"/>
      <c r="IV99" s="108"/>
      <c r="IW99" s="108"/>
    </row>
    <row r="100" spans="1:257" x14ac:dyDescent="0.3">
      <c r="A100" s="158"/>
      <c r="B100" s="158"/>
      <c r="C100" s="158"/>
      <c r="D100" s="158"/>
      <c r="E100" s="158"/>
      <c r="F100" s="158"/>
      <c r="G100" s="158"/>
      <c r="H100" s="158"/>
      <c r="I100" s="158"/>
      <c r="J100" s="158"/>
      <c r="K100" s="158"/>
      <c r="L100" s="158"/>
      <c r="M100" s="158"/>
      <c r="N100" s="158"/>
      <c r="O100" s="108"/>
      <c r="P100" s="108"/>
      <c r="Q100" s="108"/>
      <c r="R100" s="108"/>
      <c r="S100" s="108"/>
      <c r="T100" s="108"/>
      <c r="U100" s="108"/>
      <c r="V100" s="108"/>
      <c r="W100" s="108"/>
      <c r="X100" s="108"/>
      <c r="Y100" s="108"/>
      <c r="Z100" s="108"/>
      <c r="AA100" s="108"/>
      <c r="AB100" s="108"/>
      <c r="AC100" s="108"/>
      <c r="AD100" s="108"/>
      <c r="AE100" s="108"/>
      <c r="AF100" s="108"/>
      <c r="AG100" s="108"/>
      <c r="AH100" s="108"/>
      <c r="AI100" s="108"/>
      <c r="AJ100" s="108"/>
      <c r="AK100" s="108"/>
      <c r="AL100" s="108"/>
      <c r="AM100" s="108"/>
      <c r="AN100" s="108"/>
      <c r="AO100" s="108"/>
      <c r="AP100" s="108"/>
      <c r="AQ100" s="108"/>
      <c r="AR100" s="108"/>
      <c r="AS100" s="108"/>
      <c r="AT100" s="108"/>
      <c r="AU100" s="108"/>
      <c r="AV100" s="108"/>
      <c r="AW100" s="108"/>
      <c r="AX100" s="108"/>
      <c r="AY100" s="108"/>
      <c r="AZ100" s="108"/>
      <c r="BA100" s="108"/>
      <c r="BB100" s="108"/>
      <c r="BC100" s="108"/>
      <c r="BD100" s="108"/>
      <c r="BE100" s="108"/>
      <c r="BF100" s="108"/>
      <c r="BG100" s="108"/>
      <c r="BH100" s="108"/>
      <c r="BI100" s="108"/>
      <c r="BJ100" s="108"/>
      <c r="BK100" s="108"/>
      <c r="BL100" s="108"/>
      <c r="BM100" s="108"/>
      <c r="BN100" s="108"/>
      <c r="BO100" s="108"/>
      <c r="BP100" s="108"/>
      <c r="BQ100" s="108"/>
      <c r="BR100" s="108"/>
      <c r="BS100" s="108"/>
      <c r="BT100" s="108"/>
      <c r="BU100" s="108"/>
      <c r="BV100" s="108"/>
      <c r="BW100" s="108"/>
      <c r="BX100" s="108"/>
      <c r="BY100" s="108"/>
      <c r="BZ100" s="108"/>
      <c r="CA100" s="108"/>
      <c r="CB100" s="108"/>
      <c r="CC100" s="108"/>
      <c r="CD100" s="108"/>
      <c r="CE100" s="108"/>
      <c r="CF100" s="108"/>
      <c r="CG100" s="108"/>
      <c r="CH100" s="108"/>
      <c r="CI100" s="108"/>
      <c r="CJ100" s="108"/>
      <c r="CK100" s="108"/>
      <c r="CL100" s="108"/>
      <c r="CM100" s="108"/>
      <c r="CN100" s="108"/>
      <c r="CO100" s="108"/>
      <c r="CP100" s="108"/>
      <c r="CQ100" s="108"/>
      <c r="CR100" s="108"/>
      <c r="CS100" s="108"/>
      <c r="CT100" s="108"/>
      <c r="CU100" s="108"/>
      <c r="CV100" s="108"/>
      <c r="CW100" s="108"/>
      <c r="CX100" s="108"/>
      <c r="CY100" s="108"/>
      <c r="CZ100" s="108"/>
      <c r="DA100" s="108"/>
      <c r="DB100" s="108"/>
      <c r="DC100" s="108"/>
      <c r="DD100" s="108"/>
      <c r="DE100" s="108"/>
      <c r="DF100" s="108"/>
      <c r="DG100" s="108"/>
      <c r="DH100" s="108"/>
      <c r="DI100" s="108"/>
      <c r="DJ100" s="108"/>
      <c r="DK100" s="108"/>
      <c r="DL100" s="108"/>
      <c r="DM100" s="108"/>
      <c r="DN100" s="108"/>
      <c r="DO100" s="108"/>
      <c r="DP100" s="108"/>
      <c r="DQ100" s="108"/>
      <c r="DR100" s="108"/>
      <c r="DS100" s="108"/>
      <c r="DT100" s="108"/>
      <c r="DU100" s="108"/>
      <c r="DV100" s="108"/>
      <c r="DW100" s="108"/>
      <c r="DX100" s="108"/>
      <c r="DY100" s="108"/>
      <c r="DZ100" s="108"/>
      <c r="EA100" s="108"/>
      <c r="EB100" s="108"/>
      <c r="EC100" s="108"/>
      <c r="ED100" s="108"/>
      <c r="EE100" s="108"/>
      <c r="EF100" s="108"/>
      <c r="EG100" s="108"/>
      <c r="EH100" s="108"/>
      <c r="EI100" s="108"/>
      <c r="EJ100" s="108"/>
      <c r="EK100" s="108"/>
      <c r="EL100" s="108"/>
      <c r="EM100" s="108"/>
      <c r="EN100" s="108"/>
      <c r="EO100" s="108"/>
      <c r="EP100" s="108"/>
      <c r="EQ100" s="108"/>
      <c r="ER100" s="108"/>
      <c r="ES100" s="108"/>
      <c r="ET100" s="108"/>
      <c r="EU100" s="108"/>
      <c r="EV100" s="108"/>
      <c r="EW100" s="108"/>
      <c r="EX100" s="108"/>
      <c r="EY100" s="108"/>
      <c r="EZ100" s="108"/>
      <c r="FA100" s="108"/>
      <c r="FB100" s="108"/>
      <c r="FC100" s="108"/>
      <c r="FD100" s="108"/>
      <c r="FE100" s="108"/>
      <c r="FF100" s="108"/>
      <c r="FG100" s="108"/>
      <c r="FH100" s="108"/>
      <c r="FI100" s="108"/>
      <c r="FJ100" s="108"/>
      <c r="FK100" s="108"/>
      <c r="FL100" s="108"/>
      <c r="FM100" s="108"/>
      <c r="FN100" s="108"/>
      <c r="FO100" s="108"/>
      <c r="FP100" s="108"/>
      <c r="FQ100" s="108"/>
      <c r="FR100" s="108"/>
      <c r="FS100" s="108"/>
      <c r="FT100" s="108"/>
      <c r="FU100" s="108"/>
      <c r="FV100" s="108"/>
      <c r="FW100" s="108"/>
      <c r="FX100" s="108"/>
      <c r="FY100" s="108"/>
      <c r="FZ100" s="108"/>
      <c r="GA100" s="108"/>
      <c r="GB100" s="108"/>
      <c r="GC100" s="108"/>
      <c r="GD100" s="108"/>
      <c r="GE100" s="108"/>
      <c r="GF100" s="108"/>
      <c r="GG100" s="108"/>
      <c r="GH100" s="108"/>
      <c r="GI100" s="108"/>
      <c r="GJ100" s="108"/>
      <c r="GK100" s="108"/>
      <c r="GL100" s="108"/>
      <c r="GM100" s="108"/>
      <c r="GN100" s="108"/>
      <c r="GO100" s="108"/>
      <c r="GP100" s="108"/>
      <c r="GQ100" s="108"/>
      <c r="GR100" s="108"/>
      <c r="GS100" s="108"/>
      <c r="GT100" s="108"/>
      <c r="GU100" s="108"/>
      <c r="GV100" s="108"/>
      <c r="GW100" s="108"/>
      <c r="GX100" s="108"/>
      <c r="GY100" s="108"/>
      <c r="GZ100" s="108"/>
      <c r="HA100" s="108"/>
      <c r="HB100" s="108"/>
      <c r="HC100" s="108"/>
      <c r="HD100" s="108"/>
      <c r="HE100" s="108"/>
      <c r="HF100" s="108"/>
      <c r="HG100" s="108"/>
      <c r="HH100" s="108"/>
      <c r="HI100" s="108"/>
      <c r="HJ100" s="108"/>
      <c r="HK100" s="108"/>
      <c r="HL100" s="108"/>
      <c r="HM100" s="108"/>
      <c r="HN100" s="108"/>
      <c r="HO100" s="108"/>
      <c r="HP100" s="108"/>
      <c r="HQ100" s="108"/>
      <c r="HR100" s="108"/>
      <c r="HS100" s="108"/>
      <c r="HT100" s="108"/>
      <c r="HU100" s="108"/>
      <c r="HV100" s="108"/>
      <c r="HW100" s="108"/>
      <c r="HX100" s="108"/>
      <c r="HY100" s="108"/>
      <c r="HZ100" s="108"/>
      <c r="IA100" s="108"/>
      <c r="IB100" s="108"/>
      <c r="IC100" s="108"/>
      <c r="ID100" s="108"/>
      <c r="IE100" s="108"/>
      <c r="IF100" s="108"/>
      <c r="IG100" s="108"/>
      <c r="IH100" s="108"/>
      <c r="II100" s="108"/>
      <c r="IJ100" s="108"/>
      <c r="IK100" s="108"/>
      <c r="IL100" s="108"/>
      <c r="IM100" s="108"/>
      <c r="IN100" s="108"/>
      <c r="IO100" s="108"/>
      <c r="IP100" s="108"/>
      <c r="IQ100" s="108"/>
      <c r="IR100" s="108"/>
      <c r="IS100" s="108"/>
      <c r="IT100" s="108"/>
      <c r="IU100" s="108"/>
      <c r="IV100" s="108"/>
      <c r="IW100" s="108"/>
    </row>
    <row r="101" spans="1:257" x14ac:dyDescent="0.3">
      <c r="A101" s="158"/>
      <c r="B101" s="158"/>
      <c r="C101" s="158"/>
      <c r="D101" s="158"/>
      <c r="E101" s="158"/>
      <c r="F101" s="158"/>
      <c r="G101" s="158"/>
      <c r="H101" s="158"/>
      <c r="I101" s="158"/>
      <c r="J101" s="158"/>
      <c r="K101" s="158"/>
      <c r="L101" s="158"/>
      <c r="M101" s="158"/>
      <c r="N101" s="158"/>
      <c r="O101" s="108"/>
      <c r="P101" s="108"/>
      <c r="Q101" s="108"/>
      <c r="R101" s="108"/>
      <c r="S101" s="108"/>
      <c r="T101" s="108"/>
      <c r="U101" s="108"/>
      <c r="V101" s="108"/>
      <c r="W101" s="108"/>
      <c r="X101" s="108"/>
      <c r="Y101" s="108"/>
      <c r="Z101" s="108"/>
      <c r="AA101" s="108"/>
      <c r="AB101" s="108"/>
      <c r="AC101" s="108"/>
      <c r="AD101" s="108"/>
      <c r="AE101" s="108"/>
      <c r="AF101" s="108"/>
      <c r="AG101" s="108"/>
      <c r="AH101" s="108"/>
      <c r="AI101" s="108"/>
      <c r="AJ101" s="108"/>
      <c r="AK101" s="108"/>
      <c r="AL101" s="108"/>
      <c r="AM101" s="108"/>
      <c r="AN101" s="108"/>
      <c r="AO101" s="108"/>
      <c r="AP101" s="108"/>
      <c r="AQ101" s="108"/>
      <c r="AR101" s="108"/>
      <c r="AS101" s="108"/>
      <c r="AT101" s="108"/>
      <c r="AU101" s="108"/>
      <c r="AV101" s="108"/>
      <c r="AW101" s="108"/>
      <c r="AX101" s="108"/>
      <c r="AY101" s="108"/>
      <c r="AZ101" s="108"/>
      <c r="BA101" s="108"/>
      <c r="BB101" s="108"/>
      <c r="BC101" s="108"/>
      <c r="BD101" s="108"/>
      <c r="BE101" s="108"/>
      <c r="BF101" s="108"/>
      <c r="BG101" s="108"/>
      <c r="BH101" s="108"/>
      <c r="BI101" s="108"/>
      <c r="BJ101" s="108"/>
      <c r="BK101" s="108"/>
      <c r="BL101" s="108"/>
      <c r="BM101" s="108"/>
      <c r="BN101" s="108"/>
      <c r="BO101" s="108"/>
      <c r="BP101" s="108"/>
      <c r="BQ101" s="108"/>
      <c r="BR101" s="108"/>
      <c r="BS101" s="108"/>
      <c r="BT101" s="108"/>
      <c r="BU101" s="108"/>
      <c r="BV101" s="108"/>
      <c r="BW101" s="108"/>
      <c r="BX101" s="108"/>
      <c r="BY101" s="108"/>
      <c r="BZ101" s="108"/>
      <c r="CA101" s="108"/>
      <c r="CB101" s="108"/>
      <c r="CC101" s="108"/>
      <c r="CD101" s="108"/>
      <c r="CE101" s="108"/>
      <c r="CF101" s="108"/>
      <c r="CG101" s="108"/>
      <c r="CH101" s="108"/>
      <c r="CI101" s="108"/>
      <c r="CJ101" s="108"/>
      <c r="CK101" s="108"/>
      <c r="CL101" s="108"/>
      <c r="CM101" s="108"/>
      <c r="CN101" s="108"/>
      <c r="CO101" s="108"/>
      <c r="CP101" s="108"/>
      <c r="CQ101" s="108"/>
      <c r="CR101" s="108"/>
      <c r="CS101" s="108"/>
      <c r="CT101" s="108"/>
      <c r="CU101" s="108"/>
      <c r="CV101" s="108"/>
      <c r="CW101" s="108"/>
      <c r="CX101" s="108"/>
      <c r="CY101" s="108"/>
      <c r="CZ101" s="108"/>
      <c r="DA101" s="108"/>
      <c r="DB101" s="108"/>
      <c r="DC101" s="108"/>
      <c r="DD101" s="108"/>
      <c r="DE101" s="108"/>
      <c r="DF101" s="108"/>
      <c r="DG101" s="108"/>
      <c r="DH101" s="108"/>
      <c r="DI101" s="108"/>
      <c r="DJ101" s="108"/>
      <c r="DK101" s="108"/>
      <c r="DL101" s="108"/>
      <c r="DM101" s="108"/>
      <c r="DN101" s="108"/>
      <c r="DO101" s="108"/>
      <c r="DP101" s="108"/>
      <c r="DQ101" s="108"/>
      <c r="DR101" s="108"/>
      <c r="DS101" s="108"/>
      <c r="DT101" s="108"/>
      <c r="DU101" s="108"/>
      <c r="DV101" s="108"/>
      <c r="DW101" s="108"/>
      <c r="DX101" s="108"/>
      <c r="DY101" s="108"/>
      <c r="DZ101" s="108"/>
      <c r="EA101" s="108"/>
      <c r="EB101" s="108"/>
      <c r="EC101" s="108"/>
      <c r="ED101" s="108"/>
      <c r="EE101" s="108"/>
      <c r="EF101" s="108"/>
      <c r="EG101" s="108"/>
      <c r="EH101" s="108"/>
      <c r="EI101" s="108"/>
      <c r="EJ101" s="108"/>
      <c r="EK101" s="108"/>
      <c r="EL101" s="108"/>
      <c r="EM101" s="108"/>
      <c r="EN101" s="108"/>
      <c r="EO101" s="108"/>
      <c r="EP101" s="108"/>
      <c r="EQ101" s="108"/>
      <c r="ER101" s="108"/>
      <c r="ES101" s="108"/>
      <c r="ET101" s="108"/>
      <c r="EU101" s="108"/>
      <c r="EV101" s="108"/>
      <c r="EW101" s="108"/>
      <c r="EX101" s="108"/>
      <c r="EY101" s="108"/>
      <c r="EZ101" s="108"/>
      <c r="FA101" s="108"/>
      <c r="FB101" s="108"/>
      <c r="FC101" s="108"/>
      <c r="FD101" s="108"/>
      <c r="FE101" s="108"/>
      <c r="FF101" s="108"/>
      <c r="FG101" s="108"/>
      <c r="FH101" s="108"/>
      <c r="FI101" s="108"/>
      <c r="FJ101" s="108"/>
      <c r="FK101" s="108"/>
      <c r="FL101" s="108"/>
      <c r="FM101" s="108"/>
      <c r="FN101" s="108"/>
      <c r="FO101" s="108"/>
      <c r="FP101" s="108"/>
      <c r="FQ101" s="108"/>
      <c r="FR101" s="108"/>
      <c r="FS101" s="108"/>
      <c r="FT101" s="108"/>
      <c r="FU101" s="108"/>
      <c r="FV101" s="108"/>
      <c r="FW101" s="108"/>
      <c r="FX101" s="108"/>
      <c r="FY101" s="108"/>
      <c r="FZ101" s="108"/>
      <c r="GA101" s="108"/>
      <c r="GB101" s="108"/>
      <c r="GC101" s="108"/>
      <c r="GD101" s="108"/>
      <c r="GE101" s="108"/>
      <c r="GF101" s="108"/>
      <c r="GG101" s="108"/>
      <c r="GH101" s="108"/>
      <c r="GI101" s="108"/>
      <c r="GJ101" s="108"/>
      <c r="GK101" s="108"/>
      <c r="GL101" s="108"/>
      <c r="GM101" s="108"/>
      <c r="GN101" s="108"/>
      <c r="GO101" s="108"/>
      <c r="GP101" s="108"/>
      <c r="GQ101" s="108"/>
      <c r="GR101" s="108"/>
      <c r="GS101" s="108"/>
      <c r="GT101" s="108"/>
      <c r="GU101" s="108"/>
      <c r="GV101" s="108"/>
      <c r="GW101" s="108"/>
      <c r="GX101" s="108"/>
      <c r="GY101" s="108"/>
      <c r="GZ101" s="108"/>
      <c r="HA101" s="108"/>
      <c r="HB101" s="108"/>
      <c r="HC101" s="108"/>
      <c r="HD101" s="108"/>
      <c r="HE101" s="108"/>
      <c r="HF101" s="108"/>
      <c r="HG101" s="108"/>
      <c r="HH101" s="108"/>
      <c r="HI101" s="108"/>
      <c r="HJ101" s="108"/>
      <c r="HK101" s="108"/>
      <c r="HL101" s="108"/>
      <c r="HM101" s="108"/>
      <c r="HN101" s="108"/>
      <c r="HO101" s="108"/>
      <c r="HP101" s="108"/>
      <c r="HQ101" s="108"/>
      <c r="HR101" s="108"/>
      <c r="HS101" s="108"/>
      <c r="HT101" s="108"/>
      <c r="HU101" s="108"/>
      <c r="HV101" s="108"/>
      <c r="HW101" s="108"/>
      <c r="HX101" s="108"/>
      <c r="HY101" s="108"/>
      <c r="HZ101" s="108"/>
      <c r="IA101" s="108"/>
      <c r="IB101" s="108"/>
      <c r="IC101" s="108"/>
      <c r="ID101" s="108"/>
      <c r="IE101" s="108"/>
      <c r="IF101" s="108"/>
      <c r="IG101" s="108"/>
      <c r="IH101" s="108"/>
      <c r="II101" s="108"/>
      <c r="IJ101" s="108"/>
      <c r="IK101" s="108"/>
      <c r="IL101" s="108"/>
      <c r="IM101" s="108"/>
      <c r="IN101" s="108"/>
      <c r="IO101" s="108"/>
      <c r="IP101" s="108"/>
      <c r="IQ101" s="108"/>
      <c r="IR101" s="108"/>
      <c r="IS101" s="108"/>
      <c r="IT101" s="108"/>
      <c r="IU101" s="108"/>
      <c r="IV101" s="108"/>
      <c r="IW101" s="108"/>
    </row>
    <row r="102" spans="1:257" x14ac:dyDescent="0.3">
      <c r="A102" s="158"/>
      <c r="B102" s="158"/>
      <c r="C102" s="158"/>
      <c r="D102" s="158"/>
      <c r="E102" s="158"/>
      <c r="F102" s="158"/>
      <c r="G102" s="158"/>
      <c r="H102" s="158"/>
      <c r="I102" s="158"/>
      <c r="J102" s="158"/>
      <c r="K102" s="158"/>
      <c r="L102" s="158"/>
      <c r="M102" s="158"/>
      <c r="N102" s="158"/>
      <c r="O102" s="108"/>
      <c r="P102" s="108"/>
      <c r="Q102" s="108"/>
      <c r="R102" s="108"/>
      <c r="S102" s="108"/>
      <c r="T102" s="108"/>
      <c r="U102" s="108"/>
      <c r="V102" s="108"/>
      <c r="W102" s="108"/>
      <c r="X102" s="108"/>
      <c r="Y102" s="108"/>
      <c r="Z102" s="108"/>
      <c r="AA102" s="108"/>
      <c r="AB102" s="108"/>
      <c r="AC102" s="108"/>
      <c r="AD102" s="108"/>
      <c r="AE102" s="108"/>
      <c r="AF102" s="108"/>
      <c r="AG102" s="108"/>
      <c r="AH102" s="108"/>
      <c r="AI102" s="108"/>
      <c r="AJ102" s="108"/>
      <c r="AK102" s="108"/>
      <c r="AL102" s="108"/>
      <c r="AM102" s="108"/>
      <c r="AN102" s="108"/>
      <c r="AO102" s="108"/>
      <c r="AP102" s="108"/>
      <c r="AQ102" s="108"/>
      <c r="AR102" s="108"/>
      <c r="AS102" s="108"/>
      <c r="AT102" s="108"/>
      <c r="AU102" s="108"/>
      <c r="AV102" s="108"/>
      <c r="AW102" s="108"/>
      <c r="AX102" s="108"/>
      <c r="AY102" s="108"/>
      <c r="AZ102" s="108"/>
      <c r="BA102" s="108"/>
      <c r="BB102" s="108"/>
      <c r="BC102" s="108"/>
      <c r="BD102" s="108"/>
      <c r="BE102" s="108"/>
      <c r="BF102" s="108"/>
      <c r="BG102" s="108"/>
      <c r="BH102" s="108"/>
      <c r="BI102" s="108"/>
      <c r="BJ102" s="108"/>
      <c r="BK102" s="108"/>
      <c r="BL102" s="108"/>
      <c r="BM102" s="108"/>
      <c r="BN102" s="108"/>
      <c r="BO102" s="108"/>
      <c r="BP102" s="108"/>
      <c r="BQ102" s="108"/>
      <c r="BR102" s="108"/>
      <c r="BS102" s="108"/>
      <c r="BT102" s="108"/>
      <c r="BU102" s="108"/>
      <c r="BV102" s="108"/>
      <c r="BW102" s="108"/>
      <c r="BX102" s="108"/>
      <c r="BY102" s="108"/>
      <c r="BZ102" s="108"/>
      <c r="CA102" s="108"/>
      <c r="CB102" s="108"/>
      <c r="CC102" s="108"/>
      <c r="CD102" s="108"/>
      <c r="CE102" s="108"/>
      <c r="CF102" s="108"/>
      <c r="CG102" s="108"/>
      <c r="CH102" s="108"/>
      <c r="CI102" s="108"/>
      <c r="CJ102" s="108"/>
      <c r="CK102" s="108"/>
      <c r="CL102" s="108"/>
      <c r="CM102" s="108"/>
      <c r="CN102" s="108"/>
      <c r="CO102" s="108"/>
      <c r="CP102" s="108"/>
      <c r="CQ102" s="108"/>
      <c r="CR102" s="108"/>
      <c r="CS102" s="108"/>
      <c r="CT102" s="108"/>
      <c r="CU102" s="108"/>
      <c r="CV102" s="108"/>
      <c r="CW102" s="108"/>
      <c r="CX102" s="108"/>
      <c r="CY102" s="108"/>
      <c r="CZ102" s="108"/>
      <c r="DA102" s="108"/>
      <c r="DB102" s="108"/>
      <c r="DC102" s="108"/>
      <c r="DD102" s="108"/>
      <c r="DE102" s="108"/>
      <c r="DF102" s="108"/>
      <c r="DG102" s="108"/>
      <c r="DH102" s="108"/>
      <c r="DI102" s="108"/>
      <c r="DJ102" s="108"/>
      <c r="DK102" s="108"/>
      <c r="DL102" s="108"/>
      <c r="DM102" s="108"/>
      <c r="DN102" s="108"/>
      <c r="DO102" s="108"/>
      <c r="DP102" s="108"/>
      <c r="DQ102" s="108"/>
      <c r="DR102" s="108"/>
      <c r="DS102" s="108"/>
      <c r="DT102" s="108"/>
      <c r="DU102" s="108"/>
      <c r="DV102" s="108"/>
      <c r="DW102" s="108"/>
      <c r="DX102" s="108"/>
      <c r="DY102" s="108"/>
      <c r="DZ102" s="108"/>
      <c r="EA102" s="108"/>
      <c r="EB102" s="108"/>
      <c r="EC102" s="108"/>
      <c r="ED102" s="108"/>
      <c r="EE102" s="108"/>
      <c r="EF102" s="108"/>
      <c r="EG102" s="108"/>
      <c r="EH102" s="108"/>
      <c r="EI102" s="108"/>
      <c r="EJ102" s="108"/>
      <c r="EK102" s="108"/>
      <c r="EL102" s="108"/>
      <c r="EM102" s="108"/>
      <c r="EN102" s="108"/>
      <c r="EO102" s="108"/>
      <c r="EP102" s="108"/>
      <c r="EQ102" s="108"/>
      <c r="ER102" s="108"/>
      <c r="ES102" s="108"/>
      <c r="ET102" s="108"/>
      <c r="EU102" s="108"/>
      <c r="EV102" s="108"/>
      <c r="EW102" s="108"/>
      <c r="EX102" s="108"/>
      <c r="EY102" s="108"/>
      <c r="EZ102" s="108"/>
      <c r="FA102" s="108"/>
      <c r="FB102" s="108"/>
      <c r="FC102" s="108"/>
      <c r="FD102" s="108"/>
      <c r="FE102" s="108"/>
      <c r="FF102" s="108"/>
      <c r="FG102" s="108"/>
      <c r="FH102" s="108"/>
      <c r="FI102" s="108"/>
      <c r="FJ102" s="108"/>
      <c r="FK102" s="108"/>
      <c r="FL102" s="108"/>
      <c r="FM102" s="108"/>
      <c r="FN102" s="108"/>
      <c r="FO102" s="108"/>
      <c r="FP102" s="108"/>
      <c r="FQ102" s="108"/>
      <c r="FR102" s="108"/>
      <c r="FS102" s="108"/>
      <c r="FT102" s="108"/>
      <c r="FU102" s="108"/>
      <c r="FV102" s="108"/>
      <c r="FW102" s="108"/>
      <c r="FX102" s="108"/>
      <c r="FY102" s="108"/>
      <c r="FZ102" s="108"/>
      <c r="GA102" s="108"/>
      <c r="GB102" s="108"/>
      <c r="GC102" s="108"/>
      <c r="GD102" s="108"/>
      <c r="GE102" s="108"/>
      <c r="GF102" s="108"/>
      <c r="GG102" s="108"/>
      <c r="GH102" s="108"/>
      <c r="GI102" s="108"/>
      <c r="GJ102" s="108"/>
      <c r="GK102" s="108"/>
      <c r="GL102" s="108"/>
      <c r="GM102" s="108"/>
      <c r="GN102" s="108"/>
      <c r="GO102" s="108"/>
      <c r="GP102" s="108"/>
      <c r="GQ102" s="108"/>
      <c r="GR102" s="108"/>
      <c r="GS102" s="108"/>
      <c r="GT102" s="108"/>
      <c r="GU102" s="108"/>
      <c r="GV102" s="108"/>
      <c r="GW102" s="108"/>
      <c r="GX102" s="108"/>
      <c r="GY102" s="108"/>
      <c r="GZ102" s="108"/>
      <c r="HA102" s="108"/>
      <c r="HB102" s="108"/>
      <c r="HC102" s="108"/>
      <c r="HD102" s="108"/>
      <c r="HE102" s="108"/>
      <c r="HF102" s="108"/>
      <c r="HG102" s="108"/>
      <c r="HH102" s="108"/>
      <c r="HI102" s="108"/>
      <c r="HJ102" s="108"/>
      <c r="HK102" s="108"/>
      <c r="HL102" s="108"/>
      <c r="HM102" s="108"/>
      <c r="HN102" s="108"/>
      <c r="HO102" s="108"/>
      <c r="HP102" s="108"/>
      <c r="HQ102" s="108"/>
      <c r="HR102" s="108"/>
      <c r="HS102" s="108"/>
      <c r="HT102" s="108"/>
      <c r="HU102" s="108"/>
      <c r="HV102" s="108"/>
      <c r="HW102" s="108"/>
      <c r="HX102" s="108"/>
      <c r="HY102" s="108"/>
      <c r="HZ102" s="108"/>
      <c r="IA102" s="108"/>
      <c r="IB102" s="108"/>
      <c r="IC102" s="108"/>
      <c r="ID102" s="108"/>
      <c r="IE102" s="108"/>
      <c r="IF102" s="108"/>
      <c r="IG102" s="108"/>
      <c r="IH102" s="108"/>
      <c r="II102" s="108"/>
      <c r="IJ102" s="108"/>
      <c r="IK102" s="108"/>
      <c r="IL102" s="108"/>
      <c r="IM102" s="108"/>
      <c r="IN102" s="108"/>
      <c r="IO102" s="108"/>
      <c r="IP102" s="108"/>
      <c r="IQ102" s="108"/>
      <c r="IR102" s="108"/>
      <c r="IS102" s="108"/>
      <c r="IT102" s="108"/>
      <c r="IU102" s="108"/>
      <c r="IV102" s="108"/>
      <c r="IW102" s="108"/>
    </row>
    <row r="103" spans="1:257" x14ac:dyDescent="0.3">
      <c r="A103" s="158"/>
      <c r="B103" s="158"/>
      <c r="C103" s="158"/>
      <c r="D103" s="158"/>
      <c r="E103" s="158"/>
      <c r="F103" s="158"/>
      <c r="G103" s="158"/>
      <c r="H103" s="158"/>
      <c r="I103" s="158"/>
      <c r="J103" s="158"/>
      <c r="K103" s="158"/>
      <c r="L103" s="158"/>
      <c r="M103" s="158"/>
      <c r="N103" s="158"/>
      <c r="O103" s="108"/>
      <c r="P103" s="108"/>
      <c r="Q103" s="108"/>
      <c r="R103" s="108"/>
      <c r="S103" s="108"/>
      <c r="T103" s="108"/>
      <c r="U103" s="108"/>
      <c r="V103" s="108"/>
      <c r="W103" s="108"/>
      <c r="X103" s="108"/>
      <c r="Y103" s="108"/>
      <c r="Z103" s="108"/>
      <c r="AA103" s="108"/>
      <c r="AB103" s="108"/>
      <c r="AC103" s="108"/>
      <c r="AD103" s="108"/>
      <c r="AE103" s="108"/>
      <c r="AF103" s="108"/>
      <c r="AG103" s="108"/>
      <c r="AH103" s="108"/>
      <c r="AI103" s="108"/>
      <c r="AJ103" s="108"/>
      <c r="AK103" s="108"/>
      <c r="AL103" s="108"/>
      <c r="AM103" s="108"/>
      <c r="AN103" s="108"/>
      <c r="AO103" s="108"/>
      <c r="AP103" s="108"/>
      <c r="AQ103" s="108"/>
      <c r="AR103" s="108"/>
      <c r="AS103" s="108"/>
      <c r="AT103" s="108"/>
      <c r="AU103" s="108"/>
      <c r="AV103" s="108"/>
      <c r="AW103" s="108"/>
      <c r="AX103" s="108"/>
      <c r="AY103" s="108"/>
      <c r="AZ103" s="108"/>
      <c r="BA103" s="108"/>
      <c r="BB103" s="108"/>
      <c r="BC103" s="108"/>
      <c r="BD103" s="108"/>
      <c r="BE103" s="108"/>
      <c r="BF103" s="108"/>
      <c r="BG103" s="108"/>
      <c r="BH103" s="108"/>
      <c r="BI103" s="108"/>
      <c r="BJ103" s="108"/>
      <c r="BK103" s="108"/>
      <c r="BL103" s="108"/>
      <c r="BM103" s="108"/>
      <c r="BN103" s="108"/>
      <c r="BO103" s="108"/>
      <c r="BP103" s="108"/>
      <c r="BQ103" s="108"/>
      <c r="BR103" s="108"/>
      <c r="BS103" s="108"/>
      <c r="BT103" s="108"/>
      <c r="BU103" s="108"/>
      <c r="BV103" s="108"/>
      <c r="BW103" s="108"/>
      <c r="BX103" s="108"/>
      <c r="BY103" s="108"/>
      <c r="BZ103" s="108"/>
      <c r="CA103" s="108"/>
      <c r="CB103" s="108"/>
      <c r="CC103" s="108"/>
      <c r="CD103" s="108"/>
      <c r="CE103" s="108"/>
      <c r="CF103" s="108"/>
      <c r="CG103" s="108"/>
      <c r="CH103" s="108"/>
      <c r="CI103" s="108"/>
      <c r="CJ103" s="108"/>
      <c r="CK103" s="108"/>
      <c r="CL103" s="108"/>
      <c r="CM103" s="108"/>
      <c r="CN103" s="108"/>
      <c r="CO103" s="108"/>
      <c r="CP103" s="108"/>
      <c r="CQ103" s="108"/>
      <c r="CR103" s="108"/>
      <c r="CS103" s="108"/>
      <c r="CT103" s="108"/>
      <c r="CU103" s="108"/>
      <c r="CV103" s="108"/>
      <c r="CW103" s="108"/>
      <c r="CX103" s="108"/>
      <c r="CY103" s="108"/>
      <c r="CZ103" s="108"/>
      <c r="DA103" s="108"/>
      <c r="DB103" s="108"/>
      <c r="DC103" s="108"/>
      <c r="DD103" s="108"/>
      <c r="DE103" s="108"/>
      <c r="DF103" s="108"/>
      <c r="DG103" s="108"/>
      <c r="DH103" s="108"/>
      <c r="DI103" s="108"/>
      <c r="DJ103" s="108"/>
      <c r="DK103" s="108"/>
      <c r="DL103" s="108"/>
      <c r="DM103" s="108"/>
      <c r="DN103" s="108"/>
      <c r="DO103" s="108"/>
      <c r="DP103" s="108"/>
      <c r="DQ103" s="108"/>
      <c r="DR103" s="108"/>
      <c r="DS103" s="108"/>
      <c r="DT103" s="108"/>
      <c r="DU103" s="108"/>
      <c r="DV103" s="108"/>
      <c r="DW103" s="108"/>
      <c r="DX103" s="108"/>
      <c r="DY103" s="108"/>
      <c r="DZ103" s="108"/>
      <c r="EA103" s="108"/>
      <c r="EB103" s="108"/>
      <c r="EC103" s="108"/>
      <c r="ED103" s="108"/>
      <c r="EE103" s="108"/>
      <c r="EF103" s="108"/>
      <c r="EG103" s="108"/>
      <c r="EH103" s="108"/>
      <c r="EI103" s="108"/>
      <c r="EJ103" s="108"/>
      <c r="EK103" s="108"/>
      <c r="EL103" s="108"/>
      <c r="EM103" s="108"/>
      <c r="EN103" s="108"/>
      <c r="EO103" s="108"/>
      <c r="EP103" s="108"/>
      <c r="EQ103" s="108"/>
      <c r="ER103" s="108"/>
      <c r="ES103" s="108"/>
      <c r="ET103" s="108"/>
      <c r="EU103" s="108"/>
      <c r="EV103" s="108"/>
      <c r="EW103" s="108"/>
      <c r="EX103" s="108"/>
      <c r="EY103" s="108"/>
      <c r="EZ103" s="108"/>
      <c r="FA103" s="108"/>
      <c r="FB103" s="108"/>
      <c r="FC103" s="108"/>
      <c r="FD103" s="108"/>
      <c r="FE103" s="108"/>
      <c r="FF103" s="108"/>
      <c r="FG103" s="108"/>
      <c r="FH103" s="108"/>
      <c r="FI103" s="108"/>
      <c r="FJ103" s="108"/>
      <c r="FK103" s="108"/>
      <c r="FL103" s="108"/>
      <c r="FM103" s="108"/>
      <c r="FN103" s="108"/>
      <c r="FO103" s="108"/>
      <c r="FP103" s="108"/>
      <c r="FQ103" s="108"/>
      <c r="FR103" s="108"/>
      <c r="FS103" s="108"/>
      <c r="FT103" s="108"/>
      <c r="FU103" s="108"/>
      <c r="FV103" s="108"/>
      <c r="FW103" s="108"/>
      <c r="FX103" s="108"/>
      <c r="FY103" s="108"/>
      <c r="FZ103" s="108"/>
      <c r="GA103" s="108"/>
      <c r="GB103" s="108"/>
      <c r="GC103" s="108"/>
      <c r="GD103" s="108"/>
      <c r="GE103" s="108"/>
      <c r="GF103" s="108"/>
      <c r="GG103" s="108"/>
      <c r="GH103" s="108"/>
      <c r="GI103" s="108"/>
      <c r="GJ103" s="108"/>
      <c r="GK103" s="108"/>
      <c r="GL103" s="108"/>
      <c r="GM103" s="108"/>
      <c r="GN103" s="108"/>
      <c r="GO103" s="108"/>
      <c r="GP103" s="108"/>
      <c r="GQ103" s="108"/>
      <c r="GR103" s="108"/>
      <c r="GS103" s="108"/>
      <c r="GT103" s="108"/>
      <c r="GU103" s="108"/>
      <c r="GV103" s="108"/>
      <c r="GW103" s="108"/>
      <c r="GX103" s="108"/>
      <c r="GY103" s="108"/>
      <c r="GZ103" s="108"/>
      <c r="HA103" s="108"/>
      <c r="HB103" s="108"/>
      <c r="HC103" s="108"/>
      <c r="HD103" s="108"/>
      <c r="HE103" s="108"/>
      <c r="HF103" s="108"/>
      <c r="HG103" s="108"/>
      <c r="HH103" s="108"/>
      <c r="HI103" s="108"/>
      <c r="HJ103" s="108"/>
      <c r="HK103" s="108"/>
      <c r="HL103" s="108"/>
      <c r="HM103" s="108"/>
      <c r="HN103" s="108"/>
      <c r="HO103" s="108"/>
      <c r="HP103" s="108"/>
      <c r="HQ103" s="108"/>
      <c r="HR103" s="108"/>
      <c r="HS103" s="108"/>
      <c r="HT103" s="108"/>
      <c r="HU103" s="108"/>
      <c r="HV103" s="108"/>
      <c r="HW103" s="108"/>
      <c r="HX103" s="108"/>
      <c r="HY103" s="108"/>
      <c r="HZ103" s="108"/>
      <c r="IA103" s="108"/>
      <c r="IB103" s="108"/>
      <c r="IC103" s="108"/>
      <c r="ID103" s="108"/>
      <c r="IE103" s="108"/>
      <c r="IF103" s="108"/>
      <c r="IG103" s="108"/>
      <c r="IH103" s="108"/>
      <c r="II103" s="108"/>
      <c r="IJ103" s="108"/>
      <c r="IK103" s="108"/>
      <c r="IL103" s="108"/>
      <c r="IM103" s="108"/>
      <c r="IN103" s="108"/>
      <c r="IO103" s="108"/>
      <c r="IP103" s="108"/>
      <c r="IQ103" s="108"/>
      <c r="IR103" s="108"/>
      <c r="IS103" s="108"/>
      <c r="IT103" s="108"/>
      <c r="IU103" s="108"/>
      <c r="IV103" s="108"/>
      <c r="IW103" s="108"/>
    </row>
    <row r="104" spans="1:257" x14ac:dyDescent="0.3">
      <c r="A104" s="158"/>
      <c r="B104" s="158"/>
      <c r="C104" s="158"/>
      <c r="D104" s="158"/>
      <c r="E104" s="158"/>
      <c r="F104" s="158"/>
      <c r="G104" s="158"/>
      <c r="H104" s="158"/>
      <c r="I104" s="158"/>
      <c r="J104" s="158"/>
      <c r="K104" s="158"/>
      <c r="L104" s="158"/>
      <c r="M104" s="158"/>
      <c r="N104" s="158"/>
      <c r="O104" s="108"/>
      <c r="P104" s="108"/>
      <c r="Q104" s="108"/>
      <c r="R104" s="108"/>
      <c r="S104" s="108"/>
      <c r="T104" s="108"/>
      <c r="U104" s="108"/>
      <c r="V104" s="108"/>
      <c r="W104" s="108"/>
      <c r="X104" s="108"/>
      <c r="Y104" s="108"/>
      <c r="Z104" s="108"/>
      <c r="AA104" s="108"/>
      <c r="AB104" s="108"/>
      <c r="AC104" s="108"/>
      <c r="AD104" s="108"/>
      <c r="AE104" s="108"/>
      <c r="AF104" s="108"/>
      <c r="AG104" s="108"/>
      <c r="AH104" s="108"/>
      <c r="AI104" s="108"/>
      <c r="AJ104" s="108"/>
      <c r="AK104" s="108"/>
      <c r="AL104" s="108"/>
      <c r="AM104" s="108"/>
      <c r="AN104" s="108"/>
      <c r="AO104" s="108"/>
      <c r="AP104" s="108"/>
      <c r="AQ104" s="108"/>
      <c r="AR104" s="108"/>
      <c r="AS104" s="108"/>
      <c r="AT104" s="108"/>
      <c r="AU104" s="108"/>
      <c r="AV104" s="108"/>
      <c r="AW104" s="108"/>
      <c r="AX104" s="108"/>
      <c r="AY104" s="108"/>
      <c r="AZ104" s="108"/>
      <c r="BA104" s="108"/>
      <c r="BB104" s="108"/>
      <c r="BC104" s="108"/>
      <c r="BD104" s="108"/>
      <c r="BE104" s="108"/>
      <c r="BF104" s="108"/>
      <c r="BG104" s="108"/>
      <c r="BH104" s="108"/>
      <c r="BI104" s="108"/>
      <c r="BJ104" s="108"/>
      <c r="BK104" s="108"/>
      <c r="BL104" s="108"/>
      <c r="BM104" s="108"/>
      <c r="BN104" s="108"/>
      <c r="BO104" s="108"/>
      <c r="BP104" s="108"/>
      <c r="BQ104" s="108"/>
      <c r="BR104" s="108"/>
      <c r="BS104" s="108"/>
      <c r="BT104" s="108"/>
      <c r="BU104" s="108"/>
      <c r="BV104" s="108"/>
      <c r="BW104" s="108"/>
      <c r="BX104" s="108"/>
      <c r="BY104" s="108"/>
      <c r="BZ104" s="108"/>
      <c r="CA104" s="108"/>
      <c r="CB104" s="108"/>
      <c r="CC104" s="108"/>
      <c r="CD104" s="108"/>
      <c r="CE104" s="108"/>
      <c r="CF104" s="108"/>
      <c r="CG104" s="108"/>
      <c r="CH104" s="108"/>
      <c r="CI104" s="108"/>
      <c r="CJ104" s="108"/>
      <c r="CK104" s="108"/>
      <c r="CL104" s="108"/>
      <c r="CM104" s="108"/>
      <c r="CN104" s="108"/>
      <c r="CO104" s="108"/>
      <c r="CP104" s="108"/>
      <c r="CQ104" s="108"/>
      <c r="CR104" s="108"/>
      <c r="CS104" s="108"/>
      <c r="CT104" s="108"/>
      <c r="CU104" s="108"/>
      <c r="CV104" s="108"/>
      <c r="CW104" s="108"/>
      <c r="CX104" s="108"/>
      <c r="CY104" s="108"/>
      <c r="CZ104" s="108"/>
      <c r="DA104" s="108"/>
      <c r="DB104" s="108"/>
      <c r="DC104" s="108"/>
      <c r="DD104" s="108"/>
      <c r="DE104" s="108"/>
      <c r="DF104" s="108"/>
      <c r="DG104" s="108"/>
      <c r="DH104" s="108"/>
      <c r="DI104" s="108"/>
      <c r="DJ104" s="108"/>
      <c r="DK104" s="108"/>
      <c r="DL104" s="108"/>
      <c r="DM104" s="108"/>
      <c r="DN104" s="108"/>
      <c r="DO104" s="108"/>
      <c r="DP104" s="108"/>
      <c r="DQ104" s="108"/>
      <c r="DR104" s="108"/>
      <c r="DS104" s="108"/>
      <c r="DT104" s="108"/>
      <c r="DU104" s="108"/>
      <c r="DV104" s="108"/>
      <c r="DW104" s="108"/>
      <c r="DX104" s="108"/>
      <c r="DY104" s="108"/>
      <c r="DZ104" s="108"/>
      <c r="EA104" s="108"/>
      <c r="EB104" s="108"/>
      <c r="EC104" s="108"/>
      <c r="ED104" s="108"/>
      <c r="EE104" s="108"/>
      <c r="EF104" s="108"/>
      <c r="EG104" s="108"/>
      <c r="EH104" s="108"/>
      <c r="EI104" s="108"/>
      <c r="EJ104" s="108"/>
      <c r="EK104" s="108"/>
      <c r="EL104" s="108"/>
      <c r="EM104" s="108"/>
      <c r="EN104" s="108"/>
      <c r="EO104" s="108"/>
      <c r="EP104" s="108"/>
      <c r="EQ104" s="108"/>
      <c r="ER104" s="108"/>
      <c r="ES104" s="108"/>
      <c r="ET104" s="108"/>
      <c r="EU104" s="108"/>
      <c r="EV104" s="108"/>
      <c r="EW104" s="108"/>
      <c r="EX104" s="108"/>
      <c r="EY104" s="108"/>
      <c r="EZ104" s="108"/>
      <c r="FA104" s="108"/>
      <c r="FB104" s="108"/>
      <c r="FC104" s="108"/>
      <c r="FD104" s="108"/>
      <c r="FE104" s="108"/>
      <c r="FF104" s="108"/>
      <c r="FG104" s="108"/>
      <c r="FH104" s="108"/>
      <c r="FI104" s="108"/>
      <c r="FJ104" s="108"/>
      <c r="FK104" s="108"/>
      <c r="FL104" s="108"/>
      <c r="FM104" s="108"/>
      <c r="FN104" s="108"/>
      <c r="FO104" s="108"/>
      <c r="FP104" s="108"/>
      <c r="FQ104" s="108"/>
      <c r="FR104" s="108"/>
      <c r="FS104" s="108"/>
      <c r="FT104" s="108"/>
      <c r="FU104" s="108"/>
      <c r="FV104" s="108"/>
      <c r="FW104" s="108"/>
      <c r="FX104" s="108"/>
      <c r="FY104" s="108"/>
      <c r="FZ104" s="108"/>
      <c r="GA104" s="108"/>
      <c r="GB104" s="108"/>
      <c r="GC104" s="108"/>
      <c r="GD104" s="108"/>
      <c r="GE104" s="108"/>
      <c r="GF104" s="108"/>
      <c r="GG104" s="108"/>
      <c r="GH104" s="108"/>
      <c r="GI104" s="108"/>
      <c r="GJ104" s="108"/>
      <c r="GK104" s="108"/>
      <c r="GL104" s="108"/>
      <c r="GM104" s="108"/>
      <c r="GN104" s="108"/>
      <c r="GO104" s="108"/>
      <c r="GP104" s="108"/>
      <c r="GQ104" s="108"/>
      <c r="GR104" s="108"/>
      <c r="GS104" s="108"/>
      <c r="GT104" s="108"/>
      <c r="GU104" s="108"/>
      <c r="GV104" s="108"/>
      <c r="GW104" s="108"/>
      <c r="GX104" s="108"/>
      <c r="GY104" s="108"/>
      <c r="GZ104" s="108"/>
      <c r="HA104" s="108"/>
      <c r="HB104" s="108"/>
      <c r="HC104" s="108"/>
      <c r="HD104" s="108"/>
      <c r="HE104" s="108"/>
      <c r="HF104" s="108"/>
      <c r="HG104" s="108"/>
      <c r="HH104" s="108"/>
      <c r="HI104" s="108"/>
      <c r="HJ104" s="108"/>
      <c r="HK104" s="108"/>
      <c r="HL104" s="108"/>
      <c r="HM104" s="108"/>
      <c r="HN104" s="108"/>
      <c r="HO104" s="108"/>
      <c r="HP104" s="108"/>
      <c r="HQ104" s="108"/>
      <c r="HR104" s="108"/>
      <c r="HS104" s="108"/>
      <c r="HT104" s="108"/>
      <c r="HU104" s="108"/>
      <c r="HV104" s="108"/>
      <c r="HW104" s="108"/>
      <c r="HX104" s="108"/>
      <c r="HY104" s="108"/>
      <c r="HZ104" s="108"/>
      <c r="IA104" s="108"/>
      <c r="IB104" s="108"/>
      <c r="IC104" s="108"/>
      <c r="ID104" s="108"/>
      <c r="IE104" s="108"/>
      <c r="IF104" s="108"/>
      <c r="IG104" s="108"/>
      <c r="IH104" s="108"/>
      <c r="II104" s="108"/>
      <c r="IJ104" s="108"/>
      <c r="IK104" s="108"/>
      <c r="IL104" s="108"/>
      <c r="IM104" s="108"/>
      <c r="IN104" s="108"/>
      <c r="IO104" s="108"/>
      <c r="IP104" s="108"/>
      <c r="IQ104" s="108"/>
      <c r="IR104" s="108"/>
      <c r="IS104" s="108"/>
      <c r="IT104" s="108"/>
      <c r="IU104" s="108"/>
      <c r="IV104" s="108"/>
      <c r="IW104" s="108"/>
    </row>
    <row r="105" spans="1:257" x14ac:dyDescent="0.3">
      <c r="A105" s="158"/>
      <c r="B105" s="158"/>
      <c r="C105" s="158"/>
      <c r="D105" s="158"/>
      <c r="E105" s="158"/>
      <c r="F105" s="158"/>
      <c r="G105" s="158"/>
      <c r="H105" s="158"/>
      <c r="I105" s="158"/>
      <c r="J105" s="158"/>
      <c r="K105" s="158"/>
      <c r="L105" s="158"/>
      <c r="M105" s="158"/>
      <c r="N105" s="158"/>
      <c r="O105" s="108"/>
      <c r="P105" s="108"/>
      <c r="Q105" s="108"/>
      <c r="R105" s="108"/>
      <c r="S105" s="108"/>
      <c r="T105" s="108"/>
      <c r="U105" s="108"/>
      <c r="V105" s="108"/>
      <c r="W105" s="108"/>
      <c r="X105" s="108"/>
      <c r="Y105" s="108"/>
      <c r="Z105" s="108"/>
      <c r="AA105" s="108"/>
      <c r="AB105" s="108"/>
      <c r="AC105" s="108"/>
      <c r="AD105" s="108"/>
      <c r="AE105" s="108"/>
      <c r="AF105" s="108"/>
      <c r="AG105" s="108"/>
      <c r="AH105" s="108"/>
      <c r="AI105" s="108"/>
      <c r="AJ105" s="108"/>
      <c r="AK105" s="108"/>
      <c r="AL105" s="108"/>
      <c r="AM105" s="108"/>
      <c r="AN105" s="108"/>
      <c r="AO105" s="108"/>
      <c r="AP105" s="108"/>
      <c r="AQ105" s="108"/>
      <c r="AR105" s="108"/>
      <c r="AS105" s="108"/>
      <c r="AT105" s="108"/>
      <c r="AU105" s="108"/>
      <c r="AV105" s="108"/>
      <c r="AW105" s="108"/>
      <c r="AX105" s="108"/>
      <c r="AY105" s="108"/>
      <c r="AZ105" s="108"/>
      <c r="BA105" s="108"/>
      <c r="BB105" s="108"/>
      <c r="BC105" s="108"/>
      <c r="BD105" s="108"/>
      <c r="BE105" s="108"/>
      <c r="BF105" s="108"/>
      <c r="BG105" s="108"/>
      <c r="BH105" s="108"/>
      <c r="BI105" s="108"/>
      <c r="BJ105" s="108"/>
      <c r="BK105" s="108"/>
      <c r="BL105" s="108"/>
      <c r="BM105" s="108"/>
      <c r="BN105" s="108"/>
      <c r="BO105" s="108"/>
      <c r="BP105" s="108"/>
      <c r="BQ105" s="108"/>
      <c r="BR105" s="108"/>
      <c r="BS105" s="108"/>
      <c r="BT105" s="108"/>
      <c r="BU105" s="108"/>
      <c r="BV105" s="108"/>
      <c r="BW105" s="108"/>
      <c r="BX105" s="108"/>
      <c r="BY105" s="108"/>
      <c r="BZ105" s="108"/>
      <c r="CA105" s="108"/>
      <c r="CB105" s="108"/>
      <c r="CC105" s="108"/>
      <c r="CD105" s="108"/>
      <c r="CE105" s="108"/>
      <c r="CF105" s="108"/>
      <c r="CG105" s="108"/>
      <c r="CH105" s="108"/>
      <c r="CI105" s="108"/>
      <c r="CJ105" s="108"/>
      <c r="CK105" s="108"/>
      <c r="CL105" s="108"/>
      <c r="CM105" s="108"/>
      <c r="CN105" s="108"/>
      <c r="CO105" s="108"/>
      <c r="CP105" s="108"/>
      <c r="CQ105" s="108"/>
      <c r="CR105" s="108"/>
      <c r="CS105" s="108"/>
      <c r="CT105" s="108"/>
      <c r="CU105" s="108"/>
      <c r="CV105" s="108"/>
      <c r="CW105" s="108"/>
      <c r="CX105" s="108"/>
      <c r="CY105" s="108"/>
      <c r="CZ105" s="108"/>
      <c r="DA105" s="108"/>
      <c r="DB105" s="108"/>
      <c r="DC105" s="108"/>
      <c r="DD105" s="108"/>
      <c r="DE105" s="108"/>
      <c r="DF105" s="108"/>
      <c r="DG105" s="108"/>
      <c r="DH105" s="108"/>
      <c r="DI105" s="108"/>
      <c r="DJ105" s="108"/>
      <c r="DK105" s="108"/>
      <c r="DL105" s="108"/>
      <c r="DM105" s="108"/>
      <c r="DN105" s="108"/>
      <c r="DO105" s="108"/>
      <c r="DP105" s="108"/>
      <c r="DQ105" s="108"/>
      <c r="DR105" s="108"/>
      <c r="DS105" s="108"/>
      <c r="DT105" s="108"/>
      <c r="DU105" s="108"/>
      <c r="DV105" s="108"/>
      <c r="DW105" s="108"/>
      <c r="DX105" s="108"/>
      <c r="DY105" s="108"/>
      <c r="DZ105" s="108"/>
      <c r="EA105" s="108"/>
      <c r="EB105" s="108"/>
      <c r="EC105" s="108"/>
      <c r="ED105" s="108"/>
      <c r="EE105" s="108"/>
      <c r="EF105" s="108"/>
      <c r="EG105" s="108"/>
      <c r="EH105" s="108"/>
      <c r="EI105" s="108"/>
      <c r="EJ105" s="108"/>
      <c r="EK105" s="108"/>
      <c r="EL105" s="108"/>
      <c r="EM105" s="108"/>
      <c r="EN105" s="108"/>
      <c r="EO105" s="108"/>
      <c r="EP105" s="108"/>
      <c r="EQ105" s="108"/>
      <c r="ER105" s="108"/>
      <c r="ES105" s="108"/>
      <c r="ET105" s="108"/>
      <c r="EU105" s="108"/>
      <c r="EV105" s="108"/>
      <c r="EW105" s="108"/>
      <c r="EX105" s="108"/>
      <c r="EY105" s="108"/>
      <c r="EZ105" s="108"/>
      <c r="FA105" s="108"/>
      <c r="FB105" s="108"/>
      <c r="FC105" s="108"/>
      <c r="FD105" s="108"/>
      <c r="FE105" s="108"/>
      <c r="FF105" s="108"/>
      <c r="FG105" s="108"/>
      <c r="FH105" s="108"/>
      <c r="FI105" s="108"/>
      <c r="FJ105" s="108"/>
      <c r="FK105" s="108"/>
      <c r="FL105" s="108"/>
      <c r="FM105" s="108"/>
      <c r="FN105" s="108"/>
      <c r="FO105" s="108"/>
      <c r="FP105" s="108"/>
      <c r="FQ105" s="108"/>
      <c r="FR105" s="108"/>
      <c r="FS105" s="108"/>
      <c r="FT105" s="108"/>
      <c r="FU105" s="108"/>
      <c r="FV105" s="108"/>
      <c r="FW105" s="108"/>
      <c r="FX105" s="108"/>
      <c r="FY105" s="108"/>
      <c r="FZ105" s="108"/>
      <c r="GA105" s="108"/>
      <c r="GB105" s="108"/>
      <c r="GC105" s="108"/>
      <c r="GD105" s="108"/>
      <c r="GE105" s="108"/>
      <c r="GF105" s="108"/>
      <c r="GG105" s="108"/>
      <c r="GH105" s="108"/>
      <c r="GI105" s="108"/>
      <c r="GJ105" s="108"/>
      <c r="GK105" s="108"/>
      <c r="GL105" s="108"/>
      <c r="GM105" s="108"/>
      <c r="GN105" s="108"/>
      <c r="GO105" s="108"/>
      <c r="GP105" s="108"/>
      <c r="GQ105" s="108"/>
      <c r="GR105" s="108"/>
      <c r="GS105" s="108"/>
      <c r="GT105" s="108"/>
      <c r="GU105" s="108"/>
      <c r="GV105" s="108"/>
      <c r="GW105" s="108"/>
      <c r="GX105" s="108"/>
      <c r="GY105" s="108"/>
      <c r="GZ105" s="108"/>
      <c r="HA105" s="108"/>
      <c r="HB105" s="108"/>
      <c r="HC105" s="108"/>
      <c r="HD105" s="108"/>
      <c r="HE105" s="108"/>
      <c r="HF105" s="108"/>
      <c r="HG105" s="108"/>
      <c r="HH105" s="108"/>
      <c r="HI105" s="108"/>
      <c r="HJ105" s="108"/>
      <c r="HK105" s="108"/>
      <c r="HL105" s="108"/>
      <c r="HM105" s="108"/>
      <c r="HN105" s="108"/>
      <c r="HO105" s="108"/>
      <c r="HP105" s="108"/>
      <c r="HQ105" s="108"/>
      <c r="HR105" s="108"/>
      <c r="HS105" s="108"/>
      <c r="HT105" s="108"/>
      <c r="HU105" s="108"/>
      <c r="HV105" s="108"/>
      <c r="HW105" s="108"/>
      <c r="HX105" s="108"/>
      <c r="HY105" s="108"/>
      <c r="HZ105" s="108"/>
      <c r="IA105" s="108"/>
      <c r="IB105" s="108"/>
      <c r="IC105" s="108"/>
      <c r="ID105" s="108"/>
      <c r="IE105" s="108"/>
      <c r="IF105" s="108"/>
      <c r="IG105" s="108"/>
      <c r="IH105" s="108"/>
      <c r="II105" s="108"/>
      <c r="IJ105" s="108"/>
      <c r="IK105" s="108"/>
      <c r="IL105" s="108"/>
      <c r="IM105" s="108"/>
      <c r="IN105" s="108"/>
      <c r="IO105" s="108"/>
      <c r="IP105" s="108"/>
      <c r="IQ105" s="108"/>
      <c r="IR105" s="108"/>
      <c r="IS105" s="108"/>
      <c r="IT105" s="108"/>
      <c r="IU105" s="108"/>
      <c r="IV105" s="108"/>
      <c r="IW105" s="108"/>
    </row>
    <row r="106" spans="1:257" x14ac:dyDescent="0.3">
      <c r="A106" s="158"/>
      <c r="B106" s="158"/>
      <c r="C106" s="158"/>
      <c r="D106" s="158"/>
      <c r="E106" s="158"/>
      <c r="F106" s="158"/>
      <c r="G106" s="158"/>
      <c r="H106" s="158"/>
      <c r="I106" s="158"/>
      <c r="J106" s="158"/>
      <c r="K106" s="158"/>
      <c r="L106" s="158"/>
      <c r="M106" s="158"/>
      <c r="N106" s="158"/>
      <c r="O106" s="108"/>
      <c r="P106" s="108"/>
      <c r="Q106" s="108"/>
      <c r="R106" s="108"/>
      <c r="S106" s="108"/>
      <c r="T106" s="108"/>
      <c r="U106" s="108"/>
      <c r="V106" s="108"/>
      <c r="W106" s="108"/>
      <c r="X106" s="108"/>
      <c r="Y106" s="108"/>
      <c r="Z106" s="108"/>
      <c r="AA106" s="108"/>
      <c r="AB106" s="108"/>
      <c r="AC106" s="108"/>
      <c r="AD106" s="108"/>
      <c r="AE106" s="108"/>
      <c r="AF106" s="108"/>
      <c r="AG106" s="108"/>
      <c r="AH106" s="108"/>
      <c r="AI106" s="108"/>
      <c r="AJ106" s="108"/>
      <c r="AK106" s="108"/>
      <c r="AL106" s="108"/>
      <c r="AM106" s="108"/>
      <c r="AN106" s="108"/>
      <c r="AO106" s="108"/>
      <c r="AP106" s="108"/>
      <c r="AQ106" s="108"/>
      <c r="AR106" s="108"/>
      <c r="AS106" s="108"/>
      <c r="AT106" s="108"/>
      <c r="AU106" s="108"/>
      <c r="AV106" s="108"/>
      <c r="AW106" s="108"/>
      <c r="AX106" s="108"/>
      <c r="AY106" s="108"/>
      <c r="AZ106" s="108"/>
      <c r="BA106" s="108"/>
      <c r="BB106" s="108"/>
      <c r="BC106" s="108"/>
      <c r="BD106" s="108"/>
      <c r="BE106" s="108"/>
      <c r="BF106" s="108"/>
      <c r="BG106" s="108"/>
      <c r="BH106" s="108"/>
      <c r="BI106" s="108"/>
      <c r="BJ106" s="108"/>
      <c r="BK106" s="108"/>
      <c r="BL106" s="108"/>
      <c r="BM106" s="108"/>
      <c r="BN106" s="108"/>
      <c r="BO106" s="108"/>
      <c r="BP106" s="108"/>
      <c r="BQ106" s="108"/>
      <c r="BR106" s="108"/>
      <c r="BS106" s="108"/>
      <c r="BT106" s="108"/>
      <c r="BU106" s="108"/>
      <c r="BV106" s="108"/>
      <c r="BW106" s="108"/>
      <c r="BX106" s="108"/>
      <c r="BY106" s="108"/>
      <c r="BZ106" s="108"/>
      <c r="CA106" s="108"/>
      <c r="CB106" s="108"/>
      <c r="CC106" s="108"/>
      <c r="CD106" s="108"/>
      <c r="CE106" s="108"/>
      <c r="CF106" s="108"/>
      <c r="CG106" s="108"/>
      <c r="CH106" s="108"/>
      <c r="CI106" s="108"/>
      <c r="CJ106" s="108"/>
      <c r="CK106" s="108"/>
      <c r="CL106" s="108"/>
      <c r="CM106" s="108"/>
      <c r="CN106" s="108"/>
      <c r="CO106" s="108"/>
      <c r="CP106" s="108"/>
      <c r="CQ106" s="108"/>
      <c r="CR106" s="108"/>
      <c r="CS106" s="108"/>
      <c r="CT106" s="108"/>
      <c r="CU106" s="108"/>
      <c r="CV106" s="108"/>
      <c r="CW106" s="108"/>
      <c r="CX106" s="108"/>
      <c r="CY106" s="108"/>
      <c r="CZ106" s="108"/>
      <c r="DA106" s="108"/>
      <c r="DB106" s="108"/>
      <c r="DC106" s="108"/>
      <c r="DD106" s="108"/>
      <c r="DE106" s="108"/>
      <c r="DF106" s="108"/>
      <c r="DG106" s="108"/>
      <c r="DH106" s="108"/>
      <c r="DI106" s="108"/>
      <c r="DJ106" s="108"/>
      <c r="DK106" s="108"/>
      <c r="DL106" s="108"/>
      <c r="DM106" s="108"/>
      <c r="DN106" s="108"/>
      <c r="DO106" s="108"/>
      <c r="DP106" s="108"/>
      <c r="DQ106" s="108"/>
      <c r="DR106" s="108"/>
      <c r="DS106" s="108"/>
      <c r="DT106" s="108"/>
      <c r="DU106" s="108"/>
      <c r="DV106" s="108"/>
      <c r="DW106" s="108"/>
      <c r="DX106" s="108"/>
      <c r="DY106" s="108"/>
      <c r="DZ106" s="108"/>
      <c r="EA106" s="108"/>
      <c r="EB106" s="108"/>
      <c r="EC106" s="108"/>
      <c r="ED106" s="108"/>
      <c r="EE106" s="108"/>
      <c r="EF106" s="108"/>
      <c r="EG106" s="108"/>
      <c r="EH106" s="108"/>
      <c r="EI106" s="108"/>
      <c r="EJ106" s="108"/>
      <c r="EK106" s="108"/>
      <c r="EL106" s="108"/>
      <c r="EM106" s="108"/>
      <c r="EN106" s="108"/>
      <c r="EO106" s="108"/>
      <c r="EP106" s="108"/>
      <c r="EQ106" s="108"/>
      <c r="ER106" s="108"/>
      <c r="ES106" s="108"/>
      <c r="ET106" s="108"/>
      <c r="EU106" s="108"/>
      <c r="EV106" s="108"/>
      <c r="EW106" s="108"/>
      <c r="EX106" s="108"/>
      <c r="EY106" s="108"/>
      <c r="EZ106" s="108"/>
      <c r="FA106" s="108"/>
      <c r="FB106" s="108"/>
      <c r="FC106" s="108"/>
      <c r="FD106" s="108"/>
      <c r="FE106" s="108"/>
      <c r="FF106" s="108"/>
      <c r="FG106" s="108"/>
      <c r="FH106" s="108"/>
      <c r="FI106" s="108"/>
      <c r="FJ106" s="108"/>
      <c r="FK106" s="108"/>
      <c r="FL106" s="108"/>
      <c r="FM106" s="108"/>
      <c r="FN106" s="108"/>
      <c r="FO106" s="108"/>
      <c r="FP106" s="108"/>
      <c r="FQ106" s="108"/>
      <c r="FR106" s="108"/>
      <c r="FS106" s="108"/>
      <c r="FT106" s="108"/>
      <c r="FU106" s="108"/>
      <c r="FV106" s="108"/>
      <c r="FW106" s="108"/>
      <c r="FX106" s="108"/>
      <c r="FY106" s="108"/>
      <c r="FZ106" s="108"/>
      <c r="GA106" s="108"/>
      <c r="GB106" s="108"/>
      <c r="GC106" s="108"/>
      <c r="GD106" s="108"/>
      <c r="GE106" s="108"/>
      <c r="GF106" s="108"/>
      <c r="GG106" s="108"/>
      <c r="GH106" s="108"/>
      <c r="GI106" s="108"/>
      <c r="GJ106" s="108"/>
      <c r="GK106" s="108"/>
      <c r="GL106" s="108"/>
      <c r="GM106" s="108"/>
      <c r="GN106" s="108"/>
      <c r="GO106" s="108"/>
      <c r="GP106" s="108"/>
      <c r="GQ106" s="108"/>
      <c r="GR106" s="108"/>
      <c r="GS106" s="108"/>
      <c r="GT106" s="108"/>
      <c r="GU106" s="108"/>
      <c r="GV106" s="108"/>
      <c r="GW106" s="108"/>
      <c r="GX106" s="108"/>
      <c r="GY106" s="108"/>
      <c r="GZ106" s="108"/>
      <c r="HA106" s="108"/>
      <c r="HB106" s="108"/>
      <c r="HC106" s="108"/>
      <c r="HD106" s="108"/>
      <c r="HE106" s="108"/>
      <c r="HF106" s="108"/>
      <c r="HG106" s="108"/>
      <c r="HH106" s="108"/>
      <c r="HI106" s="108"/>
      <c r="HJ106" s="108"/>
      <c r="HK106" s="108"/>
      <c r="HL106" s="108"/>
      <c r="HM106" s="108"/>
      <c r="HN106" s="108"/>
      <c r="HO106" s="108"/>
      <c r="HP106" s="108"/>
      <c r="HQ106" s="108"/>
      <c r="HR106" s="108"/>
      <c r="HS106" s="108"/>
      <c r="HT106" s="108"/>
      <c r="HU106" s="108"/>
      <c r="HV106" s="108"/>
      <c r="HW106" s="108"/>
      <c r="HX106" s="108"/>
      <c r="HY106" s="108"/>
      <c r="HZ106" s="108"/>
      <c r="IA106" s="108"/>
      <c r="IB106" s="108"/>
      <c r="IC106" s="108"/>
      <c r="ID106" s="108"/>
      <c r="IE106" s="108"/>
      <c r="IF106" s="108"/>
      <c r="IG106" s="108"/>
      <c r="IH106" s="108"/>
      <c r="II106" s="108"/>
      <c r="IJ106" s="108"/>
      <c r="IK106" s="108"/>
      <c r="IL106" s="108"/>
      <c r="IM106" s="108"/>
      <c r="IN106" s="108"/>
      <c r="IO106" s="108"/>
      <c r="IP106" s="108"/>
      <c r="IQ106" s="108"/>
      <c r="IR106" s="108"/>
      <c r="IS106" s="108"/>
      <c r="IT106" s="108"/>
      <c r="IU106" s="108"/>
      <c r="IV106" s="108"/>
      <c r="IW106" s="108"/>
    </row>
    <row r="107" spans="1:257" x14ac:dyDescent="0.3">
      <c r="A107" s="158"/>
      <c r="B107" s="158"/>
      <c r="C107" s="158"/>
      <c r="D107" s="158"/>
      <c r="E107" s="158"/>
      <c r="F107" s="158"/>
      <c r="G107" s="158"/>
      <c r="H107" s="158"/>
      <c r="I107" s="158"/>
      <c r="J107" s="158"/>
      <c r="K107" s="158"/>
      <c r="L107" s="158"/>
      <c r="M107" s="158"/>
      <c r="N107" s="158"/>
      <c r="O107" s="108"/>
      <c r="P107" s="108"/>
      <c r="Q107" s="108"/>
      <c r="R107" s="108"/>
      <c r="S107" s="108"/>
      <c r="T107" s="108"/>
      <c r="U107" s="108"/>
      <c r="V107" s="108"/>
      <c r="W107" s="108"/>
      <c r="X107" s="108"/>
      <c r="Y107" s="108"/>
      <c r="Z107" s="108"/>
      <c r="AA107" s="108"/>
      <c r="AB107" s="108"/>
      <c r="AC107" s="108"/>
      <c r="AD107" s="108"/>
      <c r="AE107" s="108"/>
      <c r="AF107" s="108"/>
      <c r="AG107" s="108"/>
      <c r="AH107" s="108"/>
      <c r="AI107" s="108"/>
      <c r="AJ107" s="108"/>
      <c r="AK107" s="108"/>
      <c r="AL107" s="108"/>
      <c r="AM107" s="108"/>
      <c r="AN107" s="108"/>
      <c r="AO107" s="108"/>
      <c r="AP107" s="108"/>
      <c r="AQ107" s="108"/>
      <c r="AR107" s="108"/>
      <c r="AS107" s="108"/>
      <c r="AT107" s="108"/>
      <c r="AU107" s="108"/>
      <c r="AV107" s="108"/>
      <c r="AW107" s="108"/>
      <c r="AX107" s="108"/>
      <c r="AY107" s="108"/>
      <c r="AZ107" s="108"/>
      <c r="BA107" s="108"/>
      <c r="BB107" s="108"/>
      <c r="BC107" s="108"/>
      <c r="BD107" s="108"/>
      <c r="BE107" s="108"/>
      <c r="BF107" s="108"/>
      <c r="BG107" s="108"/>
      <c r="BH107" s="108"/>
      <c r="BI107" s="108"/>
      <c r="BJ107" s="108"/>
      <c r="BK107" s="108"/>
      <c r="BL107" s="108"/>
      <c r="BM107" s="108"/>
      <c r="BN107" s="108"/>
      <c r="BO107" s="108"/>
      <c r="BP107" s="108"/>
      <c r="BQ107" s="108"/>
      <c r="BR107" s="108"/>
      <c r="BS107" s="108"/>
      <c r="BT107" s="108"/>
      <c r="BU107" s="108"/>
      <c r="BV107" s="108"/>
      <c r="BW107" s="108"/>
      <c r="BX107" s="108"/>
      <c r="BY107" s="108"/>
      <c r="BZ107" s="108"/>
      <c r="CA107" s="108"/>
      <c r="CB107" s="108"/>
      <c r="CC107" s="108"/>
      <c r="CD107" s="108"/>
      <c r="CE107" s="108"/>
      <c r="CF107" s="108"/>
      <c r="CG107" s="108"/>
      <c r="CH107" s="108"/>
      <c r="CI107" s="108"/>
      <c r="CJ107" s="108"/>
      <c r="CK107" s="108"/>
      <c r="CL107" s="108"/>
      <c r="CM107" s="108"/>
      <c r="CN107" s="108"/>
      <c r="CO107" s="108"/>
      <c r="CP107" s="108"/>
      <c r="CQ107" s="108"/>
      <c r="CR107" s="108"/>
      <c r="CS107" s="108"/>
      <c r="CT107" s="108"/>
      <c r="CU107" s="108"/>
      <c r="CV107" s="108"/>
      <c r="CW107" s="108"/>
      <c r="CX107" s="108"/>
      <c r="CY107" s="108"/>
      <c r="CZ107" s="108"/>
      <c r="DA107" s="108"/>
      <c r="DB107" s="108"/>
      <c r="DC107" s="108"/>
      <c r="DD107" s="108"/>
      <c r="DE107" s="108"/>
      <c r="DF107" s="108"/>
      <c r="DG107" s="108"/>
      <c r="DH107" s="108"/>
      <c r="DI107" s="108"/>
      <c r="DJ107" s="108"/>
      <c r="DK107" s="108"/>
      <c r="DL107" s="108"/>
      <c r="DM107" s="108"/>
      <c r="DN107" s="108"/>
      <c r="DO107" s="108"/>
      <c r="DP107" s="108"/>
      <c r="DQ107" s="108"/>
      <c r="DR107" s="108"/>
      <c r="DS107" s="108"/>
      <c r="DT107" s="108"/>
      <c r="DU107" s="108"/>
      <c r="DV107" s="108"/>
      <c r="DW107" s="108"/>
      <c r="DX107" s="108"/>
      <c r="DY107" s="108"/>
      <c r="DZ107" s="108"/>
      <c r="EA107" s="108"/>
      <c r="EB107" s="108"/>
      <c r="EC107" s="108"/>
      <c r="ED107" s="108"/>
      <c r="EE107" s="108"/>
      <c r="EF107" s="108"/>
      <c r="EG107" s="108"/>
      <c r="EH107" s="108"/>
      <c r="EI107" s="108"/>
      <c r="EJ107" s="108"/>
      <c r="EK107" s="108"/>
      <c r="EL107" s="108"/>
      <c r="EM107" s="108"/>
      <c r="EN107" s="108"/>
      <c r="EO107" s="108"/>
      <c r="EP107" s="108"/>
      <c r="EQ107" s="108"/>
      <c r="ER107" s="108"/>
      <c r="ES107" s="108"/>
      <c r="ET107" s="108"/>
      <c r="EU107" s="108"/>
      <c r="EV107" s="108"/>
      <c r="EW107" s="108"/>
      <c r="EX107" s="108"/>
      <c r="EY107" s="108"/>
      <c r="EZ107" s="108"/>
      <c r="FA107" s="108"/>
      <c r="FB107" s="108"/>
      <c r="FC107" s="108"/>
      <c r="FD107" s="108"/>
      <c r="FE107" s="108"/>
      <c r="FF107" s="108"/>
      <c r="FG107" s="108"/>
      <c r="FH107" s="108"/>
      <c r="FI107" s="108"/>
      <c r="FJ107" s="108"/>
      <c r="FK107" s="108"/>
      <c r="FL107" s="108"/>
      <c r="FM107" s="108"/>
      <c r="FN107" s="108"/>
      <c r="FO107" s="108"/>
      <c r="FP107" s="108"/>
      <c r="FQ107" s="108"/>
      <c r="FR107" s="108"/>
      <c r="FS107" s="108"/>
      <c r="FT107" s="108"/>
      <c r="FU107" s="108"/>
      <c r="FV107" s="108"/>
      <c r="FW107" s="108"/>
      <c r="FX107" s="108"/>
      <c r="FY107" s="108"/>
      <c r="FZ107" s="108"/>
      <c r="GA107" s="108"/>
      <c r="GB107" s="108"/>
      <c r="GC107" s="108"/>
      <c r="GD107" s="108"/>
      <c r="GE107" s="108"/>
      <c r="GF107" s="108"/>
      <c r="GG107" s="108"/>
      <c r="GH107" s="108"/>
      <c r="GI107" s="108"/>
      <c r="GJ107" s="108"/>
      <c r="GK107" s="108"/>
      <c r="GL107" s="108"/>
      <c r="GM107" s="108"/>
      <c r="GN107" s="108"/>
      <c r="GO107" s="108"/>
      <c r="GP107" s="108"/>
      <c r="GQ107" s="108"/>
      <c r="GR107" s="108"/>
      <c r="GS107" s="108"/>
      <c r="GT107" s="108"/>
      <c r="GU107" s="108"/>
      <c r="GV107" s="108"/>
      <c r="GW107" s="108"/>
      <c r="GX107" s="108"/>
      <c r="GY107" s="108"/>
      <c r="GZ107" s="108"/>
      <c r="HA107" s="108"/>
      <c r="HB107" s="108"/>
      <c r="HC107" s="108"/>
      <c r="HD107" s="108"/>
      <c r="HE107" s="108"/>
      <c r="HF107" s="108"/>
      <c r="HG107" s="108"/>
      <c r="HH107" s="108"/>
      <c r="HI107" s="108"/>
      <c r="HJ107" s="108"/>
      <c r="HK107" s="108"/>
      <c r="HL107" s="108"/>
      <c r="HM107" s="108"/>
      <c r="HN107" s="108"/>
      <c r="HO107" s="108"/>
      <c r="HP107" s="108"/>
      <c r="HQ107" s="108"/>
      <c r="HR107" s="108"/>
      <c r="HS107" s="108"/>
      <c r="HT107" s="108"/>
      <c r="HU107" s="108"/>
      <c r="HV107" s="108"/>
      <c r="HW107" s="108"/>
      <c r="HX107" s="108"/>
      <c r="HY107" s="108"/>
      <c r="HZ107" s="108"/>
      <c r="IA107" s="108"/>
      <c r="IB107" s="108"/>
      <c r="IC107" s="108"/>
      <c r="ID107" s="108"/>
      <c r="IE107" s="108"/>
      <c r="IF107" s="108"/>
      <c r="IG107" s="108"/>
      <c r="IH107" s="108"/>
      <c r="II107" s="108"/>
      <c r="IJ107" s="108"/>
      <c r="IK107" s="108"/>
      <c r="IL107" s="108"/>
      <c r="IM107" s="108"/>
      <c r="IN107" s="108"/>
      <c r="IO107" s="108"/>
      <c r="IP107" s="108"/>
      <c r="IQ107" s="108"/>
      <c r="IR107" s="108"/>
      <c r="IS107" s="108"/>
      <c r="IT107" s="108"/>
      <c r="IU107" s="108"/>
      <c r="IV107" s="108"/>
      <c r="IW107" s="108"/>
    </row>
    <row r="108" spans="1:257" x14ac:dyDescent="0.3">
      <c r="A108" s="158"/>
      <c r="B108" s="158"/>
      <c r="C108" s="158"/>
      <c r="D108" s="158"/>
      <c r="E108" s="158"/>
      <c r="F108" s="158"/>
      <c r="G108" s="158"/>
      <c r="H108" s="158"/>
      <c r="I108" s="158"/>
      <c r="J108" s="158"/>
      <c r="K108" s="158"/>
      <c r="L108" s="158"/>
      <c r="M108" s="158"/>
      <c r="N108" s="158"/>
      <c r="O108" s="108"/>
      <c r="P108" s="108"/>
      <c r="Q108" s="108"/>
      <c r="R108" s="108"/>
      <c r="S108" s="108"/>
      <c r="T108" s="108"/>
      <c r="U108" s="108"/>
      <c r="V108" s="108"/>
      <c r="W108" s="108"/>
      <c r="X108" s="108"/>
      <c r="Y108" s="108"/>
      <c r="Z108" s="108"/>
      <c r="AA108" s="108"/>
      <c r="AB108" s="108"/>
      <c r="AC108" s="108"/>
      <c r="AD108" s="108"/>
      <c r="AE108" s="108"/>
      <c r="AF108" s="108"/>
      <c r="AG108" s="108"/>
      <c r="AH108" s="108"/>
      <c r="AI108" s="108"/>
      <c r="AJ108" s="108"/>
      <c r="AK108" s="108"/>
      <c r="AL108" s="108"/>
      <c r="AM108" s="108"/>
      <c r="AN108" s="108"/>
      <c r="AO108" s="108"/>
      <c r="AP108" s="108"/>
      <c r="AQ108" s="108"/>
      <c r="AR108" s="108"/>
      <c r="AS108" s="108"/>
      <c r="AT108" s="108"/>
      <c r="AU108" s="108"/>
      <c r="AV108" s="108"/>
      <c r="AW108" s="108"/>
      <c r="AX108" s="108"/>
      <c r="AY108" s="108"/>
      <c r="AZ108" s="108"/>
      <c r="BA108" s="108"/>
      <c r="BB108" s="108"/>
      <c r="BC108" s="108"/>
      <c r="BD108" s="108"/>
      <c r="BE108" s="108"/>
      <c r="BF108" s="108"/>
      <c r="BG108" s="108"/>
      <c r="BH108" s="108"/>
      <c r="BI108" s="108"/>
      <c r="BJ108" s="108"/>
      <c r="BK108" s="108"/>
      <c r="BL108" s="108"/>
      <c r="BM108" s="108"/>
      <c r="BN108" s="108"/>
      <c r="BO108" s="108"/>
      <c r="BP108" s="108"/>
      <c r="BQ108" s="108"/>
      <c r="BR108" s="108"/>
      <c r="BS108" s="108"/>
      <c r="BT108" s="108"/>
      <c r="BU108" s="108"/>
      <c r="BV108" s="108"/>
      <c r="BW108" s="108"/>
      <c r="BX108" s="108"/>
      <c r="BY108" s="108"/>
      <c r="BZ108" s="108"/>
      <c r="CA108" s="108"/>
      <c r="CB108" s="108"/>
      <c r="CC108" s="108"/>
      <c r="CD108" s="108"/>
      <c r="CE108" s="108"/>
      <c r="CF108" s="108"/>
      <c r="CG108" s="108"/>
      <c r="CH108" s="108"/>
      <c r="CI108" s="108"/>
      <c r="CJ108" s="108"/>
      <c r="CK108" s="108"/>
      <c r="CL108" s="108"/>
      <c r="CM108" s="108"/>
      <c r="CN108" s="108"/>
      <c r="CO108" s="108"/>
      <c r="CP108" s="108"/>
      <c r="CQ108" s="108"/>
      <c r="CR108" s="108"/>
      <c r="CS108" s="108"/>
      <c r="CT108" s="108"/>
      <c r="CU108" s="108"/>
      <c r="CV108" s="108"/>
      <c r="CW108" s="108"/>
      <c r="CX108" s="108"/>
      <c r="CY108" s="108"/>
      <c r="CZ108" s="108"/>
      <c r="DA108" s="108"/>
      <c r="DB108" s="108"/>
      <c r="DC108" s="108"/>
      <c r="DD108" s="108"/>
      <c r="DE108" s="108"/>
      <c r="DF108" s="108"/>
      <c r="DG108" s="108"/>
      <c r="DH108" s="108"/>
      <c r="DI108" s="108"/>
      <c r="DJ108" s="108"/>
      <c r="DK108" s="108"/>
      <c r="DL108" s="108"/>
      <c r="DM108" s="108"/>
      <c r="DN108" s="108"/>
      <c r="DO108" s="108"/>
      <c r="DP108" s="108"/>
      <c r="DQ108" s="108"/>
      <c r="DR108" s="108"/>
      <c r="DS108" s="108"/>
      <c r="DT108" s="108"/>
      <c r="DU108" s="108"/>
      <c r="DV108" s="108"/>
      <c r="DW108" s="108"/>
      <c r="DX108" s="108"/>
      <c r="DY108" s="108"/>
      <c r="DZ108" s="108"/>
      <c r="EA108" s="108"/>
      <c r="EB108" s="108"/>
      <c r="EC108" s="108"/>
      <c r="ED108" s="108"/>
      <c r="EE108" s="108"/>
      <c r="EF108" s="108"/>
      <c r="EG108" s="108"/>
      <c r="EH108" s="108"/>
      <c r="EI108" s="108"/>
      <c r="EJ108" s="108"/>
      <c r="EK108" s="108"/>
      <c r="EL108" s="108"/>
      <c r="EM108" s="108"/>
      <c r="EN108" s="108"/>
      <c r="EO108" s="108"/>
      <c r="EP108" s="108"/>
      <c r="EQ108" s="108"/>
      <c r="ER108" s="108"/>
      <c r="ES108" s="108"/>
      <c r="ET108" s="108"/>
      <c r="EU108" s="108"/>
      <c r="EV108" s="108"/>
      <c r="EW108" s="108"/>
      <c r="EX108" s="108"/>
      <c r="EY108" s="108"/>
      <c r="EZ108" s="108"/>
      <c r="FA108" s="108"/>
      <c r="FB108" s="108"/>
      <c r="FC108" s="108"/>
      <c r="FD108" s="108"/>
      <c r="FE108" s="108"/>
      <c r="FF108" s="108"/>
      <c r="FG108" s="108"/>
      <c r="FH108" s="108"/>
      <c r="FI108" s="108"/>
      <c r="FJ108" s="108"/>
      <c r="FK108" s="108"/>
      <c r="FL108" s="108"/>
      <c r="FM108" s="108"/>
      <c r="FN108" s="108"/>
      <c r="FO108" s="108"/>
      <c r="FP108" s="108"/>
      <c r="FQ108" s="108"/>
      <c r="FR108" s="108"/>
      <c r="FS108" s="108"/>
      <c r="FT108" s="108"/>
      <c r="FU108" s="108"/>
      <c r="FV108" s="108"/>
      <c r="FW108" s="108"/>
      <c r="FX108" s="108"/>
      <c r="FY108" s="108"/>
      <c r="FZ108" s="108"/>
      <c r="GA108" s="108"/>
      <c r="GB108" s="108"/>
      <c r="GC108" s="108"/>
      <c r="GD108" s="108"/>
      <c r="GE108" s="108"/>
      <c r="GF108" s="108"/>
      <c r="GG108" s="108"/>
      <c r="GH108" s="108"/>
      <c r="GI108" s="108"/>
      <c r="GJ108" s="108"/>
      <c r="GK108" s="108"/>
      <c r="GL108" s="108"/>
      <c r="GM108" s="108"/>
      <c r="GN108" s="108"/>
      <c r="GO108" s="108"/>
      <c r="GP108" s="108"/>
      <c r="GQ108" s="108"/>
      <c r="GR108" s="108"/>
      <c r="GS108" s="108"/>
      <c r="GT108" s="108"/>
      <c r="GU108" s="108"/>
      <c r="GV108" s="108"/>
      <c r="GW108" s="108"/>
      <c r="GX108" s="108"/>
      <c r="GY108" s="108"/>
      <c r="GZ108" s="108"/>
      <c r="HA108" s="108"/>
      <c r="HB108" s="108"/>
      <c r="HC108" s="108"/>
      <c r="HD108" s="108"/>
      <c r="HE108" s="108"/>
      <c r="HF108" s="108"/>
      <c r="HG108" s="108"/>
      <c r="HH108" s="108"/>
      <c r="HI108" s="108"/>
      <c r="HJ108" s="108"/>
      <c r="HK108" s="108"/>
      <c r="HL108" s="108"/>
      <c r="HM108" s="108"/>
      <c r="HN108" s="108"/>
      <c r="HO108" s="108"/>
      <c r="HP108" s="108"/>
      <c r="HQ108" s="108"/>
      <c r="HR108" s="108"/>
      <c r="HS108" s="108"/>
      <c r="HT108" s="108"/>
      <c r="HU108" s="108"/>
      <c r="HV108" s="108"/>
      <c r="HW108" s="108"/>
      <c r="HX108" s="108"/>
      <c r="HY108" s="108"/>
      <c r="HZ108" s="108"/>
      <c r="IA108" s="108"/>
      <c r="IB108" s="108"/>
      <c r="IC108" s="108"/>
      <c r="ID108" s="108"/>
      <c r="IE108" s="108"/>
      <c r="IF108" s="108"/>
      <c r="IG108" s="108"/>
      <c r="IH108" s="108"/>
      <c r="II108" s="108"/>
      <c r="IJ108" s="108"/>
      <c r="IK108" s="108"/>
      <c r="IL108" s="108"/>
      <c r="IM108" s="108"/>
      <c r="IN108" s="108"/>
      <c r="IO108" s="108"/>
      <c r="IP108" s="108"/>
      <c r="IQ108" s="108"/>
      <c r="IR108" s="108"/>
      <c r="IS108" s="108"/>
      <c r="IT108" s="108"/>
      <c r="IU108" s="108"/>
      <c r="IV108" s="108"/>
      <c r="IW108" s="108"/>
    </row>
    <row r="109" spans="1:257" x14ac:dyDescent="0.3">
      <c r="A109" s="158"/>
      <c r="B109" s="158"/>
      <c r="C109" s="158"/>
      <c r="D109" s="158"/>
      <c r="E109" s="158"/>
      <c r="F109" s="158"/>
      <c r="G109" s="158"/>
      <c r="H109" s="158"/>
      <c r="I109" s="158"/>
      <c r="J109" s="158"/>
      <c r="K109" s="158"/>
      <c r="L109" s="158"/>
      <c r="M109" s="158"/>
      <c r="N109" s="158"/>
      <c r="O109" s="108"/>
      <c r="P109" s="108"/>
      <c r="Q109" s="108"/>
      <c r="R109" s="108"/>
      <c r="S109" s="108"/>
      <c r="T109" s="108"/>
      <c r="U109" s="108"/>
      <c r="V109" s="108"/>
      <c r="W109" s="108"/>
      <c r="X109" s="108"/>
      <c r="Y109" s="108"/>
      <c r="Z109" s="108"/>
      <c r="AA109" s="108"/>
      <c r="AB109" s="108"/>
      <c r="AC109" s="108"/>
      <c r="AD109" s="108"/>
      <c r="AE109" s="108"/>
      <c r="AF109" s="108"/>
      <c r="AG109" s="108"/>
      <c r="AH109" s="108"/>
      <c r="AI109" s="108"/>
      <c r="AJ109" s="108"/>
      <c r="AK109" s="108"/>
      <c r="AL109" s="108"/>
      <c r="AM109" s="108"/>
      <c r="AN109" s="108"/>
      <c r="AO109" s="108"/>
      <c r="AP109" s="108"/>
      <c r="AQ109" s="108"/>
      <c r="AR109" s="108"/>
      <c r="AS109" s="108"/>
      <c r="AT109" s="108"/>
      <c r="AU109" s="108"/>
      <c r="AV109" s="108"/>
      <c r="AW109" s="108"/>
      <c r="AX109" s="108"/>
      <c r="AY109" s="108"/>
      <c r="AZ109" s="108"/>
      <c r="BA109" s="108"/>
      <c r="BB109" s="108"/>
      <c r="BC109" s="108"/>
      <c r="BD109" s="108"/>
      <c r="BE109" s="108"/>
      <c r="BF109" s="108"/>
      <c r="BG109" s="108"/>
      <c r="BH109" s="108"/>
      <c r="BI109" s="108"/>
      <c r="BJ109" s="108"/>
      <c r="BK109" s="108"/>
      <c r="BL109" s="108"/>
      <c r="BM109" s="108"/>
      <c r="BN109" s="108"/>
      <c r="BO109" s="108"/>
      <c r="BP109" s="108"/>
      <c r="BQ109" s="108"/>
      <c r="BR109" s="108"/>
      <c r="BS109" s="108"/>
      <c r="BT109" s="108"/>
      <c r="BU109" s="108"/>
      <c r="BV109" s="108"/>
      <c r="BW109" s="108"/>
      <c r="BX109" s="108"/>
      <c r="BY109" s="108"/>
      <c r="BZ109" s="108"/>
      <c r="CA109" s="108"/>
      <c r="CB109" s="108"/>
      <c r="CC109" s="108"/>
      <c r="CD109" s="108"/>
      <c r="CE109" s="108"/>
      <c r="CF109" s="108"/>
      <c r="CG109" s="108"/>
      <c r="CH109" s="108"/>
      <c r="CI109" s="108"/>
      <c r="CJ109" s="108"/>
      <c r="CK109" s="108"/>
      <c r="CL109" s="108"/>
      <c r="CM109" s="108"/>
      <c r="CN109" s="108"/>
      <c r="CO109" s="108"/>
      <c r="CP109" s="108"/>
      <c r="CQ109" s="108"/>
      <c r="CR109" s="108"/>
      <c r="CS109" s="108"/>
      <c r="CT109" s="108"/>
      <c r="CU109" s="108"/>
      <c r="CV109" s="108"/>
      <c r="CW109" s="108"/>
      <c r="CX109" s="108"/>
      <c r="CY109" s="108"/>
      <c r="CZ109" s="108"/>
      <c r="DA109" s="108"/>
      <c r="DB109" s="108"/>
      <c r="DC109" s="108"/>
      <c r="DD109" s="108"/>
      <c r="DE109" s="108"/>
      <c r="DF109" s="108"/>
      <c r="DG109" s="108"/>
      <c r="DH109" s="108"/>
      <c r="DI109" s="108"/>
      <c r="DJ109" s="108"/>
      <c r="DK109" s="108"/>
      <c r="DL109" s="108"/>
      <c r="DM109" s="108"/>
      <c r="DN109" s="108"/>
      <c r="DO109" s="108"/>
      <c r="DP109" s="108"/>
      <c r="DQ109" s="108"/>
      <c r="DR109" s="108"/>
      <c r="DS109" s="108"/>
      <c r="DT109" s="108"/>
      <c r="DU109" s="108"/>
      <c r="DV109" s="108"/>
      <c r="DW109" s="108"/>
      <c r="DX109" s="108"/>
      <c r="DY109" s="108"/>
      <c r="DZ109" s="108"/>
      <c r="EA109" s="108"/>
      <c r="EB109" s="108"/>
      <c r="EC109" s="108"/>
      <c r="ED109" s="108"/>
      <c r="EE109" s="108"/>
      <c r="EF109" s="108"/>
      <c r="EG109" s="108"/>
      <c r="EH109" s="108"/>
      <c r="EI109" s="108"/>
      <c r="EJ109" s="108"/>
      <c r="EK109" s="108"/>
      <c r="EL109" s="108"/>
      <c r="EM109" s="108"/>
      <c r="EN109" s="108"/>
      <c r="EO109" s="108"/>
      <c r="EP109" s="108"/>
      <c r="EQ109" s="108"/>
      <c r="ER109" s="108"/>
      <c r="ES109" s="108"/>
      <c r="ET109" s="108"/>
      <c r="EU109" s="108"/>
      <c r="EV109" s="108"/>
      <c r="EW109" s="108"/>
      <c r="EX109" s="108"/>
      <c r="EY109" s="108"/>
      <c r="EZ109" s="108"/>
      <c r="FA109" s="108"/>
      <c r="FB109" s="108"/>
      <c r="FC109" s="108"/>
      <c r="FD109" s="108"/>
      <c r="FE109" s="108"/>
      <c r="FF109" s="108"/>
      <c r="FG109" s="108"/>
      <c r="FH109" s="108"/>
      <c r="FI109" s="108"/>
      <c r="FJ109" s="108"/>
      <c r="FK109" s="108"/>
      <c r="FL109" s="108"/>
      <c r="FM109" s="108"/>
      <c r="FN109" s="108"/>
      <c r="FO109" s="108"/>
      <c r="FP109" s="108"/>
      <c r="FQ109" s="108"/>
      <c r="FR109" s="108"/>
      <c r="FS109" s="108"/>
      <c r="FT109" s="108"/>
      <c r="FU109" s="108"/>
      <c r="FV109" s="108"/>
      <c r="FW109" s="108"/>
      <c r="FX109" s="108"/>
      <c r="FY109" s="108"/>
      <c r="FZ109" s="108"/>
      <c r="GA109" s="108"/>
      <c r="GB109" s="108"/>
      <c r="GC109" s="108"/>
      <c r="GD109" s="108"/>
      <c r="GE109" s="108"/>
      <c r="GF109" s="108"/>
      <c r="GG109" s="108"/>
      <c r="GH109" s="108"/>
      <c r="GI109" s="108"/>
      <c r="GJ109" s="108"/>
      <c r="GK109" s="108"/>
      <c r="GL109" s="108"/>
      <c r="GM109" s="108"/>
      <c r="GN109" s="108"/>
      <c r="GO109" s="108"/>
      <c r="GP109" s="108"/>
      <c r="GQ109" s="108"/>
      <c r="GR109" s="108"/>
      <c r="GS109" s="108"/>
      <c r="GT109" s="108"/>
      <c r="GU109" s="108"/>
      <c r="GV109" s="108"/>
      <c r="GW109" s="108"/>
      <c r="GX109" s="108"/>
      <c r="GY109" s="108"/>
      <c r="GZ109" s="108"/>
      <c r="HA109" s="108"/>
      <c r="HB109" s="108"/>
      <c r="HC109" s="108"/>
      <c r="HD109" s="108"/>
      <c r="HE109" s="108"/>
      <c r="HF109" s="108"/>
      <c r="HG109" s="108"/>
      <c r="HH109" s="108"/>
      <c r="HI109" s="108"/>
      <c r="HJ109" s="108"/>
      <c r="HK109" s="108"/>
      <c r="HL109" s="108"/>
      <c r="HM109" s="108"/>
      <c r="HN109" s="108"/>
      <c r="HO109" s="108"/>
      <c r="HP109" s="108"/>
      <c r="HQ109" s="108"/>
      <c r="HR109" s="108"/>
      <c r="HS109" s="108"/>
      <c r="HT109" s="108"/>
      <c r="HU109" s="108"/>
      <c r="HV109" s="108"/>
      <c r="HW109" s="108"/>
      <c r="HX109" s="108"/>
      <c r="HY109" s="108"/>
      <c r="HZ109" s="108"/>
      <c r="IA109" s="108"/>
      <c r="IB109" s="108"/>
      <c r="IC109" s="108"/>
      <c r="ID109" s="108"/>
      <c r="IE109" s="108"/>
      <c r="IF109" s="108"/>
      <c r="IG109" s="108"/>
      <c r="IH109" s="108"/>
      <c r="II109" s="108"/>
      <c r="IJ109" s="108"/>
      <c r="IK109" s="108"/>
      <c r="IL109" s="108"/>
      <c r="IM109" s="108"/>
      <c r="IN109" s="108"/>
      <c r="IO109" s="108"/>
      <c r="IP109" s="108"/>
      <c r="IQ109" s="108"/>
      <c r="IR109" s="108"/>
      <c r="IS109" s="108"/>
      <c r="IT109" s="108"/>
      <c r="IU109" s="108"/>
      <c r="IV109" s="108"/>
      <c r="IW109" s="108"/>
    </row>
    <row r="110" spans="1:257" x14ac:dyDescent="0.3">
      <c r="A110" s="158"/>
      <c r="B110" s="158"/>
      <c r="C110" s="158"/>
      <c r="D110" s="158"/>
      <c r="E110" s="158"/>
      <c r="F110" s="158"/>
      <c r="G110" s="158"/>
      <c r="H110" s="158"/>
      <c r="I110" s="158"/>
      <c r="J110" s="158"/>
      <c r="K110" s="158"/>
      <c r="L110" s="158"/>
      <c r="M110" s="158"/>
      <c r="N110" s="158"/>
      <c r="O110" s="108"/>
      <c r="P110" s="108"/>
      <c r="Q110" s="108"/>
      <c r="R110" s="108"/>
      <c r="S110" s="108"/>
      <c r="T110" s="108"/>
      <c r="U110" s="108"/>
      <c r="V110" s="108"/>
      <c r="W110" s="108"/>
      <c r="X110" s="108"/>
      <c r="Y110" s="108"/>
      <c r="Z110" s="108"/>
      <c r="AA110" s="108"/>
      <c r="AB110" s="108"/>
      <c r="AC110" s="108"/>
      <c r="AD110" s="108"/>
      <c r="AE110" s="108"/>
      <c r="AF110" s="108"/>
      <c r="AG110" s="108"/>
      <c r="AH110" s="108"/>
      <c r="AI110" s="108"/>
      <c r="AJ110" s="108"/>
      <c r="AK110" s="108"/>
      <c r="AL110" s="108"/>
      <c r="AM110" s="108"/>
      <c r="AN110" s="108"/>
      <c r="AO110" s="108"/>
      <c r="AP110" s="108"/>
      <c r="AQ110" s="108"/>
      <c r="AR110" s="108"/>
      <c r="AS110" s="108"/>
      <c r="AT110" s="108"/>
      <c r="AU110" s="108"/>
      <c r="AV110" s="108"/>
      <c r="AW110" s="108"/>
      <c r="AX110" s="108"/>
      <c r="AY110" s="108"/>
      <c r="AZ110" s="108"/>
      <c r="BA110" s="108"/>
      <c r="BB110" s="108"/>
      <c r="BC110" s="108"/>
      <c r="BD110" s="108"/>
      <c r="BE110" s="108"/>
      <c r="BF110" s="108"/>
      <c r="BG110" s="108"/>
      <c r="BH110" s="108"/>
      <c r="BI110" s="108"/>
      <c r="BJ110" s="108"/>
      <c r="BK110" s="108"/>
      <c r="BL110" s="108"/>
      <c r="BM110" s="108"/>
      <c r="BN110" s="108"/>
      <c r="BO110" s="108"/>
      <c r="BP110" s="108"/>
      <c r="BQ110" s="108"/>
      <c r="BR110" s="108"/>
      <c r="BS110" s="108"/>
      <c r="BT110" s="108"/>
      <c r="BU110" s="108"/>
      <c r="BV110" s="108"/>
      <c r="BW110" s="108"/>
      <c r="BX110" s="108"/>
      <c r="BY110" s="108"/>
      <c r="BZ110" s="108"/>
      <c r="CA110" s="108"/>
      <c r="CB110" s="108"/>
      <c r="CC110" s="108"/>
      <c r="CD110" s="108"/>
      <c r="CE110" s="108"/>
      <c r="CF110" s="108"/>
      <c r="CG110" s="108"/>
      <c r="CH110" s="108"/>
      <c r="CI110" s="108"/>
      <c r="CJ110" s="108"/>
      <c r="CK110" s="108"/>
      <c r="CL110" s="108"/>
      <c r="CM110" s="108"/>
      <c r="CN110" s="108"/>
      <c r="CO110" s="108"/>
      <c r="CP110" s="108"/>
      <c r="CQ110" s="108"/>
      <c r="CR110" s="108"/>
      <c r="CS110" s="108"/>
      <c r="CT110" s="108"/>
      <c r="CU110" s="108"/>
      <c r="CV110" s="108"/>
      <c r="CW110" s="108"/>
      <c r="CX110" s="108"/>
      <c r="CY110" s="108"/>
      <c r="CZ110" s="108"/>
      <c r="DA110" s="108"/>
      <c r="DB110" s="108"/>
      <c r="DC110" s="108"/>
      <c r="DD110" s="108"/>
      <c r="DE110" s="108"/>
      <c r="DF110" s="108"/>
      <c r="DG110" s="108"/>
      <c r="DH110" s="108"/>
      <c r="DI110" s="108"/>
      <c r="DJ110" s="108"/>
      <c r="DK110" s="108"/>
      <c r="DL110" s="108"/>
      <c r="DM110" s="108"/>
      <c r="DN110" s="108"/>
      <c r="DO110" s="108"/>
      <c r="DP110" s="108"/>
      <c r="DQ110" s="108"/>
      <c r="DR110" s="108"/>
      <c r="DS110" s="108"/>
      <c r="DT110" s="108"/>
      <c r="DU110" s="108"/>
      <c r="DV110" s="108"/>
      <c r="DW110" s="108"/>
      <c r="DX110" s="108"/>
      <c r="DY110" s="108"/>
      <c r="DZ110" s="108"/>
      <c r="EA110" s="108"/>
      <c r="EB110" s="108"/>
      <c r="EC110" s="108"/>
      <c r="ED110" s="108"/>
      <c r="EE110" s="108"/>
      <c r="EF110" s="108"/>
      <c r="EG110" s="108"/>
      <c r="EH110" s="108"/>
      <c r="EI110" s="108"/>
      <c r="EJ110" s="108"/>
      <c r="EK110" s="108"/>
      <c r="EL110" s="108"/>
      <c r="EM110" s="108"/>
      <c r="EN110" s="108"/>
      <c r="EO110" s="108"/>
      <c r="EP110" s="108"/>
      <c r="EQ110" s="108"/>
      <c r="ER110" s="108"/>
      <c r="ES110" s="108"/>
      <c r="ET110" s="108"/>
      <c r="EU110" s="108"/>
      <c r="EV110" s="108"/>
      <c r="EW110" s="108"/>
      <c r="EX110" s="108"/>
      <c r="EY110" s="108"/>
      <c r="EZ110" s="108"/>
      <c r="FA110" s="108"/>
      <c r="FB110" s="108"/>
      <c r="FC110" s="108"/>
      <c r="FD110" s="108"/>
      <c r="FE110" s="108"/>
      <c r="FF110" s="108"/>
      <c r="FG110" s="108"/>
      <c r="FH110" s="108"/>
      <c r="FI110" s="108"/>
      <c r="FJ110" s="108"/>
      <c r="FK110" s="108"/>
      <c r="FL110" s="108"/>
      <c r="FM110" s="108"/>
      <c r="FN110" s="108"/>
      <c r="FO110" s="108"/>
      <c r="FP110" s="108"/>
      <c r="FQ110" s="108"/>
      <c r="FR110" s="108"/>
      <c r="FS110" s="108"/>
      <c r="FT110" s="108"/>
      <c r="FU110" s="108"/>
      <c r="FV110" s="108"/>
      <c r="FW110" s="108"/>
      <c r="FX110" s="108"/>
      <c r="FY110" s="108"/>
      <c r="FZ110" s="108"/>
      <c r="GA110" s="108"/>
      <c r="GB110" s="108"/>
      <c r="GC110" s="108"/>
      <c r="GD110" s="108"/>
      <c r="GE110" s="108"/>
      <c r="GF110" s="108"/>
      <c r="GG110" s="108"/>
      <c r="GH110" s="108"/>
      <c r="GI110" s="108"/>
      <c r="GJ110" s="108"/>
      <c r="GK110" s="108"/>
      <c r="GL110" s="108"/>
      <c r="GM110" s="108"/>
      <c r="GN110" s="108"/>
      <c r="GO110" s="108"/>
      <c r="GP110" s="108"/>
      <c r="GQ110" s="108"/>
      <c r="GR110" s="108"/>
      <c r="GS110" s="108"/>
      <c r="GT110" s="108"/>
      <c r="GU110" s="108"/>
      <c r="GV110" s="108"/>
      <c r="GW110" s="108"/>
      <c r="GX110" s="108"/>
      <c r="GY110" s="108"/>
      <c r="GZ110" s="108"/>
      <c r="HA110" s="108"/>
      <c r="HB110" s="108"/>
      <c r="HC110" s="108"/>
      <c r="HD110" s="108"/>
      <c r="HE110" s="108"/>
      <c r="HF110" s="108"/>
      <c r="HG110" s="108"/>
      <c r="HH110" s="108"/>
      <c r="HI110" s="108"/>
      <c r="HJ110" s="108"/>
      <c r="HK110" s="108"/>
      <c r="HL110" s="108"/>
      <c r="HM110" s="108"/>
      <c r="HN110" s="108"/>
      <c r="HO110" s="108"/>
      <c r="HP110" s="108"/>
      <c r="HQ110" s="108"/>
      <c r="HR110" s="108"/>
      <c r="HS110" s="108"/>
      <c r="HT110" s="108"/>
      <c r="HU110" s="108"/>
      <c r="HV110" s="108"/>
      <c r="HW110" s="108"/>
      <c r="HX110" s="108"/>
      <c r="HY110" s="108"/>
      <c r="HZ110" s="108"/>
      <c r="IA110" s="108"/>
      <c r="IB110" s="108"/>
      <c r="IC110" s="108"/>
      <c r="ID110" s="108"/>
      <c r="IE110" s="108"/>
      <c r="IF110" s="108"/>
      <c r="IG110" s="108"/>
      <c r="IH110" s="108"/>
      <c r="II110" s="108"/>
      <c r="IJ110" s="108"/>
      <c r="IK110" s="108"/>
      <c r="IL110" s="108"/>
      <c r="IM110" s="108"/>
      <c r="IN110" s="108"/>
      <c r="IO110" s="108"/>
      <c r="IP110" s="108"/>
      <c r="IQ110" s="108"/>
      <c r="IR110" s="108"/>
      <c r="IS110" s="108"/>
      <c r="IT110" s="108"/>
      <c r="IU110" s="108"/>
      <c r="IV110" s="108"/>
      <c r="IW110" s="108"/>
    </row>
    <row r="111" spans="1:257" x14ac:dyDescent="0.3">
      <c r="A111" s="158"/>
      <c r="B111" s="158"/>
      <c r="C111" s="158"/>
      <c r="D111" s="158"/>
      <c r="E111" s="158"/>
      <c r="F111" s="158"/>
      <c r="G111" s="158"/>
      <c r="H111" s="158"/>
      <c r="I111" s="158"/>
      <c r="J111" s="158"/>
      <c r="K111" s="158"/>
      <c r="L111" s="158"/>
      <c r="M111" s="158"/>
      <c r="N111" s="158"/>
      <c r="O111" s="108"/>
      <c r="P111" s="108"/>
      <c r="Q111" s="108"/>
      <c r="R111" s="108"/>
      <c r="S111" s="108"/>
      <c r="T111" s="108"/>
      <c r="U111" s="108"/>
      <c r="V111" s="108"/>
      <c r="W111" s="108"/>
      <c r="X111" s="108"/>
      <c r="Y111" s="108"/>
      <c r="Z111" s="108"/>
      <c r="AA111" s="108"/>
      <c r="AB111" s="108"/>
      <c r="AC111" s="108"/>
      <c r="AD111" s="108"/>
      <c r="AE111" s="108"/>
      <c r="AF111" s="108"/>
      <c r="AG111" s="108"/>
      <c r="AH111" s="108"/>
      <c r="AI111" s="108"/>
      <c r="AJ111" s="108"/>
      <c r="AK111" s="108"/>
      <c r="AL111" s="108"/>
      <c r="AM111" s="108"/>
      <c r="AN111" s="108"/>
      <c r="AO111" s="108"/>
      <c r="AP111" s="108"/>
      <c r="AQ111" s="108"/>
      <c r="AR111" s="108"/>
      <c r="AS111" s="108"/>
      <c r="AT111" s="108"/>
      <c r="AU111" s="108"/>
      <c r="AV111" s="108"/>
      <c r="AW111" s="108"/>
      <c r="AX111" s="108"/>
      <c r="AY111" s="108"/>
      <c r="AZ111" s="108"/>
      <c r="BA111" s="108"/>
      <c r="BB111" s="108"/>
      <c r="BC111" s="108"/>
      <c r="BD111" s="108"/>
      <c r="BE111" s="108"/>
      <c r="BF111" s="108"/>
      <c r="BG111" s="108"/>
      <c r="BH111" s="108"/>
      <c r="BI111" s="108"/>
      <c r="BJ111" s="108"/>
      <c r="BK111" s="108"/>
      <c r="BL111" s="108"/>
      <c r="BM111" s="108"/>
      <c r="BN111" s="108"/>
      <c r="BO111" s="108"/>
      <c r="BP111" s="108"/>
      <c r="BQ111" s="108"/>
      <c r="BR111" s="108"/>
      <c r="BS111" s="108"/>
      <c r="BT111" s="108"/>
      <c r="BU111" s="108"/>
      <c r="BV111" s="108"/>
      <c r="BW111" s="108"/>
      <c r="BX111" s="108"/>
      <c r="BY111" s="108"/>
      <c r="BZ111" s="108"/>
      <c r="CA111" s="108"/>
      <c r="CB111" s="108"/>
      <c r="CC111" s="108"/>
      <c r="CD111" s="108"/>
      <c r="CE111" s="108"/>
      <c r="CF111" s="108"/>
      <c r="CG111" s="108"/>
      <c r="CH111" s="108"/>
      <c r="CI111" s="108"/>
      <c r="CJ111" s="108"/>
      <c r="CK111" s="108"/>
      <c r="CL111" s="108"/>
      <c r="CM111" s="108"/>
      <c r="CN111" s="108"/>
      <c r="CO111" s="108"/>
      <c r="CP111" s="108"/>
      <c r="CQ111" s="108"/>
      <c r="CR111" s="108"/>
      <c r="CS111" s="108"/>
      <c r="CT111" s="108"/>
      <c r="CU111" s="108"/>
      <c r="CV111" s="108"/>
      <c r="CW111" s="108"/>
      <c r="CX111" s="108"/>
      <c r="CY111" s="108"/>
      <c r="CZ111" s="108"/>
      <c r="DA111" s="108"/>
      <c r="DB111" s="108"/>
      <c r="DC111" s="108"/>
      <c r="DD111" s="108"/>
      <c r="DE111" s="108"/>
      <c r="DF111" s="108"/>
      <c r="DG111" s="108"/>
      <c r="DH111" s="108"/>
      <c r="DI111" s="108"/>
      <c r="DJ111" s="108"/>
      <c r="DK111" s="108"/>
      <c r="DL111" s="108"/>
      <c r="DM111" s="108"/>
      <c r="DN111" s="108"/>
      <c r="DO111" s="108"/>
      <c r="DP111" s="108"/>
      <c r="DQ111" s="108"/>
      <c r="DR111" s="108"/>
      <c r="DS111" s="108"/>
      <c r="DT111" s="108"/>
      <c r="DU111" s="108"/>
      <c r="DV111" s="108"/>
      <c r="DW111" s="108"/>
      <c r="DX111" s="108"/>
      <c r="DY111" s="108"/>
      <c r="DZ111" s="108"/>
      <c r="EA111" s="108"/>
      <c r="EB111" s="108"/>
      <c r="EC111" s="108"/>
      <c r="ED111" s="108"/>
      <c r="EE111" s="108"/>
      <c r="EF111" s="108"/>
      <c r="EG111" s="108"/>
      <c r="EH111" s="108"/>
      <c r="EI111" s="108"/>
      <c r="EJ111" s="108"/>
      <c r="EK111" s="108"/>
      <c r="EL111" s="108"/>
      <c r="EM111" s="108"/>
      <c r="EN111" s="108"/>
      <c r="EO111" s="108"/>
      <c r="EP111" s="108"/>
      <c r="EQ111" s="108"/>
      <c r="ER111" s="108"/>
      <c r="ES111" s="108"/>
      <c r="ET111" s="108"/>
      <c r="EU111" s="108"/>
      <c r="EV111" s="108"/>
      <c r="EW111" s="108"/>
      <c r="EX111" s="108"/>
      <c r="EY111" s="108"/>
      <c r="EZ111" s="108"/>
      <c r="FA111" s="108"/>
      <c r="FB111" s="108"/>
      <c r="FC111" s="108"/>
      <c r="FD111" s="108"/>
      <c r="FE111" s="108"/>
      <c r="FF111" s="108"/>
      <c r="FG111" s="108"/>
      <c r="FH111" s="108"/>
      <c r="FI111" s="108"/>
      <c r="FJ111" s="108"/>
      <c r="FK111" s="108"/>
      <c r="FL111" s="108"/>
      <c r="FM111" s="108"/>
      <c r="FN111" s="108"/>
      <c r="FO111" s="108"/>
      <c r="FP111" s="108"/>
      <c r="FQ111" s="108"/>
      <c r="FR111" s="108"/>
      <c r="FS111" s="108"/>
      <c r="FT111" s="108"/>
      <c r="FU111" s="108"/>
      <c r="FV111" s="108"/>
      <c r="FW111" s="108"/>
      <c r="FX111" s="108"/>
      <c r="FY111" s="108"/>
      <c r="FZ111" s="108"/>
      <c r="GA111" s="108"/>
      <c r="GB111" s="108"/>
      <c r="GC111" s="108"/>
      <c r="GD111" s="108"/>
      <c r="GE111" s="108"/>
      <c r="GF111" s="108"/>
      <c r="GG111" s="108"/>
      <c r="GH111" s="108"/>
      <c r="GI111" s="108"/>
      <c r="GJ111" s="108"/>
      <c r="GK111" s="108"/>
      <c r="GL111" s="108"/>
      <c r="GM111" s="108"/>
      <c r="GN111" s="108"/>
      <c r="GO111" s="108"/>
      <c r="GP111" s="108"/>
      <c r="GQ111" s="108"/>
      <c r="GR111" s="108"/>
      <c r="GS111" s="108"/>
      <c r="GT111" s="108"/>
      <c r="GU111" s="108"/>
      <c r="GV111" s="108"/>
      <c r="GW111" s="108"/>
      <c r="GX111" s="108"/>
      <c r="GY111" s="108"/>
      <c r="GZ111" s="108"/>
      <c r="HA111" s="108"/>
      <c r="HB111" s="108"/>
      <c r="HC111" s="108"/>
      <c r="HD111" s="108"/>
      <c r="HE111" s="108"/>
      <c r="HF111" s="108"/>
      <c r="HG111" s="108"/>
      <c r="HH111" s="108"/>
      <c r="HI111" s="108"/>
      <c r="HJ111" s="108"/>
      <c r="HK111" s="108"/>
      <c r="HL111" s="108"/>
      <c r="HM111" s="108"/>
      <c r="HN111" s="108"/>
      <c r="HO111" s="108"/>
      <c r="HP111" s="108"/>
      <c r="HQ111" s="108"/>
      <c r="HR111" s="108"/>
      <c r="HS111" s="108"/>
      <c r="HT111" s="108"/>
      <c r="HU111" s="108"/>
      <c r="HV111" s="108"/>
      <c r="HW111" s="108"/>
      <c r="HX111" s="108"/>
      <c r="HY111" s="108"/>
      <c r="HZ111" s="108"/>
      <c r="IA111" s="108"/>
      <c r="IB111" s="108"/>
      <c r="IC111" s="108"/>
      <c r="ID111" s="108"/>
      <c r="IE111" s="108"/>
      <c r="IF111" s="108"/>
      <c r="IG111" s="108"/>
      <c r="IH111" s="108"/>
      <c r="II111" s="108"/>
      <c r="IJ111" s="108"/>
      <c r="IK111" s="108"/>
      <c r="IL111" s="108"/>
      <c r="IM111" s="108"/>
      <c r="IN111" s="108"/>
      <c r="IO111" s="108"/>
      <c r="IP111" s="108"/>
      <c r="IQ111" s="108"/>
      <c r="IR111" s="108"/>
      <c r="IS111" s="108"/>
      <c r="IT111" s="108"/>
      <c r="IU111" s="108"/>
      <c r="IV111" s="108"/>
      <c r="IW111" s="108"/>
    </row>
    <row r="112" spans="1:257" x14ac:dyDescent="0.3">
      <c r="A112" s="158"/>
      <c r="B112" s="158"/>
      <c r="C112" s="158"/>
      <c r="D112" s="158"/>
      <c r="E112" s="158"/>
      <c r="F112" s="158"/>
      <c r="G112" s="158"/>
      <c r="H112" s="158"/>
      <c r="I112" s="158"/>
      <c r="J112" s="158"/>
      <c r="K112" s="158"/>
      <c r="L112" s="158"/>
      <c r="M112" s="158"/>
      <c r="N112" s="158"/>
      <c r="O112" s="108"/>
      <c r="P112" s="108"/>
      <c r="Q112" s="108"/>
      <c r="R112" s="108"/>
      <c r="S112" s="108"/>
      <c r="T112" s="108"/>
      <c r="U112" s="108"/>
      <c r="V112" s="108"/>
      <c r="W112" s="108"/>
      <c r="X112" s="108"/>
      <c r="Y112" s="108"/>
      <c r="Z112" s="108"/>
      <c r="AA112" s="108"/>
      <c r="AB112" s="108"/>
      <c r="AC112" s="108"/>
      <c r="AD112" s="108"/>
      <c r="AE112" s="108"/>
      <c r="AF112" s="108"/>
      <c r="AG112" s="108"/>
      <c r="AH112" s="108"/>
      <c r="AI112" s="108"/>
      <c r="AJ112" s="108"/>
      <c r="AK112" s="108"/>
      <c r="AL112" s="108"/>
      <c r="AM112" s="108"/>
      <c r="AN112" s="108"/>
      <c r="AO112" s="108"/>
      <c r="AP112" s="108"/>
      <c r="AQ112" s="108"/>
      <c r="AR112" s="108"/>
      <c r="AS112" s="108"/>
      <c r="AT112" s="108"/>
      <c r="AU112" s="108"/>
      <c r="AV112" s="108"/>
      <c r="AW112" s="108"/>
      <c r="AX112" s="108"/>
      <c r="AY112" s="108"/>
      <c r="AZ112" s="108"/>
      <c r="BA112" s="108"/>
      <c r="BB112" s="108"/>
      <c r="BC112" s="108"/>
      <c r="BD112" s="108"/>
      <c r="BE112" s="108"/>
      <c r="BF112" s="108"/>
      <c r="BG112" s="108"/>
      <c r="BH112" s="108"/>
      <c r="BI112" s="108"/>
      <c r="BJ112" s="108"/>
      <c r="BK112" s="108"/>
      <c r="BL112" s="108"/>
      <c r="BM112" s="108"/>
      <c r="BN112" s="108"/>
      <c r="BO112" s="108"/>
      <c r="BP112" s="108"/>
      <c r="BQ112" s="108"/>
      <c r="BR112" s="108"/>
      <c r="BS112" s="108"/>
      <c r="BT112" s="108"/>
      <c r="BU112" s="108"/>
      <c r="BV112" s="108"/>
      <c r="BW112" s="108"/>
      <c r="BX112" s="108"/>
      <c r="BY112" s="108"/>
      <c r="BZ112" s="108"/>
      <c r="CA112" s="108"/>
      <c r="CB112" s="108"/>
      <c r="CC112" s="108"/>
      <c r="CD112" s="108"/>
      <c r="CE112" s="108"/>
      <c r="CF112" s="108"/>
      <c r="CG112" s="108"/>
      <c r="CH112" s="108"/>
      <c r="CI112" s="108"/>
      <c r="CJ112" s="108"/>
      <c r="CK112" s="108"/>
      <c r="CL112" s="108"/>
      <c r="CM112" s="108"/>
      <c r="CN112" s="108"/>
      <c r="CO112" s="108"/>
      <c r="CP112" s="108"/>
      <c r="CQ112" s="108"/>
      <c r="CR112" s="108"/>
      <c r="CS112" s="108"/>
      <c r="CT112" s="108"/>
      <c r="CU112" s="108"/>
      <c r="CV112" s="108"/>
      <c r="CW112" s="108"/>
      <c r="CX112" s="108"/>
      <c r="CY112" s="108"/>
      <c r="CZ112" s="108"/>
      <c r="DA112" s="108"/>
      <c r="DB112" s="108"/>
      <c r="DC112" s="108"/>
      <c r="DD112" s="108"/>
      <c r="DE112" s="108"/>
      <c r="DF112" s="108"/>
      <c r="DG112" s="108"/>
      <c r="DH112" s="108"/>
      <c r="DI112" s="108"/>
      <c r="DJ112" s="108"/>
      <c r="DK112" s="108"/>
      <c r="DL112" s="108"/>
      <c r="DM112" s="108"/>
      <c r="DN112" s="108"/>
      <c r="DO112" s="108"/>
      <c r="DP112" s="108"/>
      <c r="DQ112" s="108"/>
      <c r="DR112" s="108"/>
      <c r="DS112" s="108"/>
      <c r="DT112" s="108"/>
      <c r="DU112" s="108"/>
      <c r="DV112" s="108"/>
      <c r="DW112" s="108"/>
      <c r="DX112" s="108"/>
      <c r="DY112" s="108"/>
      <c r="DZ112" s="108"/>
      <c r="EA112" s="108"/>
      <c r="EB112" s="108"/>
      <c r="EC112" s="108"/>
      <c r="ED112" s="108"/>
      <c r="EE112" s="108"/>
      <c r="EF112" s="108"/>
      <c r="EG112" s="108"/>
      <c r="EH112" s="108"/>
      <c r="EI112" s="108"/>
      <c r="EJ112" s="108"/>
      <c r="EK112" s="108"/>
      <c r="EL112" s="108"/>
      <c r="EM112" s="108"/>
      <c r="EN112" s="108"/>
      <c r="EO112" s="108"/>
      <c r="EP112" s="108"/>
      <c r="EQ112" s="108"/>
      <c r="ER112" s="108"/>
      <c r="ES112" s="108"/>
      <c r="ET112" s="108"/>
      <c r="EU112" s="108"/>
      <c r="EV112" s="108"/>
      <c r="EW112" s="108"/>
      <c r="EX112" s="108"/>
      <c r="EY112" s="108"/>
      <c r="EZ112" s="108"/>
      <c r="FA112" s="108"/>
      <c r="FB112" s="108"/>
      <c r="FC112" s="108"/>
      <c r="FD112" s="108"/>
      <c r="FE112" s="108"/>
      <c r="FF112" s="108"/>
      <c r="FG112" s="108"/>
      <c r="FH112" s="108"/>
      <c r="FI112" s="108"/>
      <c r="FJ112" s="108"/>
      <c r="FK112" s="108"/>
      <c r="FL112" s="108"/>
      <c r="FM112" s="108"/>
      <c r="FN112" s="108"/>
      <c r="FO112" s="108"/>
      <c r="FP112" s="108"/>
      <c r="FQ112" s="108"/>
      <c r="FR112" s="108"/>
      <c r="FS112" s="108"/>
      <c r="FT112" s="108"/>
      <c r="FU112" s="108"/>
      <c r="FV112" s="108"/>
      <c r="FW112" s="108"/>
      <c r="FX112" s="108"/>
      <c r="FY112" s="108"/>
      <c r="FZ112" s="108"/>
      <c r="GA112" s="108"/>
      <c r="GB112" s="108"/>
      <c r="GC112" s="108"/>
      <c r="GD112" s="108"/>
      <c r="GE112" s="108"/>
      <c r="GF112" s="108"/>
      <c r="GG112" s="108"/>
      <c r="GH112" s="108"/>
      <c r="GI112" s="108"/>
      <c r="GJ112" s="108"/>
      <c r="GK112" s="108"/>
      <c r="GL112" s="108"/>
      <c r="GM112" s="108"/>
      <c r="GN112" s="108"/>
      <c r="GO112" s="108"/>
      <c r="GP112" s="108"/>
      <c r="GQ112" s="108"/>
      <c r="GR112" s="108"/>
      <c r="GS112" s="108"/>
      <c r="GT112" s="108"/>
      <c r="GU112" s="108"/>
      <c r="GV112" s="108"/>
      <c r="GW112" s="108"/>
      <c r="GX112" s="108"/>
      <c r="GY112" s="108"/>
      <c r="GZ112" s="108"/>
      <c r="HA112" s="108"/>
      <c r="HB112" s="108"/>
      <c r="HC112" s="108"/>
      <c r="HD112" s="108"/>
      <c r="HE112" s="108"/>
      <c r="HF112" s="108"/>
      <c r="HG112" s="108"/>
      <c r="HH112" s="108"/>
      <c r="HI112" s="108"/>
      <c r="HJ112" s="108"/>
      <c r="HK112" s="108"/>
      <c r="HL112" s="108"/>
      <c r="HM112" s="108"/>
      <c r="HN112" s="108"/>
      <c r="HO112" s="108"/>
      <c r="HP112" s="108"/>
      <c r="HQ112" s="108"/>
      <c r="HR112" s="108"/>
      <c r="HS112" s="108"/>
      <c r="HT112" s="108"/>
      <c r="HU112" s="108"/>
      <c r="HV112" s="108"/>
      <c r="HW112" s="108"/>
      <c r="HX112" s="108"/>
      <c r="HY112" s="108"/>
      <c r="HZ112" s="108"/>
      <c r="IA112" s="108"/>
      <c r="IB112" s="108"/>
      <c r="IC112" s="108"/>
      <c r="ID112" s="108"/>
      <c r="IE112" s="108"/>
      <c r="IF112" s="108"/>
      <c r="IG112" s="108"/>
      <c r="IH112" s="108"/>
      <c r="II112" s="108"/>
      <c r="IJ112" s="108"/>
      <c r="IK112" s="108"/>
      <c r="IL112" s="108"/>
      <c r="IM112" s="108"/>
      <c r="IN112" s="108"/>
      <c r="IO112" s="108"/>
      <c r="IP112" s="108"/>
      <c r="IQ112" s="108"/>
      <c r="IR112" s="108"/>
      <c r="IS112" s="108"/>
      <c r="IT112" s="108"/>
      <c r="IU112" s="108"/>
      <c r="IV112" s="108"/>
      <c r="IW112" s="108"/>
    </row>
    <row r="113" spans="1:257" x14ac:dyDescent="0.3">
      <c r="A113" s="158"/>
      <c r="B113" s="158"/>
      <c r="C113" s="158"/>
      <c r="D113" s="158"/>
      <c r="E113" s="158"/>
      <c r="F113" s="158"/>
      <c r="G113" s="158"/>
      <c r="H113" s="158"/>
      <c r="I113" s="158"/>
      <c r="J113" s="158"/>
      <c r="K113" s="158"/>
      <c r="L113" s="158"/>
      <c r="M113" s="158"/>
      <c r="N113" s="158"/>
      <c r="O113" s="108"/>
      <c r="P113" s="108"/>
      <c r="Q113" s="108"/>
      <c r="R113" s="108"/>
      <c r="S113" s="108"/>
      <c r="T113" s="108"/>
      <c r="U113" s="108"/>
      <c r="V113" s="108"/>
      <c r="W113" s="108"/>
      <c r="X113" s="108"/>
      <c r="Y113" s="108"/>
      <c r="Z113" s="108"/>
      <c r="AA113" s="108"/>
      <c r="AB113" s="108"/>
      <c r="AC113" s="108"/>
      <c r="AD113" s="108"/>
      <c r="AE113" s="108"/>
      <c r="AF113" s="108"/>
      <c r="AG113" s="108"/>
      <c r="AH113" s="108"/>
      <c r="AI113" s="108"/>
      <c r="AJ113" s="108"/>
      <c r="AK113" s="108"/>
      <c r="AL113" s="108"/>
      <c r="AM113" s="108"/>
      <c r="AN113" s="108"/>
      <c r="AO113" s="108"/>
      <c r="AP113" s="108"/>
      <c r="AQ113" s="108"/>
      <c r="AR113" s="108"/>
      <c r="AS113" s="108"/>
      <c r="AT113" s="108"/>
      <c r="AU113" s="108"/>
      <c r="AV113" s="108"/>
      <c r="AW113" s="108"/>
      <c r="AX113" s="108"/>
      <c r="AY113" s="108"/>
      <c r="AZ113" s="108"/>
      <c r="BA113" s="108"/>
      <c r="BB113" s="108"/>
      <c r="BC113" s="108"/>
      <c r="BD113" s="108"/>
      <c r="BE113" s="108"/>
      <c r="BF113" s="108"/>
      <c r="BG113" s="108"/>
      <c r="BH113" s="108"/>
      <c r="BI113" s="108"/>
      <c r="BJ113" s="108"/>
      <c r="BK113" s="108"/>
      <c r="BL113" s="108"/>
      <c r="BM113" s="108"/>
      <c r="BN113" s="108"/>
      <c r="BO113" s="108"/>
      <c r="BP113" s="108"/>
      <c r="BQ113" s="108"/>
      <c r="BR113" s="108"/>
      <c r="BS113" s="108"/>
      <c r="BT113" s="108"/>
      <c r="BU113" s="108"/>
      <c r="BV113" s="108"/>
      <c r="BW113" s="108"/>
      <c r="BX113" s="108"/>
      <c r="BY113" s="108"/>
      <c r="BZ113" s="108"/>
      <c r="CA113" s="108"/>
      <c r="CB113" s="108"/>
      <c r="CC113" s="108"/>
      <c r="CD113" s="108"/>
      <c r="CE113" s="108"/>
      <c r="CF113" s="108"/>
      <c r="CG113" s="108"/>
      <c r="CH113" s="108"/>
      <c r="CI113" s="108"/>
      <c r="CJ113" s="108"/>
      <c r="CK113" s="108"/>
      <c r="CL113" s="108"/>
      <c r="CM113" s="108"/>
      <c r="CN113" s="108"/>
      <c r="CO113" s="108"/>
      <c r="CP113" s="108"/>
      <c r="CQ113" s="108"/>
      <c r="CR113" s="108"/>
      <c r="CS113" s="108"/>
      <c r="CT113" s="108"/>
      <c r="CU113" s="108"/>
      <c r="CV113" s="108"/>
      <c r="CW113" s="108"/>
      <c r="CX113" s="108"/>
      <c r="CY113" s="108"/>
      <c r="CZ113" s="108"/>
      <c r="DA113" s="108"/>
      <c r="DB113" s="108"/>
      <c r="DC113" s="108"/>
      <c r="DD113" s="108"/>
      <c r="DE113" s="108"/>
      <c r="DF113" s="108"/>
      <c r="DG113" s="108"/>
      <c r="DH113" s="108"/>
      <c r="DI113" s="108"/>
      <c r="DJ113" s="108"/>
      <c r="DK113" s="108"/>
      <c r="DL113" s="108"/>
      <c r="DM113" s="108"/>
      <c r="DN113" s="108"/>
      <c r="DO113" s="108"/>
      <c r="DP113" s="108"/>
      <c r="DQ113" s="108"/>
      <c r="DR113" s="108"/>
      <c r="DS113" s="108"/>
      <c r="DT113" s="108"/>
      <c r="DU113" s="108"/>
      <c r="DV113" s="108"/>
      <c r="DW113" s="108"/>
      <c r="DX113" s="108"/>
      <c r="DY113" s="108"/>
      <c r="DZ113" s="108"/>
      <c r="EA113" s="108"/>
      <c r="EB113" s="108"/>
      <c r="EC113" s="108"/>
      <c r="ED113" s="108"/>
      <c r="EE113" s="108"/>
      <c r="EF113" s="108"/>
      <c r="EG113" s="108"/>
      <c r="EH113" s="108"/>
      <c r="EI113" s="108"/>
      <c r="EJ113" s="108"/>
      <c r="EK113" s="108"/>
      <c r="EL113" s="108"/>
      <c r="EM113" s="108"/>
      <c r="EN113" s="108"/>
      <c r="EO113" s="108"/>
      <c r="EP113" s="108"/>
      <c r="EQ113" s="108"/>
      <c r="ER113" s="108"/>
      <c r="ES113" s="108"/>
      <c r="ET113" s="108"/>
      <c r="EU113" s="108"/>
      <c r="EV113" s="108"/>
      <c r="EW113" s="108"/>
      <c r="EX113" s="108"/>
      <c r="EY113" s="108"/>
      <c r="EZ113" s="108"/>
      <c r="FA113" s="108"/>
      <c r="FB113" s="108"/>
      <c r="FC113" s="108"/>
      <c r="FD113" s="108"/>
      <c r="FE113" s="108"/>
      <c r="FF113" s="108"/>
      <c r="FG113" s="108"/>
      <c r="FH113" s="108"/>
      <c r="FI113" s="108"/>
      <c r="FJ113" s="108"/>
      <c r="FK113" s="108"/>
      <c r="FL113" s="108"/>
      <c r="FM113" s="108"/>
      <c r="FN113" s="108"/>
      <c r="FO113" s="108"/>
      <c r="FP113" s="108"/>
      <c r="FQ113" s="108"/>
      <c r="FR113" s="108"/>
      <c r="FS113" s="108"/>
      <c r="FT113" s="108"/>
      <c r="FU113" s="108"/>
      <c r="FV113" s="108"/>
      <c r="FW113" s="108"/>
      <c r="FX113" s="108"/>
      <c r="FY113" s="108"/>
      <c r="FZ113" s="108"/>
      <c r="GA113" s="108"/>
      <c r="GB113" s="108"/>
      <c r="GC113" s="108"/>
      <c r="GD113" s="108"/>
      <c r="GE113" s="108"/>
      <c r="GF113" s="108"/>
      <c r="GG113" s="108"/>
      <c r="GH113" s="108"/>
      <c r="GI113" s="108"/>
      <c r="GJ113" s="108"/>
      <c r="GK113" s="108"/>
      <c r="GL113" s="108"/>
      <c r="GM113" s="108"/>
      <c r="GN113" s="108"/>
      <c r="GO113" s="108"/>
      <c r="GP113" s="108"/>
      <c r="GQ113" s="108"/>
      <c r="GR113" s="108"/>
      <c r="GS113" s="108"/>
      <c r="GT113" s="108"/>
      <c r="GU113" s="108"/>
      <c r="GV113" s="108"/>
      <c r="GW113" s="108"/>
      <c r="GX113" s="108"/>
      <c r="GY113" s="108"/>
      <c r="GZ113" s="108"/>
      <c r="HA113" s="108"/>
      <c r="HB113" s="108"/>
      <c r="HC113" s="108"/>
      <c r="HD113" s="108"/>
      <c r="HE113" s="108"/>
      <c r="HF113" s="108"/>
      <c r="HG113" s="108"/>
      <c r="HH113" s="108"/>
      <c r="HI113" s="108"/>
      <c r="HJ113" s="108"/>
      <c r="HK113" s="108"/>
      <c r="HL113" s="108"/>
      <c r="HM113" s="108"/>
      <c r="HN113" s="108"/>
      <c r="HO113" s="108"/>
      <c r="HP113" s="108"/>
      <c r="HQ113" s="108"/>
      <c r="HR113" s="108"/>
      <c r="HS113" s="108"/>
      <c r="HT113" s="108"/>
      <c r="HU113" s="108"/>
      <c r="HV113" s="108"/>
      <c r="HW113" s="108"/>
      <c r="HX113" s="108"/>
      <c r="HY113" s="108"/>
      <c r="HZ113" s="108"/>
      <c r="IA113" s="108"/>
      <c r="IB113" s="108"/>
      <c r="IC113" s="108"/>
      <c r="ID113" s="108"/>
      <c r="IE113" s="108"/>
      <c r="IF113" s="108"/>
      <c r="IG113" s="108"/>
      <c r="IH113" s="108"/>
      <c r="II113" s="108"/>
      <c r="IJ113" s="108"/>
      <c r="IK113" s="108"/>
      <c r="IL113" s="108"/>
      <c r="IM113" s="108"/>
      <c r="IN113" s="108"/>
      <c r="IO113" s="108"/>
      <c r="IP113" s="108"/>
      <c r="IQ113" s="108"/>
      <c r="IR113" s="108"/>
      <c r="IS113" s="108"/>
      <c r="IT113" s="108"/>
      <c r="IU113" s="108"/>
      <c r="IV113" s="108"/>
      <c r="IW113" s="108"/>
    </row>
    <row r="114" spans="1:257" x14ac:dyDescent="0.3">
      <c r="A114" s="158"/>
      <c r="B114" s="158"/>
      <c r="C114" s="158"/>
      <c r="D114" s="158"/>
      <c r="E114" s="158"/>
      <c r="F114" s="158"/>
      <c r="G114" s="158"/>
      <c r="H114" s="158"/>
      <c r="I114" s="158"/>
      <c r="J114" s="158"/>
      <c r="K114" s="158"/>
      <c r="L114" s="158"/>
      <c r="M114" s="158"/>
      <c r="N114" s="158"/>
      <c r="O114" s="108"/>
      <c r="P114" s="108"/>
      <c r="Q114" s="108"/>
      <c r="R114" s="108"/>
      <c r="S114" s="108"/>
      <c r="T114" s="108"/>
      <c r="U114" s="108"/>
      <c r="V114" s="108"/>
      <c r="W114" s="108"/>
      <c r="X114" s="108"/>
      <c r="Y114" s="108"/>
      <c r="Z114" s="108"/>
      <c r="AA114" s="108"/>
      <c r="AB114" s="108"/>
      <c r="AC114" s="108"/>
      <c r="AD114" s="108"/>
      <c r="AE114" s="108"/>
      <c r="AF114" s="108"/>
      <c r="AG114" s="108"/>
      <c r="AH114" s="108"/>
      <c r="AI114" s="108"/>
      <c r="AJ114" s="108"/>
      <c r="AK114" s="108"/>
      <c r="AL114" s="108"/>
      <c r="AM114" s="108"/>
      <c r="AN114" s="108"/>
      <c r="AO114" s="108"/>
      <c r="AP114" s="108"/>
      <c r="AQ114" s="108"/>
      <c r="AR114" s="108"/>
      <c r="AS114" s="108"/>
      <c r="AT114" s="108"/>
      <c r="AU114" s="108"/>
      <c r="AV114" s="108"/>
      <c r="AW114" s="108"/>
      <c r="AX114" s="108"/>
      <c r="AY114" s="108"/>
      <c r="AZ114" s="108"/>
      <c r="BA114" s="108"/>
      <c r="BB114" s="108"/>
      <c r="BC114" s="108"/>
      <c r="BD114" s="108"/>
      <c r="BE114" s="108"/>
      <c r="BF114" s="108"/>
      <c r="BG114" s="108"/>
      <c r="BH114" s="108"/>
      <c r="BI114" s="108"/>
      <c r="BJ114" s="108"/>
      <c r="BK114" s="108"/>
      <c r="BL114" s="108"/>
      <c r="BM114" s="108"/>
      <c r="BN114" s="108"/>
      <c r="BO114" s="108"/>
      <c r="BP114" s="108"/>
      <c r="BQ114" s="108"/>
      <c r="BR114" s="108"/>
      <c r="BS114" s="108"/>
      <c r="BT114" s="108"/>
      <c r="BU114" s="108"/>
      <c r="BV114" s="108"/>
      <c r="BW114" s="108"/>
      <c r="BX114" s="108"/>
      <c r="BY114" s="108"/>
      <c r="BZ114" s="108"/>
      <c r="CA114" s="108"/>
      <c r="CB114" s="108"/>
      <c r="CC114" s="108"/>
      <c r="CD114" s="108"/>
      <c r="CE114" s="108"/>
      <c r="CF114" s="108"/>
      <c r="CG114" s="108"/>
      <c r="CH114" s="108"/>
      <c r="CI114" s="108"/>
      <c r="CJ114" s="108"/>
      <c r="CK114" s="108"/>
      <c r="CL114" s="108"/>
      <c r="CM114" s="108"/>
      <c r="CN114" s="108"/>
      <c r="CO114" s="108"/>
      <c r="CP114" s="108"/>
      <c r="CQ114" s="108"/>
      <c r="CR114" s="108"/>
      <c r="CS114" s="108"/>
      <c r="CT114" s="108"/>
      <c r="CU114" s="108"/>
      <c r="CV114" s="108"/>
      <c r="CW114" s="108"/>
      <c r="CX114" s="108"/>
      <c r="CY114" s="108"/>
      <c r="CZ114" s="108"/>
      <c r="DA114" s="108"/>
      <c r="DB114" s="108"/>
      <c r="DC114" s="108"/>
      <c r="DD114" s="108"/>
      <c r="DE114" s="108"/>
      <c r="DF114" s="108"/>
      <c r="DG114" s="108"/>
      <c r="DH114" s="108"/>
      <c r="DI114" s="108"/>
      <c r="DJ114" s="108"/>
      <c r="DK114" s="108"/>
      <c r="DL114" s="108"/>
      <c r="DM114" s="108"/>
      <c r="DN114" s="108"/>
      <c r="DO114" s="108"/>
      <c r="DP114" s="108"/>
      <c r="DQ114" s="108"/>
      <c r="DR114" s="108"/>
      <c r="DS114" s="108"/>
      <c r="DT114" s="108"/>
      <c r="DU114" s="108"/>
      <c r="DV114" s="108"/>
      <c r="DW114" s="108"/>
      <c r="DX114" s="108"/>
      <c r="DY114" s="108"/>
      <c r="DZ114" s="108"/>
      <c r="EA114" s="108"/>
      <c r="EB114" s="108"/>
      <c r="EC114" s="108"/>
      <c r="ED114" s="108"/>
      <c r="EE114" s="108"/>
      <c r="EF114" s="108"/>
      <c r="EG114" s="108"/>
      <c r="EH114" s="108"/>
      <c r="EI114" s="108"/>
      <c r="EJ114" s="108"/>
      <c r="EK114" s="108"/>
      <c r="EL114" s="108"/>
      <c r="EM114" s="108"/>
      <c r="EN114" s="108"/>
      <c r="EO114" s="108"/>
      <c r="EP114" s="108"/>
      <c r="EQ114" s="108"/>
      <c r="ER114" s="108"/>
      <c r="ES114" s="108"/>
      <c r="ET114" s="108"/>
      <c r="EU114" s="108"/>
      <c r="EV114" s="108"/>
      <c r="EW114" s="108"/>
      <c r="EX114" s="108"/>
      <c r="EY114" s="108"/>
      <c r="EZ114" s="108"/>
      <c r="FA114" s="108"/>
      <c r="FB114" s="108"/>
      <c r="FC114" s="108"/>
      <c r="FD114" s="108"/>
      <c r="FE114" s="108"/>
      <c r="FF114" s="108"/>
      <c r="FG114" s="108"/>
      <c r="FH114" s="108"/>
      <c r="FI114" s="108"/>
      <c r="FJ114" s="108"/>
      <c r="FK114" s="108"/>
      <c r="FL114" s="108"/>
      <c r="FM114" s="108"/>
      <c r="FN114" s="108"/>
      <c r="FO114" s="108"/>
      <c r="FP114" s="108"/>
      <c r="FQ114" s="108"/>
      <c r="FR114" s="108"/>
      <c r="FS114" s="108"/>
      <c r="FT114" s="108"/>
      <c r="FU114" s="108"/>
      <c r="FV114" s="108"/>
      <c r="FW114" s="108"/>
      <c r="FX114" s="108"/>
      <c r="FY114" s="108"/>
      <c r="FZ114" s="108"/>
      <c r="GA114" s="108"/>
      <c r="GB114" s="108"/>
      <c r="GC114" s="108"/>
      <c r="GD114" s="108"/>
      <c r="GE114" s="108"/>
      <c r="GF114" s="108"/>
      <c r="GG114" s="108"/>
      <c r="GH114" s="108"/>
      <c r="GI114" s="108"/>
      <c r="GJ114" s="108"/>
      <c r="GK114" s="108"/>
      <c r="GL114" s="108"/>
      <c r="GM114" s="108"/>
      <c r="GN114" s="108"/>
      <c r="GO114" s="108"/>
      <c r="GP114" s="108"/>
      <c r="GQ114" s="108"/>
      <c r="GR114" s="108"/>
      <c r="GS114" s="108"/>
      <c r="GT114" s="108"/>
      <c r="GU114" s="108"/>
      <c r="GV114" s="108"/>
      <c r="GW114" s="108"/>
      <c r="GX114" s="108"/>
      <c r="GY114" s="108"/>
      <c r="GZ114" s="108"/>
      <c r="HA114" s="108"/>
      <c r="HB114" s="108"/>
      <c r="HC114" s="108"/>
      <c r="HD114" s="108"/>
      <c r="HE114" s="108"/>
      <c r="HF114" s="108"/>
      <c r="HG114" s="108"/>
      <c r="HH114" s="108"/>
      <c r="HI114" s="108"/>
      <c r="HJ114" s="108"/>
      <c r="HK114" s="108"/>
      <c r="HL114" s="108"/>
      <c r="HM114" s="108"/>
      <c r="HN114" s="108"/>
      <c r="HO114" s="108"/>
      <c r="HP114" s="108"/>
      <c r="HQ114" s="108"/>
      <c r="HR114" s="108"/>
      <c r="HS114" s="108"/>
      <c r="HT114" s="108"/>
      <c r="HU114" s="108"/>
      <c r="HV114" s="108"/>
      <c r="HW114" s="108"/>
      <c r="HX114" s="108"/>
      <c r="HY114" s="108"/>
      <c r="HZ114" s="108"/>
      <c r="IA114" s="108"/>
      <c r="IB114" s="108"/>
      <c r="IC114" s="108"/>
      <c r="ID114" s="108"/>
      <c r="IE114" s="108"/>
      <c r="IF114" s="108"/>
      <c r="IG114" s="108"/>
      <c r="IH114" s="108"/>
      <c r="II114" s="108"/>
      <c r="IJ114" s="108"/>
      <c r="IK114" s="108"/>
      <c r="IL114" s="108"/>
      <c r="IM114" s="108"/>
      <c r="IN114" s="108"/>
      <c r="IO114" s="108"/>
      <c r="IP114" s="108"/>
      <c r="IQ114" s="108"/>
      <c r="IR114" s="108"/>
      <c r="IS114" s="108"/>
      <c r="IT114" s="108"/>
      <c r="IU114" s="108"/>
      <c r="IV114" s="108"/>
      <c r="IW114" s="108"/>
    </row>
    <row r="115" spans="1:257" x14ac:dyDescent="0.3">
      <c r="A115" s="158"/>
      <c r="B115" s="158"/>
      <c r="C115" s="158"/>
      <c r="D115" s="158"/>
      <c r="E115" s="158"/>
      <c r="F115" s="158"/>
      <c r="G115" s="158"/>
      <c r="H115" s="158"/>
      <c r="I115" s="158"/>
      <c r="J115" s="158"/>
      <c r="K115" s="158"/>
      <c r="L115" s="158"/>
      <c r="M115" s="158"/>
      <c r="N115" s="158"/>
      <c r="O115" s="108"/>
      <c r="P115" s="108"/>
      <c r="Q115" s="108"/>
      <c r="R115" s="108"/>
      <c r="S115" s="108"/>
      <c r="T115" s="108"/>
      <c r="U115" s="108"/>
      <c r="V115" s="108"/>
      <c r="W115" s="108"/>
      <c r="X115" s="108"/>
      <c r="Y115" s="108"/>
      <c r="Z115" s="108"/>
      <c r="AA115" s="108"/>
      <c r="AB115" s="108"/>
      <c r="AC115" s="108"/>
      <c r="AD115" s="108"/>
      <c r="AE115" s="108"/>
      <c r="AF115" s="108"/>
      <c r="AG115" s="108"/>
      <c r="AH115" s="108"/>
      <c r="AI115" s="108"/>
      <c r="AJ115" s="108"/>
      <c r="AK115" s="108"/>
      <c r="AL115" s="108"/>
      <c r="AM115" s="108"/>
      <c r="AN115" s="108"/>
      <c r="AO115" s="108"/>
      <c r="AP115" s="108"/>
      <c r="AQ115" s="108"/>
      <c r="AR115" s="108"/>
      <c r="AS115" s="108"/>
      <c r="AT115" s="108"/>
      <c r="AU115" s="108"/>
      <c r="AV115" s="108"/>
      <c r="AW115" s="108"/>
      <c r="AX115" s="108"/>
      <c r="AY115" s="108"/>
      <c r="AZ115" s="108"/>
      <c r="BA115" s="108"/>
      <c r="BB115" s="108"/>
      <c r="BC115" s="108"/>
      <c r="BD115" s="108"/>
      <c r="BE115" s="108"/>
      <c r="BF115" s="108"/>
      <c r="BG115" s="108"/>
      <c r="BH115" s="108"/>
      <c r="BI115" s="108"/>
      <c r="BJ115" s="108"/>
      <c r="BK115" s="108"/>
      <c r="BL115" s="108"/>
      <c r="BM115" s="108"/>
      <c r="BN115" s="108"/>
      <c r="BO115" s="108"/>
      <c r="BP115" s="108"/>
      <c r="BQ115" s="108"/>
      <c r="BR115" s="108"/>
      <c r="BS115" s="108"/>
      <c r="BT115" s="108"/>
      <c r="BU115" s="108"/>
      <c r="BV115" s="108"/>
      <c r="BW115" s="108"/>
      <c r="BX115" s="108"/>
      <c r="BY115" s="108"/>
      <c r="BZ115" s="108"/>
      <c r="CA115" s="108"/>
      <c r="CB115" s="108"/>
      <c r="CC115" s="108"/>
      <c r="CD115" s="108"/>
      <c r="CE115" s="108"/>
      <c r="CF115" s="108"/>
      <c r="CG115" s="108"/>
      <c r="CH115" s="108"/>
      <c r="CI115" s="108"/>
      <c r="CJ115" s="108"/>
      <c r="CK115" s="108"/>
      <c r="CL115" s="108"/>
      <c r="CM115" s="108"/>
      <c r="CN115" s="108"/>
      <c r="CO115" s="108"/>
      <c r="CP115" s="108"/>
      <c r="CQ115" s="108"/>
      <c r="CR115" s="108"/>
      <c r="CS115" s="108"/>
      <c r="CT115" s="108"/>
      <c r="CU115" s="108"/>
      <c r="CV115" s="108"/>
      <c r="CW115" s="108"/>
      <c r="CX115" s="108"/>
      <c r="CY115" s="108"/>
      <c r="CZ115" s="108"/>
      <c r="DA115" s="108"/>
      <c r="DB115" s="108"/>
      <c r="DC115" s="108"/>
      <c r="DD115" s="108"/>
      <c r="DE115" s="108"/>
      <c r="DF115" s="108"/>
      <c r="DG115" s="108"/>
      <c r="DH115" s="108"/>
      <c r="DI115" s="108"/>
      <c r="DJ115" s="108"/>
      <c r="DK115" s="108"/>
      <c r="DL115" s="108"/>
      <c r="DM115" s="108"/>
      <c r="DN115" s="108"/>
      <c r="DO115" s="108"/>
      <c r="DP115" s="108"/>
      <c r="DQ115" s="108"/>
      <c r="DR115" s="108"/>
      <c r="DS115" s="108"/>
      <c r="DT115" s="108"/>
      <c r="DU115" s="108"/>
      <c r="DV115" s="108"/>
      <c r="DW115" s="108"/>
      <c r="DX115" s="108"/>
      <c r="DY115" s="108"/>
      <c r="DZ115" s="108"/>
      <c r="EA115" s="108"/>
      <c r="EB115" s="108"/>
      <c r="EC115" s="108"/>
      <c r="ED115" s="108"/>
      <c r="EE115" s="108"/>
      <c r="EF115" s="108"/>
      <c r="EG115" s="108"/>
      <c r="EH115" s="108"/>
      <c r="EI115" s="108"/>
      <c r="EJ115" s="108"/>
      <c r="EK115" s="108"/>
      <c r="EL115" s="108"/>
      <c r="EM115" s="108"/>
      <c r="EN115" s="108"/>
      <c r="EO115" s="108"/>
      <c r="EP115" s="108"/>
      <c r="EQ115" s="108"/>
      <c r="ER115" s="108"/>
      <c r="ES115" s="108"/>
      <c r="ET115" s="108"/>
      <c r="EU115" s="108"/>
      <c r="EV115" s="108"/>
      <c r="EW115" s="108"/>
      <c r="EX115" s="108"/>
      <c r="EY115" s="108"/>
      <c r="EZ115" s="108"/>
      <c r="FA115" s="108"/>
      <c r="FB115" s="108"/>
      <c r="FC115" s="108"/>
      <c r="FD115" s="108"/>
      <c r="FE115" s="108"/>
      <c r="FF115" s="108"/>
      <c r="FG115" s="108"/>
      <c r="FH115" s="108"/>
      <c r="FI115" s="108"/>
      <c r="FJ115" s="108"/>
      <c r="FK115" s="108"/>
      <c r="FL115" s="108"/>
      <c r="FM115" s="108"/>
      <c r="FN115" s="108"/>
      <c r="FO115" s="108"/>
      <c r="FP115" s="108"/>
      <c r="FQ115" s="108"/>
      <c r="FR115" s="108"/>
      <c r="FS115" s="108"/>
      <c r="FT115" s="108"/>
      <c r="FU115" s="108"/>
      <c r="FV115" s="108"/>
      <c r="FW115" s="108"/>
      <c r="FX115" s="108"/>
      <c r="FY115" s="108"/>
      <c r="FZ115" s="108"/>
      <c r="GA115" s="108"/>
      <c r="GB115" s="108"/>
      <c r="GC115" s="108"/>
      <c r="GD115" s="108"/>
      <c r="GE115" s="108"/>
      <c r="GF115" s="108"/>
      <c r="GG115" s="108"/>
      <c r="GH115" s="108"/>
      <c r="GI115" s="108"/>
      <c r="GJ115" s="108"/>
      <c r="GK115" s="108"/>
      <c r="GL115" s="108"/>
      <c r="GM115" s="108"/>
      <c r="GN115" s="108"/>
      <c r="GO115" s="108"/>
      <c r="GP115" s="108"/>
      <c r="GQ115" s="108"/>
      <c r="GR115" s="108"/>
      <c r="GS115" s="108"/>
      <c r="GT115" s="108"/>
      <c r="GU115" s="108"/>
      <c r="GV115" s="108"/>
      <c r="GW115" s="108"/>
      <c r="GX115" s="108"/>
      <c r="GY115" s="108"/>
      <c r="GZ115" s="108"/>
      <c r="HA115" s="108"/>
      <c r="HB115" s="108"/>
      <c r="HC115" s="108"/>
      <c r="HD115" s="108"/>
      <c r="HE115" s="108"/>
      <c r="HF115" s="108"/>
      <c r="HG115" s="108"/>
      <c r="HH115" s="108"/>
      <c r="HI115" s="108"/>
      <c r="HJ115" s="108"/>
      <c r="HK115" s="108"/>
      <c r="HL115" s="108"/>
      <c r="HM115" s="108"/>
      <c r="HN115" s="108"/>
      <c r="HO115" s="108"/>
      <c r="HP115" s="108"/>
      <c r="HQ115" s="108"/>
      <c r="HR115" s="108"/>
      <c r="HS115" s="108"/>
      <c r="HT115" s="108"/>
      <c r="HU115" s="108"/>
      <c r="HV115" s="108"/>
      <c r="HW115" s="108"/>
      <c r="HX115" s="108"/>
      <c r="HY115" s="108"/>
      <c r="HZ115" s="108"/>
      <c r="IA115" s="108"/>
      <c r="IB115" s="108"/>
      <c r="IC115" s="108"/>
      <c r="ID115" s="108"/>
      <c r="IE115" s="108"/>
      <c r="IF115" s="108"/>
      <c r="IG115" s="108"/>
      <c r="IH115" s="108"/>
      <c r="II115" s="108"/>
      <c r="IJ115" s="108"/>
      <c r="IK115" s="108"/>
      <c r="IL115" s="108"/>
      <c r="IM115" s="108"/>
      <c r="IN115" s="108"/>
      <c r="IO115" s="108"/>
      <c r="IP115" s="108"/>
      <c r="IQ115" s="108"/>
      <c r="IR115" s="108"/>
      <c r="IS115" s="108"/>
      <c r="IT115" s="108"/>
      <c r="IU115" s="108"/>
      <c r="IV115" s="108"/>
      <c r="IW115" s="108"/>
    </row>
    <row r="116" spans="1:257" x14ac:dyDescent="0.3">
      <c r="A116" s="158"/>
      <c r="B116" s="158"/>
      <c r="C116" s="158"/>
      <c r="D116" s="158"/>
      <c r="E116" s="158"/>
      <c r="F116" s="158"/>
      <c r="G116" s="158"/>
      <c r="H116" s="158"/>
      <c r="I116" s="158"/>
      <c r="J116" s="158"/>
      <c r="K116" s="158"/>
      <c r="L116" s="158"/>
      <c r="M116" s="158"/>
      <c r="N116" s="158"/>
      <c r="O116" s="108"/>
      <c r="P116" s="108"/>
      <c r="Q116" s="108"/>
      <c r="R116" s="108"/>
      <c r="S116" s="108"/>
      <c r="T116" s="108"/>
      <c r="U116" s="108"/>
      <c r="V116" s="108"/>
      <c r="W116" s="108"/>
      <c r="X116" s="108"/>
      <c r="Y116" s="108"/>
      <c r="Z116" s="108"/>
      <c r="AA116" s="108"/>
      <c r="AB116" s="108"/>
      <c r="AC116" s="108"/>
      <c r="AD116" s="108"/>
      <c r="AE116" s="108"/>
      <c r="AF116" s="108"/>
      <c r="AG116" s="108"/>
      <c r="AH116" s="108"/>
      <c r="AI116" s="108"/>
      <c r="AJ116" s="108"/>
      <c r="AK116" s="108"/>
      <c r="AL116" s="108"/>
      <c r="AM116" s="108"/>
      <c r="AN116" s="108"/>
      <c r="AO116" s="108"/>
      <c r="AP116" s="108"/>
      <c r="AQ116" s="108"/>
      <c r="AR116" s="108"/>
      <c r="AS116" s="108"/>
      <c r="AT116" s="108"/>
      <c r="AU116" s="108"/>
      <c r="AV116" s="108"/>
      <c r="AW116" s="108"/>
      <c r="AX116" s="108"/>
      <c r="AY116" s="108"/>
      <c r="AZ116" s="108"/>
      <c r="BA116" s="108"/>
      <c r="BB116" s="108"/>
      <c r="BC116" s="108"/>
      <c r="BD116" s="108"/>
      <c r="BE116" s="108"/>
      <c r="BF116" s="108"/>
      <c r="BG116" s="108"/>
      <c r="BH116" s="108"/>
      <c r="BI116" s="108"/>
      <c r="BJ116" s="108"/>
      <c r="BK116" s="108"/>
      <c r="BL116" s="108"/>
      <c r="BM116" s="108"/>
      <c r="BN116" s="108"/>
      <c r="BO116" s="108"/>
      <c r="BP116" s="108"/>
      <c r="BQ116" s="108"/>
      <c r="BR116" s="108"/>
      <c r="BS116" s="108"/>
      <c r="BT116" s="108"/>
      <c r="BU116" s="108"/>
      <c r="BV116" s="108"/>
      <c r="BW116" s="108"/>
      <c r="BX116" s="108"/>
      <c r="BY116" s="108"/>
      <c r="BZ116" s="108"/>
      <c r="CA116" s="108"/>
      <c r="CB116" s="108"/>
      <c r="CC116" s="108"/>
      <c r="CD116" s="108"/>
      <c r="CE116" s="108"/>
      <c r="CF116" s="108"/>
      <c r="CG116" s="108"/>
      <c r="CH116" s="108"/>
      <c r="CI116" s="108"/>
      <c r="CJ116" s="108"/>
      <c r="CK116" s="108"/>
      <c r="CL116" s="108"/>
      <c r="CM116" s="108"/>
      <c r="CN116" s="108"/>
      <c r="CO116" s="108"/>
      <c r="CP116" s="108"/>
      <c r="CQ116" s="108"/>
      <c r="CR116" s="108"/>
      <c r="CS116" s="108"/>
      <c r="CT116" s="108"/>
      <c r="CU116" s="108"/>
      <c r="CV116" s="108"/>
      <c r="CW116" s="108"/>
      <c r="CX116" s="108"/>
      <c r="CY116" s="108"/>
      <c r="CZ116" s="108"/>
      <c r="DA116" s="108"/>
      <c r="DB116" s="108"/>
      <c r="DC116" s="108"/>
      <c r="DD116" s="108"/>
      <c r="DE116" s="108"/>
      <c r="DF116" s="108"/>
      <c r="DG116" s="108"/>
      <c r="DH116" s="108"/>
      <c r="DI116" s="108"/>
      <c r="DJ116" s="108"/>
      <c r="DK116" s="108"/>
      <c r="DL116" s="108"/>
      <c r="DM116" s="108"/>
      <c r="DN116" s="108"/>
      <c r="DO116" s="108"/>
      <c r="DP116" s="108"/>
      <c r="DQ116" s="108"/>
      <c r="DR116" s="108"/>
      <c r="DS116" s="108"/>
      <c r="DT116" s="108"/>
      <c r="DU116" s="108"/>
      <c r="DV116" s="108"/>
      <c r="DW116" s="108"/>
      <c r="DX116" s="108"/>
      <c r="DY116" s="108"/>
      <c r="DZ116" s="108"/>
      <c r="EA116" s="108"/>
      <c r="EB116" s="108"/>
      <c r="EC116" s="108"/>
      <c r="ED116" s="108"/>
      <c r="EE116" s="108"/>
      <c r="EF116" s="108"/>
      <c r="EG116" s="108"/>
      <c r="EH116" s="108"/>
      <c r="EI116" s="108"/>
      <c r="EJ116" s="108"/>
      <c r="EK116" s="108"/>
      <c r="EL116" s="108"/>
      <c r="EM116" s="108"/>
      <c r="EN116" s="108"/>
      <c r="EO116" s="108"/>
      <c r="EP116" s="108"/>
      <c r="EQ116" s="108"/>
      <c r="ER116" s="108"/>
      <c r="ES116" s="108"/>
      <c r="ET116" s="108"/>
      <c r="EU116" s="108"/>
      <c r="EV116" s="108"/>
      <c r="EW116" s="108"/>
      <c r="EX116" s="108"/>
      <c r="EY116" s="108"/>
      <c r="EZ116" s="108"/>
      <c r="FA116" s="108"/>
      <c r="FB116" s="108"/>
      <c r="FC116" s="108"/>
      <c r="FD116" s="108"/>
      <c r="FE116" s="108"/>
      <c r="FF116" s="108"/>
      <c r="FG116" s="108"/>
      <c r="FH116" s="108"/>
      <c r="FI116" s="108"/>
      <c r="FJ116" s="108"/>
      <c r="FK116" s="108"/>
      <c r="FL116" s="108"/>
      <c r="FM116" s="108"/>
      <c r="FN116" s="108"/>
      <c r="FO116" s="108"/>
      <c r="FP116" s="108"/>
      <c r="FQ116" s="108"/>
      <c r="FR116" s="108"/>
      <c r="FS116" s="108"/>
      <c r="FT116" s="108"/>
      <c r="FU116" s="108"/>
      <c r="FV116" s="108"/>
      <c r="FW116" s="108"/>
      <c r="FX116" s="108"/>
      <c r="FY116" s="108"/>
      <c r="FZ116" s="108"/>
      <c r="GA116" s="108"/>
      <c r="GB116" s="108"/>
      <c r="GC116" s="108"/>
      <c r="GD116" s="108"/>
      <c r="GE116" s="108"/>
      <c r="GF116" s="108"/>
      <c r="GG116" s="108"/>
      <c r="GH116" s="108"/>
      <c r="GI116" s="108"/>
      <c r="GJ116" s="108"/>
      <c r="GK116" s="108"/>
      <c r="GL116" s="108"/>
      <c r="GM116" s="108"/>
      <c r="GN116" s="108"/>
      <c r="GO116" s="108"/>
      <c r="GP116" s="108"/>
      <c r="GQ116" s="108"/>
      <c r="GR116" s="108"/>
      <c r="GS116" s="108"/>
      <c r="GT116" s="108"/>
      <c r="GU116" s="108"/>
      <c r="GV116" s="108"/>
      <c r="GW116" s="108"/>
      <c r="GX116" s="108"/>
      <c r="GY116" s="108"/>
      <c r="GZ116" s="108"/>
      <c r="HA116" s="108"/>
      <c r="HB116" s="108"/>
      <c r="HC116" s="108"/>
      <c r="HD116" s="108"/>
      <c r="HE116" s="108"/>
      <c r="HF116" s="108"/>
      <c r="HG116" s="108"/>
      <c r="HH116" s="108"/>
      <c r="HI116" s="108"/>
      <c r="HJ116" s="108"/>
      <c r="HK116" s="108"/>
      <c r="HL116" s="108"/>
      <c r="HM116" s="108"/>
      <c r="HN116" s="108"/>
      <c r="HO116" s="108"/>
      <c r="HP116" s="108"/>
      <c r="HQ116" s="108"/>
      <c r="HR116" s="108"/>
      <c r="HS116" s="108"/>
      <c r="HT116" s="108"/>
      <c r="HU116" s="108"/>
      <c r="HV116" s="108"/>
      <c r="HW116" s="108"/>
      <c r="HX116" s="108"/>
      <c r="HY116" s="108"/>
      <c r="HZ116" s="108"/>
      <c r="IA116" s="108"/>
      <c r="IB116" s="108"/>
      <c r="IC116" s="108"/>
      <c r="ID116" s="108"/>
      <c r="IE116" s="108"/>
      <c r="IF116" s="108"/>
      <c r="IG116" s="108"/>
      <c r="IH116" s="108"/>
      <c r="II116" s="108"/>
      <c r="IJ116" s="108"/>
      <c r="IK116" s="108"/>
      <c r="IL116" s="108"/>
      <c r="IM116" s="108"/>
      <c r="IN116" s="108"/>
      <c r="IO116" s="108"/>
      <c r="IP116" s="108"/>
      <c r="IQ116" s="108"/>
      <c r="IR116" s="108"/>
      <c r="IS116" s="108"/>
      <c r="IT116" s="108"/>
      <c r="IU116" s="108"/>
      <c r="IV116" s="108"/>
      <c r="IW116" s="108"/>
    </row>
    <row r="117" spans="1:257" x14ac:dyDescent="0.3">
      <c r="A117" s="158"/>
      <c r="B117" s="158"/>
      <c r="C117" s="158"/>
      <c r="D117" s="158"/>
      <c r="E117" s="158"/>
      <c r="F117" s="158"/>
      <c r="G117" s="158"/>
      <c r="H117" s="158"/>
      <c r="I117" s="158"/>
      <c r="J117" s="158"/>
      <c r="K117" s="158"/>
      <c r="L117" s="158"/>
      <c r="M117" s="158"/>
      <c r="N117" s="158"/>
      <c r="O117" s="108"/>
      <c r="P117" s="108"/>
      <c r="Q117" s="108"/>
      <c r="R117" s="108"/>
      <c r="S117" s="108"/>
      <c r="T117" s="108"/>
      <c r="U117" s="108"/>
      <c r="V117" s="108"/>
      <c r="W117" s="108"/>
      <c r="X117" s="108"/>
      <c r="Y117" s="108"/>
      <c r="Z117" s="108"/>
      <c r="AA117" s="108"/>
      <c r="AB117" s="108"/>
      <c r="AC117" s="108"/>
      <c r="AD117" s="108"/>
      <c r="AE117" s="108"/>
      <c r="AF117" s="108"/>
      <c r="AG117" s="108"/>
      <c r="AH117" s="108"/>
      <c r="AI117" s="108"/>
      <c r="AJ117" s="108"/>
      <c r="AK117" s="108"/>
      <c r="AL117" s="108"/>
      <c r="AM117" s="108"/>
      <c r="AN117" s="108"/>
      <c r="AO117" s="108"/>
      <c r="AP117" s="108"/>
      <c r="AQ117" s="108"/>
      <c r="AR117" s="108"/>
      <c r="AS117" s="108"/>
      <c r="AT117" s="108"/>
      <c r="AU117" s="108"/>
      <c r="AV117" s="108"/>
      <c r="AW117" s="108"/>
      <c r="AX117" s="108"/>
      <c r="AY117" s="108"/>
      <c r="AZ117" s="108"/>
      <c r="BA117" s="108"/>
      <c r="BB117" s="108"/>
      <c r="BC117" s="108"/>
      <c r="BD117" s="108"/>
      <c r="BE117" s="108"/>
      <c r="BF117" s="108"/>
      <c r="BG117" s="108"/>
      <c r="BH117" s="108"/>
      <c r="BI117" s="108"/>
      <c r="BJ117" s="108"/>
      <c r="BK117" s="108"/>
      <c r="BL117" s="108"/>
      <c r="BM117" s="108"/>
      <c r="BN117" s="108"/>
      <c r="BO117" s="108"/>
      <c r="BP117" s="108"/>
      <c r="BQ117" s="108"/>
      <c r="BR117" s="108"/>
      <c r="BS117" s="108"/>
      <c r="BT117" s="108"/>
      <c r="BU117" s="108"/>
      <c r="BV117" s="108"/>
      <c r="BW117" s="108"/>
      <c r="BX117" s="108"/>
      <c r="BY117" s="108"/>
      <c r="BZ117" s="108"/>
      <c r="CA117" s="108"/>
      <c r="CB117" s="108"/>
      <c r="CC117" s="108"/>
      <c r="CD117" s="108"/>
      <c r="CE117" s="108"/>
      <c r="CF117" s="108"/>
      <c r="CG117" s="108"/>
      <c r="CH117" s="108"/>
      <c r="CI117" s="108"/>
      <c r="CJ117" s="108"/>
      <c r="CK117" s="108"/>
      <c r="CL117" s="108"/>
      <c r="CM117" s="108"/>
      <c r="CN117" s="108"/>
      <c r="CO117" s="108"/>
      <c r="CP117" s="108"/>
      <c r="CQ117" s="108"/>
      <c r="CR117" s="108"/>
      <c r="CS117" s="108"/>
      <c r="CT117" s="108"/>
      <c r="CU117" s="108"/>
      <c r="CV117" s="108"/>
      <c r="CW117" s="108"/>
      <c r="CX117" s="108"/>
      <c r="CY117" s="108"/>
      <c r="CZ117" s="108"/>
      <c r="DA117" s="108"/>
      <c r="DB117" s="108"/>
      <c r="DC117" s="108"/>
      <c r="DD117" s="108"/>
      <c r="DE117" s="108"/>
      <c r="DF117" s="108"/>
      <c r="DG117" s="108"/>
      <c r="DH117" s="108"/>
      <c r="DI117" s="108"/>
      <c r="DJ117" s="108"/>
      <c r="DK117" s="108"/>
      <c r="DL117" s="108"/>
      <c r="DM117" s="108"/>
      <c r="DN117" s="108"/>
      <c r="DO117" s="108"/>
      <c r="DP117" s="108"/>
      <c r="DQ117" s="108"/>
      <c r="DR117" s="108"/>
      <c r="DS117" s="108"/>
      <c r="DT117" s="108"/>
      <c r="DU117" s="108"/>
      <c r="DV117" s="108"/>
      <c r="DW117" s="108"/>
      <c r="DX117" s="108"/>
      <c r="DY117" s="108"/>
      <c r="DZ117" s="108"/>
      <c r="EA117" s="108"/>
      <c r="EB117" s="108"/>
      <c r="EC117" s="108"/>
      <c r="ED117" s="108"/>
      <c r="EE117" s="108"/>
      <c r="EF117" s="108"/>
      <c r="EG117" s="108"/>
      <c r="EH117" s="108"/>
      <c r="EI117" s="108"/>
      <c r="EJ117" s="108"/>
      <c r="EK117" s="108"/>
      <c r="EL117" s="108"/>
      <c r="EM117" s="108"/>
      <c r="EN117" s="108"/>
      <c r="EO117" s="108"/>
      <c r="EP117" s="108"/>
      <c r="EQ117" s="108"/>
      <c r="ER117" s="108"/>
      <c r="ES117" s="108"/>
      <c r="ET117" s="108"/>
      <c r="EU117" s="108"/>
      <c r="EV117" s="108"/>
      <c r="EW117" s="108"/>
      <c r="EX117" s="108"/>
      <c r="EY117" s="108"/>
      <c r="EZ117" s="108"/>
      <c r="FA117" s="108"/>
      <c r="FB117" s="108"/>
      <c r="FC117" s="108"/>
      <c r="FD117" s="108"/>
      <c r="FE117" s="108"/>
      <c r="FF117" s="108"/>
      <c r="FG117" s="108"/>
      <c r="FH117" s="108"/>
      <c r="FI117" s="108"/>
      <c r="FJ117" s="108"/>
      <c r="FK117" s="108"/>
      <c r="FL117" s="108"/>
      <c r="FM117" s="108"/>
      <c r="FN117" s="108"/>
      <c r="FO117" s="108"/>
      <c r="FP117" s="108"/>
      <c r="FQ117" s="108"/>
      <c r="FR117" s="108"/>
      <c r="FS117" s="108"/>
      <c r="FT117" s="108"/>
      <c r="FU117" s="108"/>
      <c r="FV117" s="108"/>
      <c r="FW117" s="108"/>
      <c r="FX117" s="108"/>
      <c r="FY117" s="108"/>
      <c r="FZ117" s="108"/>
      <c r="GA117" s="108"/>
      <c r="GB117" s="108"/>
      <c r="GC117" s="108"/>
      <c r="GD117" s="108"/>
      <c r="GE117" s="108"/>
      <c r="GF117" s="108"/>
      <c r="GG117" s="108"/>
      <c r="GH117" s="108"/>
      <c r="GI117" s="108"/>
      <c r="GJ117" s="108"/>
      <c r="GK117" s="108"/>
      <c r="GL117" s="108"/>
      <c r="GM117" s="108"/>
      <c r="GN117" s="108"/>
      <c r="GO117" s="108"/>
      <c r="GP117" s="108"/>
      <c r="GQ117" s="108"/>
      <c r="GR117" s="108"/>
      <c r="GS117" s="108"/>
      <c r="GT117" s="108"/>
      <c r="GU117" s="108"/>
      <c r="GV117" s="108"/>
      <c r="GW117" s="108"/>
      <c r="GX117" s="108"/>
      <c r="GY117" s="108"/>
      <c r="GZ117" s="108"/>
      <c r="HA117" s="108"/>
      <c r="HB117" s="108"/>
      <c r="HC117" s="108"/>
      <c r="HD117" s="108"/>
      <c r="HE117" s="108"/>
      <c r="HF117" s="108"/>
      <c r="HG117" s="108"/>
      <c r="HH117" s="108"/>
      <c r="HI117" s="108"/>
      <c r="HJ117" s="108"/>
      <c r="HK117" s="108"/>
      <c r="HL117" s="108"/>
      <c r="HM117" s="108"/>
      <c r="HN117" s="108"/>
      <c r="HO117" s="108"/>
      <c r="HP117" s="108"/>
      <c r="HQ117" s="108"/>
      <c r="HR117" s="108"/>
      <c r="HS117" s="108"/>
      <c r="HT117" s="108"/>
      <c r="HU117" s="108"/>
      <c r="HV117" s="108"/>
      <c r="HW117" s="108"/>
      <c r="HX117" s="108"/>
      <c r="HY117" s="108"/>
      <c r="HZ117" s="108"/>
      <c r="IA117" s="108"/>
      <c r="IB117" s="108"/>
      <c r="IC117" s="108"/>
      <c r="ID117" s="108"/>
      <c r="IE117" s="108"/>
      <c r="IF117" s="108"/>
      <c r="IG117" s="108"/>
      <c r="IH117" s="108"/>
      <c r="II117" s="108"/>
      <c r="IJ117" s="108"/>
      <c r="IK117" s="108"/>
      <c r="IL117" s="108"/>
      <c r="IM117" s="108"/>
      <c r="IN117" s="108"/>
      <c r="IO117" s="108"/>
      <c r="IP117" s="108"/>
      <c r="IQ117" s="108"/>
      <c r="IR117" s="108"/>
      <c r="IS117" s="108"/>
      <c r="IT117" s="108"/>
      <c r="IU117" s="108"/>
      <c r="IV117" s="108"/>
      <c r="IW117" s="108"/>
    </row>
    <row r="118" spans="1:257" x14ac:dyDescent="0.3">
      <c r="A118" s="158"/>
      <c r="B118" s="158"/>
      <c r="C118" s="158"/>
      <c r="D118" s="158"/>
      <c r="E118" s="158"/>
      <c r="F118" s="158"/>
      <c r="G118" s="158"/>
      <c r="H118" s="158"/>
      <c r="I118" s="158"/>
      <c r="J118" s="158"/>
      <c r="K118" s="158"/>
      <c r="L118" s="158"/>
      <c r="M118" s="158"/>
      <c r="N118" s="158"/>
      <c r="O118" s="108"/>
      <c r="P118" s="108"/>
      <c r="Q118" s="108"/>
      <c r="R118" s="108"/>
      <c r="S118" s="108"/>
      <c r="T118" s="108"/>
      <c r="U118" s="108"/>
      <c r="V118" s="108"/>
      <c r="W118" s="108"/>
      <c r="X118" s="108"/>
      <c r="Y118" s="108"/>
      <c r="Z118" s="108"/>
      <c r="AA118" s="108"/>
      <c r="AB118" s="108"/>
      <c r="AC118" s="108"/>
      <c r="AD118" s="108"/>
      <c r="AE118" s="108"/>
      <c r="AF118" s="108"/>
      <c r="AG118" s="108"/>
      <c r="AH118" s="108"/>
      <c r="AI118" s="108"/>
      <c r="AJ118" s="108"/>
      <c r="AK118" s="108"/>
      <c r="AL118" s="108"/>
      <c r="AM118" s="108"/>
      <c r="AN118" s="108"/>
      <c r="AO118" s="108"/>
      <c r="AP118" s="108"/>
      <c r="AQ118" s="108"/>
      <c r="AR118" s="108"/>
      <c r="AS118" s="108"/>
      <c r="AT118" s="108"/>
      <c r="AU118" s="108"/>
      <c r="AV118" s="108"/>
      <c r="AW118" s="108"/>
      <c r="AX118" s="108"/>
      <c r="AY118" s="108"/>
      <c r="AZ118" s="108"/>
      <c r="BA118" s="108"/>
      <c r="BB118" s="108"/>
      <c r="BC118" s="108"/>
      <c r="BD118" s="108"/>
      <c r="BE118" s="108"/>
      <c r="BF118" s="108"/>
      <c r="BG118" s="108"/>
      <c r="BH118" s="108"/>
      <c r="BI118" s="108"/>
      <c r="BJ118" s="108"/>
      <c r="BK118" s="108"/>
      <c r="BL118" s="108"/>
      <c r="BM118" s="108"/>
      <c r="BN118" s="108"/>
      <c r="BO118" s="108"/>
      <c r="BP118" s="108"/>
      <c r="BQ118" s="108"/>
      <c r="BR118" s="108"/>
      <c r="BS118" s="108"/>
      <c r="BT118" s="108"/>
      <c r="BU118" s="108"/>
      <c r="BV118" s="108"/>
      <c r="BW118" s="108"/>
      <c r="BX118" s="108"/>
      <c r="BY118" s="108"/>
      <c r="BZ118" s="108"/>
      <c r="CA118" s="108"/>
      <c r="CB118" s="108"/>
      <c r="CC118" s="108"/>
      <c r="CD118" s="108"/>
      <c r="CE118" s="108"/>
      <c r="CF118" s="108"/>
      <c r="CG118" s="108"/>
      <c r="CH118" s="108"/>
      <c r="CI118" s="108"/>
      <c r="CJ118" s="108"/>
      <c r="CK118" s="108"/>
      <c r="CL118" s="108"/>
      <c r="CM118" s="108"/>
      <c r="CN118" s="108"/>
      <c r="CO118" s="108"/>
      <c r="CP118" s="108"/>
      <c r="CQ118" s="108"/>
      <c r="CR118" s="108"/>
      <c r="CS118" s="108"/>
      <c r="CT118" s="108"/>
      <c r="CU118" s="108"/>
      <c r="CV118" s="108"/>
      <c r="CW118" s="108"/>
      <c r="CX118" s="108"/>
      <c r="CY118" s="108"/>
      <c r="CZ118" s="108"/>
      <c r="DA118" s="108"/>
      <c r="DB118" s="108"/>
      <c r="DC118" s="108"/>
      <c r="DD118" s="108"/>
      <c r="DE118" s="108"/>
      <c r="DF118" s="108"/>
      <c r="DG118" s="108"/>
      <c r="DH118" s="108"/>
      <c r="DI118" s="108"/>
      <c r="DJ118" s="108"/>
      <c r="DK118" s="108"/>
      <c r="DL118" s="108"/>
      <c r="DM118" s="108"/>
      <c r="DN118" s="108"/>
      <c r="DO118" s="108"/>
      <c r="DP118" s="108"/>
      <c r="DQ118" s="108"/>
      <c r="DR118" s="108"/>
      <c r="DS118" s="108"/>
      <c r="DT118" s="108"/>
      <c r="DU118" s="108"/>
      <c r="DV118" s="108"/>
      <c r="DW118" s="108"/>
      <c r="DX118" s="108"/>
      <c r="DY118" s="108"/>
      <c r="DZ118" s="108"/>
      <c r="EA118" s="108"/>
      <c r="EB118" s="108"/>
      <c r="EC118" s="108"/>
      <c r="ED118" s="108"/>
      <c r="EE118" s="108"/>
      <c r="EF118" s="108"/>
      <c r="EG118" s="108"/>
      <c r="EH118" s="108"/>
      <c r="EI118" s="108"/>
      <c r="EJ118" s="108"/>
      <c r="EK118" s="108"/>
      <c r="EL118" s="108"/>
      <c r="EM118" s="108"/>
      <c r="EN118" s="108"/>
      <c r="EO118" s="108"/>
      <c r="EP118" s="108"/>
      <c r="EQ118" s="108"/>
      <c r="ER118" s="108"/>
      <c r="ES118" s="108"/>
      <c r="ET118" s="108"/>
      <c r="EU118" s="108"/>
      <c r="EV118" s="108"/>
      <c r="EW118" s="108"/>
      <c r="EX118" s="108"/>
      <c r="EY118" s="108"/>
      <c r="EZ118" s="108"/>
      <c r="FA118" s="108"/>
      <c r="FB118" s="108"/>
      <c r="FC118" s="108"/>
      <c r="FD118" s="108"/>
      <c r="FE118" s="108"/>
      <c r="FF118" s="108"/>
      <c r="FG118" s="108"/>
      <c r="FH118" s="108"/>
      <c r="FI118" s="108"/>
      <c r="FJ118" s="108"/>
      <c r="FK118" s="108"/>
      <c r="FL118" s="108"/>
      <c r="FM118" s="108"/>
      <c r="FN118" s="108"/>
      <c r="FO118" s="108"/>
      <c r="FP118" s="108"/>
      <c r="FQ118" s="108"/>
      <c r="FR118" s="108"/>
      <c r="FS118" s="108"/>
      <c r="FT118" s="108"/>
      <c r="FU118" s="108"/>
      <c r="FV118" s="108"/>
      <c r="FW118" s="108"/>
      <c r="FX118" s="108"/>
      <c r="FY118" s="108"/>
      <c r="FZ118" s="108"/>
      <c r="GA118" s="108"/>
      <c r="GB118" s="108"/>
      <c r="GC118" s="108"/>
      <c r="GD118" s="108"/>
      <c r="GE118" s="108"/>
      <c r="GF118" s="108"/>
      <c r="GG118" s="108"/>
      <c r="GH118" s="108"/>
      <c r="GI118" s="108"/>
      <c r="GJ118" s="108"/>
      <c r="GK118" s="108"/>
      <c r="GL118" s="108"/>
      <c r="GM118" s="108"/>
      <c r="GN118" s="108"/>
      <c r="GO118" s="108"/>
      <c r="GP118" s="108"/>
      <c r="GQ118" s="108"/>
      <c r="GR118" s="108"/>
      <c r="GS118" s="108"/>
      <c r="GT118" s="108"/>
      <c r="GU118" s="108"/>
      <c r="GV118" s="108"/>
      <c r="GW118" s="108"/>
      <c r="GX118" s="108"/>
      <c r="GY118" s="108"/>
      <c r="GZ118" s="108"/>
      <c r="HA118" s="108"/>
      <c r="HB118" s="108"/>
      <c r="HC118" s="108"/>
      <c r="HD118" s="108"/>
      <c r="HE118" s="108"/>
      <c r="HF118" s="108"/>
      <c r="HG118" s="108"/>
      <c r="HH118" s="108"/>
      <c r="HI118" s="108"/>
      <c r="HJ118" s="108"/>
      <c r="HK118" s="108"/>
      <c r="HL118" s="108"/>
      <c r="HM118" s="108"/>
      <c r="HN118" s="108"/>
      <c r="HO118" s="108"/>
      <c r="HP118" s="108"/>
      <c r="HQ118" s="108"/>
      <c r="HR118" s="108"/>
      <c r="HS118" s="108"/>
      <c r="HT118" s="108"/>
      <c r="HU118" s="108"/>
      <c r="HV118" s="108"/>
      <c r="HW118" s="108"/>
      <c r="HX118" s="108"/>
      <c r="HY118" s="108"/>
      <c r="HZ118" s="108"/>
      <c r="IA118" s="108"/>
      <c r="IB118" s="108"/>
      <c r="IC118" s="108"/>
      <c r="ID118" s="108"/>
      <c r="IE118" s="108"/>
      <c r="IF118" s="108"/>
      <c r="IG118" s="108"/>
      <c r="IH118" s="108"/>
      <c r="II118" s="108"/>
      <c r="IJ118" s="108"/>
      <c r="IK118" s="108"/>
      <c r="IL118" s="108"/>
      <c r="IM118" s="108"/>
      <c r="IN118" s="108"/>
      <c r="IO118" s="108"/>
      <c r="IP118" s="108"/>
      <c r="IQ118" s="108"/>
      <c r="IR118" s="108"/>
      <c r="IS118" s="108"/>
      <c r="IT118" s="108"/>
      <c r="IU118" s="108"/>
      <c r="IV118" s="108"/>
      <c r="IW118" s="108"/>
    </row>
    <row r="119" spans="1:257" x14ac:dyDescent="0.3">
      <c r="A119" s="158"/>
      <c r="B119" s="158"/>
      <c r="C119" s="158"/>
      <c r="D119" s="158"/>
      <c r="E119" s="158"/>
      <c r="F119" s="158"/>
      <c r="G119" s="158"/>
      <c r="H119" s="158"/>
      <c r="I119" s="158"/>
      <c r="J119" s="158"/>
      <c r="K119" s="158"/>
      <c r="L119" s="158"/>
      <c r="M119" s="158"/>
      <c r="N119" s="158"/>
      <c r="O119" s="108"/>
      <c r="P119" s="108"/>
      <c r="Q119" s="108"/>
      <c r="R119" s="108"/>
      <c r="S119" s="108"/>
      <c r="T119" s="108"/>
      <c r="U119" s="108"/>
      <c r="V119" s="108"/>
      <c r="W119" s="108"/>
      <c r="X119" s="108"/>
      <c r="Y119" s="108"/>
      <c r="Z119" s="108"/>
      <c r="AA119" s="108"/>
      <c r="AB119" s="108"/>
      <c r="AC119" s="108"/>
      <c r="AD119" s="108"/>
      <c r="AE119" s="108"/>
      <c r="AF119" s="108"/>
      <c r="AG119" s="108"/>
      <c r="AH119" s="108"/>
      <c r="AI119" s="108"/>
      <c r="AJ119" s="108"/>
      <c r="AK119" s="108"/>
      <c r="AL119" s="108"/>
      <c r="AM119" s="108"/>
      <c r="AN119" s="108"/>
      <c r="AO119" s="108"/>
      <c r="AP119" s="108"/>
      <c r="AQ119" s="108"/>
      <c r="AR119" s="108"/>
      <c r="AS119" s="108"/>
      <c r="AT119" s="108"/>
      <c r="AU119" s="108"/>
      <c r="AV119" s="108"/>
      <c r="AW119" s="108"/>
      <c r="AX119" s="108"/>
      <c r="AY119" s="108"/>
      <c r="AZ119" s="108"/>
      <c r="BA119" s="108"/>
      <c r="BB119" s="108"/>
      <c r="BC119" s="108"/>
      <c r="BD119" s="108"/>
      <c r="BE119" s="108"/>
      <c r="BF119" s="108"/>
      <c r="BG119" s="108"/>
      <c r="BH119" s="108"/>
      <c r="BI119" s="108"/>
      <c r="BJ119" s="108"/>
      <c r="BK119" s="108"/>
      <c r="BL119" s="108"/>
      <c r="BM119" s="108"/>
      <c r="BN119" s="108"/>
      <c r="BO119" s="108"/>
      <c r="BP119" s="108"/>
      <c r="BQ119" s="108"/>
      <c r="BR119" s="108"/>
      <c r="BS119" s="108"/>
      <c r="BT119" s="108"/>
      <c r="BU119" s="108"/>
      <c r="BV119" s="108"/>
      <c r="BW119" s="108"/>
      <c r="BX119" s="108"/>
      <c r="BY119" s="108"/>
      <c r="BZ119" s="108"/>
      <c r="CA119" s="108"/>
      <c r="CB119" s="108"/>
      <c r="CC119" s="108"/>
      <c r="CD119" s="108"/>
      <c r="CE119" s="108"/>
      <c r="CF119" s="108"/>
      <c r="CG119" s="108"/>
      <c r="CH119" s="108"/>
      <c r="CI119" s="108"/>
      <c r="CJ119" s="108"/>
      <c r="CK119" s="108"/>
      <c r="CL119" s="108"/>
      <c r="CM119" s="108"/>
      <c r="CN119" s="108"/>
      <c r="CO119" s="108"/>
      <c r="CP119" s="108"/>
      <c r="CQ119" s="108"/>
      <c r="CR119" s="108"/>
      <c r="CS119" s="108"/>
      <c r="CT119" s="108"/>
      <c r="CU119" s="108"/>
      <c r="CV119" s="108"/>
      <c r="CW119" s="108"/>
      <c r="CX119" s="108"/>
      <c r="CY119" s="108"/>
      <c r="CZ119" s="108"/>
      <c r="DA119" s="108"/>
      <c r="DB119" s="108"/>
      <c r="DC119" s="108"/>
      <c r="DD119" s="108"/>
      <c r="DE119" s="108"/>
      <c r="DF119" s="108"/>
      <c r="DG119" s="108"/>
      <c r="DH119" s="108"/>
      <c r="DI119" s="108"/>
      <c r="DJ119" s="108"/>
      <c r="DK119" s="108"/>
      <c r="DL119" s="108"/>
      <c r="DM119" s="108"/>
      <c r="DN119" s="108"/>
      <c r="DO119" s="108"/>
      <c r="DP119" s="108"/>
      <c r="DQ119" s="108"/>
      <c r="DR119" s="108"/>
      <c r="DS119" s="108"/>
      <c r="DT119" s="108"/>
      <c r="DU119" s="108"/>
      <c r="DV119" s="108"/>
      <c r="DW119" s="108"/>
      <c r="DX119" s="108"/>
      <c r="DY119" s="108"/>
      <c r="DZ119" s="108"/>
      <c r="EA119" s="108"/>
      <c r="EB119" s="108"/>
      <c r="EC119" s="108"/>
      <c r="ED119" s="108"/>
      <c r="EE119" s="108"/>
      <c r="EF119" s="108"/>
      <c r="EG119" s="108"/>
      <c r="EH119" s="108"/>
      <c r="EI119" s="108"/>
      <c r="EJ119" s="108"/>
      <c r="EK119" s="108"/>
      <c r="EL119" s="108"/>
      <c r="EM119" s="108"/>
      <c r="EN119" s="108"/>
      <c r="EO119" s="108"/>
      <c r="EP119" s="108"/>
      <c r="EQ119" s="108"/>
      <c r="ER119" s="108"/>
      <c r="ES119" s="108"/>
      <c r="ET119" s="108"/>
      <c r="EU119" s="108"/>
      <c r="EV119" s="108"/>
      <c r="EW119" s="108"/>
      <c r="EX119" s="108"/>
      <c r="EY119" s="108"/>
      <c r="EZ119" s="108"/>
      <c r="FA119" s="108"/>
      <c r="FB119" s="108"/>
      <c r="FC119" s="108"/>
      <c r="FD119" s="108"/>
      <c r="FE119" s="108"/>
      <c r="FF119" s="108"/>
      <c r="FG119" s="108"/>
      <c r="FH119" s="108"/>
      <c r="FI119" s="108"/>
      <c r="FJ119" s="108"/>
      <c r="FK119" s="108"/>
      <c r="FL119" s="108"/>
      <c r="FM119" s="108"/>
      <c r="FN119" s="108"/>
      <c r="FO119" s="108"/>
      <c r="FP119" s="108"/>
      <c r="FQ119" s="108"/>
      <c r="FR119" s="108"/>
      <c r="FS119" s="108"/>
      <c r="FT119" s="108"/>
      <c r="FU119" s="108"/>
      <c r="FV119" s="108"/>
      <c r="FW119" s="108"/>
      <c r="FX119" s="108"/>
      <c r="FY119" s="108"/>
      <c r="FZ119" s="108"/>
      <c r="GA119" s="108"/>
      <c r="GB119" s="108"/>
      <c r="GC119" s="108"/>
      <c r="GD119" s="108"/>
      <c r="GE119" s="108"/>
      <c r="GF119" s="108"/>
      <c r="GG119" s="108"/>
      <c r="GH119" s="108"/>
      <c r="GI119" s="108"/>
      <c r="GJ119" s="108"/>
      <c r="GK119" s="108"/>
      <c r="GL119" s="108"/>
      <c r="GM119" s="108"/>
      <c r="GN119" s="108"/>
      <c r="GO119" s="108"/>
      <c r="GP119" s="108"/>
      <c r="GQ119" s="108"/>
      <c r="GR119" s="108"/>
      <c r="GS119" s="108"/>
      <c r="GT119" s="108"/>
      <c r="GU119" s="108"/>
      <c r="GV119" s="108"/>
      <c r="GW119" s="108"/>
      <c r="GX119" s="108"/>
      <c r="GY119" s="108"/>
      <c r="GZ119" s="108"/>
      <c r="HA119" s="108"/>
      <c r="HB119" s="108"/>
      <c r="HC119" s="108"/>
      <c r="HD119" s="108"/>
      <c r="HE119" s="108"/>
      <c r="HF119" s="108"/>
      <c r="HG119" s="108"/>
      <c r="HH119" s="108"/>
      <c r="HI119" s="108"/>
      <c r="HJ119" s="108"/>
      <c r="HK119" s="108"/>
      <c r="HL119" s="108"/>
      <c r="HM119" s="108"/>
      <c r="HN119" s="108"/>
      <c r="HO119" s="108"/>
      <c r="HP119" s="108"/>
      <c r="HQ119" s="108"/>
      <c r="HR119" s="108"/>
      <c r="HS119" s="108"/>
      <c r="HT119" s="108"/>
      <c r="HU119" s="108"/>
      <c r="HV119" s="108"/>
      <c r="HW119" s="108"/>
      <c r="HX119" s="108"/>
      <c r="HY119" s="108"/>
      <c r="HZ119" s="108"/>
      <c r="IA119" s="108"/>
      <c r="IB119" s="108"/>
      <c r="IC119" s="108"/>
      <c r="ID119" s="108"/>
      <c r="IE119" s="108"/>
      <c r="IF119" s="108"/>
      <c r="IG119" s="108"/>
      <c r="IH119" s="108"/>
      <c r="II119" s="108"/>
      <c r="IJ119" s="108"/>
      <c r="IK119" s="108"/>
      <c r="IL119" s="108"/>
      <c r="IM119" s="108"/>
      <c r="IN119" s="108"/>
      <c r="IO119" s="108"/>
      <c r="IP119" s="108"/>
      <c r="IQ119" s="108"/>
      <c r="IR119" s="108"/>
      <c r="IS119" s="108"/>
      <c r="IT119" s="108"/>
      <c r="IU119" s="108"/>
      <c r="IV119" s="108"/>
      <c r="IW119" s="108"/>
    </row>
    <row r="120" spans="1:257" x14ac:dyDescent="0.3">
      <c r="A120" s="158"/>
      <c r="B120" s="158"/>
      <c r="C120" s="158"/>
      <c r="D120" s="158"/>
      <c r="E120" s="158"/>
      <c r="F120" s="158"/>
      <c r="G120" s="158"/>
      <c r="H120" s="158"/>
      <c r="I120" s="158"/>
      <c r="J120" s="158"/>
      <c r="K120" s="158"/>
      <c r="L120" s="158"/>
      <c r="M120" s="158"/>
      <c r="N120" s="158"/>
      <c r="O120" s="108"/>
      <c r="P120" s="108"/>
      <c r="Q120" s="108"/>
      <c r="R120" s="108"/>
      <c r="S120" s="108"/>
      <c r="T120" s="108"/>
      <c r="U120" s="108"/>
      <c r="V120" s="108"/>
      <c r="W120" s="108"/>
      <c r="X120" s="108"/>
      <c r="Y120" s="108"/>
      <c r="Z120" s="108"/>
      <c r="AA120" s="108"/>
      <c r="AB120" s="108"/>
      <c r="AC120" s="108"/>
      <c r="AD120" s="108"/>
      <c r="AE120" s="108"/>
      <c r="AF120" s="108"/>
      <c r="AG120" s="108"/>
      <c r="AH120" s="108"/>
      <c r="AI120" s="108"/>
      <c r="AJ120" s="108"/>
      <c r="AK120" s="108"/>
      <c r="AL120" s="108"/>
      <c r="AM120" s="108"/>
      <c r="AN120" s="108"/>
      <c r="AO120" s="108"/>
      <c r="AP120" s="108"/>
      <c r="AQ120" s="108"/>
      <c r="AR120" s="108"/>
      <c r="AS120" s="108"/>
      <c r="AT120" s="108"/>
      <c r="AU120" s="108"/>
      <c r="AV120" s="108"/>
      <c r="AW120" s="108"/>
      <c r="AX120" s="108"/>
      <c r="AY120" s="108"/>
      <c r="AZ120" s="108"/>
      <c r="BA120" s="108"/>
      <c r="BB120" s="108"/>
      <c r="BC120" s="108"/>
      <c r="BD120" s="108"/>
      <c r="BE120" s="108"/>
      <c r="BF120" s="108"/>
      <c r="BG120" s="108"/>
      <c r="BH120" s="108"/>
      <c r="BI120" s="108"/>
      <c r="BJ120" s="108"/>
      <c r="BK120" s="108"/>
      <c r="BL120" s="108"/>
      <c r="BM120" s="108"/>
      <c r="BN120" s="108"/>
      <c r="BO120" s="108"/>
      <c r="BP120" s="108"/>
      <c r="BQ120" s="108"/>
      <c r="BR120" s="108"/>
      <c r="BS120" s="108"/>
      <c r="BT120" s="108"/>
      <c r="BU120" s="108"/>
      <c r="BV120" s="108"/>
      <c r="BW120" s="108"/>
      <c r="BX120" s="108"/>
      <c r="BY120" s="108"/>
      <c r="BZ120" s="108"/>
      <c r="CA120" s="108"/>
      <c r="CB120" s="108"/>
      <c r="CC120" s="108"/>
      <c r="CD120" s="108"/>
      <c r="CE120" s="108"/>
      <c r="CF120" s="108"/>
      <c r="CG120" s="108"/>
      <c r="CH120" s="108"/>
      <c r="CI120" s="108"/>
      <c r="CJ120" s="108"/>
      <c r="CK120" s="108"/>
      <c r="CL120" s="108"/>
      <c r="CM120" s="108"/>
      <c r="CN120" s="108"/>
      <c r="CO120" s="108"/>
      <c r="CP120" s="108"/>
      <c r="CQ120" s="108"/>
      <c r="CR120" s="108"/>
      <c r="CS120" s="108"/>
      <c r="CT120" s="108"/>
      <c r="CU120" s="108"/>
      <c r="CV120" s="108"/>
      <c r="CW120" s="108"/>
      <c r="CX120" s="108"/>
      <c r="CY120" s="108"/>
      <c r="CZ120" s="108"/>
      <c r="DA120" s="108"/>
      <c r="DB120" s="108"/>
      <c r="DC120" s="108"/>
      <c r="DD120" s="108"/>
      <c r="DE120" s="108"/>
      <c r="DF120" s="108"/>
      <c r="DG120" s="108"/>
      <c r="DH120" s="108"/>
      <c r="DI120" s="108"/>
      <c r="DJ120" s="108"/>
      <c r="DK120" s="108"/>
      <c r="DL120" s="108"/>
      <c r="DM120" s="108"/>
      <c r="DN120" s="108"/>
      <c r="DO120" s="108"/>
      <c r="DP120" s="108"/>
      <c r="DQ120" s="108"/>
      <c r="DR120" s="108"/>
      <c r="DS120" s="108"/>
      <c r="DT120" s="108"/>
      <c r="DU120" s="108"/>
      <c r="DV120" s="108"/>
      <c r="DW120" s="108"/>
      <c r="DX120" s="108"/>
      <c r="DY120" s="108"/>
      <c r="DZ120" s="108"/>
      <c r="EA120" s="108"/>
      <c r="EB120" s="108"/>
      <c r="EC120" s="108"/>
      <c r="ED120" s="108"/>
      <c r="EE120" s="108"/>
      <c r="EF120" s="108"/>
      <c r="EG120" s="108"/>
      <c r="EH120" s="108"/>
      <c r="EI120" s="108"/>
      <c r="EJ120" s="108"/>
      <c r="EK120" s="108"/>
      <c r="EL120" s="108"/>
      <c r="EM120" s="108"/>
      <c r="EN120" s="108"/>
      <c r="EO120" s="108"/>
      <c r="EP120" s="108"/>
      <c r="EQ120" s="108"/>
      <c r="ER120" s="108"/>
      <c r="ES120" s="108"/>
      <c r="ET120" s="108"/>
      <c r="EU120" s="108"/>
      <c r="EV120" s="108"/>
      <c r="EW120" s="108"/>
      <c r="EX120" s="108"/>
      <c r="EY120" s="108"/>
      <c r="EZ120" s="108"/>
      <c r="FA120" s="108"/>
      <c r="FB120" s="108"/>
      <c r="FC120" s="108"/>
      <c r="FD120" s="108"/>
      <c r="FE120" s="108"/>
      <c r="FF120" s="108"/>
      <c r="FG120" s="108"/>
      <c r="FH120" s="108"/>
      <c r="FI120" s="108"/>
      <c r="FJ120" s="108"/>
      <c r="FK120" s="108"/>
      <c r="FL120" s="108"/>
      <c r="FM120" s="108"/>
      <c r="FN120" s="108"/>
      <c r="FO120" s="108"/>
      <c r="FP120" s="108"/>
      <c r="FQ120" s="108"/>
      <c r="FR120" s="108"/>
      <c r="FS120" s="108"/>
      <c r="FT120" s="108"/>
      <c r="FU120" s="108"/>
      <c r="FV120" s="108"/>
      <c r="FW120" s="108"/>
      <c r="FX120" s="108"/>
      <c r="FY120" s="108"/>
      <c r="FZ120" s="108"/>
      <c r="GA120" s="108"/>
      <c r="GB120" s="108"/>
      <c r="GC120" s="108"/>
      <c r="GD120" s="108"/>
      <c r="GE120" s="108"/>
      <c r="GF120" s="108"/>
      <c r="GG120" s="108"/>
      <c r="GH120" s="108"/>
      <c r="GI120" s="108"/>
      <c r="GJ120" s="108"/>
      <c r="GK120" s="108"/>
      <c r="GL120" s="108"/>
      <c r="GM120" s="108"/>
      <c r="GN120" s="108"/>
      <c r="GO120" s="108"/>
      <c r="GP120" s="108"/>
      <c r="GQ120" s="108"/>
      <c r="GR120" s="108"/>
      <c r="GS120" s="108"/>
      <c r="GT120" s="108"/>
      <c r="GU120" s="108"/>
      <c r="GV120" s="108"/>
      <c r="GW120" s="108"/>
      <c r="GX120" s="108"/>
      <c r="GY120" s="108"/>
      <c r="GZ120" s="108"/>
      <c r="HA120" s="108"/>
      <c r="HB120" s="108"/>
      <c r="HC120" s="108"/>
      <c r="HD120" s="108"/>
      <c r="HE120" s="108"/>
      <c r="HF120" s="108"/>
      <c r="HG120" s="108"/>
      <c r="HH120" s="108"/>
      <c r="HI120" s="108"/>
      <c r="HJ120" s="108"/>
      <c r="HK120" s="108"/>
      <c r="HL120" s="108"/>
      <c r="HM120" s="108"/>
      <c r="HN120" s="108"/>
      <c r="HO120" s="108"/>
      <c r="HP120" s="108"/>
      <c r="HQ120" s="108"/>
      <c r="HR120" s="108"/>
      <c r="HS120" s="108"/>
      <c r="HT120" s="108"/>
      <c r="HU120" s="108"/>
      <c r="HV120" s="108"/>
      <c r="HW120" s="108"/>
      <c r="HX120" s="108"/>
      <c r="HY120" s="108"/>
      <c r="HZ120" s="108"/>
      <c r="IA120" s="108"/>
      <c r="IB120" s="108"/>
      <c r="IC120" s="108"/>
      <c r="ID120" s="108"/>
      <c r="IE120" s="108"/>
      <c r="IF120" s="108"/>
      <c r="IG120" s="108"/>
      <c r="IH120" s="108"/>
      <c r="II120" s="108"/>
      <c r="IJ120" s="108"/>
      <c r="IK120" s="108"/>
      <c r="IL120" s="108"/>
      <c r="IM120" s="108"/>
      <c r="IN120" s="108"/>
      <c r="IO120" s="108"/>
      <c r="IP120" s="108"/>
      <c r="IQ120" s="108"/>
      <c r="IR120" s="108"/>
      <c r="IS120" s="108"/>
      <c r="IT120" s="108"/>
      <c r="IU120" s="108"/>
      <c r="IV120" s="108"/>
      <c r="IW120" s="108"/>
    </row>
    <row r="121" spans="1:257" x14ac:dyDescent="0.3">
      <c r="A121" s="158"/>
      <c r="B121" s="158"/>
      <c r="C121" s="158"/>
      <c r="D121" s="158"/>
      <c r="E121" s="158"/>
      <c r="F121" s="158"/>
      <c r="G121" s="158"/>
      <c r="H121" s="158"/>
      <c r="I121" s="158"/>
      <c r="J121" s="158"/>
      <c r="K121" s="158"/>
      <c r="L121" s="158"/>
      <c r="M121" s="158"/>
      <c r="N121" s="158"/>
      <c r="O121" s="108"/>
      <c r="P121" s="108"/>
      <c r="Q121" s="108"/>
      <c r="R121" s="108"/>
      <c r="S121" s="108"/>
      <c r="T121" s="108"/>
      <c r="U121" s="108"/>
      <c r="V121" s="108"/>
      <c r="W121" s="108"/>
      <c r="X121" s="108"/>
      <c r="Y121" s="108"/>
      <c r="Z121" s="108"/>
      <c r="AA121" s="108"/>
      <c r="AB121" s="108"/>
      <c r="AC121" s="108"/>
      <c r="AD121" s="108"/>
      <c r="AE121" s="108"/>
      <c r="AF121" s="108"/>
      <c r="AG121" s="108"/>
      <c r="AH121" s="108"/>
      <c r="AI121" s="108"/>
      <c r="AJ121" s="108"/>
      <c r="AK121" s="108"/>
      <c r="AL121" s="108"/>
      <c r="AM121" s="108"/>
      <c r="AN121" s="108"/>
      <c r="AO121" s="108"/>
      <c r="AP121" s="108"/>
      <c r="AQ121" s="108"/>
      <c r="AR121" s="108"/>
      <c r="AS121" s="108"/>
      <c r="AT121" s="108"/>
      <c r="AU121" s="108"/>
      <c r="AV121" s="108"/>
      <c r="AW121" s="108"/>
      <c r="AX121" s="108"/>
      <c r="AY121" s="108"/>
      <c r="AZ121" s="108"/>
      <c r="BA121" s="108"/>
      <c r="BB121" s="108"/>
      <c r="BC121" s="108"/>
      <c r="BD121" s="108"/>
      <c r="BE121" s="108"/>
      <c r="BF121" s="108"/>
      <c r="BG121" s="108"/>
      <c r="BH121" s="108"/>
      <c r="BI121" s="108"/>
      <c r="BJ121" s="108"/>
      <c r="BK121" s="108"/>
      <c r="BL121" s="108"/>
      <c r="BM121" s="108"/>
      <c r="BN121" s="108"/>
      <c r="BO121" s="108"/>
      <c r="BP121" s="108"/>
      <c r="BQ121" s="108"/>
      <c r="BR121" s="108"/>
      <c r="BS121" s="108"/>
      <c r="BT121" s="108"/>
      <c r="BU121" s="108"/>
      <c r="BV121" s="108"/>
      <c r="BW121" s="108"/>
      <c r="BX121" s="108"/>
      <c r="BY121" s="108"/>
      <c r="BZ121" s="108"/>
      <c r="CA121" s="108"/>
      <c r="CB121" s="108"/>
      <c r="CC121" s="108"/>
      <c r="CD121" s="108"/>
      <c r="CE121" s="108"/>
      <c r="CF121" s="108"/>
      <c r="CG121" s="108"/>
      <c r="CH121" s="108"/>
      <c r="CI121" s="108"/>
      <c r="CJ121" s="108"/>
      <c r="CK121" s="108"/>
      <c r="CL121" s="108"/>
      <c r="CM121" s="108"/>
      <c r="CN121" s="108"/>
      <c r="CO121" s="108"/>
      <c r="CP121" s="108"/>
      <c r="CQ121" s="108"/>
      <c r="CR121" s="108"/>
      <c r="CS121" s="108"/>
      <c r="CT121" s="108"/>
      <c r="CU121" s="108"/>
      <c r="CV121" s="108"/>
      <c r="CW121" s="108"/>
      <c r="CX121" s="108"/>
      <c r="CY121" s="108"/>
      <c r="CZ121" s="108"/>
      <c r="DA121" s="108"/>
      <c r="DB121" s="108"/>
      <c r="DC121" s="108"/>
      <c r="DD121" s="108"/>
      <c r="DE121" s="108"/>
      <c r="DF121" s="108"/>
      <c r="DG121" s="108"/>
      <c r="DH121" s="108"/>
      <c r="DI121" s="108"/>
      <c r="DJ121" s="108"/>
      <c r="DK121" s="108"/>
      <c r="DL121" s="108"/>
      <c r="DM121" s="108"/>
      <c r="DN121" s="108"/>
      <c r="DO121" s="108"/>
      <c r="DP121" s="108"/>
      <c r="DQ121" s="108"/>
      <c r="DR121" s="108"/>
      <c r="DS121" s="108"/>
      <c r="DT121" s="108"/>
      <c r="DU121" s="108"/>
      <c r="DV121" s="108"/>
      <c r="DW121" s="108"/>
      <c r="DX121" s="108"/>
      <c r="DY121" s="108"/>
      <c r="DZ121" s="108"/>
      <c r="EA121" s="108"/>
      <c r="EB121" s="108"/>
      <c r="EC121" s="108"/>
      <c r="ED121" s="108"/>
      <c r="EE121" s="108"/>
      <c r="EF121" s="108"/>
      <c r="EG121" s="108"/>
      <c r="EH121" s="108"/>
      <c r="EI121" s="108"/>
      <c r="EJ121" s="108"/>
      <c r="EK121" s="108"/>
      <c r="EL121" s="108"/>
      <c r="EM121" s="108"/>
      <c r="EN121" s="108"/>
      <c r="EO121" s="108"/>
      <c r="EP121" s="108"/>
      <c r="EQ121" s="108"/>
      <c r="ER121" s="108"/>
      <c r="ES121" s="108"/>
      <c r="ET121" s="108"/>
      <c r="EU121" s="108"/>
      <c r="EV121" s="108"/>
      <c r="EW121" s="108"/>
      <c r="EX121" s="108"/>
      <c r="EY121" s="108"/>
      <c r="EZ121" s="108"/>
      <c r="FA121" s="108"/>
      <c r="FB121" s="108"/>
      <c r="FC121" s="108"/>
      <c r="FD121" s="108"/>
      <c r="FE121" s="108"/>
      <c r="FF121" s="108"/>
      <c r="FG121" s="108"/>
      <c r="FH121" s="108"/>
      <c r="FI121" s="108"/>
      <c r="FJ121" s="108"/>
      <c r="FK121" s="108"/>
      <c r="FL121" s="108"/>
      <c r="FM121" s="108"/>
      <c r="FN121" s="108"/>
      <c r="FO121" s="108"/>
      <c r="FP121" s="108"/>
      <c r="FQ121" s="108"/>
      <c r="FR121" s="108"/>
      <c r="FS121" s="108"/>
      <c r="FT121" s="108"/>
      <c r="FU121" s="108"/>
      <c r="FV121" s="108"/>
      <c r="FW121" s="108"/>
      <c r="FX121" s="108"/>
      <c r="FY121" s="108"/>
      <c r="FZ121" s="108"/>
      <c r="GA121" s="108"/>
      <c r="GB121" s="108"/>
      <c r="GC121" s="108"/>
      <c r="GD121" s="108"/>
      <c r="GE121" s="108"/>
      <c r="GF121" s="108"/>
      <c r="GG121" s="108"/>
      <c r="GH121" s="108"/>
      <c r="GI121" s="108"/>
      <c r="GJ121" s="108"/>
      <c r="GK121" s="108"/>
      <c r="GL121" s="108"/>
      <c r="GM121" s="108"/>
      <c r="GN121" s="108"/>
      <c r="GO121" s="108"/>
      <c r="GP121" s="108"/>
      <c r="GQ121" s="108"/>
      <c r="GR121" s="108"/>
      <c r="GS121" s="108"/>
      <c r="GT121" s="108"/>
      <c r="GU121" s="108"/>
      <c r="GV121" s="108"/>
      <c r="GW121" s="108"/>
      <c r="GX121" s="108"/>
      <c r="GY121" s="108"/>
      <c r="GZ121" s="108"/>
      <c r="HA121" s="108"/>
      <c r="HB121" s="108"/>
      <c r="HC121" s="108"/>
      <c r="HD121" s="108"/>
      <c r="HE121" s="108"/>
      <c r="HF121" s="108"/>
      <c r="HG121" s="108"/>
      <c r="HH121" s="108"/>
      <c r="HI121" s="108"/>
      <c r="HJ121" s="108"/>
      <c r="HK121" s="108"/>
      <c r="HL121" s="108"/>
      <c r="HM121" s="108"/>
      <c r="HN121" s="108"/>
      <c r="HO121" s="108"/>
      <c r="HP121" s="108"/>
      <c r="HQ121" s="108"/>
      <c r="HR121" s="108"/>
      <c r="HS121" s="108"/>
      <c r="HT121" s="108"/>
      <c r="HU121" s="108"/>
      <c r="HV121" s="108"/>
      <c r="HW121" s="108"/>
      <c r="HX121" s="108"/>
      <c r="HY121" s="108"/>
      <c r="HZ121" s="108"/>
      <c r="IA121" s="108"/>
      <c r="IB121" s="108"/>
      <c r="IC121" s="108"/>
      <c r="ID121" s="108"/>
      <c r="IE121" s="108"/>
      <c r="IF121" s="108"/>
      <c r="IG121" s="108"/>
      <c r="IH121" s="108"/>
      <c r="II121" s="108"/>
      <c r="IJ121" s="108"/>
      <c r="IK121" s="108"/>
      <c r="IL121" s="108"/>
      <c r="IM121" s="108"/>
      <c r="IN121" s="108"/>
      <c r="IO121" s="108"/>
      <c r="IP121" s="108"/>
      <c r="IQ121" s="108"/>
      <c r="IR121" s="108"/>
      <c r="IS121" s="108"/>
      <c r="IT121" s="108"/>
      <c r="IU121" s="108"/>
      <c r="IV121" s="108"/>
      <c r="IW121" s="108"/>
    </row>
    <row r="122" spans="1:257" x14ac:dyDescent="0.3">
      <c r="A122" s="158"/>
      <c r="B122" s="158"/>
      <c r="C122" s="158"/>
      <c r="D122" s="158"/>
      <c r="E122" s="158"/>
      <c r="F122" s="158"/>
      <c r="G122" s="158"/>
      <c r="H122" s="158"/>
      <c r="I122" s="158"/>
      <c r="J122" s="158"/>
      <c r="K122" s="158"/>
      <c r="L122" s="158"/>
      <c r="M122" s="158"/>
      <c r="N122" s="158"/>
      <c r="O122" s="108"/>
      <c r="P122" s="108"/>
      <c r="Q122" s="108"/>
      <c r="R122" s="108"/>
      <c r="S122" s="108"/>
      <c r="T122" s="108"/>
      <c r="U122" s="108"/>
      <c r="V122" s="108"/>
      <c r="W122" s="108"/>
      <c r="X122" s="108"/>
      <c r="Y122" s="108"/>
      <c r="Z122" s="108"/>
      <c r="AA122" s="108"/>
      <c r="AB122" s="108"/>
      <c r="AC122" s="108"/>
      <c r="AD122" s="108"/>
      <c r="AE122" s="108"/>
      <c r="AF122" s="108"/>
      <c r="AG122" s="108"/>
      <c r="AH122" s="108"/>
      <c r="AI122" s="108"/>
      <c r="AJ122" s="108"/>
      <c r="AK122" s="108"/>
      <c r="AL122" s="108"/>
      <c r="AM122" s="108"/>
      <c r="AN122" s="108"/>
      <c r="AO122" s="108"/>
      <c r="AP122" s="108"/>
      <c r="AQ122" s="108"/>
      <c r="AR122" s="108"/>
      <c r="AS122" s="108"/>
      <c r="AT122" s="108"/>
      <c r="AU122" s="108"/>
      <c r="AV122" s="108"/>
      <c r="AW122" s="108"/>
      <c r="AX122" s="108"/>
      <c r="AY122" s="108"/>
      <c r="AZ122" s="108"/>
      <c r="BA122" s="108"/>
      <c r="BB122" s="108"/>
      <c r="BC122" s="108"/>
      <c r="BD122" s="108"/>
      <c r="BE122" s="108"/>
      <c r="BF122" s="108"/>
      <c r="BG122" s="108"/>
      <c r="BH122" s="108"/>
      <c r="BI122" s="108"/>
      <c r="BJ122" s="108"/>
      <c r="BK122" s="108"/>
      <c r="BL122" s="108"/>
      <c r="BM122" s="108"/>
      <c r="BN122" s="108"/>
      <c r="BO122" s="108"/>
      <c r="BP122" s="108"/>
      <c r="BQ122" s="108"/>
      <c r="BR122" s="108"/>
      <c r="BS122" s="108"/>
      <c r="BT122" s="108"/>
      <c r="BU122" s="108"/>
      <c r="BV122" s="108"/>
      <c r="BW122" s="108"/>
      <c r="BX122" s="108"/>
      <c r="BY122" s="108"/>
      <c r="BZ122" s="108"/>
      <c r="CA122" s="108"/>
      <c r="CB122" s="108"/>
      <c r="CC122" s="108"/>
      <c r="CD122" s="108"/>
      <c r="CE122" s="108"/>
      <c r="CF122" s="108"/>
      <c r="CG122" s="108"/>
      <c r="CH122" s="108"/>
      <c r="CI122" s="108"/>
      <c r="CJ122" s="108"/>
      <c r="CK122" s="108"/>
      <c r="CL122" s="108"/>
      <c r="CM122" s="108"/>
      <c r="CN122" s="108"/>
      <c r="CO122" s="108"/>
      <c r="CP122" s="108"/>
      <c r="CQ122" s="108"/>
      <c r="CR122" s="108"/>
      <c r="CS122" s="108"/>
      <c r="CT122" s="108"/>
      <c r="CU122" s="108"/>
      <c r="CV122" s="108"/>
      <c r="CW122" s="108"/>
      <c r="CX122" s="108"/>
      <c r="CY122" s="108"/>
      <c r="CZ122" s="108"/>
      <c r="DA122" s="108"/>
      <c r="DB122" s="108"/>
      <c r="DC122" s="108"/>
      <c r="DD122" s="108"/>
      <c r="DE122" s="108"/>
      <c r="DF122" s="108"/>
      <c r="DG122" s="108"/>
      <c r="DH122" s="108"/>
      <c r="DI122" s="108"/>
      <c r="DJ122" s="108"/>
      <c r="DK122" s="108"/>
      <c r="DL122" s="108"/>
      <c r="DM122" s="108"/>
      <c r="DN122" s="108"/>
      <c r="DO122" s="108"/>
      <c r="DP122" s="108"/>
      <c r="DQ122" s="108"/>
      <c r="DR122" s="108"/>
      <c r="DS122" s="108"/>
      <c r="DT122" s="108"/>
      <c r="DU122" s="108"/>
      <c r="DV122" s="108"/>
      <c r="DW122" s="108"/>
      <c r="DX122" s="108"/>
      <c r="DY122" s="108"/>
      <c r="DZ122" s="108"/>
      <c r="EA122" s="108"/>
      <c r="EB122" s="108"/>
      <c r="EC122" s="108"/>
      <c r="ED122" s="108"/>
      <c r="EE122" s="108"/>
      <c r="EF122" s="108"/>
      <c r="EG122" s="108"/>
      <c r="EH122" s="108"/>
      <c r="EI122" s="108"/>
      <c r="EJ122" s="108"/>
      <c r="EK122" s="108"/>
      <c r="EL122" s="108"/>
      <c r="EM122" s="108"/>
      <c r="EN122" s="108"/>
      <c r="EO122" s="108"/>
      <c r="EP122" s="108"/>
      <c r="EQ122" s="108"/>
      <c r="ER122" s="108"/>
      <c r="ES122" s="108"/>
      <c r="ET122" s="108"/>
      <c r="EU122" s="108"/>
      <c r="EV122" s="108"/>
      <c r="EW122" s="108"/>
      <c r="EX122" s="108"/>
      <c r="EY122" s="108"/>
      <c r="EZ122" s="108"/>
      <c r="FA122" s="108"/>
      <c r="FB122" s="108"/>
      <c r="FC122" s="108"/>
      <c r="FD122" s="108"/>
      <c r="FE122" s="108"/>
      <c r="FF122" s="108"/>
      <c r="FG122" s="108"/>
      <c r="FH122" s="108"/>
      <c r="FI122" s="108"/>
      <c r="FJ122" s="108"/>
      <c r="FK122" s="108"/>
      <c r="FL122" s="108"/>
      <c r="FM122" s="108"/>
      <c r="FN122" s="108"/>
      <c r="FO122" s="108"/>
      <c r="FP122" s="108"/>
      <c r="FQ122" s="108"/>
      <c r="FR122" s="108"/>
      <c r="FS122" s="108"/>
      <c r="FT122" s="108"/>
      <c r="FU122" s="108"/>
      <c r="FV122" s="108"/>
      <c r="FW122" s="108"/>
      <c r="FX122" s="108"/>
      <c r="FY122" s="108"/>
      <c r="FZ122" s="108"/>
      <c r="GA122" s="108"/>
      <c r="GB122" s="108"/>
      <c r="GC122" s="108"/>
      <c r="GD122" s="108"/>
      <c r="GE122" s="108"/>
      <c r="GF122" s="108"/>
      <c r="GG122" s="108"/>
      <c r="GH122" s="108"/>
      <c r="GI122" s="108"/>
      <c r="GJ122" s="108"/>
      <c r="GK122" s="108"/>
      <c r="GL122" s="108"/>
      <c r="GM122" s="108"/>
      <c r="GN122" s="108"/>
      <c r="GO122" s="108"/>
      <c r="GP122" s="108"/>
      <c r="GQ122" s="108"/>
      <c r="GR122" s="108"/>
      <c r="GS122" s="108"/>
      <c r="GT122" s="108"/>
      <c r="GU122" s="108"/>
      <c r="GV122" s="108"/>
      <c r="GW122" s="108"/>
      <c r="GX122" s="108"/>
      <c r="GY122" s="108"/>
      <c r="GZ122" s="108"/>
      <c r="HA122" s="108"/>
      <c r="HB122" s="108"/>
      <c r="HC122" s="108"/>
      <c r="HD122" s="108"/>
      <c r="HE122" s="108"/>
      <c r="HF122" s="108"/>
      <c r="HG122" s="108"/>
      <c r="HH122" s="108"/>
      <c r="HI122" s="108"/>
      <c r="HJ122" s="108"/>
      <c r="HK122" s="108"/>
      <c r="HL122" s="108"/>
      <c r="HM122" s="108"/>
      <c r="HN122" s="108"/>
      <c r="HO122" s="108"/>
      <c r="HP122" s="108"/>
      <c r="HQ122" s="108"/>
      <c r="HR122" s="108"/>
      <c r="HS122" s="108"/>
      <c r="HT122" s="108"/>
      <c r="HU122" s="108"/>
      <c r="HV122" s="108"/>
      <c r="HW122" s="108"/>
      <c r="HX122" s="108"/>
      <c r="HY122" s="108"/>
      <c r="HZ122" s="108"/>
      <c r="IA122" s="108"/>
      <c r="IB122" s="108"/>
      <c r="IC122" s="108"/>
      <c r="ID122" s="108"/>
      <c r="IE122" s="108"/>
      <c r="IF122" s="108"/>
      <c r="IG122" s="108"/>
      <c r="IH122" s="108"/>
      <c r="II122" s="108"/>
      <c r="IJ122" s="108"/>
      <c r="IK122" s="108"/>
      <c r="IL122" s="108"/>
      <c r="IM122" s="108"/>
      <c r="IN122" s="108"/>
      <c r="IO122" s="108"/>
      <c r="IP122" s="108"/>
      <c r="IQ122" s="108"/>
      <c r="IR122" s="108"/>
      <c r="IS122" s="108"/>
      <c r="IT122" s="108"/>
      <c r="IU122" s="108"/>
      <c r="IV122" s="108"/>
      <c r="IW122" s="108"/>
    </row>
    <row r="123" spans="1:257" x14ac:dyDescent="0.3">
      <c r="A123" s="158"/>
      <c r="B123" s="158"/>
      <c r="C123" s="158"/>
      <c r="D123" s="158"/>
      <c r="E123" s="158"/>
      <c r="F123" s="158"/>
      <c r="G123" s="158"/>
      <c r="H123" s="158"/>
      <c r="I123" s="158"/>
      <c r="J123" s="158"/>
      <c r="K123" s="158"/>
      <c r="L123" s="158"/>
      <c r="M123" s="158"/>
      <c r="N123" s="158"/>
      <c r="O123" s="108"/>
      <c r="P123" s="108"/>
      <c r="Q123" s="108"/>
      <c r="R123" s="108"/>
      <c r="S123" s="108"/>
      <c r="T123" s="108"/>
      <c r="U123" s="108"/>
      <c r="V123" s="108"/>
      <c r="W123" s="108"/>
      <c r="X123" s="108"/>
      <c r="Y123" s="108"/>
      <c r="Z123" s="108"/>
      <c r="AA123" s="108"/>
      <c r="AB123" s="108"/>
      <c r="AC123" s="108"/>
      <c r="AD123" s="108"/>
      <c r="AE123" s="108"/>
      <c r="AF123" s="108"/>
      <c r="AG123" s="108"/>
      <c r="AH123" s="108"/>
      <c r="AI123" s="108"/>
      <c r="AJ123" s="108"/>
      <c r="AK123" s="108"/>
      <c r="AL123" s="108"/>
      <c r="AM123" s="108"/>
      <c r="AN123" s="108"/>
      <c r="AO123" s="108"/>
      <c r="AP123" s="108"/>
      <c r="AQ123" s="108"/>
      <c r="AR123" s="108"/>
      <c r="AS123" s="108"/>
      <c r="AT123" s="108"/>
      <c r="AU123" s="108"/>
      <c r="AV123" s="108"/>
      <c r="AW123" s="108"/>
      <c r="AX123" s="108"/>
      <c r="AY123" s="108"/>
      <c r="AZ123" s="108"/>
      <c r="BA123" s="108"/>
      <c r="BB123" s="108"/>
      <c r="BC123" s="108"/>
      <c r="BD123" s="108"/>
      <c r="BE123" s="108"/>
      <c r="BF123" s="108"/>
      <c r="BG123" s="108"/>
      <c r="BH123" s="108"/>
      <c r="BI123" s="108"/>
      <c r="BJ123" s="108"/>
      <c r="BK123" s="108"/>
      <c r="BL123" s="108"/>
      <c r="BM123" s="108"/>
      <c r="BN123" s="108"/>
      <c r="BO123" s="108"/>
      <c r="BP123" s="108"/>
      <c r="BQ123" s="108"/>
      <c r="BR123" s="108"/>
      <c r="BS123" s="108"/>
      <c r="BT123" s="108"/>
      <c r="BU123" s="108"/>
      <c r="BV123" s="108"/>
      <c r="BW123" s="108"/>
      <c r="BX123" s="108"/>
      <c r="BY123" s="108"/>
      <c r="BZ123" s="108"/>
      <c r="CA123" s="108"/>
      <c r="CB123" s="108"/>
      <c r="CC123" s="108"/>
      <c r="CD123" s="108"/>
      <c r="CE123" s="108"/>
      <c r="CF123" s="108"/>
      <c r="CG123" s="108"/>
      <c r="CH123" s="108"/>
      <c r="CI123" s="108"/>
      <c r="CJ123" s="108"/>
      <c r="CK123" s="108"/>
      <c r="CL123" s="108"/>
      <c r="CM123" s="108"/>
      <c r="CN123" s="108"/>
      <c r="CO123" s="108"/>
      <c r="CP123" s="108"/>
      <c r="CQ123" s="108"/>
      <c r="CR123" s="108"/>
      <c r="CS123" s="108"/>
      <c r="CT123" s="108"/>
      <c r="CU123" s="108"/>
      <c r="CV123" s="108"/>
      <c r="CW123" s="108"/>
      <c r="CX123" s="108"/>
      <c r="CY123" s="108"/>
      <c r="CZ123" s="108"/>
      <c r="DA123" s="108"/>
      <c r="DB123" s="108"/>
      <c r="DC123" s="108"/>
      <c r="DD123" s="108"/>
      <c r="DE123" s="108"/>
      <c r="DF123" s="108"/>
      <c r="DG123" s="108"/>
      <c r="DH123" s="108"/>
      <c r="DI123" s="108"/>
      <c r="DJ123" s="108"/>
      <c r="DK123" s="108"/>
      <c r="DL123" s="108"/>
      <c r="DM123" s="108"/>
      <c r="DN123" s="108"/>
      <c r="DO123" s="108"/>
      <c r="DP123" s="108"/>
      <c r="DQ123" s="108"/>
      <c r="DR123" s="108"/>
      <c r="DS123" s="108"/>
      <c r="DT123" s="108"/>
      <c r="DU123" s="108"/>
      <c r="DV123" s="108"/>
      <c r="DW123" s="108"/>
      <c r="DX123" s="108"/>
      <c r="DY123" s="108"/>
      <c r="DZ123" s="108"/>
      <c r="EA123" s="108"/>
      <c r="EB123" s="108"/>
      <c r="EC123" s="108"/>
      <c r="ED123" s="108"/>
      <c r="EE123" s="108"/>
      <c r="EF123" s="108"/>
      <c r="EG123" s="108"/>
      <c r="EH123" s="108"/>
      <c r="EI123" s="108"/>
      <c r="EJ123" s="108"/>
      <c r="EK123" s="108"/>
      <c r="EL123" s="108"/>
      <c r="EM123" s="108"/>
      <c r="EN123" s="108"/>
      <c r="EO123" s="108"/>
      <c r="EP123" s="108"/>
      <c r="EQ123" s="108"/>
      <c r="ER123" s="108"/>
      <c r="ES123" s="108"/>
      <c r="ET123" s="108"/>
      <c r="EU123" s="108"/>
      <c r="EV123" s="108"/>
      <c r="EW123" s="108"/>
      <c r="EX123" s="108"/>
      <c r="EY123" s="108"/>
      <c r="EZ123" s="108"/>
      <c r="FA123" s="108"/>
      <c r="FB123" s="108"/>
      <c r="FC123" s="108"/>
      <c r="FD123" s="108"/>
      <c r="FE123" s="108"/>
      <c r="FF123" s="108"/>
      <c r="FG123" s="108"/>
      <c r="FH123" s="108"/>
      <c r="FI123" s="108"/>
      <c r="FJ123" s="108"/>
      <c r="FK123" s="108"/>
      <c r="FL123" s="108"/>
      <c r="FM123" s="108"/>
      <c r="FN123" s="108"/>
      <c r="FO123" s="108"/>
      <c r="FP123" s="108"/>
      <c r="FQ123" s="108"/>
      <c r="FR123" s="108"/>
      <c r="FS123" s="108"/>
      <c r="FT123" s="108"/>
      <c r="FU123" s="108"/>
      <c r="FV123" s="108"/>
      <c r="FW123" s="108"/>
      <c r="FX123" s="108"/>
      <c r="FY123" s="108"/>
      <c r="FZ123" s="108"/>
      <c r="GA123" s="108"/>
      <c r="GB123" s="108"/>
      <c r="GC123" s="108"/>
      <c r="GD123" s="108"/>
      <c r="GE123" s="108"/>
      <c r="GF123" s="108"/>
      <c r="GG123" s="108"/>
      <c r="GH123" s="108"/>
      <c r="GI123" s="108"/>
      <c r="GJ123" s="108"/>
      <c r="GK123" s="108"/>
      <c r="GL123" s="108"/>
      <c r="GM123" s="108"/>
      <c r="GN123" s="108"/>
      <c r="GO123" s="108"/>
      <c r="GP123" s="108"/>
      <c r="GQ123" s="108"/>
      <c r="GR123" s="108"/>
      <c r="GS123" s="108"/>
      <c r="GT123" s="108"/>
      <c r="GU123" s="108"/>
      <c r="GV123" s="108"/>
      <c r="GW123" s="108"/>
      <c r="GX123" s="108"/>
      <c r="GY123" s="108"/>
      <c r="GZ123" s="108"/>
      <c r="HA123" s="108"/>
      <c r="HB123" s="108"/>
      <c r="HC123" s="108"/>
      <c r="HD123" s="108"/>
      <c r="HE123" s="108"/>
      <c r="HF123" s="108"/>
      <c r="HG123" s="108"/>
      <c r="HH123" s="108"/>
      <c r="HI123" s="108"/>
      <c r="HJ123" s="108"/>
      <c r="HK123" s="108"/>
      <c r="HL123" s="108"/>
      <c r="HM123" s="108"/>
      <c r="HN123" s="108"/>
      <c r="HO123" s="108"/>
      <c r="HP123" s="108"/>
      <c r="HQ123" s="108"/>
      <c r="HR123" s="108"/>
      <c r="HS123" s="108"/>
      <c r="HT123" s="108"/>
      <c r="HU123" s="108"/>
      <c r="HV123" s="108"/>
      <c r="HW123" s="108"/>
      <c r="HX123" s="108"/>
      <c r="HY123" s="108"/>
      <c r="HZ123" s="108"/>
      <c r="IA123" s="108"/>
      <c r="IB123" s="108"/>
      <c r="IC123" s="108"/>
      <c r="ID123" s="108"/>
      <c r="IE123" s="108"/>
      <c r="IF123" s="108"/>
      <c r="IG123" s="108"/>
      <c r="IH123" s="108"/>
      <c r="II123" s="108"/>
      <c r="IJ123" s="108"/>
      <c r="IK123" s="108"/>
      <c r="IL123" s="108"/>
      <c r="IM123" s="108"/>
      <c r="IN123" s="108"/>
      <c r="IO123" s="108"/>
      <c r="IP123" s="108"/>
      <c r="IQ123" s="108"/>
      <c r="IR123" s="108"/>
      <c r="IS123" s="108"/>
      <c r="IT123" s="108"/>
      <c r="IU123" s="108"/>
      <c r="IV123" s="108"/>
      <c r="IW123" s="108"/>
    </row>
    <row r="124" spans="1:257" x14ac:dyDescent="0.3">
      <c r="A124" s="158"/>
      <c r="B124" s="158"/>
      <c r="C124" s="158"/>
      <c r="D124" s="158"/>
      <c r="E124" s="158"/>
      <c r="F124" s="158"/>
      <c r="G124" s="158"/>
      <c r="H124" s="158"/>
      <c r="I124" s="158"/>
      <c r="J124" s="158"/>
      <c r="K124" s="158"/>
      <c r="L124" s="158"/>
      <c r="M124" s="158"/>
      <c r="N124" s="158"/>
      <c r="O124" s="108"/>
      <c r="P124" s="108"/>
      <c r="Q124" s="108"/>
      <c r="R124" s="108"/>
      <c r="S124" s="108"/>
      <c r="T124" s="108"/>
      <c r="U124" s="108"/>
      <c r="V124" s="108"/>
      <c r="W124" s="108"/>
      <c r="X124" s="108"/>
      <c r="Y124" s="108"/>
      <c r="Z124" s="108"/>
      <c r="AA124" s="108"/>
      <c r="AB124" s="108"/>
      <c r="AC124" s="108"/>
      <c r="AD124" s="108"/>
      <c r="AE124" s="108"/>
      <c r="AF124" s="108"/>
      <c r="AG124" s="108"/>
      <c r="AH124" s="108"/>
      <c r="AI124" s="108"/>
      <c r="AJ124" s="108"/>
      <c r="AK124" s="108"/>
      <c r="AL124" s="108"/>
      <c r="AM124" s="108"/>
      <c r="AN124" s="108"/>
      <c r="AO124" s="108"/>
      <c r="AP124" s="108"/>
      <c r="AQ124" s="108"/>
      <c r="AR124" s="108"/>
      <c r="AS124" s="108"/>
      <c r="AT124" s="108"/>
      <c r="AU124" s="108"/>
      <c r="AV124" s="108"/>
      <c r="AW124" s="108"/>
      <c r="AX124" s="108"/>
      <c r="AY124" s="108"/>
      <c r="AZ124" s="108"/>
      <c r="BA124" s="108"/>
      <c r="BB124" s="108"/>
      <c r="BC124" s="108"/>
      <c r="BD124" s="108"/>
      <c r="BE124" s="108"/>
      <c r="BF124" s="108"/>
      <c r="BG124" s="108"/>
      <c r="BH124" s="108"/>
      <c r="BI124" s="108"/>
      <c r="BJ124" s="108"/>
      <c r="BK124" s="108"/>
      <c r="BL124" s="108"/>
      <c r="BM124" s="108"/>
      <c r="BN124" s="108"/>
      <c r="BO124" s="108"/>
      <c r="BP124" s="108"/>
      <c r="BQ124" s="108"/>
      <c r="BR124" s="108"/>
      <c r="BS124" s="108"/>
      <c r="BT124" s="108"/>
      <c r="BU124" s="108"/>
      <c r="BV124" s="108"/>
      <c r="BW124" s="108"/>
      <c r="BX124" s="108"/>
      <c r="BY124" s="108"/>
      <c r="BZ124" s="108"/>
      <c r="CA124" s="108"/>
      <c r="CB124" s="108"/>
      <c r="CC124" s="108"/>
      <c r="CD124" s="108"/>
      <c r="CE124" s="108"/>
      <c r="CF124" s="108"/>
      <c r="CG124" s="108"/>
      <c r="CH124" s="108"/>
      <c r="CI124" s="108"/>
      <c r="CJ124" s="108"/>
      <c r="CK124" s="108"/>
      <c r="CL124" s="108"/>
      <c r="CM124" s="108"/>
      <c r="CN124" s="108"/>
      <c r="CO124" s="108"/>
      <c r="CP124" s="108"/>
      <c r="CQ124" s="108"/>
      <c r="CR124" s="108"/>
      <c r="CS124" s="108"/>
      <c r="CT124" s="108"/>
      <c r="CU124" s="108"/>
      <c r="CV124" s="108"/>
      <c r="CW124" s="108"/>
      <c r="CX124" s="108"/>
      <c r="CY124" s="108"/>
      <c r="CZ124" s="108"/>
      <c r="DA124" s="108"/>
      <c r="DB124" s="108"/>
      <c r="DC124" s="108"/>
      <c r="DD124" s="108"/>
      <c r="DE124" s="108"/>
      <c r="DF124" s="108"/>
      <c r="DG124" s="108"/>
      <c r="DH124" s="108"/>
      <c r="DI124" s="108"/>
      <c r="DJ124" s="108"/>
      <c r="DK124" s="108"/>
      <c r="DL124" s="108"/>
      <c r="DM124" s="108"/>
      <c r="DN124" s="108"/>
      <c r="DO124" s="108"/>
      <c r="DP124" s="108"/>
      <c r="DQ124" s="108"/>
      <c r="DR124" s="108"/>
      <c r="DS124" s="108"/>
      <c r="DT124" s="108"/>
      <c r="DU124" s="108"/>
      <c r="DV124" s="108"/>
      <c r="DW124" s="108"/>
      <c r="DX124" s="108"/>
      <c r="DY124" s="108"/>
      <c r="DZ124" s="108"/>
      <c r="EA124" s="108"/>
      <c r="EB124" s="108"/>
      <c r="EC124" s="108"/>
      <c r="ED124" s="108"/>
      <c r="EE124" s="108"/>
      <c r="EF124" s="108"/>
      <c r="EG124" s="108"/>
      <c r="EH124" s="108"/>
      <c r="EI124" s="108"/>
      <c r="EJ124" s="108"/>
      <c r="EK124" s="108"/>
      <c r="EL124" s="108"/>
      <c r="EM124" s="108"/>
      <c r="EN124" s="108"/>
      <c r="EO124" s="108"/>
      <c r="EP124" s="108"/>
      <c r="EQ124" s="108"/>
      <c r="ER124" s="108"/>
      <c r="ES124" s="108"/>
      <c r="ET124" s="108"/>
      <c r="EU124" s="108"/>
      <c r="EV124" s="108"/>
      <c r="EW124" s="108"/>
      <c r="EX124" s="108"/>
      <c r="EY124" s="108"/>
      <c r="EZ124" s="108"/>
      <c r="FA124" s="108"/>
      <c r="FB124" s="108"/>
      <c r="FC124" s="108"/>
      <c r="FD124" s="108"/>
      <c r="FE124" s="108"/>
      <c r="FF124" s="108"/>
      <c r="FG124" s="108"/>
      <c r="FH124" s="108"/>
      <c r="FI124" s="108"/>
      <c r="FJ124" s="108"/>
      <c r="FK124" s="108"/>
      <c r="FL124" s="108"/>
      <c r="FM124" s="108"/>
      <c r="FN124" s="108"/>
      <c r="FO124" s="108"/>
      <c r="FP124" s="108"/>
      <c r="FQ124" s="108"/>
      <c r="FR124" s="108"/>
      <c r="FS124" s="108"/>
      <c r="FT124" s="108"/>
      <c r="FU124" s="108"/>
      <c r="FV124" s="108"/>
      <c r="FW124" s="108"/>
      <c r="FX124" s="108"/>
      <c r="FY124" s="108"/>
      <c r="FZ124" s="108"/>
      <c r="GA124" s="108"/>
      <c r="GB124" s="108"/>
      <c r="GC124" s="108"/>
      <c r="GD124" s="108"/>
      <c r="GE124" s="108"/>
      <c r="GF124" s="108"/>
      <c r="GG124" s="108"/>
      <c r="GH124" s="108"/>
      <c r="GI124" s="108"/>
      <c r="GJ124" s="108"/>
      <c r="GK124" s="108"/>
      <c r="GL124" s="108"/>
      <c r="GM124" s="108"/>
      <c r="GN124" s="108"/>
      <c r="GO124" s="108"/>
      <c r="GP124" s="108"/>
      <c r="GQ124" s="108"/>
      <c r="GR124" s="108"/>
      <c r="GS124" s="108"/>
      <c r="GT124" s="108"/>
      <c r="GU124" s="108"/>
      <c r="GV124" s="108"/>
      <c r="GW124" s="108"/>
      <c r="GX124" s="108"/>
      <c r="GY124" s="108"/>
      <c r="GZ124" s="108"/>
      <c r="HA124" s="108"/>
      <c r="HB124" s="108"/>
      <c r="HC124" s="108"/>
      <c r="HD124" s="108"/>
      <c r="HE124" s="108"/>
      <c r="HF124" s="108"/>
      <c r="HG124" s="108"/>
      <c r="HH124" s="108"/>
      <c r="HI124" s="108"/>
      <c r="HJ124" s="108"/>
      <c r="HK124" s="108"/>
      <c r="HL124" s="108"/>
      <c r="HM124" s="108"/>
      <c r="HN124" s="108"/>
      <c r="HO124" s="108"/>
      <c r="HP124" s="108"/>
      <c r="HQ124" s="108"/>
      <c r="HR124" s="108"/>
      <c r="HS124" s="108"/>
      <c r="HT124" s="108"/>
      <c r="HU124" s="108"/>
      <c r="HV124" s="108"/>
      <c r="HW124" s="108"/>
      <c r="HX124" s="108"/>
      <c r="HY124" s="108"/>
      <c r="HZ124" s="108"/>
      <c r="IA124" s="108"/>
      <c r="IB124" s="108"/>
      <c r="IC124" s="108"/>
      <c r="ID124" s="108"/>
      <c r="IE124" s="108"/>
      <c r="IF124" s="108"/>
      <c r="IG124" s="108"/>
      <c r="IH124" s="108"/>
      <c r="II124" s="108"/>
      <c r="IJ124" s="108"/>
      <c r="IK124" s="108"/>
      <c r="IL124" s="108"/>
      <c r="IM124" s="108"/>
      <c r="IN124" s="108"/>
      <c r="IO124" s="108"/>
      <c r="IP124" s="108"/>
      <c r="IQ124" s="108"/>
      <c r="IR124" s="108"/>
      <c r="IS124" s="108"/>
      <c r="IT124" s="108"/>
      <c r="IU124" s="108"/>
      <c r="IV124" s="108"/>
      <c r="IW124" s="108"/>
    </row>
    <row r="125" spans="1:257" x14ac:dyDescent="0.3">
      <c r="A125" s="158"/>
      <c r="B125" s="158"/>
      <c r="C125" s="158"/>
      <c r="D125" s="158"/>
      <c r="E125" s="158"/>
      <c r="F125" s="158"/>
      <c r="G125" s="158"/>
      <c r="H125" s="158"/>
      <c r="I125" s="158"/>
      <c r="J125" s="158"/>
      <c r="K125" s="158"/>
      <c r="L125" s="158"/>
      <c r="M125" s="158"/>
      <c r="N125" s="158"/>
      <c r="O125" s="108"/>
      <c r="P125" s="108"/>
      <c r="Q125" s="108"/>
      <c r="R125" s="108"/>
      <c r="S125" s="108"/>
      <c r="T125" s="108"/>
      <c r="U125" s="108"/>
      <c r="V125" s="108"/>
      <c r="W125" s="108"/>
      <c r="X125" s="108"/>
      <c r="Y125" s="108"/>
      <c r="Z125" s="108"/>
      <c r="AA125" s="108"/>
      <c r="AB125" s="108"/>
      <c r="AC125" s="108"/>
      <c r="AD125" s="108"/>
      <c r="AE125" s="108"/>
      <c r="AF125" s="108"/>
      <c r="AG125" s="108"/>
      <c r="AH125" s="108"/>
      <c r="AI125" s="108"/>
      <c r="AJ125" s="108"/>
      <c r="AK125" s="108"/>
      <c r="AL125" s="108"/>
      <c r="AM125" s="108"/>
      <c r="AN125" s="108"/>
      <c r="AO125" s="108"/>
      <c r="AP125" s="108"/>
      <c r="AQ125" s="108"/>
      <c r="AR125" s="108"/>
      <c r="AS125" s="108"/>
      <c r="AT125" s="108"/>
      <c r="AU125" s="108"/>
      <c r="AV125" s="108"/>
      <c r="AW125" s="108"/>
      <c r="AX125" s="108"/>
      <c r="AY125" s="108"/>
      <c r="AZ125" s="108"/>
      <c r="BA125" s="108"/>
      <c r="BB125" s="108"/>
      <c r="BC125" s="108"/>
      <c r="BD125" s="108"/>
      <c r="BE125" s="108"/>
      <c r="BF125" s="108"/>
      <c r="BG125" s="108"/>
      <c r="BH125" s="108"/>
      <c r="BI125" s="108"/>
      <c r="BJ125" s="108"/>
      <c r="BK125" s="108"/>
      <c r="BL125" s="108"/>
      <c r="BM125" s="108"/>
      <c r="BN125" s="108"/>
      <c r="BO125" s="108"/>
      <c r="BP125" s="108"/>
      <c r="BQ125" s="108"/>
      <c r="BR125" s="108"/>
      <c r="BS125" s="108"/>
      <c r="BT125" s="108"/>
      <c r="BU125" s="108"/>
      <c r="BV125" s="108"/>
      <c r="BW125" s="108"/>
      <c r="BX125" s="108"/>
      <c r="BY125" s="108"/>
      <c r="BZ125" s="108"/>
      <c r="CA125" s="108"/>
      <c r="CB125" s="108"/>
      <c r="CC125" s="108"/>
      <c r="CD125" s="108"/>
      <c r="CE125" s="108"/>
      <c r="CF125" s="108"/>
      <c r="CG125" s="108"/>
      <c r="CH125" s="108"/>
      <c r="CI125" s="108"/>
      <c r="CJ125" s="108"/>
      <c r="CK125" s="108"/>
      <c r="CL125" s="108"/>
      <c r="CM125" s="108"/>
      <c r="CN125" s="108"/>
      <c r="CO125" s="108"/>
      <c r="CP125" s="108"/>
      <c r="CQ125" s="108"/>
      <c r="CR125" s="108"/>
      <c r="CS125" s="108"/>
      <c r="CT125" s="108"/>
      <c r="CU125" s="108"/>
      <c r="CV125" s="108"/>
      <c r="CW125" s="108"/>
      <c r="CX125" s="108"/>
      <c r="CY125" s="108"/>
      <c r="CZ125" s="108"/>
      <c r="DA125" s="108"/>
      <c r="DB125" s="108"/>
      <c r="DC125" s="108"/>
      <c r="DD125" s="108"/>
      <c r="DE125" s="108"/>
      <c r="DF125" s="108"/>
      <c r="DG125" s="108"/>
      <c r="DH125" s="108"/>
      <c r="DI125" s="108"/>
      <c r="DJ125" s="108"/>
      <c r="DK125" s="108"/>
      <c r="DL125" s="108"/>
      <c r="DM125" s="108"/>
      <c r="DN125" s="108"/>
      <c r="DO125" s="108"/>
      <c r="DP125" s="108"/>
      <c r="DQ125" s="108"/>
      <c r="DR125" s="108"/>
      <c r="DS125" s="108"/>
      <c r="DT125" s="108"/>
      <c r="DU125" s="108"/>
      <c r="DV125" s="108"/>
      <c r="DW125" s="108"/>
      <c r="DX125" s="108"/>
      <c r="DY125" s="108"/>
      <c r="DZ125" s="108"/>
      <c r="EA125" s="108"/>
      <c r="EB125" s="108"/>
      <c r="EC125" s="108"/>
      <c r="ED125" s="108"/>
      <c r="EE125" s="108"/>
      <c r="EF125" s="108"/>
      <c r="EG125" s="108"/>
      <c r="EH125" s="108"/>
      <c r="EI125" s="108"/>
      <c r="EJ125" s="108"/>
      <c r="EK125" s="108"/>
      <c r="EL125" s="108"/>
      <c r="EM125" s="108"/>
      <c r="EN125" s="108"/>
      <c r="EO125" s="108"/>
      <c r="EP125" s="108"/>
      <c r="EQ125" s="108"/>
      <c r="ER125" s="108"/>
      <c r="ES125" s="108"/>
      <c r="ET125" s="108"/>
      <c r="EU125" s="108"/>
      <c r="EV125" s="108"/>
      <c r="EW125" s="108"/>
      <c r="EX125" s="108"/>
      <c r="EY125" s="108"/>
      <c r="EZ125" s="108"/>
      <c r="FA125" s="108"/>
      <c r="FB125" s="108"/>
      <c r="FC125" s="108"/>
      <c r="FD125" s="108"/>
      <c r="FE125" s="108"/>
      <c r="FF125" s="108"/>
      <c r="FG125" s="108"/>
      <c r="FH125" s="108"/>
      <c r="FI125" s="108"/>
      <c r="FJ125" s="108"/>
      <c r="FK125" s="108"/>
      <c r="FL125" s="108"/>
      <c r="FM125" s="108"/>
      <c r="FN125" s="108"/>
      <c r="FO125" s="108"/>
      <c r="FP125" s="108"/>
      <c r="FQ125" s="108"/>
      <c r="FR125" s="108"/>
      <c r="FS125" s="108"/>
      <c r="FT125" s="108"/>
      <c r="FU125" s="108"/>
      <c r="FV125" s="108"/>
      <c r="FW125" s="108"/>
      <c r="FX125" s="108"/>
      <c r="FY125" s="108"/>
      <c r="FZ125" s="108"/>
      <c r="GA125" s="108"/>
      <c r="GB125" s="108"/>
      <c r="GC125" s="108"/>
      <c r="GD125" s="108"/>
      <c r="GE125" s="108"/>
      <c r="GF125" s="108"/>
      <c r="GG125" s="108"/>
      <c r="GH125" s="108"/>
      <c r="GI125" s="108"/>
      <c r="GJ125" s="108"/>
      <c r="GK125" s="108"/>
      <c r="GL125" s="108"/>
      <c r="GM125" s="108"/>
      <c r="GN125" s="108"/>
      <c r="GO125" s="108"/>
      <c r="GP125" s="108"/>
      <c r="GQ125" s="108"/>
      <c r="GR125" s="108"/>
      <c r="GS125" s="108"/>
      <c r="GT125" s="108"/>
      <c r="GU125" s="108"/>
      <c r="GV125" s="108"/>
      <c r="GW125" s="108"/>
      <c r="GX125" s="108"/>
      <c r="GY125" s="108"/>
      <c r="GZ125" s="108"/>
      <c r="HA125" s="108"/>
      <c r="HB125" s="108"/>
      <c r="HC125" s="108"/>
      <c r="HD125" s="108"/>
      <c r="HE125" s="108"/>
      <c r="HF125" s="108"/>
      <c r="HG125" s="108"/>
      <c r="HH125" s="108"/>
      <c r="HI125" s="108"/>
      <c r="HJ125" s="108"/>
      <c r="HK125" s="108"/>
      <c r="HL125" s="108"/>
      <c r="HM125" s="108"/>
      <c r="HN125" s="108"/>
      <c r="HO125" s="108"/>
      <c r="HP125" s="108"/>
      <c r="HQ125" s="108"/>
      <c r="HR125" s="108"/>
      <c r="HS125" s="108"/>
      <c r="HT125" s="108"/>
      <c r="HU125" s="108"/>
      <c r="HV125" s="108"/>
      <c r="HW125" s="108"/>
      <c r="HX125" s="108"/>
      <c r="HY125" s="108"/>
      <c r="HZ125" s="108"/>
      <c r="IA125" s="108"/>
      <c r="IB125" s="108"/>
      <c r="IC125" s="108"/>
      <c r="ID125" s="108"/>
      <c r="IE125" s="108"/>
      <c r="IF125" s="108"/>
      <c r="IG125" s="108"/>
      <c r="IH125" s="108"/>
      <c r="II125" s="108"/>
      <c r="IJ125" s="108"/>
      <c r="IK125" s="108"/>
      <c r="IL125" s="108"/>
      <c r="IM125" s="108"/>
      <c r="IN125" s="108"/>
      <c r="IO125" s="108"/>
      <c r="IP125" s="108"/>
      <c r="IQ125" s="108"/>
      <c r="IR125" s="108"/>
      <c r="IS125" s="108"/>
      <c r="IT125" s="108"/>
      <c r="IU125" s="108"/>
      <c r="IV125" s="108"/>
      <c r="IW125" s="108"/>
    </row>
    <row r="126" spans="1:257" x14ac:dyDescent="0.3">
      <c r="A126" s="158"/>
      <c r="B126" s="158"/>
      <c r="C126" s="158"/>
      <c r="D126" s="158"/>
      <c r="E126" s="158"/>
      <c r="F126" s="158"/>
      <c r="G126" s="158"/>
      <c r="H126" s="158"/>
      <c r="I126" s="158"/>
      <c r="J126" s="158"/>
      <c r="K126" s="158"/>
      <c r="L126" s="158"/>
      <c r="M126" s="158"/>
      <c r="N126" s="158"/>
      <c r="O126" s="108"/>
      <c r="P126" s="108"/>
      <c r="Q126" s="108"/>
      <c r="R126" s="108"/>
      <c r="S126" s="108"/>
      <c r="T126" s="108"/>
      <c r="U126" s="108"/>
      <c r="V126" s="108"/>
      <c r="W126" s="108"/>
      <c r="X126" s="108"/>
      <c r="Y126" s="108"/>
      <c r="Z126" s="108"/>
      <c r="AA126" s="108"/>
      <c r="AB126" s="108"/>
      <c r="AC126" s="108"/>
      <c r="AD126" s="108"/>
      <c r="AE126" s="108"/>
      <c r="AF126" s="108"/>
      <c r="AG126" s="108"/>
      <c r="AH126" s="108"/>
      <c r="AI126" s="108"/>
      <c r="AJ126" s="108"/>
      <c r="AK126" s="108"/>
      <c r="AL126" s="108"/>
      <c r="AM126" s="108"/>
      <c r="AN126" s="108"/>
      <c r="AO126" s="108"/>
      <c r="AP126" s="108"/>
      <c r="AQ126" s="108"/>
      <c r="AR126" s="108"/>
      <c r="AS126" s="108"/>
      <c r="AT126" s="108"/>
      <c r="AU126" s="108"/>
      <c r="AV126" s="108"/>
      <c r="AW126" s="108"/>
      <c r="AX126" s="108"/>
      <c r="AY126" s="108"/>
      <c r="AZ126" s="108"/>
      <c r="BA126" s="108"/>
      <c r="BB126" s="108"/>
      <c r="BC126" s="108"/>
      <c r="BD126" s="108"/>
      <c r="BE126" s="108"/>
      <c r="BF126" s="108"/>
      <c r="BG126" s="108"/>
      <c r="BH126" s="108"/>
      <c r="BI126" s="108"/>
      <c r="BJ126" s="108"/>
      <c r="BK126" s="108"/>
      <c r="BL126" s="108"/>
      <c r="BM126" s="108"/>
      <c r="BN126" s="108"/>
      <c r="BO126" s="108"/>
      <c r="BP126" s="108"/>
      <c r="BQ126" s="108"/>
      <c r="BR126" s="108"/>
      <c r="BS126" s="108"/>
      <c r="BT126" s="108"/>
      <c r="BU126" s="108"/>
      <c r="BV126" s="108"/>
      <c r="BW126" s="108"/>
      <c r="BX126" s="108"/>
      <c r="BY126" s="108"/>
      <c r="BZ126" s="108"/>
      <c r="CA126" s="108"/>
      <c r="CB126" s="108"/>
      <c r="CC126" s="108"/>
      <c r="CD126" s="108"/>
      <c r="CE126" s="108"/>
      <c r="CF126" s="108"/>
      <c r="CG126" s="108"/>
      <c r="CH126" s="108"/>
      <c r="CI126" s="108"/>
      <c r="CJ126" s="108"/>
      <c r="CK126" s="108"/>
      <c r="CL126" s="108"/>
      <c r="CM126" s="108"/>
      <c r="CN126" s="108"/>
      <c r="CO126" s="108"/>
      <c r="CP126" s="108"/>
      <c r="CQ126" s="108"/>
      <c r="CR126" s="108"/>
      <c r="CS126" s="108"/>
      <c r="CT126" s="108"/>
      <c r="CU126" s="108"/>
      <c r="CV126" s="108"/>
      <c r="CW126" s="108"/>
      <c r="CX126" s="108"/>
      <c r="CY126" s="108"/>
      <c r="CZ126" s="108"/>
      <c r="DA126" s="108"/>
      <c r="DB126" s="108"/>
      <c r="DC126" s="108"/>
      <c r="DD126" s="108"/>
      <c r="DE126" s="108"/>
      <c r="DF126" s="108"/>
      <c r="DG126" s="108"/>
      <c r="DH126" s="108"/>
      <c r="DI126" s="108"/>
      <c r="DJ126" s="108"/>
      <c r="DK126" s="108"/>
      <c r="DL126" s="108"/>
      <c r="DM126" s="108"/>
      <c r="DN126" s="108"/>
      <c r="DO126" s="108"/>
      <c r="DP126" s="108"/>
      <c r="DQ126" s="108"/>
      <c r="DR126" s="108"/>
      <c r="DS126" s="108"/>
      <c r="DT126" s="108"/>
      <c r="DU126" s="108"/>
      <c r="DV126" s="108"/>
      <c r="DW126" s="108"/>
      <c r="DX126" s="108"/>
      <c r="DY126" s="108"/>
      <c r="DZ126" s="108"/>
      <c r="EA126" s="108"/>
      <c r="EB126" s="108"/>
      <c r="EC126" s="108"/>
      <c r="ED126" s="108"/>
      <c r="EE126" s="108"/>
      <c r="EF126" s="108"/>
      <c r="EG126" s="108"/>
      <c r="EH126" s="108"/>
      <c r="EI126" s="108"/>
      <c r="EJ126" s="108"/>
      <c r="EK126" s="108"/>
      <c r="EL126" s="108"/>
      <c r="EM126" s="108"/>
      <c r="EN126" s="108"/>
      <c r="EO126" s="108"/>
      <c r="EP126" s="108"/>
      <c r="EQ126" s="108"/>
      <c r="ER126" s="108"/>
      <c r="ES126" s="108"/>
      <c r="ET126" s="108"/>
      <c r="EU126" s="108"/>
      <c r="EV126" s="108"/>
      <c r="EW126" s="108"/>
      <c r="EX126" s="108"/>
      <c r="EY126" s="108"/>
      <c r="EZ126" s="108"/>
      <c r="FA126" s="108"/>
      <c r="FB126" s="108"/>
      <c r="FC126" s="108"/>
      <c r="FD126" s="108"/>
      <c r="FE126" s="108"/>
      <c r="FF126" s="108"/>
      <c r="FG126" s="108"/>
      <c r="FH126" s="108"/>
      <c r="FI126" s="108"/>
      <c r="FJ126" s="108"/>
      <c r="FK126" s="108"/>
      <c r="FL126" s="108"/>
      <c r="FM126" s="108"/>
      <c r="FN126" s="108"/>
      <c r="FO126" s="108"/>
      <c r="FP126" s="108"/>
      <c r="FQ126" s="108"/>
      <c r="FR126" s="108"/>
      <c r="FS126" s="108"/>
      <c r="FT126" s="108"/>
      <c r="FU126" s="108"/>
      <c r="FV126" s="108"/>
      <c r="FW126" s="108"/>
      <c r="FX126" s="108"/>
      <c r="FY126" s="108"/>
      <c r="FZ126" s="108"/>
      <c r="GA126" s="108"/>
      <c r="GB126" s="108"/>
      <c r="GC126" s="108"/>
      <c r="GD126" s="108"/>
      <c r="GE126" s="108"/>
      <c r="GF126" s="108"/>
      <c r="GG126" s="108"/>
      <c r="GH126" s="108"/>
      <c r="GI126" s="108"/>
      <c r="GJ126" s="108"/>
      <c r="GK126" s="108"/>
      <c r="GL126" s="108"/>
      <c r="GM126" s="108"/>
      <c r="GN126" s="108"/>
      <c r="GO126" s="108"/>
      <c r="GP126" s="108"/>
      <c r="GQ126" s="108"/>
      <c r="GR126" s="108"/>
      <c r="GS126" s="108"/>
      <c r="GT126" s="108"/>
      <c r="GU126" s="108"/>
      <c r="GV126" s="108"/>
      <c r="GW126" s="108"/>
      <c r="GX126" s="108"/>
      <c r="GY126" s="108"/>
      <c r="GZ126" s="108"/>
      <c r="HA126" s="108"/>
      <c r="HB126" s="108"/>
      <c r="HC126" s="108"/>
      <c r="HD126" s="108"/>
      <c r="HE126" s="108"/>
      <c r="HF126" s="108"/>
      <c r="HG126" s="108"/>
      <c r="HH126" s="108"/>
      <c r="HI126" s="108"/>
      <c r="HJ126" s="108"/>
      <c r="HK126" s="108"/>
      <c r="HL126" s="108"/>
      <c r="HM126" s="108"/>
      <c r="HN126" s="108"/>
      <c r="HO126" s="108"/>
      <c r="HP126" s="108"/>
      <c r="HQ126" s="108"/>
      <c r="HR126" s="108"/>
      <c r="HS126" s="108"/>
      <c r="HT126" s="108"/>
      <c r="HU126" s="108"/>
      <c r="HV126" s="108"/>
      <c r="HW126" s="108"/>
      <c r="HX126" s="108"/>
      <c r="HY126" s="108"/>
      <c r="HZ126" s="108"/>
      <c r="IA126" s="108"/>
      <c r="IB126" s="108"/>
      <c r="IC126" s="108"/>
      <c r="ID126" s="108"/>
      <c r="IE126" s="108"/>
      <c r="IF126" s="108"/>
      <c r="IG126" s="108"/>
      <c r="IH126" s="108"/>
      <c r="II126" s="108"/>
      <c r="IJ126" s="108"/>
      <c r="IK126" s="108"/>
      <c r="IL126" s="108"/>
      <c r="IM126" s="108"/>
      <c r="IN126" s="108"/>
      <c r="IO126" s="108"/>
      <c r="IP126" s="108"/>
      <c r="IQ126" s="108"/>
      <c r="IR126" s="108"/>
      <c r="IS126" s="108"/>
      <c r="IT126" s="108"/>
      <c r="IU126" s="108"/>
      <c r="IV126" s="108"/>
      <c r="IW126" s="108"/>
    </row>
    <row r="127" spans="1:257" x14ac:dyDescent="0.3">
      <c r="A127" s="158"/>
      <c r="B127" s="158"/>
      <c r="C127" s="158"/>
      <c r="D127" s="158"/>
      <c r="E127" s="158"/>
      <c r="F127" s="158"/>
      <c r="G127" s="158"/>
      <c r="H127" s="158"/>
      <c r="I127" s="158"/>
      <c r="J127" s="158"/>
      <c r="K127" s="158"/>
      <c r="L127" s="158"/>
      <c r="M127" s="158"/>
      <c r="N127" s="158"/>
      <c r="O127" s="108"/>
      <c r="P127" s="108"/>
      <c r="Q127" s="108"/>
      <c r="R127" s="108"/>
      <c r="S127" s="108"/>
      <c r="T127" s="108"/>
      <c r="U127" s="108"/>
      <c r="V127" s="108"/>
      <c r="W127" s="108"/>
      <c r="X127" s="108"/>
      <c r="Y127" s="108"/>
      <c r="Z127" s="108"/>
      <c r="AA127" s="108"/>
      <c r="AB127" s="108"/>
      <c r="AC127" s="108"/>
      <c r="AD127" s="108"/>
      <c r="AE127" s="108"/>
      <c r="AF127" s="108"/>
      <c r="AG127" s="108"/>
      <c r="AH127" s="108"/>
      <c r="AI127" s="108"/>
      <c r="AJ127" s="108"/>
      <c r="AK127" s="108"/>
      <c r="AL127" s="108"/>
      <c r="AM127" s="108"/>
      <c r="AN127" s="108"/>
      <c r="AO127" s="108"/>
      <c r="AP127" s="108"/>
      <c r="AQ127" s="108"/>
      <c r="AR127" s="108"/>
      <c r="AS127" s="108"/>
      <c r="AT127" s="108"/>
      <c r="AU127" s="108"/>
      <c r="AV127" s="108"/>
      <c r="AW127" s="108"/>
      <c r="AX127" s="108"/>
      <c r="AY127" s="108"/>
      <c r="AZ127" s="108"/>
      <c r="BA127" s="108"/>
      <c r="BB127" s="108"/>
      <c r="BC127" s="108"/>
      <c r="BD127" s="108"/>
      <c r="BE127" s="108"/>
      <c r="BF127" s="108"/>
      <c r="BG127" s="108"/>
      <c r="BH127" s="108"/>
      <c r="BI127" s="108"/>
      <c r="BJ127" s="108"/>
      <c r="BK127" s="108"/>
      <c r="BL127" s="108"/>
      <c r="BM127" s="108"/>
      <c r="BN127" s="108"/>
      <c r="BO127" s="108"/>
      <c r="BP127" s="108"/>
      <c r="BQ127" s="108"/>
      <c r="BR127" s="108"/>
      <c r="BS127" s="108"/>
      <c r="BT127" s="108"/>
      <c r="BU127" s="108"/>
      <c r="BV127" s="108"/>
      <c r="BW127" s="108"/>
      <c r="BX127" s="108"/>
      <c r="BY127" s="108"/>
      <c r="BZ127" s="108"/>
      <c r="CA127" s="108"/>
      <c r="CB127" s="108"/>
      <c r="CC127" s="108"/>
      <c r="CD127" s="108"/>
      <c r="CE127" s="108"/>
      <c r="CF127" s="108"/>
      <c r="CG127" s="108"/>
      <c r="CH127" s="108"/>
      <c r="CI127" s="108"/>
      <c r="CJ127" s="108"/>
      <c r="CK127" s="108"/>
      <c r="CL127" s="108"/>
      <c r="CM127" s="108"/>
      <c r="CN127" s="108"/>
      <c r="CO127" s="108"/>
      <c r="CP127" s="108"/>
      <c r="CQ127" s="108"/>
      <c r="CR127" s="108"/>
      <c r="CS127" s="108"/>
      <c r="CT127" s="108"/>
      <c r="CU127" s="108"/>
      <c r="CV127" s="108"/>
      <c r="CW127" s="108"/>
      <c r="CX127" s="108"/>
      <c r="CY127" s="108"/>
      <c r="CZ127" s="108"/>
      <c r="DA127" s="108"/>
      <c r="DB127" s="108"/>
      <c r="DC127" s="108"/>
      <c r="DD127" s="108"/>
      <c r="DE127" s="108"/>
      <c r="DF127" s="108"/>
      <c r="DG127" s="108"/>
      <c r="DH127" s="108"/>
      <c r="DI127" s="108"/>
      <c r="DJ127" s="108"/>
      <c r="DK127" s="108"/>
      <c r="DL127" s="108"/>
      <c r="DM127" s="108"/>
      <c r="DN127" s="108"/>
      <c r="DO127" s="108"/>
      <c r="DP127" s="108"/>
      <c r="DQ127" s="108"/>
      <c r="DR127" s="108"/>
      <c r="DS127" s="108"/>
      <c r="DT127" s="108"/>
      <c r="DU127" s="108"/>
      <c r="DV127" s="108"/>
      <c r="DW127" s="108"/>
      <c r="DX127" s="108"/>
      <c r="DY127" s="108"/>
      <c r="DZ127" s="108"/>
      <c r="EA127" s="108"/>
      <c r="EB127" s="108"/>
      <c r="EC127" s="108"/>
      <c r="ED127" s="108"/>
      <c r="EE127" s="108"/>
      <c r="EF127" s="108"/>
      <c r="EG127" s="108"/>
      <c r="EH127" s="108"/>
      <c r="EI127" s="108"/>
      <c r="EJ127" s="108"/>
      <c r="EK127" s="108"/>
      <c r="EL127" s="108"/>
      <c r="EM127" s="108"/>
      <c r="EN127" s="108"/>
      <c r="EO127" s="108"/>
      <c r="EP127" s="108"/>
      <c r="EQ127" s="108"/>
      <c r="ER127" s="108"/>
      <c r="ES127" s="108"/>
      <c r="ET127" s="108"/>
      <c r="EU127" s="108"/>
      <c r="EV127" s="108"/>
      <c r="EW127" s="108"/>
      <c r="EX127" s="108"/>
      <c r="EY127" s="108"/>
      <c r="EZ127" s="108"/>
      <c r="FA127" s="108"/>
      <c r="FB127" s="108"/>
      <c r="FC127" s="108"/>
      <c r="FD127" s="108"/>
      <c r="FE127" s="108"/>
      <c r="FF127" s="108"/>
      <c r="FG127" s="108"/>
      <c r="FH127" s="108"/>
      <c r="FI127" s="108"/>
      <c r="FJ127" s="108"/>
      <c r="FK127" s="108"/>
      <c r="FL127" s="108"/>
      <c r="FM127" s="108"/>
      <c r="FN127" s="108"/>
      <c r="FO127" s="108"/>
      <c r="FP127" s="108"/>
      <c r="FQ127" s="108"/>
      <c r="FR127" s="108"/>
      <c r="FS127" s="108"/>
      <c r="FT127" s="108"/>
      <c r="FU127" s="108"/>
      <c r="FV127" s="108"/>
      <c r="FW127" s="108"/>
      <c r="FX127" s="108"/>
      <c r="FY127" s="108"/>
      <c r="FZ127" s="108"/>
      <c r="GA127" s="108"/>
      <c r="GB127" s="108"/>
      <c r="GC127" s="108"/>
      <c r="GD127" s="108"/>
      <c r="GE127" s="108"/>
      <c r="GF127" s="108"/>
      <c r="GG127" s="108"/>
      <c r="GH127" s="108"/>
      <c r="GI127" s="108"/>
      <c r="GJ127" s="108"/>
      <c r="GK127" s="108"/>
      <c r="GL127" s="108"/>
      <c r="GM127" s="108"/>
      <c r="GN127" s="108"/>
      <c r="GO127" s="108"/>
      <c r="GP127" s="108"/>
      <c r="GQ127" s="108"/>
      <c r="GR127" s="108"/>
      <c r="GS127" s="108"/>
      <c r="GT127" s="108"/>
      <c r="GU127" s="108"/>
      <c r="GV127" s="108"/>
      <c r="GW127" s="108"/>
      <c r="GX127" s="108"/>
      <c r="GY127" s="108"/>
      <c r="GZ127" s="108"/>
      <c r="HA127" s="108"/>
      <c r="HB127" s="108"/>
      <c r="HC127" s="108"/>
      <c r="HD127" s="108"/>
      <c r="HE127" s="108"/>
      <c r="HF127" s="108"/>
      <c r="HG127" s="108"/>
      <c r="HH127" s="108"/>
      <c r="HI127" s="108"/>
      <c r="HJ127" s="108"/>
      <c r="HK127" s="108"/>
      <c r="HL127" s="108"/>
      <c r="HM127" s="108"/>
      <c r="HN127" s="108"/>
      <c r="HO127" s="108"/>
      <c r="HP127" s="108"/>
      <c r="HQ127" s="108"/>
      <c r="HR127" s="108"/>
      <c r="HS127" s="108"/>
      <c r="HT127" s="108"/>
      <c r="HU127" s="108"/>
      <c r="HV127" s="108"/>
      <c r="HW127" s="108"/>
      <c r="HX127" s="108"/>
      <c r="HY127" s="108"/>
      <c r="HZ127" s="108"/>
      <c r="IA127" s="108"/>
      <c r="IB127" s="108"/>
      <c r="IC127" s="108"/>
      <c r="ID127" s="108"/>
      <c r="IE127" s="108"/>
      <c r="IF127" s="108"/>
      <c r="IG127" s="108"/>
      <c r="IH127" s="108"/>
      <c r="II127" s="108"/>
      <c r="IJ127" s="108"/>
      <c r="IK127" s="108"/>
      <c r="IL127" s="108"/>
      <c r="IM127" s="108"/>
      <c r="IN127" s="108"/>
      <c r="IO127" s="108"/>
      <c r="IP127" s="108"/>
      <c r="IQ127" s="108"/>
      <c r="IR127" s="108"/>
      <c r="IS127" s="108"/>
      <c r="IT127" s="108"/>
      <c r="IU127" s="108"/>
      <c r="IV127" s="108"/>
      <c r="IW127" s="108"/>
    </row>
    <row r="128" spans="1:257" x14ac:dyDescent="0.3">
      <c r="A128" s="158"/>
      <c r="B128" s="158"/>
      <c r="C128" s="158"/>
      <c r="D128" s="158"/>
      <c r="E128" s="158"/>
      <c r="F128" s="158"/>
      <c r="G128" s="158"/>
      <c r="H128" s="158"/>
      <c r="I128" s="158"/>
      <c r="J128" s="158"/>
      <c r="K128" s="158"/>
      <c r="L128" s="158"/>
      <c r="M128" s="158"/>
      <c r="N128" s="158"/>
      <c r="O128" s="108"/>
      <c r="P128" s="108"/>
      <c r="Q128" s="108"/>
      <c r="R128" s="108"/>
      <c r="S128" s="108"/>
      <c r="T128" s="108"/>
      <c r="U128" s="108"/>
      <c r="V128" s="108"/>
      <c r="W128" s="108"/>
      <c r="X128" s="108"/>
      <c r="Y128" s="108"/>
      <c r="Z128" s="108"/>
      <c r="AA128" s="108"/>
      <c r="AB128" s="108"/>
      <c r="AC128" s="108"/>
      <c r="AD128" s="108"/>
      <c r="AE128" s="108"/>
      <c r="AF128" s="108"/>
      <c r="AG128" s="108"/>
      <c r="AH128" s="108"/>
      <c r="AI128" s="108"/>
      <c r="AJ128" s="108"/>
      <c r="AK128" s="108"/>
      <c r="AL128" s="108"/>
      <c r="AM128" s="108"/>
      <c r="AN128" s="108"/>
      <c r="AO128" s="108"/>
      <c r="AP128" s="108"/>
      <c r="AQ128" s="108"/>
      <c r="AR128" s="108"/>
      <c r="AS128" s="108"/>
      <c r="AT128" s="108"/>
      <c r="AU128" s="108"/>
      <c r="AV128" s="108"/>
      <c r="AW128" s="108"/>
      <c r="AX128" s="108"/>
      <c r="AY128" s="108"/>
      <c r="AZ128" s="108"/>
      <c r="BA128" s="108"/>
      <c r="BB128" s="108"/>
      <c r="BC128" s="108"/>
      <c r="BD128" s="108"/>
      <c r="BE128" s="108"/>
      <c r="BF128" s="108"/>
      <c r="BG128" s="108"/>
      <c r="BH128" s="108"/>
      <c r="BI128" s="108"/>
      <c r="BJ128" s="108"/>
      <c r="BK128" s="108"/>
      <c r="BL128" s="108"/>
      <c r="BM128" s="108"/>
      <c r="BN128" s="108"/>
      <c r="BO128" s="108"/>
      <c r="BP128" s="108"/>
      <c r="BQ128" s="108"/>
      <c r="BR128" s="108"/>
      <c r="BS128" s="108"/>
      <c r="BT128" s="108"/>
      <c r="BU128" s="108"/>
      <c r="BV128" s="108"/>
      <c r="BW128" s="108"/>
      <c r="BX128" s="108"/>
      <c r="BY128" s="108"/>
      <c r="BZ128" s="108"/>
      <c r="CA128" s="108"/>
      <c r="CB128" s="108"/>
      <c r="CC128" s="108"/>
      <c r="CD128" s="108"/>
      <c r="CE128" s="108"/>
      <c r="CF128" s="108"/>
      <c r="CG128" s="108"/>
      <c r="CH128" s="108"/>
      <c r="CI128" s="108"/>
      <c r="CJ128" s="108"/>
      <c r="CK128" s="108"/>
      <c r="CL128" s="108"/>
      <c r="CM128" s="108"/>
      <c r="CN128" s="108"/>
      <c r="CO128" s="108"/>
      <c r="CP128" s="108"/>
      <c r="CQ128" s="108"/>
      <c r="CR128" s="108"/>
      <c r="CS128" s="108"/>
      <c r="CT128" s="108"/>
      <c r="CU128" s="108"/>
      <c r="CV128" s="108"/>
      <c r="CW128" s="108"/>
      <c r="CX128" s="108"/>
      <c r="CY128" s="108"/>
      <c r="CZ128" s="108"/>
      <c r="DA128" s="108"/>
      <c r="DB128" s="108"/>
      <c r="DC128" s="108"/>
      <c r="DD128" s="108"/>
      <c r="DE128" s="108"/>
      <c r="DF128" s="108"/>
      <c r="DG128" s="108"/>
      <c r="DH128" s="108"/>
      <c r="DI128" s="108"/>
      <c r="DJ128" s="108"/>
      <c r="DK128" s="108"/>
      <c r="DL128" s="108"/>
      <c r="DM128" s="108"/>
      <c r="DN128" s="108"/>
      <c r="DO128" s="108"/>
      <c r="DP128" s="108"/>
      <c r="DQ128" s="108"/>
      <c r="DR128" s="108"/>
      <c r="DS128" s="108"/>
      <c r="DT128" s="108"/>
      <c r="DU128" s="108"/>
      <c r="DV128" s="108"/>
      <c r="DW128" s="108"/>
      <c r="DX128" s="108"/>
      <c r="DY128" s="108"/>
      <c r="DZ128" s="108"/>
      <c r="EA128" s="108"/>
      <c r="EB128" s="108"/>
      <c r="EC128" s="108"/>
      <c r="ED128" s="108"/>
      <c r="EE128" s="108"/>
      <c r="EF128" s="108"/>
      <c r="EG128" s="108"/>
      <c r="EH128" s="108"/>
      <c r="EI128" s="108"/>
      <c r="EJ128" s="108"/>
      <c r="EK128" s="108"/>
      <c r="EL128" s="108"/>
      <c r="EM128" s="108"/>
      <c r="EN128" s="108"/>
      <c r="EO128" s="108"/>
      <c r="EP128" s="108"/>
      <c r="EQ128" s="108"/>
      <c r="ER128" s="108"/>
      <c r="ES128" s="108"/>
      <c r="ET128" s="108"/>
      <c r="EU128" s="108"/>
      <c r="EV128" s="108"/>
      <c r="EW128" s="108"/>
      <c r="EX128" s="108"/>
      <c r="EY128" s="108"/>
      <c r="EZ128" s="108"/>
      <c r="FA128" s="108"/>
      <c r="FB128" s="108"/>
      <c r="FC128" s="108"/>
      <c r="FD128" s="108"/>
      <c r="FE128" s="108"/>
      <c r="FF128" s="108"/>
      <c r="FG128" s="108"/>
      <c r="FH128" s="108"/>
      <c r="FI128" s="108"/>
      <c r="FJ128" s="108"/>
      <c r="FK128" s="108"/>
      <c r="FL128" s="108"/>
      <c r="FM128" s="108"/>
      <c r="FN128" s="108"/>
      <c r="FO128" s="108"/>
      <c r="FP128" s="108"/>
      <c r="FQ128" s="108"/>
      <c r="FR128" s="108"/>
      <c r="FS128" s="108"/>
      <c r="FT128" s="108"/>
      <c r="FU128" s="108"/>
      <c r="FV128" s="108"/>
      <c r="FW128" s="108"/>
      <c r="FX128" s="108"/>
      <c r="FY128" s="108"/>
      <c r="FZ128" s="108"/>
      <c r="GA128" s="108"/>
      <c r="GB128" s="108"/>
      <c r="GC128" s="108"/>
      <c r="GD128" s="108"/>
      <c r="GE128" s="108"/>
      <c r="GF128" s="108"/>
      <c r="GG128" s="108"/>
      <c r="GH128" s="108"/>
      <c r="GI128" s="108"/>
      <c r="GJ128" s="108"/>
      <c r="GK128" s="108"/>
      <c r="GL128" s="108"/>
      <c r="GM128" s="108"/>
      <c r="GN128" s="108"/>
      <c r="GO128" s="108"/>
      <c r="GP128" s="108"/>
      <c r="GQ128" s="108"/>
      <c r="GR128" s="108"/>
      <c r="GS128" s="108"/>
      <c r="GT128" s="108"/>
      <c r="GU128" s="108"/>
      <c r="GV128" s="108"/>
      <c r="GW128" s="108"/>
      <c r="GX128" s="108"/>
      <c r="GY128" s="108"/>
      <c r="GZ128" s="108"/>
      <c r="HA128" s="108"/>
      <c r="HB128" s="108"/>
      <c r="HC128" s="108"/>
      <c r="HD128" s="108"/>
      <c r="HE128" s="108"/>
      <c r="HF128" s="108"/>
      <c r="HG128" s="108"/>
      <c r="HH128" s="108"/>
      <c r="HI128" s="108"/>
      <c r="HJ128" s="108"/>
      <c r="HK128" s="108"/>
      <c r="HL128" s="108"/>
      <c r="HM128" s="108"/>
      <c r="HN128" s="108"/>
      <c r="HO128" s="108"/>
      <c r="HP128" s="108"/>
      <c r="HQ128" s="108"/>
      <c r="HR128" s="108"/>
      <c r="HS128" s="108"/>
      <c r="HT128" s="108"/>
      <c r="HU128" s="108"/>
      <c r="HV128" s="108"/>
      <c r="HW128" s="108"/>
      <c r="HX128" s="108"/>
      <c r="HY128" s="108"/>
      <c r="HZ128" s="108"/>
      <c r="IA128" s="108"/>
      <c r="IB128" s="108"/>
      <c r="IC128" s="108"/>
      <c r="ID128" s="108"/>
      <c r="IE128" s="108"/>
      <c r="IF128" s="108"/>
      <c r="IG128" s="108"/>
      <c r="IH128" s="108"/>
      <c r="II128" s="108"/>
      <c r="IJ128" s="108"/>
      <c r="IK128" s="108"/>
      <c r="IL128" s="108"/>
      <c r="IM128" s="108"/>
      <c r="IN128" s="108"/>
      <c r="IO128" s="108"/>
      <c r="IP128" s="108"/>
      <c r="IQ128" s="108"/>
      <c r="IR128" s="108"/>
      <c r="IS128" s="108"/>
      <c r="IT128" s="108"/>
      <c r="IU128" s="108"/>
      <c r="IV128" s="108"/>
      <c r="IW128" s="108"/>
    </row>
    <row r="129" spans="1:257" x14ac:dyDescent="0.3">
      <c r="A129" s="158"/>
      <c r="B129" s="158"/>
      <c r="C129" s="158"/>
      <c r="D129" s="158"/>
      <c r="E129" s="158"/>
      <c r="F129" s="158"/>
      <c r="G129" s="158"/>
      <c r="H129" s="158"/>
      <c r="I129" s="158"/>
      <c r="J129" s="158"/>
      <c r="K129" s="158"/>
      <c r="L129" s="158"/>
      <c r="M129" s="158"/>
      <c r="N129" s="158"/>
      <c r="O129" s="108"/>
      <c r="P129" s="108"/>
      <c r="Q129" s="108"/>
      <c r="R129" s="108"/>
      <c r="S129" s="108"/>
      <c r="T129" s="108"/>
      <c r="U129" s="108"/>
      <c r="V129" s="108"/>
      <c r="W129" s="108"/>
      <c r="X129" s="108"/>
      <c r="Y129" s="108"/>
      <c r="Z129" s="108"/>
      <c r="AA129" s="108"/>
      <c r="AB129" s="108"/>
      <c r="AC129" s="108"/>
      <c r="AD129" s="108"/>
      <c r="AE129" s="108"/>
      <c r="AF129" s="108"/>
      <c r="AG129" s="108"/>
      <c r="AH129" s="108"/>
      <c r="AI129" s="108"/>
      <c r="AJ129" s="108"/>
      <c r="AK129" s="108"/>
      <c r="AL129" s="108"/>
      <c r="AM129" s="108"/>
      <c r="AN129" s="108"/>
      <c r="AO129" s="108"/>
      <c r="AP129" s="108"/>
      <c r="AQ129" s="108"/>
      <c r="AR129" s="108"/>
      <c r="AS129" s="108"/>
      <c r="AT129" s="108"/>
      <c r="AU129" s="108"/>
      <c r="AV129" s="108"/>
      <c r="AW129" s="108"/>
      <c r="AX129" s="108"/>
      <c r="AY129" s="108"/>
      <c r="AZ129" s="108"/>
      <c r="BA129" s="108"/>
      <c r="BB129" s="108"/>
      <c r="BC129" s="108"/>
      <c r="BD129" s="108"/>
      <c r="BE129" s="108"/>
      <c r="BF129" s="108"/>
      <c r="BG129" s="108"/>
      <c r="BH129" s="108"/>
      <c r="BI129" s="108"/>
      <c r="BJ129" s="108"/>
      <c r="BK129" s="108"/>
      <c r="BL129" s="108"/>
      <c r="BM129" s="108"/>
      <c r="BN129" s="108"/>
      <c r="BO129" s="108"/>
      <c r="BP129" s="108"/>
      <c r="BQ129" s="108"/>
      <c r="BR129" s="108"/>
      <c r="BS129" s="108"/>
      <c r="BT129" s="108"/>
      <c r="BU129" s="108"/>
      <c r="BV129" s="108"/>
      <c r="BW129" s="108"/>
      <c r="BX129" s="108"/>
      <c r="BY129" s="108"/>
      <c r="BZ129" s="108"/>
      <c r="CA129" s="108"/>
      <c r="CB129" s="108"/>
      <c r="CC129" s="108"/>
      <c r="CD129" s="108"/>
      <c r="CE129" s="108"/>
      <c r="CF129" s="108"/>
      <c r="CG129" s="108"/>
      <c r="CH129" s="108"/>
      <c r="CI129" s="108"/>
      <c r="CJ129" s="108"/>
      <c r="CK129" s="108"/>
      <c r="CL129" s="108"/>
      <c r="CM129" s="108"/>
      <c r="CN129" s="108"/>
      <c r="CO129" s="108"/>
      <c r="CP129" s="108"/>
      <c r="CQ129" s="108"/>
      <c r="CR129" s="108"/>
      <c r="CS129" s="108"/>
      <c r="CT129" s="108"/>
      <c r="CU129" s="108"/>
      <c r="CV129" s="108"/>
      <c r="CW129" s="108"/>
      <c r="CX129" s="108"/>
      <c r="CY129" s="108"/>
      <c r="CZ129" s="108"/>
      <c r="DA129" s="108"/>
      <c r="DB129" s="108"/>
      <c r="DC129" s="108"/>
      <c r="DD129" s="108"/>
      <c r="DE129" s="108"/>
      <c r="DF129" s="108"/>
      <c r="DG129" s="108"/>
      <c r="DH129" s="108"/>
      <c r="DI129" s="108"/>
      <c r="DJ129" s="108"/>
      <c r="DK129" s="108"/>
      <c r="DL129" s="108"/>
      <c r="DM129" s="108"/>
      <c r="DN129" s="108"/>
      <c r="DO129" s="108"/>
      <c r="DP129" s="108"/>
      <c r="DQ129" s="108"/>
      <c r="DR129" s="108"/>
      <c r="DS129" s="108"/>
      <c r="DT129" s="108"/>
      <c r="DU129" s="108"/>
      <c r="DV129" s="108"/>
      <c r="DW129" s="108"/>
      <c r="DX129" s="108"/>
      <c r="DY129" s="108"/>
      <c r="DZ129" s="108"/>
      <c r="EA129" s="108"/>
      <c r="EB129" s="108"/>
      <c r="EC129" s="108"/>
      <c r="ED129" s="108"/>
      <c r="EE129" s="108"/>
      <c r="EF129" s="108"/>
      <c r="EG129" s="108"/>
      <c r="EH129" s="108"/>
      <c r="EI129" s="108"/>
      <c r="EJ129" s="108"/>
      <c r="EK129" s="108"/>
      <c r="EL129" s="108"/>
      <c r="EM129" s="108"/>
      <c r="EN129" s="108"/>
      <c r="EO129" s="108"/>
      <c r="EP129" s="108"/>
      <c r="EQ129" s="108"/>
      <c r="ER129" s="108"/>
      <c r="ES129" s="108"/>
      <c r="ET129" s="108"/>
      <c r="EU129" s="108"/>
      <c r="EV129" s="108"/>
      <c r="EW129" s="108"/>
      <c r="EX129" s="108"/>
      <c r="EY129" s="108"/>
      <c r="EZ129" s="108"/>
      <c r="FA129" s="108"/>
      <c r="FB129" s="108"/>
      <c r="FC129" s="108"/>
      <c r="FD129" s="108"/>
      <c r="FE129" s="108"/>
      <c r="FF129" s="108"/>
      <c r="FG129" s="108"/>
      <c r="FH129" s="108"/>
      <c r="FI129" s="108"/>
      <c r="FJ129" s="108"/>
      <c r="FK129" s="108"/>
      <c r="FL129" s="108"/>
      <c r="FM129" s="108"/>
      <c r="FN129" s="108"/>
      <c r="FO129" s="108"/>
      <c r="FP129" s="108"/>
      <c r="FQ129" s="108"/>
      <c r="FR129" s="108"/>
      <c r="FS129" s="108"/>
      <c r="FT129" s="108"/>
      <c r="FU129" s="108"/>
      <c r="FV129" s="108"/>
      <c r="FW129" s="108"/>
      <c r="FX129" s="108"/>
      <c r="FY129" s="108"/>
      <c r="FZ129" s="108"/>
      <c r="GA129" s="108"/>
      <c r="GB129" s="108"/>
      <c r="GC129" s="108"/>
      <c r="GD129" s="108"/>
      <c r="GE129" s="108"/>
      <c r="GF129" s="108"/>
      <c r="GG129" s="108"/>
      <c r="GH129" s="108"/>
      <c r="GI129" s="108"/>
      <c r="GJ129" s="108"/>
      <c r="GK129" s="108"/>
      <c r="GL129" s="108"/>
      <c r="GM129" s="108"/>
      <c r="GN129" s="108"/>
      <c r="GO129" s="108"/>
      <c r="GP129" s="108"/>
      <c r="GQ129" s="108"/>
      <c r="GR129" s="108"/>
      <c r="GS129" s="108"/>
      <c r="GT129" s="108"/>
      <c r="GU129" s="108"/>
      <c r="GV129" s="108"/>
      <c r="GW129" s="108"/>
      <c r="GX129" s="108"/>
      <c r="GY129" s="108"/>
      <c r="GZ129" s="108"/>
      <c r="HA129" s="108"/>
      <c r="HB129" s="108"/>
      <c r="HC129" s="108"/>
      <c r="HD129" s="108"/>
      <c r="HE129" s="108"/>
      <c r="HF129" s="108"/>
      <c r="HG129" s="108"/>
      <c r="HH129" s="108"/>
      <c r="HI129" s="108"/>
      <c r="HJ129" s="108"/>
      <c r="HK129" s="108"/>
      <c r="HL129" s="108"/>
      <c r="HM129" s="108"/>
      <c r="HN129" s="108"/>
      <c r="HO129" s="108"/>
      <c r="HP129" s="108"/>
      <c r="HQ129" s="108"/>
      <c r="HR129" s="108"/>
      <c r="HS129" s="108"/>
      <c r="HT129" s="108"/>
      <c r="HU129" s="108"/>
      <c r="HV129" s="108"/>
      <c r="HW129" s="108"/>
      <c r="HX129" s="108"/>
      <c r="HY129" s="108"/>
      <c r="HZ129" s="108"/>
      <c r="IA129" s="108"/>
      <c r="IB129" s="108"/>
      <c r="IC129" s="108"/>
      <c r="ID129" s="108"/>
      <c r="IE129" s="108"/>
      <c r="IF129" s="108"/>
      <c r="IG129" s="108"/>
      <c r="IH129" s="108"/>
      <c r="II129" s="108"/>
      <c r="IJ129" s="108"/>
      <c r="IK129" s="108"/>
      <c r="IL129" s="108"/>
      <c r="IM129" s="108"/>
      <c r="IN129" s="108"/>
      <c r="IO129" s="108"/>
      <c r="IP129" s="108"/>
      <c r="IQ129" s="108"/>
      <c r="IR129" s="108"/>
      <c r="IS129" s="108"/>
      <c r="IT129" s="108"/>
      <c r="IU129" s="108"/>
      <c r="IV129" s="108"/>
      <c r="IW129" s="108"/>
    </row>
    <row r="130" spans="1:257" x14ac:dyDescent="0.3">
      <c r="A130" s="158"/>
      <c r="B130" s="158"/>
      <c r="C130" s="158"/>
      <c r="D130" s="158"/>
      <c r="E130" s="158"/>
      <c r="F130" s="158"/>
      <c r="G130" s="158"/>
      <c r="H130" s="158"/>
      <c r="I130" s="158"/>
      <c r="J130" s="158"/>
      <c r="K130" s="158"/>
      <c r="L130" s="158"/>
      <c r="M130" s="158"/>
      <c r="N130" s="158"/>
      <c r="O130" s="108"/>
      <c r="P130" s="108"/>
      <c r="Q130" s="108"/>
      <c r="R130" s="108"/>
      <c r="S130" s="108"/>
      <c r="T130" s="108"/>
      <c r="U130" s="108"/>
      <c r="V130" s="108"/>
      <c r="W130" s="108"/>
      <c r="X130" s="108"/>
      <c r="Y130" s="108"/>
      <c r="Z130" s="108"/>
      <c r="AA130" s="108"/>
      <c r="AB130" s="108"/>
      <c r="AC130" s="108"/>
      <c r="AD130" s="108"/>
      <c r="AE130" s="108"/>
      <c r="AF130" s="108"/>
      <c r="AG130" s="108"/>
      <c r="AH130" s="108"/>
      <c r="AI130" s="108"/>
      <c r="AJ130" s="108"/>
      <c r="AK130" s="108"/>
      <c r="AL130" s="108"/>
      <c r="AM130" s="108"/>
      <c r="AN130" s="108"/>
      <c r="AO130" s="108"/>
      <c r="AP130" s="108"/>
      <c r="AQ130" s="108"/>
      <c r="AR130" s="108"/>
      <c r="AS130" s="108"/>
      <c r="AT130" s="108"/>
      <c r="AU130" s="108"/>
      <c r="AV130" s="108"/>
      <c r="AW130" s="108"/>
      <c r="AX130" s="108"/>
      <c r="AY130" s="108"/>
      <c r="AZ130" s="108"/>
      <c r="BA130" s="108"/>
      <c r="BB130" s="108"/>
      <c r="BC130" s="108"/>
      <c r="BD130" s="108"/>
      <c r="BE130" s="108"/>
      <c r="BF130" s="108"/>
      <c r="BG130" s="108"/>
      <c r="BH130" s="108"/>
      <c r="BI130" s="108"/>
      <c r="BJ130" s="108"/>
      <c r="BK130" s="108"/>
      <c r="BL130" s="108"/>
      <c r="BM130" s="108"/>
      <c r="BN130" s="108"/>
      <c r="BO130" s="108"/>
      <c r="BP130" s="108"/>
      <c r="BQ130" s="108"/>
      <c r="BR130" s="108"/>
      <c r="BS130" s="108"/>
      <c r="BT130" s="108"/>
      <c r="BU130" s="108"/>
      <c r="BV130" s="108"/>
      <c r="BW130" s="108"/>
      <c r="BX130" s="108"/>
      <c r="BY130" s="108"/>
      <c r="BZ130" s="108"/>
      <c r="CA130" s="108"/>
      <c r="CB130" s="108"/>
      <c r="CC130" s="108"/>
      <c r="CD130" s="108"/>
      <c r="CE130" s="108"/>
      <c r="CF130" s="108"/>
      <c r="CG130" s="108"/>
      <c r="CH130" s="108"/>
      <c r="CI130" s="108"/>
      <c r="CJ130" s="108"/>
      <c r="CK130" s="108"/>
      <c r="CL130" s="108"/>
      <c r="CM130" s="108"/>
      <c r="CN130" s="108"/>
      <c r="CO130" s="108"/>
      <c r="CP130" s="108"/>
      <c r="CQ130" s="108"/>
      <c r="CR130" s="108"/>
      <c r="CS130" s="108"/>
      <c r="CT130" s="108"/>
      <c r="CU130" s="108"/>
      <c r="CV130" s="108"/>
      <c r="CW130" s="108"/>
      <c r="CX130" s="108"/>
      <c r="CY130" s="108"/>
      <c r="CZ130" s="108"/>
      <c r="DA130" s="108"/>
      <c r="DB130" s="108"/>
      <c r="DC130" s="108"/>
      <c r="DD130" s="108"/>
      <c r="DE130" s="108"/>
      <c r="DF130" s="108"/>
      <c r="DG130" s="108"/>
      <c r="DH130" s="108"/>
      <c r="DI130" s="108"/>
      <c r="DJ130" s="108"/>
      <c r="DK130" s="108"/>
      <c r="DL130" s="108"/>
      <c r="DM130" s="108"/>
      <c r="DN130" s="108"/>
      <c r="DO130" s="108"/>
      <c r="DP130" s="108"/>
      <c r="DQ130" s="108"/>
      <c r="DR130" s="108"/>
      <c r="DS130" s="108"/>
      <c r="DT130" s="108"/>
      <c r="DU130" s="108"/>
      <c r="DV130" s="108"/>
      <c r="DW130" s="108"/>
      <c r="DX130" s="108"/>
      <c r="DY130" s="108"/>
      <c r="DZ130" s="108"/>
      <c r="EA130" s="108"/>
      <c r="EB130" s="108"/>
      <c r="EC130" s="108"/>
      <c r="ED130" s="108"/>
      <c r="EE130" s="108"/>
      <c r="EF130" s="108"/>
      <c r="EG130" s="108"/>
      <c r="EH130" s="108"/>
      <c r="EI130" s="108"/>
      <c r="EJ130" s="108"/>
      <c r="EK130" s="108"/>
      <c r="EL130" s="108"/>
      <c r="EM130" s="108"/>
      <c r="EN130" s="108"/>
      <c r="EO130" s="108"/>
      <c r="EP130" s="108"/>
      <c r="EQ130" s="108"/>
      <c r="ER130" s="108"/>
      <c r="ES130" s="108"/>
      <c r="ET130" s="108"/>
      <c r="EU130" s="108"/>
      <c r="EV130" s="108"/>
      <c r="EW130" s="108"/>
      <c r="EX130" s="108"/>
      <c r="EY130" s="108"/>
      <c r="EZ130" s="108"/>
      <c r="FA130" s="108"/>
      <c r="FB130" s="108"/>
      <c r="FC130" s="108"/>
      <c r="FD130" s="108"/>
      <c r="FE130" s="108"/>
      <c r="FF130" s="108"/>
      <c r="FG130" s="108"/>
      <c r="FH130" s="108"/>
      <c r="FI130" s="108"/>
      <c r="FJ130" s="108"/>
      <c r="FK130" s="108"/>
      <c r="FL130" s="108"/>
      <c r="FM130" s="108"/>
      <c r="FN130" s="108"/>
      <c r="FO130" s="108"/>
      <c r="FP130" s="108"/>
      <c r="FQ130" s="108"/>
      <c r="FR130" s="108"/>
      <c r="FS130" s="108"/>
      <c r="FT130" s="108"/>
      <c r="FU130" s="108"/>
      <c r="FV130" s="108"/>
      <c r="FW130" s="108"/>
      <c r="FX130" s="108"/>
      <c r="FY130" s="108"/>
      <c r="FZ130" s="108"/>
      <c r="GA130" s="108"/>
      <c r="GB130" s="108"/>
      <c r="GC130" s="108"/>
      <c r="GD130" s="108"/>
      <c r="GE130" s="108"/>
      <c r="GF130" s="108"/>
      <c r="GG130" s="108"/>
      <c r="GH130" s="108"/>
      <c r="GI130" s="108"/>
      <c r="GJ130" s="108"/>
      <c r="GK130" s="108"/>
      <c r="GL130" s="108"/>
      <c r="GM130" s="108"/>
      <c r="GN130" s="108"/>
      <c r="GO130" s="108"/>
      <c r="GP130" s="108"/>
      <c r="GQ130" s="108"/>
      <c r="GR130" s="108"/>
      <c r="GS130" s="108"/>
      <c r="GT130" s="108"/>
      <c r="GU130" s="108"/>
      <c r="GV130" s="108"/>
      <c r="GW130" s="108"/>
      <c r="GX130" s="108"/>
      <c r="GY130" s="108"/>
      <c r="GZ130" s="108"/>
      <c r="HA130" s="108"/>
      <c r="HB130" s="108"/>
      <c r="HC130" s="108"/>
      <c r="HD130" s="108"/>
      <c r="HE130" s="108"/>
      <c r="HF130" s="108"/>
      <c r="HG130" s="108"/>
      <c r="HH130" s="108"/>
      <c r="HI130" s="108"/>
      <c r="HJ130" s="108"/>
      <c r="HK130" s="108"/>
      <c r="HL130" s="108"/>
      <c r="HM130" s="108"/>
      <c r="HN130" s="108"/>
      <c r="HO130" s="108"/>
      <c r="HP130" s="108"/>
      <c r="HQ130" s="108"/>
      <c r="HR130" s="108"/>
      <c r="HS130" s="108"/>
      <c r="HT130" s="108"/>
      <c r="HU130" s="108"/>
      <c r="HV130" s="108"/>
      <c r="HW130" s="108"/>
      <c r="HX130" s="108"/>
      <c r="HY130" s="108"/>
      <c r="HZ130" s="108"/>
      <c r="IA130" s="108"/>
      <c r="IB130" s="108"/>
      <c r="IC130" s="108"/>
      <c r="ID130" s="108"/>
      <c r="IE130" s="108"/>
      <c r="IF130" s="108"/>
      <c r="IG130" s="108"/>
      <c r="IH130" s="108"/>
      <c r="II130" s="108"/>
      <c r="IJ130" s="108"/>
      <c r="IK130" s="108"/>
      <c r="IL130" s="108"/>
      <c r="IM130" s="108"/>
      <c r="IN130" s="108"/>
      <c r="IO130" s="108"/>
      <c r="IP130" s="108"/>
      <c r="IQ130" s="108"/>
      <c r="IR130" s="108"/>
      <c r="IS130" s="108"/>
      <c r="IT130" s="108"/>
      <c r="IU130" s="108"/>
      <c r="IV130" s="108"/>
      <c r="IW130" s="108"/>
    </row>
    <row r="131" spans="1:257" x14ac:dyDescent="0.3">
      <c r="A131" s="158"/>
      <c r="B131" s="158"/>
      <c r="C131" s="158"/>
      <c r="D131" s="158"/>
      <c r="E131" s="158"/>
      <c r="F131" s="158"/>
      <c r="G131" s="158"/>
      <c r="H131" s="158"/>
      <c r="I131" s="158"/>
      <c r="J131" s="158"/>
      <c r="K131" s="158"/>
      <c r="L131" s="158"/>
      <c r="M131" s="158"/>
      <c r="N131" s="158"/>
      <c r="O131" s="108"/>
      <c r="P131" s="108"/>
      <c r="Q131" s="108"/>
      <c r="R131" s="108"/>
      <c r="S131" s="108"/>
      <c r="T131" s="108"/>
      <c r="U131" s="108"/>
      <c r="V131" s="108"/>
      <c r="W131" s="108"/>
      <c r="X131" s="108"/>
      <c r="Y131" s="108"/>
      <c r="Z131" s="108"/>
      <c r="AA131" s="108"/>
      <c r="AB131" s="108"/>
      <c r="AC131" s="108"/>
      <c r="AD131" s="108"/>
      <c r="AE131" s="108"/>
      <c r="AF131" s="108"/>
      <c r="AG131" s="108"/>
      <c r="AH131" s="108"/>
      <c r="AI131" s="108"/>
      <c r="AJ131" s="108"/>
      <c r="AK131" s="108"/>
      <c r="AL131" s="108"/>
      <c r="AM131" s="108"/>
      <c r="AN131" s="108"/>
      <c r="AO131" s="108"/>
      <c r="AP131" s="108"/>
      <c r="AQ131" s="108"/>
      <c r="AR131" s="108"/>
      <c r="AS131" s="108"/>
      <c r="AT131" s="108"/>
      <c r="AU131" s="108"/>
      <c r="AV131" s="108"/>
      <c r="AW131" s="108"/>
      <c r="AX131" s="108"/>
      <c r="AY131" s="108"/>
      <c r="AZ131" s="108"/>
      <c r="BA131" s="108"/>
      <c r="BB131" s="108"/>
      <c r="BC131" s="108"/>
      <c r="BD131" s="108"/>
      <c r="BE131" s="108"/>
      <c r="BF131" s="108"/>
      <c r="BG131" s="108"/>
      <c r="BH131" s="108"/>
      <c r="BI131" s="108"/>
      <c r="BJ131" s="108"/>
      <c r="BK131" s="108"/>
      <c r="BL131" s="108"/>
      <c r="BM131" s="108"/>
      <c r="BN131" s="108"/>
      <c r="BO131" s="108"/>
      <c r="BP131" s="108"/>
      <c r="BQ131" s="108"/>
      <c r="BR131" s="108"/>
      <c r="BS131" s="108"/>
      <c r="BT131" s="108"/>
      <c r="BU131" s="108"/>
      <c r="BV131" s="108"/>
      <c r="BW131" s="108"/>
      <c r="BX131" s="108"/>
      <c r="BY131" s="108"/>
      <c r="BZ131" s="108"/>
      <c r="CA131" s="108"/>
      <c r="CB131" s="108"/>
      <c r="CC131" s="108"/>
      <c r="CD131" s="108"/>
      <c r="CE131" s="108"/>
      <c r="CF131" s="108"/>
      <c r="CG131" s="108"/>
      <c r="CH131" s="108"/>
      <c r="CI131" s="108"/>
      <c r="CJ131" s="108"/>
      <c r="CK131" s="108"/>
      <c r="CL131" s="108"/>
      <c r="CM131" s="108"/>
      <c r="CN131" s="108"/>
      <c r="CO131" s="108"/>
      <c r="CP131" s="108"/>
      <c r="CQ131" s="108"/>
      <c r="CR131" s="108"/>
      <c r="CS131" s="108"/>
      <c r="CT131" s="108"/>
      <c r="CU131" s="108"/>
      <c r="CV131" s="108"/>
      <c r="CW131" s="108"/>
      <c r="CX131" s="108"/>
      <c r="CY131" s="108"/>
      <c r="CZ131" s="108"/>
      <c r="DA131" s="108"/>
      <c r="DB131" s="108"/>
      <c r="DC131" s="108"/>
      <c r="DD131" s="108"/>
      <c r="DE131" s="108"/>
      <c r="DF131" s="108"/>
      <c r="DG131" s="108"/>
      <c r="DH131" s="108"/>
      <c r="DI131" s="108"/>
      <c r="DJ131" s="108"/>
      <c r="DK131" s="108"/>
      <c r="DL131" s="108"/>
      <c r="DM131" s="108"/>
      <c r="DN131" s="108"/>
      <c r="DO131" s="108"/>
      <c r="DP131" s="108"/>
      <c r="DQ131" s="108"/>
      <c r="DR131" s="108"/>
      <c r="DS131" s="108"/>
      <c r="DT131" s="108"/>
      <c r="DU131" s="108"/>
      <c r="DV131" s="108"/>
      <c r="DW131" s="108"/>
      <c r="DX131" s="108"/>
      <c r="DY131" s="108"/>
      <c r="DZ131" s="108"/>
      <c r="EA131" s="108"/>
      <c r="EB131" s="108"/>
      <c r="EC131" s="108"/>
      <c r="ED131" s="108"/>
      <c r="EE131" s="108"/>
      <c r="EF131" s="108"/>
      <c r="EG131" s="108"/>
      <c r="EH131" s="108"/>
      <c r="EI131" s="108"/>
      <c r="EJ131" s="108"/>
      <c r="EK131" s="108"/>
      <c r="EL131" s="108"/>
      <c r="EM131" s="108"/>
      <c r="EN131" s="108"/>
      <c r="EO131" s="108"/>
      <c r="EP131" s="108"/>
      <c r="EQ131" s="108"/>
      <c r="ER131" s="108"/>
      <c r="ES131" s="108"/>
      <c r="ET131" s="108"/>
      <c r="EU131" s="108"/>
      <c r="EV131" s="108"/>
      <c r="EW131" s="108"/>
      <c r="EX131" s="108"/>
      <c r="EY131" s="108"/>
      <c r="EZ131" s="108"/>
      <c r="FA131" s="108"/>
      <c r="FB131" s="108"/>
      <c r="FC131" s="108"/>
      <c r="FD131" s="108"/>
      <c r="FE131" s="108"/>
      <c r="FF131" s="108"/>
      <c r="FG131" s="108"/>
      <c r="FH131" s="108"/>
      <c r="FI131" s="108"/>
      <c r="FJ131" s="108"/>
      <c r="FK131" s="108"/>
      <c r="FL131" s="108"/>
      <c r="FM131" s="108"/>
      <c r="FN131" s="108"/>
      <c r="FO131" s="108"/>
      <c r="FP131" s="108"/>
      <c r="FQ131" s="108"/>
      <c r="FR131" s="108"/>
      <c r="FS131" s="108"/>
      <c r="FT131" s="108"/>
      <c r="FU131" s="108"/>
      <c r="FV131" s="108"/>
      <c r="FW131" s="108"/>
      <c r="FX131" s="108"/>
      <c r="FY131" s="108"/>
      <c r="FZ131" s="108"/>
      <c r="GA131" s="108"/>
      <c r="GB131" s="108"/>
      <c r="GC131" s="108"/>
      <c r="GD131" s="108"/>
      <c r="GE131" s="108"/>
      <c r="GF131" s="108"/>
      <c r="GG131" s="108"/>
      <c r="GH131" s="108"/>
      <c r="GI131" s="108"/>
      <c r="GJ131" s="108"/>
      <c r="GK131" s="108"/>
      <c r="GL131" s="108"/>
      <c r="GM131" s="108"/>
      <c r="GN131" s="108"/>
      <c r="GO131" s="108"/>
      <c r="GP131" s="108"/>
      <c r="GQ131" s="108"/>
      <c r="GR131" s="108"/>
      <c r="GS131" s="108"/>
      <c r="GT131" s="108"/>
      <c r="GU131" s="108"/>
      <c r="GV131" s="108"/>
      <c r="GW131" s="108"/>
      <c r="GX131" s="108"/>
      <c r="GY131" s="108"/>
      <c r="GZ131" s="108"/>
      <c r="HA131" s="108"/>
      <c r="HB131" s="108"/>
      <c r="HC131" s="108"/>
      <c r="HD131" s="108"/>
      <c r="HE131" s="108"/>
      <c r="HF131" s="108"/>
      <c r="HG131" s="108"/>
      <c r="HH131" s="108"/>
      <c r="HI131" s="108"/>
      <c r="HJ131" s="108"/>
      <c r="HK131" s="108"/>
      <c r="HL131" s="108"/>
      <c r="HM131" s="108"/>
      <c r="HN131" s="108"/>
      <c r="HO131" s="108"/>
      <c r="HP131" s="108"/>
      <c r="HQ131" s="108"/>
      <c r="HR131" s="108"/>
      <c r="HS131" s="108"/>
      <c r="HT131" s="108"/>
      <c r="HU131" s="108"/>
      <c r="HV131" s="108"/>
      <c r="HW131" s="108"/>
      <c r="HX131" s="108"/>
      <c r="HY131" s="108"/>
      <c r="HZ131" s="108"/>
      <c r="IA131" s="108"/>
      <c r="IB131" s="108"/>
      <c r="IC131" s="108"/>
      <c r="ID131" s="108"/>
      <c r="IE131" s="108"/>
      <c r="IF131" s="108"/>
      <c r="IG131" s="108"/>
      <c r="IH131" s="108"/>
      <c r="II131" s="108"/>
      <c r="IJ131" s="108"/>
      <c r="IK131" s="108"/>
      <c r="IL131" s="108"/>
      <c r="IM131" s="108"/>
      <c r="IN131" s="108"/>
      <c r="IO131" s="108"/>
      <c r="IP131" s="108"/>
      <c r="IQ131" s="108"/>
      <c r="IR131" s="108"/>
      <c r="IS131" s="108"/>
      <c r="IT131" s="108"/>
      <c r="IU131" s="108"/>
      <c r="IV131" s="108"/>
      <c r="IW131" s="108"/>
    </row>
    <row r="132" spans="1:257" x14ac:dyDescent="0.3">
      <c r="A132" s="158"/>
      <c r="B132" s="158"/>
      <c r="C132" s="158"/>
      <c r="D132" s="158"/>
      <c r="E132" s="158"/>
      <c r="F132" s="158"/>
      <c r="G132" s="158"/>
      <c r="H132" s="158"/>
      <c r="I132" s="158"/>
      <c r="J132" s="158"/>
      <c r="K132" s="158"/>
      <c r="L132" s="158"/>
      <c r="M132" s="158"/>
      <c r="N132" s="158"/>
      <c r="O132" s="108"/>
      <c r="P132" s="108"/>
      <c r="Q132" s="108"/>
      <c r="R132" s="108"/>
      <c r="S132" s="108"/>
      <c r="T132" s="108"/>
      <c r="U132" s="108"/>
      <c r="V132" s="108"/>
      <c r="W132" s="108"/>
      <c r="X132" s="108"/>
      <c r="Y132" s="108"/>
      <c r="Z132" s="108"/>
      <c r="AA132" s="108"/>
      <c r="AB132" s="108"/>
      <c r="AC132" s="108"/>
      <c r="AD132" s="108"/>
      <c r="AE132" s="108"/>
      <c r="AF132" s="108"/>
      <c r="AG132" s="108"/>
      <c r="AH132" s="108"/>
      <c r="AI132" s="108"/>
      <c r="AJ132" s="108"/>
      <c r="AK132" s="108"/>
      <c r="AL132" s="108"/>
      <c r="AM132" s="108"/>
      <c r="AN132" s="108"/>
      <c r="AO132" s="108"/>
      <c r="AP132" s="108"/>
      <c r="AQ132" s="108"/>
      <c r="AR132" s="108"/>
      <c r="AS132" s="108"/>
      <c r="AT132" s="108"/>
      <c r="AU132" s="108"/>
      <c r="AV132" s="108"/>
      <c r="AW132" s="108"/>
      <c r="AX132" s="108"/>
      <c r="AY132" s="108"/>
      <c r="AZ132" s="108"/>
      <c r="BA132" s="108"/>
      <c r="BB132" s="108"/>
      <c r="BC132" s="108"/>
      <c r="BD132" s="108"/>
      <c r="BE132" s="108"/>
      <c r="BF132" s="108"/>
      <c r="BG132" s="108"/>
      <c r="BH132" s="108"/>
      <c r="BI132" s="108"/>
      <c r="BJ132" s="108"/>
      <c r="BK132" s="108"/>
      <c r="BL132" s="108"/>
      <c r="BM132" s="108"/>
      <c r="BN132" s="108"/>
      <c r="BO132" s="108"/>
      <c r="BP132" s="108"/>
      <c r="BQ132" s="108"/>
      <c r="BR132" s="108"/>
      <c r="BS132" s="108"/>
      <c r="BT132" s="108"/>
      <c r="BU132" s="108"/>
      <c r="BV132" s="108"/>
      <c r="BW132" s="108"/>
      <c r="BX132" s="108"/>
      <c r="BY132" s="108"/>
      <c r="BZ132" s="108"/>
      <c r="CA132" s="108"/>
      <c r="CB132" s="108"/>
      <c r="CC132" s="108"/>
      <c r="CD132" s="108"/>
      <c r="CE132" s="108"/>
      <c r="CF132" s="108"/>
      <c r="CG132" s="108"/>
      <c r="CH132" s="108"/>
      <c r="CI132" s="108"/>
      <c r="CJ132" s="108"/>
      <c r="CK132" s="108"/>
      <c r="CL132" s="108"/>
      <c r="CM132" s="108"/>
      <c r="CN132" s="108"/>
      <c r="CO132" s="108"/>
      <c r="CP132" s="108"/>
      <c r="CQ132" s="108"/>
      <c r="CR132" s="108"/>
      <c r="CS132" s="108"/>
      <c r="CT132" s="108"/>
      <c r="CU132" s="108"/>
      <c r="CV132" s="108"/>
      <c r="CW132" s="108"/>
      <c r="CX132" s="108"/>
      <c r="CY132" s="108"/>
      <c r="CZ132" s="108"/>
      <c r="DA132" s="108"/>
      <c r="DB132" s="108"/>
      <c r="DC132" s="108"/>
      <c r="DD132" s="108"/>
      <c r="DE132" s="108"/>
      <c r="DF132" s="108"/>
      <c r="DG132" s="108"/>
      <c r="DH132" s="108"/>
      <c r="DI132" s="108"/>
      <c r="DJ132" s="108"/>
      <c r="DK132" s="108"/>
      <c r="DL132" s="108"/>
      <c r="DM132" s="108"/>
      <c r="DN132" s="108"/>
      <c r="DO132" s="108"/>
      <c r="DP132" s="108"/>
      <c r="DQ132" s="108"/>
      <c r="DR132" s="108"/>
      <c r="DS132" s="108"/>
      <c r="DT132" s="108"/>
      <c r="DU132" s="108"/>
      <c r="DV132" s="108"/>
      <c r="DW132" s="108"/>
      <c r="DX132" s="108"/>
      <c r="DY132" s="108"/>
      <c r="DZ132" s="108"/>
      <c r="EA132" s="108"/>
      <c r="EB132" s="108"/>
      <c r="EC132" s="108"/>
      <c r="ED132" s="108"/>
      <c r="EE132" s="108"/>
      <c r="EF132" s="108"/>
      <c r="EG132" s="108"/>
      <c r="EH132" s="108"/>
      <c r="EI132" s="108"/>
      <c r="EJ132" s="108"/>
      <c r="EK132" s="108"/>
      <c r="EL132" s="108"/>
      <c r="EM132" s="108"/>
      <c r="EN132" s="108"/>
      <c r="EO132" s="108"/>
      <c r="EP132" s="108"/>
      <c r="EQ132" s="108"/>
      <c r="ER132" s="108"/>
      <c r="ES132" s="108"/>
      <c r="ET132" s="108"/>
      <c r="EU132" s="108"/>
      <c r="EV132" s="108"/>
      <c r="EW132" s="108"/>
      <c r="EX132" s="108"/>
      <c r="EY132" s="108"/>
      <c r="EZ132" s="108"/>
      <c r="FA132" s="108"/>
      <c r="FB132" s="108"/>
      <c r="FC132" s="108"/>
      <c r="FD132" s="108"/>
      <c r="FE132" s="108"/>
      <c r="FF132" s="108"/>
      <c r="FG132" s="108"/>
      <c r="FH132" s="108"/>
      <c r="FI132" s="108"/>
      <c r="FJ132" s="108"/>
      <c r="FK132" s="108"/>
      <c r="FL132" s="108"/>
      <c r="FM132" s="108"/>
      <c r="FN132" s="108"/>
      <c r="FO132" s="108"/>
      <c r="FP132" s="108"/>
      <c r="FQ132" s="108"/>
      <c r="FR132" s="108"/>
      <c r="FS132" s="108"/>
      <c r="FT132" s="108"/>
      <c r="FU132" s="108"/>
      <c r="FV132" s="108"/>
      <c r="FW132" s="108"/>
      <c r="FX132" s="108"/>
      <c r="FY132" s="108"/>
      <c r="FZ132" s="108"/>
      <c r="GA132" s="108"/>
      <c r="GB132" s="108"/>
      <c r="GC132" s="108"/>
      <c r="GD132" s="108"/>
      <c r="GE132" s="108"/>
      <c r="GF132" s="108"/>
      <c r="GG132" s="108"/>
      <c r="GH132" s="108"/>
      <c r="GI132" s="108"/>
      <c r="GJ132" s="108"/>
      <c r="GK132" s="108"/>
      <c r="GL132" s="108"/>
      <c r="GM132" s="108"/>
      <c r="GN132" s="108"/>
      <c r="GO132" s="108"/>
      <c r="GP132" s="108"/>
      <c r="GQ132" s="108"/>
      <c r="GR132" s="108"/>
      <c r="GS132" s="108"/>
      <c r="GT132" s="108"/>
      <c r="GU132" s="108"/>
      <c r="GV132" s="108"/>
      <c r="GW132" s="108"/>
      <c r="GX132" s="108"/>
      <c r="GY132" s="108"/>
      <c r="GZ132" s="108"/>
      <c r="HA132" s="108"/>
      <c r="HB132" s="108"/>
      <c r="HC132" s="108"/>
      <c r="HD132" s="108"/>
      <c r="HE132" s="108"/>
      <c r="HF132" s="108"/>
      <c r="HG132" s="108"/>
      <c r="HH132" s="108"/>
      <c r="HI132" s="108"/>
      <c r="HJ132" s="108"/>
      <c r="HK132" s="108"/>
      <c r="HL132" s="108"/>
      <c r="HM132" s="108"/>
      <c r="HN132" s="108"/>
      <c r="HO132" s="108"/>
      <c r="HP132" s="108"/>
      <c r="HQ132" s="108"/>
      <c r="HR132" s="108"/>
      <c r="HS132" s="108"/>
      <c r="HT132" s="108"/>
      <c r="HU132" s="108"/>
      <c r="HV132" s="108"/>
      <c r="HW132" s="108"/>
      <c r="HX132" s="108"/>
      <c r="HY132" s="108"/>
      <c r="HZ132" s="108"/>
      <c r="IA132" s="108"/>
      <c r="IB132" s="108"/>
      <c r="IC132" s="108"/>
      <c r="ID132" s="108"/>
      <c r="IE132" s="108"/>
      <c r="IF132" s="108"/>
      <c r="IG132" s="108"/>
      <c r="IH132" s="108"/>
      <c r="II132" s="108"/>
      <c r="IJ132" s="108"/>
      <c r="IK132" s="108"/>
      <c r="IL132" s="108"/>
      <c r="IM132" s="108"/>
      <c r="IN132" s="108"/>
      <c r="IO132" s="108"/>
      <c r="IP132" s="108"/>
      <c r="IQ132" s="108"/>
      <c r="IR132" s="108"/>
      <c r="IS132" s="108"/>
      <c r="IT132" s="108"/>
      <c r="IU132" s="108"/>
      <c r="IV132" s="108"/>
      <c r="IW132" s="108"/>
    </row>
    <row r="133" spans="1:257" x14ac:dyDescent="0.3">
      <c r="A133" s="158"/>
      <c r="B133" s="158"/>
      <c r="C133" s="158"/>
      <c r="D133" s="158"/>
      <c r="E133" s="158"/>
      <c r="F133" s="158"/>
      <c r="G133" s="158"/>
      <c r="H133" s="158"/>
      <c r="I133" s="158"/>
      <c r="J133" s="158"/>
      <c r="K133" s="158"/>
      <c r="L133" s="158"/>
      <c r="M133" s="158"/>
      <c r="N133" s="158"/>
      <c r="O133" s="108"/>
      <c r="P133" s="108"/>
      <c r="Q133" s="108"/>
      <c r="R133" s="108"/>
      <c r="S133" s="108"/>
      <c r="T133" s="108"/>
      <c r="U133" s="108"/>
      <c r="V133" s="108"/>
      <c r="W133" s="108"/>
      <c r="X133" s="108"/>
      <c r="Y133" s="108"/>
      <c r="Z133" s="108"/>
      <c r="AA133" s="108"/>
      <c r="AB133" s="108"/>
      <c r="AC133" s="108"/>
      <c r="AD133" s="108"/>
      <c r="AE133" s="108"/>
      <c r="AF133" s="108"/>
      <c r="AG133" s="108"/>
      <c r="AH133" s="108"/>
      <c r="AI133" s="108"/>
      <c r="AJ133" s="108"/>
      <c r="AK133" s="108"/>
      <c r="AL133" s="108"/>
      <c r="AM133" s="108"/>
      <c r="AN133" s="108"/>
      <c r="AO133" s="108"/>
      <c r="AP133" s="108"/>
      <c r="AQ133" s="108"/>
      <c r="AR133" s="108"/>
      <c r="AS133" s="108"/>
      <c r="AT133" s="108"/>
      <c r="AU133" s="108"/>
      <c r="AV133" s="108"/>
      <c r="AW133" s="108"/>
      <c r="AX133" s="108"/>
      <c r="AY133" s="108"/>
      <c r="AZ133" s="108"/>
      <c r="BA133" s="108"/>
      <c r="BB133" s="108"/>
      <c r="BC133" s="108"/>
      <c r="BD133" s="108"/>
      <c r="BE133" s="108"/>
      <c r="BF133" s="108"/>
      <c r="BG133" s="108"/>
      <c r="BH133" s="108"/>
      <c r="BI133" s="108"/>
      <c r="BJ133" s="108"/>
      <c r="BK133" s="108"/>
      <c r="BL133" s="108"/>
      <c r="BM133" s="108"/>
      <c r="BN133" s="108"/>
      <c r="BO133" s="108"/>
      <c r="BP133" s="108"/>
      <c r="BQ133" s="108"/>
      <c r="BR133" s="108"/>
      <c r="BS133" s="108"/>
      <c r="BT133" s="108"/>
      <c r="BU133" s="108"/>
      <c r="BV133" s="108"/>
      <c r="BW133" s="108"/>
      <c r="BX133" s="108"/>
      <c r="BY133" s="108"/>
      <c r="BZ133" s="108"/>
      <c r="CA133" s="108"/>
      <c r="CB133" s="108"/>
      <c r="CC133" s="108"/>
      <c r="CD133" s="108"/>
      <c r="CE133" s="108"/>
      <c r="CF133" s="108"/>
      <c r="CG133" s="108"/>
      <c r="CH133" s="108"/>
      <c r="CI133" s="108"/>
      <c r="CJ133" s="108"/>
      <c r="CK133" s="108"/>
      <c r="CL133" s="108"/>
      <c r="CM133" s="108"/>
      <c r="CN133" s="108"/>
      <c r="CO133" s="108"/>
      <c r="CP133" s="108"/>
      <c r="CQ133" s="108"/>
      <c r="CR133" s="108"/>
      <c r="CS133" s="108"/>
      <c r="CT133" s="108"/>
      <c r="CU133" s="108"/>
      <c r="CV133" s="108"/>
      <c r="CW133" s="108"/>
      <c r="CX133" s="108"/>
      <c r="CY133" s="108"/>
      <c r="CZ133" s="108"/>
      <c r="DA133" s="108"/>
      <c r="DB133" s="108"/>
      <c r="DC133" s="108"/>
      <c r="DD133" s="108"/>
      <c r="DE133" s="108"/>
      <c r="DF133" s="108"/>
      <c r="DG133" s="108"/>
      <c r="DH133" s="108"/>
      <c r="DI133" s="108"/>
      <c r="DJ133" s="108"/>
      <c r="DK133" s="108"/>
      <c r="DL133" s="108"/>
      <c r="DM133" s="108"/>
      <c r="DN133" s="108"/>
      <c r="DO133" s="108"/>
      <c r="DP133" s="108"/>
      <c r="DQ133" s="108"/>
      <c r="DR133" s="108"/>
      <c r="DS133" s="108"/>
      <c r="DT133" s="108"/>
      <c r="DU133" s="108"/>
      <c r="DV133" s="108"/>
      <c r="DW133" s="108"/>
      <c r="DX133" s="108"/>
      <c r="DY133" s="108"/>
      <c r="DZ133" s="108"/>
      <c r="EA133" s="108"/>
      <c r="EB133" s="108"/>
      <c r="EC133" s="108"/>
      <c r="ED133" s="108"/>
      <c r="EE133" s="108"/>
      <c r="EF133" s="108"/>
      <c r="EG133" s="108"/>
      <c r="EH133" s="108"/>
      <c r="EI133" s="108"/>
      <c r="EJ133" s="108"/>
      <c r="EK133" s="108"/>
      <c r="EL133" s="108"/>
      <c r="EM133" s="108"/>
      <c r="EN133" s="108"/>
      <c r="EO133" s="108"/>
      <c r="EP133" s="108"/>
      <c r="EQ133" s="108"/>
      <c r="ER133" s="108"/>
      <c r="ES133" s="108"/>
      <c r="ET133" s="108"/>
      <c r="EU133" s="108"/>
      <c r="EV133" s="108"/>
      <c r="EW133" s="108"/>
      <c r="EX133" s="108"/>
      <c r="EY133" s="108"/>
      <c r="EZ133" s="108"/>
      <c r="FA133" s="108"/>
      <c r="FB133" s="108"/>
      <c r="FC133" s="108"/>
      <c r="FD133" s="108"/>
      <c r="FE133" s="108"/>
      <c r="FF133" s="108"/>
      <c r="FG133" s="108"/>
      <c r="FH133" s="108"/>
      <c r="FI133" s="108"/>
      <c r="FJ133" s="108"/>
      <c r="FK133" s="108"/>
      <c r="FL133" s="108"/>
      <c r="FM133" s="108"/>
      <c r="FN133" s="108"/>
      <c r="FO133" s="108"/>
      <c r="FP133" s="108"/>
      <c r="FQ133" s="108"/>
      <c r="FR133" s="108"/>
      <c r="FS133" s="108"/>
      <c r="FT133" s="108"/>
      <c r="FU133" s="108"/>
      <c r="FV133" s="108"/>
      <c r="FW133" s="108"/>
      <c r="FX133" s="108"/>
      <c r="FY133" s="108"/>
      <c r="FZ133" s="108"/>
      <c r="GA133" s="108"/>
      <c r="GB133" s="108"/>
      <c r="GC133" s="108"/>
      <c r="GD133" s="108"/>
      <c r="GE133" s="108"/>
      <c r="GF133" s="108"/>
      <c r="GG133" s="108"/>
      <c r="GH133" s="108"/>
      <c r="GI133" s="108"/>
      <c r="GJ133" s="108"/>
      <c r="GK133" s="108"/>
      <c r="GL133" s="108"/>
      <c r="GM133" s="108"/>
      <c r="GN133" s="108"/>
      <c r="GO133" s="108"/>
      <c r="GP133" s="108"/>
      <c r="GQ133" s="108"/>
      <c r="GR133" s="108"/>
      <c r="GS133" s="108"/>
      <c r="GT133" s="108"/>
      <c r="GU133" s="108"/>
      <c r="GV133" s="108"/>
      <c r="GW133" s="108"/>
      <c r="GX133" s="108"/>
      <c r="GY133" s="108"/>
      <c r="GZ133" s="108"/>
      <c r="HA133" s="108"/>
      <c r="HB133" s="108"/>
      <c r="HC133" s="108"/>
      <c r="HD133" s="108"/>
      <c r="HE133" s="108"/>
      <c r="HF133" s="108"/>
      <c r="HG133" s="108"/>
      <c r="HH133" s="108"/>
      <c r="HI133" s="108"/>
      <c r="HJ133" s="108"/>
      <c r="HK133" s="108"/>
      <c r="HL133" s="108"/>
      <c r="HM133" s="108"/>
      <c r="HN133" s="108"/>
      <c r="HO133" s="108"/>
      <c r="HP133" s="108"/>
      <c r="HQ133" s="108"/>
      <c r="HR133" s="108"/>
      <c r="HS133" s="108"/>
      <c r="HT133" s="108"/>
      <c r="HU133" s="108"/>
      <c r="HV133" s="108"/>
      <c r="HW133" s="108"/>
      <c r="HX133" s="108"/>
      <c r="HY133" s="108"/>
      <c r="HZ133" s="108"/>
      <c r="IA133" s="108"/>
      <c r="IB133" s="108"/>
      <c r="IC133" s="108"/>
      <c r="ID133" s="108"/>
      <c r="IE133" s="108"/>
      <c r="IF133" s="108"/>
      <c r="IG133" s="108"/>
      <c r="IH133" s="108"/>
      <c r="II133" s="108"/>
      <c r="IJ133" s="108"/>
      <c r="IK133" s="108"/>
      <c r="IL133" s="108"/>
      <c r="IM133" s="108"/>
      <c r="IN133" s="108"/>
      <c r="IO133" s="108"/>
      <c r="IP133" s="108"/>
      <c r="IQ133" s="108"/>
      <c r="IR133" s="108"/>
      <c r="IS133" s="108"/>
      <c r="IT133" s="108"/>
      <c r="IU133" s="108"/>
      <c r="IV133" s="108"/>
      <c r="IW133" s="108"/>
    </row>
  </sheetData>
  <sortState xmlns:xlrd2="http://schemas.microsoft.com/office/spreadsheetml/2017/richdata2" ref="I6:L45">
    <sortCondition descending="1" ref="L6:L45"/>
  </sortState>
  <mergeCells count="1">
    <mergeCell ref="B1:M1"/>
  </mergeCells>
  <pageMargins left="0.7" right="0.7" top="0.75" bottom="0.75" header="0.3" footer="0.3"/>
  <pageSetup paperSize="9" orientation="portrait"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rgb="FFFF0000"/>
  </sheetPr>
  <dimension ref="A1:T34"/>
  <sheetViews>
    <sheetView zoomScale="55" zoomScaleNormal="55" workbookViewId="0">
      <selection activeCell="C4" sqref="C4"/>
    </sheetView>
  </sheetViews>
  <sheetFormatPr defaultColWidth="8.77734375" defaultRowHeight="14.4" x14ac:dyDescent="0.3"/>
  <cols>
    <col min="2" max="2" width="10.77734375" bestFit="1" customWidth="1"/>
    <col min="3" max="3" width="17.109375" bestFit="1" customWidth="1"/>
  </cols>
  <sheetData>
    <row r="1" spans="1:20" ht="15" thickBot="1" x14ac:dyDescent="0.35">
      <c r="A1" s="173"/>
      <c r="B1" s="206"/>
      <c r="C1" s="207"/>
      <c r="D1" s="207"/>
      <c r="E1" s="207"/>
      <c r="F1" s="207"/>
      <c r="G1" s="207"/>
      <c r="H1" s="207"/>
      <c r="I1" s="207"/>
      <c r="J1" s="207"/>
      <c r="K1" s="207"/>
      <c r="L1" s="207"/>
      <c r="M1" s="207"/>
      <c r="N1" s="207"/>
      <c r="O1" s="207"/>
      <c r="P1" s="207"/>
      <c r="Q1" s="207"/>
      <c r="R1" s="207"/>
      <c r="S1" s="207"/>
      <c r="T1" s="208"/>
    </row>
    <row r="2" spans="1:20" ht="15" thickBot="1" x14ac:dyDescent="0.35">
      <c r="A2" s="173"/>
      <c r="B2" s="173"/>
      <c r="C2" s="173"/>
      <c r="D2" s="173"/>
      <c r="E2" s="173"/>
      <c r="F2" s="173"/>
      <c r="G2" s="173"/>
      <c r="H2" s="173"/>
      <c r="I2" s="173"/>
      <c r="J2" s="173"/>
      <c r="K2" s="173"/>
      <c r="L2" s="173"/>
      <c r="M2" s="173"/>
      <c r="N2" s="173"/>
      <c r="O2" s="173"/>
      <c r="P2" s="173"/>
      <c r="Q2" s="173"/>
      <c r="R2" s="173"/>
      <c r="S2" s="173"/>
      <c r="T2" s="173"/>
    </row>
    <row r="3" spans="1:20" ht="15" thickBot="1" x14ac:dyDescent="0.35">
      <c r="A3" s="173"/>
      <c r="B3" s="177" t="s">
        <v>232</v>
      </c>
      <c r="C3" s="177" t="s">
        <v>272</v>
      </c>
      <c r="D3" s="173"/>
      <c r="E3" s="173"/>
      <c r="F3" s="173"/>
      <c r="G3" s="173"/>
      <c r="H3" s="173"/>
      <c r="I3" s="173"/>
      <c r="J3" s="173"/>
      <c r="K3" s="173"/>
      <c r="L3" s="173"/>
      <c r="M3" s="173"/>
      <c r="N3" s="173"/>
      <c r="O3" s="173"/>
      <c r="P3" s="173"/>
      <c r="Q3" s="173"/>
      <c r="R3" s="173"/>
      <c r="S3" s="173"/>
      <c r="T3" s="173"/>
    </row>
    <row r="4" spans="1:20" ht="15" thickBot="1" x14ac:dyDescent="0.35">
      <c r="A4" s="173"/>
      <c r="B4" s="178">
        <f>'Sensitivity analysis'!Z61</f>
        <v>19250</v>
      </c>
      <c r="C4" s="114">
        <f>'Sensitivity analysis'!AB61</f>
        <v>33666.223630737884</v>
      </c>
      <c r="D4" s="173"/>
      <c r="E4" s="173"/>
      <c r="F4" s="173"/>
      <c r="G4" s="173"/>
      <c r="H4" s="173"/>
      <c r="I4" s="173"/>
      <c r="J4" s="173"/>
      <c r="K4" s="173"/>
      <c r="L4" s="173"/>
      <c r="M4" s="173"/>
      <c r="N4" s="173"/>
      <c r="O4" s="173"/>
      <c r="P4" s="173"/>
      <c r="Q4" s="173"/>
      <c r="R4" s="173"/>
      <c r="S4" s="173"/>
      <c r="T4" s="173"/>
    </row>
    <row r="5" spans="1:20" ht="15" thickBot="1" x14ac:dyDescent="0.35">
      <c r="A5" s="173"/>
      <c r="B5" s="178">
        <f>'Sensitivity analysis'!Z62</f>
        <v>20533.333333333332</v>
      </c>
      <c r="C5" s="114">
        <f>'Sensitivity analysis'!AB62</f>
        <v>33832.371070979039</v>
      </c>
      <c r="D5" s="173"/>
      <c r="E5" s="173"/>
      <c r="F5" s="173"/>
      <c r="G5" s="173"/>
      <c r="H5" s="173"/>
      <c r="I5" s="173"/>
      <c r="J5" s="173"/>
      <c r="K5" s="173"/>
      <c r="L5" s="173"/>
      <c r="M5" s="173"/>
      <c r="N5" s="173"/>
      <c r="O5" s="173"/>
      <c r="P5" s="173"/>
      <c r="Q5" s="173"/>
      <c r="R5" s="173"/>
      <c r="S5" s="173"/>
      <c r="T5" s="173"/>
    </row>
    <row r="6" spans="1:20" ht="15" thickBot="1" x14ac:dyDescent="0.35">
      <c r="A6" s="173"/>
      <c r="B6" s="178">
        <f>'Sensitivity analysis'!Z63</f>
        <v>21816.666666666664</v>
      </c>
      <c r="C6" s="114">
        <f>'Sensitivity analysis'!AB63</f>
        <v>33998.518511220202</v>
      </c>
      <c r="D6" s="173"/>
      <c r="E6" s="173"/>
      <c r="F6" s="173"/>
      <c r="G6" s="173"/>
      <c r="H6" s="173"/>
      <c r="I6" s="173"/>
      <c r="J6" s="173"/>
      <c r="K6" s="173"/>
      <c r="L6" s="173"/>
      <c r="M6" s="173"/>
      <c r="N6" s="173"/>
      <c r="O6" s="173"/>
      <c r="P6" s="173"/>
      <c r="Q6" s="173"/>
      <c r="R6" s="173"/>
      <c r="S6" s="173"/>
      <c r="T6" s="173"/>
    </row>
    <row r="7" spans="1:20" ht="15" thickBot="1" x14ac:dyDescent="0.35">
      <c r="A7" s="173"/>
      <c r="B7" s="178">
        <f>'Sensitivity analysis'!Z64</f>
        <v>23099.999999999996</v>
      </c>
      <c r="C7" s="114">
        <f>'Sensitivity analysis'!AB64</f>
        <v>34164.665951461357</v>
      </c>
      <c r="D7" s="173"/>
      <c r="E7" s="173"/>
      <c r="F7" s="173"/>
      <c r="G7" s="173"/>
      <c r="H7" s="173"/>
      <c r="I7" s="173"/>
      <c r="J7" s="173"/>
      <c r="K7" s="173"/>
      <c r="L7" s="173"/>
      <c r="M7" s="173"/>
      <c r="N7" s="173"/>
      <c r="O7" s="173"/>
      <c r="P7" s="173"/>
      <c r="Q7" s="173"/>
      <c r="R7" s="173"/>
      <c r="S7" s="173"/>
      <c r="T7" s="173"/>
    </row>
    <row r="8" spans="1:20" ht="15" thickBot="1" x14ac:dyDescent="0.35">
      <c r="A8" s="173"/>
      <c r="B8" s="178">
        <f>'Sensitivity analysis'!Z65</f>
        <v>24383.333333333328</v>
      </c>
      <c r="C8" s="114">
        <f>'Sensitivity analysis'!AB65</f>
        <v>34330.813391702512</v>
      </c>
      <c r="D8" s="173"/>
      <c r="E8" s="173"/>
      <c r="F8" s="173"/>
      <c r="G8" s="173"/>
      <c r="H8" s="173"/>
      <c r="I8" s="173"/>
      <c r="J8" s="173"/>
      <c r="K8" s="173"/>
      <c r="L8" s="173"/>
      <c r="M8" s="173"/>
      <c r="N8" s="173"/>
      <c r="O8" s="173"/>
      <c r="P8" s="173"/>
      <c r="Q8" s="173"/>
      <c r="R8" s="173"/>
      <c r="S8" s="173"/>
      <c r="T8" s="173"/>
    </row>
    <row r="9" spans="1:20" ht="15" thickBot="1" x14ac:dyDescent="0.35">
      <c r="A9" s="173"/>
      <c r="B9" s="178">
        <f>'Sensitivity analysis'!Z66</f>
        <v>25666.666666666661</v>
      </c>
      <c r="C9" s="114">
        <f>'Sensitivity analysis'!AB66</f>
        <v>34496.960831943667</v>
      </c>
      <c r="D9" s="173"/>
      <c r="E9" s="173"/>
      <c r="F9" s="173"/>
      <c r="G9" s="173"/>
      <c r="H9" s="173"/>
      <c r="I9" s="173"/>
      <c r="J9" s="173"/>
      <c r="K9" s="173"/>
      <c r="L9" s="173"/>
      <c r="M9" s="173"/>
      <c r="N9" s="173"/>
      <c r="O9" s="173"/>
      <c r="P9" s="173"/>
      <c r="Q9" s="173"/>
      <c r="R9" s="173"/>
      <c r="S9" s="173"/>
      <c r="T9" s="173"/>
    </row>
    <row r="10" spans="1:20" ht="15" thickBot="1" x14ac:dyDescent="0.35">
      <c r="A10" s="173"/>
      <c r="B10" s="178">
        <f>'Sensitivity analysis'!Z67</f>
        <v>26949.999999999993</v>
      </c>
      <c r="C10" s="114">
        <f>'Sensitivity analysis'!AB67</f>
        <v>34663.108272184822</v>
      </c>
      <c r="D10" s="173"/>
      <c r="E10" s="173"/>
      <c r="F10" s="173"/>
      <c r="G10" s="173"/>
      <c r="H10" s="173"/>
      <c r="I10" s="173"/>
      <c r="J10" s="173"/>
      <c r="K10" s="173"/>
      <c r="L10" s="173"/>
      <c r="M10" s="173"/>
      <c r="N10" s="173"/>
      <c r="O10" s="173"/>
      <c r="P10" s="173"/>
      <c r="Q10" s="173"/>
      <c r="R10" s="173"/>
      <c r="S10" s="173"/>
      <c r="T10" s="173"/>
    </row>
    <row r="11" spans="1:20" ht="15" thickBot="1" x14ac:dyDescent="0.35">
      <c r="A11" s="173"/>
      <c r="B11" s="178">
        <f>'Sensitivity analysis'!Z68</f>
        <v>28233.333333333325</v>
      </c>
      <c r="C11" s="114">
        <f>'Sensitivity analysis'!AB68</f>
        <v>34829.255712425977</v>
      </c>
      <c r="D11" s="173"/>
      <c r="E11" s="173"/>
      <c r="F11" s="173"/>
      <c r="G11" s="173"/>
      <c r="H11" s="173"/>
      <c r="I11" s="173"/>
      <c r="J11" s="173"/>
      <c r="K11" s="173"/>
      <c r="L11" s="173"/>
      <c r="M11" s="173"/>
      <c r="N11" s="173"/>
      <c r="O11" s="173"/>
      <c r="P11" s="173"/>
      <c r="Q11" s="173"/>
      <c r="R11" s="173"/>
      <c r="S11" s="173"/>
      <c r="T11" s="173"/>
    </row>
    <row r="12" spans="1:20" ht="15" thickBot="1" x14ac:dyDescent="0.35">
      <c r="A12" s="173"/>
      <c r="B12" s="178">
        <f>'Sensitivity analysis'!Z69</f>
        <v>29516.666666666657</v>
      </c>
      <c r="C12" s="114">
        <f>'Sensitivity analysis'!AB69</f>
        <v>34995.403152667139</v>
      </c>
      <c r="D12" s="173"/>
      <c r="E12" s="173"/>
      <c r="F12" s="173"/>
      <c r="G12" s="173"/>
      <c r="H12" s="173"/>
      <c r="I12" s="173"/>
      <c r="J12" s="173"/>
      <c r="K12" s="173"/>
      <c r="L12" s="173"/>
      <c r="M12" s="173"/>
      <c r="N12" s="173"/>
      <c r="O12" s="173"/>
      <c r="P12" s="173"/>
      <c r="Q12" s="173"/>
      <c r="R12" s="173"/>
      <c r="S12" s="173"/>
      <c r="T12" s="173"/>
    </row>
    <row r="13" spans="1:20" ht="15" thickBot="1" x14ac:dyDescent="0.35">
      <c r="A13" s="173"/>
      <c r="B13" s="178">
        <f>'Sensitivity analysis'!Z70</f>
        <v>30799.999999999989</v>
      </c>
      <c r="C13" s="114">
        <f>'Sensitivity analysis'!AB70</f>
        <v>35161.550592908294</v>
      </c>
      <c r="D13" s="173"/>
      <c r="E13" s="173"/>
      <c r="F13" s="173"/>
      <c r="G13" s="173"/>
      <c r="H13" s="173"/>
      <c r="I13" s="173"/>
      <c r="J13" s="173"/>
      <c r="K13" s="173"/>
      <c r="L13" s="173"/>
      <c r="M13" s="173"/>
      <c r="N13" s="173"/>
      <c r="O13" s="173"/>
      <c r="P13" s="173"/>
      <c r="Q13" s="173"/>
      <c r="R13" s="173"/>
      <c r="S13" s="173"/>
      <c r="T13" s="173"/>
    </row>
    <row r="14" spans="1:20" ht="15" thickBot="1" x14ac:dyDescent="0.35">
      <c r="A14" s="173"/>
      <c r="B14" s="178">
        <f>'Sensitivity analysis'!Z71</f>
        <v>32083.333333333321</v>
      </c>
      <c r="C14" s="114">
        <f>'Sensitivity analysis'!AB71</f>
        <v>35327.698033149449</v>
      </c>
      <c r="D14" s="173"/>
      <c r="E14" s="173"/>
      <c r="F14" s="173"/>
      <c r="G14" s="173"/>
      <c r="H14" s="173"/>
      <c r="I14" s="173"/>
      <c r="J14" s="173"/>
      <c r="K14" s="173"/>
      <c r="L14" s="173"/>
      <c r="M14" s="173"/>
      <c r="N14" s="173"/>
      <c r="O14" s="173"/>
      <c r="P14" s="173"/>
      <c r="Q14" s="173"/>
      <c r="R14" s="173"/>
      <c r="S14" s="173"/>
      <c r="T14" s="173"/>
    </row>
    <row r="15" spans="1:20" ht="15" thickBot="1" x14ac:dyDescent="0.35">
      <c r="A15" s="173"/>
      <c r="B15" s="178">
        <f>'Sensitivity analysis'!Z72</f>
        <v>33366.666666666657</v>
      </c>
      <c r="C15" s="114">
        <f>'Sensitivity analysis'!AB72</f>
        <v>35493.845473390604</v>
      </c>
      <c r="D15" s="173"/>
      <c r="E15" s="173"/>
      <c r="F15" s="173"/>
      <c r="G15" s="173"/>
      <c r="H15" s="173"/>
      <c r="I15" s="173"/>
      <c r="J15" s="173"/>
      <c r="K15" s="173"/>
      <c r="L15" s="173"/>
      <c r="M15" s="173"/>
      <c r="N15" s="173"/>
      <c r="O15" s="173"/>
      <c r="P15" s="173"/>
      <c r="Q15" s="173"/>
      <c r="R15" s="173"/>
      <c r="S15" s="173"/>
      <c r="T15" s="173"/>
    </row>
    <row r="16" spans="1:20" ht="15" thickBot="1" x14ac:dyDescent="0.35">
      <c r="A16" s="173"/>
      <c r="B16" s="178">
        <f>'Sensitivity analysis'!Z73</f>
        <v>34649.999999999993</v>
      </c>
      <c r="C16" s="114">
        <f>'Sensitivity analysis'!AB73</f>
        <v>35659.992913631766</v>
      </c>
      <c r="D16" s="173"/>
      <c r="E16" s="173"/>
      <c r="F16" s="173"/>
      <c r="G16" s="173"/>
      <c r="H16" s="173"/>
      <c r="I16" s="173"/>
      <c r="J16" s="173"/>
      <c r="K16" s="173"/>
      <c r="L16" s="173"/>
      <c r="M16" s="173"/>
      <c r="N16" s="173"/>
      <c r="O16" s="173"/>
      <c r="P16" s="173"/>
      <c r="Q16" s="173"/>
      <c r="R16" s="173"/>
      <c r="S16" s="173"/>
      <c r="T16" s="173"/>
    </row>
    <row r="17" spans="1:20" ht="15" thickBot="1" x14ac:dyDescent="0.35">
      <c r="A17" s="173"/>
      <c r="B17" s="178">
        <f>'Sensitivity analysis'!Z74</f>
        <v>35933.333333333328</v>
      </c>
      <c r="C17" s="114">
        <f>'Sensitivity analysis'!AB74</f>
        <v>35826.140353872921</v>
      </c>
      <c r="D17" s="173"/>
      <c r="E17" s="173"/>
      <c r="F17" s="173"/>
      <c r="G17" s="173"/>
      <c r="H17" s="173"/>
      <c r="I17" s="173"/>
      <c r="J17" s="173"/>
      <c r="K17" s="173"/>
      <c r="L17" s="173"/>
      <c r="M17" s="173"/>
      <c r="N17" s="173"/>
      <c r="O17" s="173"/>
      <c r="P17" s="173"/>
      <c r="Q17" s="173"/>
      <c r="R17" s="173"/>
      <c r="S17" s="173"/>
      <c r="T17" s="173"/>
    </row>
    <row r="18" spans="1:20" ht="15" thickBot="1" x14ac:dyDescent="0.35">
      <c r="A18" s="173"/>
      <c r="B18" s="178">
        <f>'Sensitivity analysis'!Z75</f>
        <v>37216.666666666664</v>
      </c>
      <c r="C18" s="114">
        <f>'Sensitivity analysis'!AB75</f>
        <v>35992.287794114076</v>
      </c>
      <c r="D18" s="173"/>
      <c r="E18" s="173"/>
      <c r="F18" s="173"/>
      <c r="G18" s="173"/>
      <c r="H18" s="173"/>
      <c r="I18" s="173"/>
      <c r="J18" s="173"/>
      <c r="K18" s="173"/>
      <c r="L18" s="173"/>
      <c r="M18" s="173"/>
      <c r="N18" s="173"/>
      <c r="O18" s="173"/>
      <c r="P18" s="173"/>
      <c r="Q18" s="173"/>
      <c r="R18" s="173"/>
      <c r="S18" s="173"/>
      <c r="T18" s="173"/>
    </row>
    <row r="19" spans="1:20" ht="15" thickBot="1" x14ac:dyDescent="0.35">
      <c r="A19" s="173"/>
      <c r="B19" s="178">
        <f>'Sensitivity analysis'!Z76</f>
        <v>38500</v>
      </c>
      <c r="C19" s="114">
        <f>'Sensitivity analysis'!AB76</f>
        <v>36158.435234355231</v>
      </c>
      <c r="D19" s="173"/>
      <c r="E19" s="173"/>
      <c r="F19" s="173"/>
      <c r="G19" s="173"/>
      <c r="H19" s="173"/>
      <c r="I19" s="173"/>
      <c r="J19" s="173"/>
      <c r="K19" s="173"/>
      <c r="L19" s="173"/>
      <c r="M19" s="173"/>
      <c r="N19" s="173"/>
      <c r="O19" s="173"/>
      <c r="P19" s="173"/>
      <c r="Q19" s="173"/>
      <c r="R19" s="173"/>
      <c r="S19" s="173"/>
      <c r="T19" s="173"/>
    </row>
    <row r="20" spans="1:20" ht="15" thickBot="1" x14ac:dyDescent="0.35">
      <c r="A20" s="173"/>
      <c r="B20" s="178">
        <f>'Sensitivity analysis'!Z77</f>
        <v>39783.333333333336</v>
      </c>
      <c r="C20" s="114">
        <f>'Sensitivity analysis'!AB77</f>
        <v>36324.582674596393</v>
      </c>
      <c r="D20" s="173"/>
      <c r="E20" s="173"/>
      <c r="F20" s="173"/>
      <c r="G20" s="173"/>
      <c r="H20" s="173"/>
      <c r="I20" s="173"/>
      <c r="J20" s="173"/>
      <c r="K20" s="173"/>
      <c r="L20" s="173"/>
      <c r="M20" s="173"/>
      <c r="N20" s="173"/>
      <c r="O20" s="173"/>
      <c r="P20" s="173"/>
      <c r="Q20" s="173"/>
      <c r="R20" s="173"/>
      <c r="S20" s="173"/>
      <c r="T20" s="173"/>
    </row>
    <row r="21" spans="1:20" ht="15" thickBot="1" x14ac:dyDescent="0.35">
      <c r="A21" s="173"/>
      <c r="B21" s="178">
        <f>'Sensitivity analysis'!Z78</f>
        <v>41066.666666666672</v>
      </c>
      <c r="C21" s="114">
        <f>'Sensitivity analysis'!AB78</f>
        <v>36490.730114837548</v>
      </c>
      <c r="D21" s="173"/>
      <c r="E21" s="173"/>
      <c r="F21" s="173"/>
      <c r="G21" s="173"/>
      <c r="H21" s="173"/>
      <c r="I21" s="173"/>
      <c r="J21" s="173"/>
      <c r="K21" s="173"/>
      <c r="L21" s="173"/>
      <c r="M21" s="173"/>
      <c r="N21" s="173"/>
      <c r="O21" s="173"/>
      <c r="P21" s="173"/>
      <c r="Q21" s="173"/>
      <c r="R21" s="173"/>
      <c r="S21" s="173"/>
      <c r="T21" s="173"/>
    </row>
    <row r="22" spans="1:20" ht="15" thickBot="1" x14ac:dyDescent="0.35">
      <c r="A22" s="173"/>
      <c r="B22" s="178">
        <f>'Sensitivity analysis'!Z79</f>
        <v>42350.000000000007</v>
      </c>
      <c r="C22" s="114">
        <f>'Sensitivity analysis'!AB79</f>
        <v>36656.877555078703</v>
      </c>
      <c r="D22" s="173"/>
      <c r="E22" s="173"/>
      <c r="F22" s="173"/>
      <c r="G22" s="173"/>
      <c r="H22" s="173"/>
      <c r="I22" s="173"/>
      <c r="J22" s="173"/>
      <c r="K22" s="173"/>
      <c r="L22" s="173"/>
      <c r="M22" s="173"/>
      <c r="N22" s="173"/>
      <c r="O22" s="173"/>
      <c r="P22" s="173"/>
      <c r="Q22" s="173"/>
      <c r="R22" s="173"/>
      <c r="S22" s="173"/>
      <c r="T22" s="173"/>
    </row>
    <row r="23" spans="1:20" ht="15" thickBot="1" x14ac:dyDescent="0.35">
      <c r="A23" s="173"/>
      <c r="B23" s="178">
        <f>'Sensitivity analysis'!Z80</f>
        <v>43633.333333333343</v>
      </c>
      <c r="C23" s="114">
        <f>'Sensitivity analysis'!AB80</f>
        <v>36823.024995319858</v>
      </c>
      <c r="D23" s="173"/>
      <c r="E23" s="173"/>
      <c r="F23" s="173"/>
      <c r="G23" s="173"/>
      <c r="H23" s="173"/>
      <c r="I23" s="173"/>
      <c r="J23" s="173"/>
      <c r="K23" s="173"/>
      <c r="L23" s="173"/>
      <c r="M23" s="173"/>
      <c r="N23" s="173"/>
      <c r="O23" s="173"/>
      <c r="P23" s="173"/>
      <c r="Q23" s="173"/>
      <c r="R23" s="173"/>
      <c r="S23" s="173"/>
      <c r="T23" s="173"/>
    </row>
    <row r="24" spans="1:20" ht="15" thickBot="1" x14ac:dyDescent="0.35">
      <c r="A24" s="173"/>
      <c r="B24" s="178">
        <f>'Sensitivity analysis'!Z81</f>
        <v>44916.666666666679</v>
      </c>
      <c r="C24" s="114">
        <f>'Sensitivity analysis'!AB81</f>
        <v>36989.17243556102</v>
      </c>
      <c r="D24" s="173"/>
      <c r="E24" s="173"/>
      <c r="F24" s="173"/>
      <c r="G24" s="173"/>
      <c r="H24" s="173"/>
      <c r="I24" s="173"/>
      <c r="J24" s="173"/>
      <c r="K24" s="173"/>
      <c r="L24" s="173"/>
      <c r="M24" s="173"/>
      <c r="N24" s="173"/>
      <c r="O24" s="173"/>
      <c r="P24" s="173"/>
      <c r="Q24" s="173"/>
      <c r="R24" s="173"/>
      <c r="S24" s="173"/>
      <c r="T24" s="173"/>
    </row>
    <row r="25" spans="1:20" ht="15" thickBot="1" x14ac:dyDescent="0.35">
      <c r="A25" s="173"/>
      <c r="B25" s="178">
        <f>'Sensitivity analysis'!Z82</f>
        <v>46200.000000000015</v>
      </c>
      <c r="C25" s="114">
        <f>'Sensitivity analysis'!AB82</f>
        <v>37155.319875802175</v>
      </c>
      <c r="D25" s="173"/>
      <c r="E25" s="173"/>
      <c r="F25" s="173"/>
      <c r="G25" s="173"/>
      <c r="H25" s="173"/>
      <c r="I25" s="173"/>
      <c r="J25" s="173"/>
      <c r="K25" s="173"/>
      <c r="L25" s="173"/>
      <c r="M25" s="173"/>
      <c r="N25" s="173"/>
      <c r="O25" s="173"/>
      <c r="P25" s="173"/>
      <c r="Q25" s="173"/>
      <c r="R25" s="173"/>
      <c r="S25" s="173"/>
      <c r="T25" s="173"/>
    </row>
    <row r="26" spans="1:20" ht="15" thickBot="1" x14ac:dyDescent="0.35">
      <c r="A26" s="173"/>
      <c r="B26" s="178">
        <f>'Sensitivity analysis'!Z83</f>
        <v>47483.33333333335</v>
      </c>
      <c r="C26" s="114">
        <f>'Sensitivity analysis'!AB83</f>
        <v>37321.46731604333</v>
      </c>
      <c r="D26" s="173"/>
      <c r="E26" s="173"/>
      <c r="F26" s="173"/>
      <c r="G26" s="173"/>
      <c r="H26" s="173"/>
      <c r="I26" s="173"/>
      <c r="J26" s="173"/>
      <c r="K26" s="173"/>
      <c r="L26" s="173"/>
      <c r="M26" s="173"/>
      <c r="N26" s="173"/>
      <c r="O26" s="173"/>
      <c r="P26" s="173"/>
      <c r="Q26" s="173"/>
      <c r="R26" s="173"/>
      <c r="S26" s="173"/>
      <c r="T26" s="173"/>
    </row>
    <row r="27" spans="1:20" ht="15" thickBot="1" x14ac:dyDescent="0.35">
      <c r="A27" s="173"/>
      <c r="B27" s="178">
        <f>'Sensitivity analysis'!Z84</f>
        <v>48766.666666666686</v>
      </c>
      <c r="C27" s="114">
        <f>'Sensitivity analysis'!AB84</f>
        <v>37487.614756284485</v>
      </c>
      <c r="D27" s="173"/>
      <c r="E27" s="173"/>
      <c r="F27" s="173"/>
      <c r="G27" s="173"/>
      <c r="H27" s="173"/>
      <c r="I27" s="173"/>
      <c r="J27" s="173"/>
      <c r="K27" s="173"/>
      <c r="L27" s="173"/>
      <c r="M27" s="173"/>
      <c r="N27" s="173"/>
      <c r="O27" s="173"/>
      <c r="P27" s="173"/>
      <c r="Q27" s="173"/>
      <c r="R27" s="173"/>
      <c r="S27" s="173"/>
      <c r="T27" s="173"/>
    </row>
    <row r="28" spans="1:20" ht="15" thickBot="1" x14ac:dyDescent="0.35">
      <c r="A28" s="173"/>
      <c r="B28" s="178">
        <f>'Sensitivity analysis'!Z85</f>
        <v>50050.000000000022</v>
      </c>
      <c r="C28" s="114">
        <f>'Sensitivity analysis'!AB85</f>
        <v>37653.762196525648</v>
      </c>
      <c r="D28" s="173"/>
      <c r="E28" s="173"/>
      <c r="F28" s="173"/>
      <c r="G28" s="173"/>
      <c r="H28" s="173"/>
      <c r="I28" s="173"/>
      <c r="J28" s="173"/>
      <c r="K28" s="173"/>
      <c r="L28" s="173"/>
      <c r="M28" s="173"/>
      <c r="N28" s="173"/>
      <c r="O28" s="173"/>
      <c r="P28" s="173"/>
      <c r="Q28" s="173"/>
      <c r="R28" s="173"/>
      <c r="S28" s="173"/>
      <c r="T28" s="173"/>
    </row>
    <row r="29" spans="1:20" ht="15" thickBot="1" x14ac:dyDescent="0.35">
      <c r="A29" s="173"/>
      <c r="B29" s="178">
        <f>'Sensitivity analysis'!Z86</f>
        <v>51333.333333333358</v>
      </c>
      <c r="C29" s="114">
        <f>'Sensitivity analysis'!AB86</f>
        <v>37819.909636766803</v>
      </c>
      <c r="D29" s="173"/>
      <c r="E29" s="173"/>
      <c r="F29" s="173"/>
      <c r="G29" s="173"/>
      <c r="H29" s="173"/>
      <c r="I29" s="173"/>
      <c r="J29" s="173"/>
      <c r="K29" s="173"/>
      <c r="L29" s="173"/>
      <c r="M29" s="173"/>
      <c r="N29" s="173"/>
      <c r="O29" s="173"/>
      <c r="P29" s="173"/>
      <c r="Q29" s="173"/>
      <c r="R29" s="173"/>
      <c r="S29" s="173"/>
      <c r="T29" s="173"/>
    </row>
    <row r="30" spans="1:20" ht="15" thickBot="1" x14ac:dyDescent="0.35">
      <c r="A30" s="173"/>
      <c r="B30" s="178">
        <f>'Sensitivity analysis'!Z87</f>
        <v>52616.666666666693</v>
      </c>
      <c r="C30" s="114">
        <f>'Sensitivity analysis'!AB87</f>
        <v>37986.057077007958</v>
      </c>
      <c r="D30" s="173"/>
      <c r="E30" s="173"/>
      <c r="F30" s="173"/>
      <c r="G30" s="173"/>
      <c r="H30" s="173"/>
      <c r="I30" s="173"/>
      <c r="J30" s="173"/>
      <c r="K30" s="173"/>
      <c r="L30" s="173"/>
      <c r="M30" s="173"/>
      <c r="N30" s="173"/>
      <c r="O30" s="173"/>
      <c r="P30" s="173"/>
      <c r="Q30" s="173"/>
      <c r="R30" s="173"/>
      <c r="S30" s="173"/>
      <c r="T30" s="173"/>
    </row>
    <row r="31" spans="1:20" ht="15" thickBot="1" x14ac:dyDescent="0.35">
      <c r="A31" s="173"/>
      <c r="B31" s="178">
        <f>'Sensitivity analysis'!Z88</f>
        <v>53900.000000000029</v>
      </c>
      <c r="C31" s="114">
        <f>'Sensitivity analysis'!AB88</f>
        <v>38152.204517249113</v>
      </c>
      <c r="D31" s="173"/>
      <c r="E31" s="173"/>
      <c r="F31" s="173"/>
      <c r="G31" s="173"/>
      <c r="H31" s="173"/>
      <c r="I31" s="173"/>
      <c r="J31" s="173"/>
      <c r="K31" s="173"/>
      <c r="L31" s="173"/>
      <c r="M31" s="173"/>
      <c r="N31" s="173"/>
      <c r="O31" s="173"/>
      <c r="P31" s="173"/>
      <c r="Q31" s="173"/>
      <c r="R31" s="173"/>
      <c r="S31" s="173"/>
      <c r="T31" s="173"/>
    </row>
    <row r="32" spans="1:20" ht="15" thickBot="1" x14ac:dyDescent="0.35">
      <c r="A32" s="173"/>
      <c r="B32" s="178">
        <f>'Sensitivity analysis'!Z89</f>
        <v>55183.333333333365</v>
      </c>
      <c r="C32" s="114">
        <f>'Sensitivity analysis'!AB89</f>
        <v>38318.351957490275</v>
      </c>
      <c r="D32" s="173"/>
      <c r="E32" s="173"/>
      <c r="F32" s="173"/>
      <c r="G32" s="173"/>
      <c r="H32" s="173"/>
      <c r="I32" s="173"/>
      <c r="J32" s="173"/>
      <c r="K32" s="173"/>
      <c r="L32" s="173"/>
      <c r="M32" s="173"/>
      <c r="N32" s="173"/>
      <c r="O32" s="173"/>
      <c r="P32" s="173"/>
      <c r="Q32" s="173"/>
      <c r="R32" s="173"/>
      <c r="S32" s="173"/>
      <c r="T32" s="173"/>
    </row>
    <row r="33" spans="1:20" ht="15" thickBot="1" x14ac:dyDescent="0.35">
      <c r="A33" s="173"/>
      <c r="B33" s="178">
        <f>'Sensitivity analysis'!Z90</f>
        <v>56466.666666666701</v>
      </c>
      <c r="C33" s="114">
        <f>'Sensitivity analysis'!AB90</f>
        <v>38484.49939773143</v>
      </c>
      <c r="D33" s="173"/>
      <c r="E33" s="173"/>
      <c r="F33" s="173"/>
      <c r="G33" s="173"/>
      <c r="H33" s="173"/>
      <c r="I33" s="173"/>
      <c r="J33" s="173"/>
      <c r="K33" s="173"/>
      <c r="L33" s="173"/>
      <c r="M33" s="173"/>
      <c r="N33" s="173"/>
      <c r="O33" s="173"/>
      <c r="P33" s="173"/>
      <c r="Q33" s="173"/>
      <c r="R33" s="173"/>
      <c r="S33" s="173"/>
      <c r="T33" s="173"/>
    </row>
    <row r="34" spans="1:20" x14ac:dyDescent="0.3">
      <c r="A34" s="173"/>
      <c r="B34" s="178">
        <f>'Sensitivity analysis'!Z91</f>
        <v>57750.000000000036</v>
      </c>
      <c r="C34" s="114">
        <f>'Sensitivity analysis'!AB91</f>
        <v>38650.646837972585</v>
      </c>
      <c r="D34" s="173"/>
      <c r="E34" s="173"/>
      <c r="F34" s="173"/>
      <c r="G34" s="173"/>
      <c r="H34" s="173"/>
      <c r="I34" s="173"/>
      <c r="J34" s="173"/>
      <c r="K34" s="173"/>
      <c r="L34" s="173"/>
      <c r="M34" s="173"/>
      <c r="N34" s="173"/>
      <c r="O34" s="173"/>
      <c r="P34" s="173"/>
      <c r="Q34" s="173"/>
      <c r="R34" s="173"/>
      <c r="S34" s="173"/>
      <c r="T34" s="173"/>
    </row>
  </sheetData>
  <mergeCells count="1">
    <mergeCell ref="B1:T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27</vt:i4>
      </vt:variant>
      <vt:variant>
        <vt:lpstr>Named Ranges</vt:lpstr>
      </vt:variant>
      <vt:variant>
        <vt:i4>274</vt:i4>
      </vt:variant>
    </vt:vector>
  </HeadingPairs>
  <TitlesOfParts>
    <vt:vector size="301" baseType="lpstr">
      <vt:lpstr>Search terms</vt:lpstr>
      <vt:lpstr>Management protocol</vt:lpstr>
      <vt:lpstr>PSG tree figure</vt:lpstr>
      <vt:lpstr>Comparator tree figure</vt:lpstr>
      <vt:lpstr>Demographics</vt:lpstr>
      <vt:lpstr>Cost</vt:lpstr>
      <vt:lpstr>Utilities</vt:lpstr>
      <vt:lpstr>DALYs</vt:lpstr>
      <vt:lpstr>DALY - SB</vt:lpstr>
      <vt:lpstr>DALY - CLD</vt:lpstr>
      <vt:lpstr>DALY - motor impairement</vt:lpstr>
      <vt:lpstr>Base case probabilities</vt:lpstr>
      <vt:lpstr>(A) Grant and ANC coverage</vt:lpstr>
      <vt:lpstr>(B) Preterm</vt:lpstr>
      <vt:lpstr>(C) LBW</vt:lpstr>
      <vt:lpstr>(D) RDS, NEC, Sepsis</vt:lpstr>
      <vt:lpstr>DT1</vt:lpstr>
      <vt:lpstr>Parameters</vt:lpstr>
      <vt:lpstr>Analysis</vt:lpstr>
      <vt:lpstr>Decision tree</vt:lpstr>
      <vt:lpstr>Output</vt:lpstr>
      <vt:lpstr>Pop estimates</vt:lpstr>
      <vt:lpstr>Sensitivity analysis</vt:lpstr>
      <vt:lpstr>Tornado diagram</vt:lpstr>
      <vt:lpstr>Tornado diagram - INMB</vt:lpstr>
      <vt:lpstr>Tornado diagram - INMB (2)</vt:lpstr>
      <vt:lpstr>WTP vs INMB</vt:lpstr>
      <vt:lpstr>Adult_births</vt:lpstr>
      <vt:lpstr>AGA_prem_2d_1</vt:lpstr>
      <vt:lpstr>AGA_prem_2d_2</vt:lpstr>
      <vt:lpstr>AGA_prem_2d_3</vt:lpstr>
      <vt:lpstr>AGA_prem_2d_4</vt:lpstr>
      <vt:lpstr>AGA_prem_2hypoglycaemia_1</vt:lpstr>
      <vt:lpstr>AGA_prem_2hypoglycaemia_2</vt:lpstr>
      <vt:lpstr>AGA_prem_2hypoglycaemia_3</vt:lpstr>
      <vt:lpstr>AGA_prem_2hypoglycaemia_4</vt:lpstr>
      <vt:lpstr>AGA_prem_2normoglycaemia_1</vt:lpstr>
      <vt:lpstr>AGA_prem_2normoglycaemia_2</vt:lpstr>
      <vt:lpstr>AGA_prem_2normoglycaemia_3</vt:lpstr>
      <vt:lpstr>AGA_prem_2normoglycaemia_4</vt:lpstr>
      <vt:lpstr>AGA_prem_2s_1</vt:lpstr>
      <vt:lpstr>AGA_prem_2s_2</vt:lpstr>
      <vt:lpstr>AGA_prem_2s_3</vt:lpstr>
      <vt:lpstr>AGA_prem_2s_4</vt:lpstr>
      <vt:lpstr>AGA_term_2d_1</vt:lpstr>
      <vt:lpstr>AGA_term_2d_2</vt:lpstr>
      <vt:lpstr>AGA_term_2d_3</vt:lpstr>
      <vt:lpstr>AGA_term_2d_4</vt:lpstr>
      <vt:lpstr>AGA_term_2hypoglycaemia_1</vt:lpstr>
      <vt:lpstr>AGA_term_2hypoglycaemia_2</vt:lpstr>
      <vt:lpstr>AGA_term_2hypoglycaemia_3</vt:lpstr>
      <vt:lpstr>AGA_term_2hypoglycaemia_4</vt:lpstr>
      <vt:lpstr>AGA_term_2normoglycaemia_1</vt:lpstr>
      <vt:lpstr>AGA_term_2normoglycaemia_2</vt:lpstr>
      <vt:lpstr>AGA_term_2normoglycaemia_3</vt:lpstr>
      <vt:lpstr>AGA_term_2normoglycaemia_4</vt:lpstr>
      <vt:lpstr>AGA_term_2s_1</vt:lpstr>
      <vt:lpstr>AGA_term_2s_2</vt:lpstr>
      <vt:lpstr>AGA_term_2s_3</vt:lpstr>
      <vt:lpstr>AGA_term_2s_4</vt:lpstr>
      <vt:lpstr>ANC_cost</vt:lpstr>
      <vt:lpstr>ANC_first_visit</vt:lpstr>
      <vt:lpstr>ANC_first_visit_coverage_rate</vt:lpstr>
      <vt:lpstr>ANC2LB_1</vt:lpstr>
      <vt:lpstr>ANC2LB_3</vt:lpstr>
      <vt:lpstr>ANC2prem_1</vt:lpstr>
      <vt:lpstr>ANC2SB_1</vt:lpstr>
      <vt:lpstr>ANC2SB_3</vt:lpstr>
      <vt:lpstr>ANC2term_1</vt:lpstr>
      <vt:lpstr>Arm_1</vt:lpstr>
      <vt:lpstr>Arm_2</vt:lpstr>
      <vt:lpstr>Arm_3</vt:lpstr>
      <vt:lpstr>Arm_4</vt:lpstr>
      <vt:lpstr>Average_life_expectancy_at_birth</vt:lpstr>
      <vt:lpstr>c_1year</vt:lpstr>
      <vt:lpstr>c_2years</vt:lpstr>
      <vt:lpstr>c_ANC</vt:lpstr>
      <vt:lpstr>c_clinic_fu</vt:lpstr>
      <vt:lpstr>c_cog</vt:lpstr>
      <vt:lpstr>c_CSG</vt:lpstr>
      <vt:lpstr>c_grant</vt:lpstr>
      <vt:lpstr>c_hosp_fu</vt:lpstr>
      <vt:lpstr>c_hypo</vt:lpstr>
      <vt:lpstr>c_LBW</vt:lpstr>
      <vt:lpstr>c_lung</vt:lpstr>
      <vt:lpstr>c_NICU_NBW</vt:lpstr>
      <vt:lpstr>c_prem</vt:lpstr>
      <vt:lpstr>c_RDS</vt:lpstr>
      <vt:lpstr>c_SB</vt:lpstr>
      <vt:lpstr>Children_receiving_CSG</vt:lpstr>
      <vt:lpstr>ChronicResp_cost</vt:lpstr>
      <vt:lpstr>Cognitive_impairement_cost</vt:lpstr>
      <vt:lpstr>Comparator_probabilities</vt:lpstr>
      <vt:lpstr>DR</vt:lpstr>
      <vt:lpstr>dw_CLD</vt:lpstr>
      <vt:lpstr>dw_motor</vt:lpstr>
      <vt:lpstr>e_ANC</vt:lpstr>
      <vt:lpstr>e_LBW</vt:lpstr>
      <vt:lpstr>e_mortality</vt:lpstr>
      <vt:lpstr>e_preterm</vt:lpstr>
      <vt:lpstr>e_preterm_PSG</vt:lpstr>
      <vt:lpstr>e_SGA</vt:lpstr>
      <vt:lpstr>Female_life_expectancy_at_birth</vt:lpstr>
      <vt:lpstr>Female_population</vt:lpstr>
      <vt:lpstr>follow_up__clinic__cost</vt:lpstr>
      <vt:lpstr>follow_up__hosp__cost</vt:lpstr>
      <vt:lpstr>G2ANC</vt:lpstr>
      <vt:lpstr>G2noANC</vt:lpstr>
      <vt:lpstr>Grant_cost</vt:lpstr>
      <vt:lpstr>High_eligible</vt:lpstr>
      <vt:lpstr>High_uptake</vt:lpstr>
      <vt:lpstr>Hypo2CI_1</vt:lpstr>
      <vt:lpstr>Hypo2CI_2</vt:lpstr>
      <vt:lpstr>Hypo2CI_3</vt:lpstr>
      <vt:lpstr>Hypo2CI_4</vt:lpstr>
      <vt:lpstr>Hypo2cog_1</vt:lpstr>
      <vt:lpstr>Hypo2noCI_1</vt:lpstr>
      <vt:lpstr>Hypo2noCI_2</vt:lpstr>
      <vt:lpstr>Hypo2noCI_3</vt:lpstr>
      <vt:lpstr>Hypo2noCI_4</vt:lpstr>
      <vt:lpstr>Hypo2norm_1</vt:lpstr>
      <vt:lpstr>Hypoglycaemia_cost</vt:lpstr>
      <vt:lpstr>LB2prem_1</vt:lpstr>
      <vt:lpstr>LB2prem_2</vt:lpstr>
      <vt:lpstr>LB2prem_3</vt:lpstr>
      <vt:lpstr>LB2prem_4</vt:lpstr>
      <vt:lpstr>LB2term_1</vt:lpstr>
      <vt:lpstr>LB2term_2</vt:lpstr>
      <vt:lpstr>LB2term_3</vt:lpstr>
      <vt:lpstr>LB2term_4</vt:lpstr>
      <vt:lpstr>LBW_cost</vt:lpstr>
      <vt:lpstr>LBW_prem_2AGA_1</vt:lpstr>
      <vt:lpstr>LBW_prem_2AGA_2</vt:lpstr>
      <vt:lpstr>LBW_prem_2AGA_3</vt:lpstr>
      <vt:lpstr>LBW_prem_2AGA_4</vt:lpstr>
      <vt:lpstr>LBW_prem_2SGA_1</vt:lpstr>
      <vt:lpstr>LBW_prem_2SGA_2</vt:lpstr>
      <vt:lpstr>LBW_prem_2SGA_3</vt:lpstr>
      <vt:lpstr>LBW_prem_2SGA_4</vt:lpstr>
      <vt:lpstr>LBW_term_2AGA_1</vt:lpstr>
      <vt:lpstr>LBW_term_2AGA_2</vt:lpstr>
      <vt:lpstr>LBW_term_2AGA_3</vt:lpstr>
      <vt:lpstr>LBW_term_2AGA_4</vt:lpstr>
      <vt:lpstr>LBW_term_2SGA_1</vt:lpstr>
      <vt:lpstr>LBW_term_2SGA_2</vt:lpstr>
      <vt:lpstr>LBW_term_2SGA_3</vt:lpstr>
      <vt:lpstr>LBW_term_2SGA_4</vt:lpstr>
      <vt:lpstr>LBW2d_1</vt:lpstr>
      <vt:lpstr>LBW2d_2</vt:lpstr>
      <vt:lpstr>LBW2norm_1</vt:lpstr>
      <vt:lpstr>LBW2norm_2</vt:lpstr>
      <vt:lpstr>LBW2RDS_1</vt:lpstr>
      <vt:lpstr>LBW2RDS_2</vt:lpstr>
      <vt:lpstr>Low_eligible</vt:lpstr>
      <vt:lpstr>Low_uptake</vt:lpstr>
      <vt:lpstr>Male_life_expectancy_at_birth</vt:lpstr>
      <vt:lpstr>NBW_prem_2AGA_1</vt:lpstr>
      <vt:lpstr>NBW_prem_2AGA_2</vt:lpstr>
      <vt:lpstr>NBW_prem_2AGA_3</vt:lpstr>
      <vt:lpstr>NBW_prem_2AGA_4</vt:lpstr>
      <vt:lpstr>NBW_prem_2SGA_1</vt:lpstr>
      <vt:lpstr>NBW_prem_2SGA_2</vt:lpstr>
      <vt:lpstr>NBW_prem_2SGA_3</vt:lpstr>
      <vt:lpstr>NBW_prem_2SGA_4</vt:lpstr>
      <vt:lpstr>NBW_term_2AGA_1</vt:lpstr>
      <vt:lpstr>NBW_term_2AGA_2</vt:lpstr>
      <vt:lpstr>NBW_term_2AGA_3</vt:lpstr>
      <vt:lpstr>NBW_term_2AGA_4</vt:lpstr>
      <vt:lpstr>NBW_term_2SGA_1</vt:lpstr>
      <vt:lpstr>NBW_term_2SGA_2</vt:lpstr>
      <vt:lpstr>NBW_term_2SGA_3</vt:lpstr>
      <vt:lpstr>NBW_term_2SGA_4</vt:lpstr>
      <vt:lpstr>No_ANC_rate</vt:lpstr>
      <vt:lpstr>NoANC2LB_2</vt:lpstr>
      <vt:lpstr>NoANC2LB_4</vt:lpstr>
      <vt:lpstr>NoANC2prem_2</vt:lpstr>
      <vt:lpstr>NoANC2SB_2</vt:lpstr>
      <vt:lpstr>NoANC2SB_4</vt:lpstr>
      <vt:lpstr>NoANC2term_2</vt:lpstr>
      <vt:lpstr>NoG2ANC</vt:lpstr>
      <vt:lpstr>NoG2noANC</vt:lpstr>
      <vt:lpstr>noHypo2CI_1</vt:lpstr>
      <vt:lpstr>noHypo2CI_2</vt:lpstr>
      <vt:lpstr>noHypo2CI_3</vt:lpstr>
      <vt:lpstr>noHypo2CI_4</vt:lpstr>
      <vt:lpstr>noHypo2noCI_1</vt:lpstr>
      <vt:lpstr>noHypo2noCI_2</vt:lpstr>
      <vt:lpstr>noHypo2noCI_3</vt:lpstr>
      <vt:lpstr>noHypo2noCI_4</vt:lpstr>
      <vt:lpstr>noRDS2CLD_1</vt:lpstr>
      <vt:lpstr>noRDS2CLD_2</vt:lpstr>
      <vt:lpstr>noRDS2CLD_3</vt:lpstr>
      <vt:lpstr>noRDS2CLD_4</vt:lpstr>
      <vt:lpstr>noRDS2noCLD_1</vt:lpstr>
      <vt:lpstr>noRDS2noCLD_2</vt:lpstr>
      <vt:lpstr>noRDS2noCLD_3</vt:lpstr>
      <vt:lpstr>noRDS2noCLD_4</vt:lpstr>
      <vt:lpstr>Population</vt:lpstr>
      <vt:lpstr>Prem2LBW_1</vt:lpstr>
      <vt:lpstr>Prem2LBW_2</vt:lpstr>
      <vt:lpstr>Prem2LBW_3</vt:lpstr>
      <vt:lpstr>Prem2LBW_4</vt:lpstr>
      <vt:lpstr>Prem2NBW_1</vt:lpstr>
      <vt:lpstr>Prem2NBW_2</vt:lpstr>
      <vt:lpstr>Prem2NBW_3</vt:lpstr>
      <vt:lpstr>Prem2NBW_4</vt:lpstr>
      <vt:lpstr>Prem2norm_1</vt:lpstr>
      <vt:lpstr>Prem2norm_2</vt:lpstr>
      <vt:lpstr>Preterm_cost</vt:lpstr>
      <vt:lpstr>RDS_cost</vt:lpstr>
      <vt:lpstr>RDS2CLD_1</vt:lpstr>
      <vt:lpstr>RDS2CLD_2</vt:lpstr>
      <vt:lpstr>RDS2CLD_3</vt:lpstr>
      <vt:lpstr>RDS2CLD_4</vt:lpstr>
      <vt:lpstr>RDS2lung_1</vt:lpstr>
      <vt:lpstr>RDS2lung_2</vt:lpstr>
      <vt:lpstr>RDS2noCLD_1</vt:lpstr>
      <vt:lpstr>RDS2noCLD_2</vt:lpstr>
      <vt:lpstr>RDS2noCLD_3</vt:lpstr>
      <vt:lpstr>RDS2noCLD_4</vt:lpstr>
      <vt:lpstr>RDS2norm_1</vt:lpstr>
      <vt:lpstr>RDS2norm_2</vt:lpstr>
      <vt:lpstr>S_prem_2noRDS_1</vt:lpstr>
      <vt:lpstr>S_prem_2noRDS_2</vt:lpstr>
      <vt:lpstr>S_prem_2noRDS_3</vt:lpstr>
      <vt:lpstr>S_prem_2noRDS_4</vt:lpstr>
      <vt:lpstr>S_prem_2RDS_1</vt:lpstr>
      <vt:lpstr>S_prem_2RDS_2</vt:lpstr>
      <vt:lpstr>S_prem_2RDS_3</vt:lpstr>
      <vt:lpstr>S_prem_2RDS_4</vt:lpstr>
      <vt:lpstr>S_term_2noRDS_1</vt:lpstr>
      <vt:lpstr>S_term_2noRDS_2</vt:lpstr>
      <vt:lpstr>S_term_2noRDS_3</vt:lpstr>
      <vt:lpstr>S_term_2noRDS_4</vt:lpstr>
      <vt:lpstr>S_term_2RDS_1</vt:lpstr>
      <vt:lpstr>S_term_2RDS_2</vt:lpstr>
      <vt:lpstr>S_term_2RDS_3</vt:lpstr>
      <vt:lpstr>S_term_2RDS_4</vt:lpstr>
      <vt:lpstr>SGA_prem_2d_1</vt:lpstr>
      <vt:lpstr>SGA_prem_2d_2</vt:lpstr>
      <vt:lpstr>SGA_prem_2d_3</vt:lpstr>
      <vt:lpstr>SGA_prem_2d_4</vt:lpstr>
      <vt:lpstr>SGA_prem_2hypoglycaemia_1</vt:lpstr>
      <vt:lpstr>SGA_prem_2hypoglycaemia_2</vt:lpstr>
      <vt:lpstr>SGA_prem_2hypoglycaemia_3</vt:lpstr>
      <vt:lpstr>SGA_prem_2hypoglycaemia_4</vt:lpstr>
      <vt:lpstr>SGA_prem_2normoglycaemia_1</vt:lpstr>
      <vt:lpstr>SGA_prem_2normoglycaemia_2</vt:lpstr>
      <vt:lpstr>SGA_prem_2normoglycaemia_3</vt:lpstr>
      <vt:lpstr>SGA_prem_2normoglycaemia_4</vt:lpstr>
      <vt:lpstr>SGA_prem_2s_1</vt:lpstr>
      <vt:lpstr>SGA_prem_2s_2</vt:lpstr>
      <vt:lpstr>SGA_prem_2s_3</vt:lpstr>
      <vt:lpstr>SGA_prem_2s_4</vt:lpstr>
      <vt:lpstr>SGA_term_2d_1</vt:lpstr>
      <vt:lpstr>SGA_term_2d_2</vt:lpstr>
      <vt:lpstr>SGA_term_2d_3</vt:lpstr>
      <vt:lpstr>SGA_term_2d_4</vt:lpstr>
      <vt:lpstr>SGA_term_2hypoglycaemia_1</vt:lpstr>
      <vt:lpstr>SGA_term_2hypoglycaemia_2</vt:lpstr>
      <vt:lpstr>SGA_term_2hypoglycaemia_3</vt:lpstr>
      <vt:lpstr>SGA_term_2hypoglycaemia_4</vt:lpstr>
      <vt:lpstr>SGA_term_2normoglycaemia_1</vt:lpstr>
      <vt:lpstr>SGA_term_2normoglycaemia_2</vt:lpstr>
      <vt:lpstr>SGA_term_2normoglycaemia_3</vt:lpstr>
      <vt:lpstr>SGA_term_2normoglycaemia_4</vt:lpstr>
      <vt:lpstr>SGA_term_2s_1</vt:lpstr>
      <vt:lpstr>SGA_term_2s_2</vt:lpstr>
      <vt:lpstr>SGA_term_2s_3</vt:lpstr>
      <vt:lpstr>SGA_term_2s_4</vt:lpstr>
      <vt:lpstr>SGA2hypo_1</vt:lpstr>
      <vt:lpstr>SGA2hypo_2</vt:lpstr>
      <vt:lpstr>SGA2norm_1</vt:lpstr>
      <vt:lpstr>SGA2norm_2</vt:lpstr>
      <vt:lpstr>South_African_births</vt:lpstr>
      <vt:lpstr>Teen_births</vt:lpstr>
      <vt:lpstr>Term2LBW_1</vt:lpstr>
      <vt:lpstr>Term2LBW_2</vt:lpstr>
      <vt:lpstr>Term2LBW_3</vt:lpstr>
      <vt:lpstr>Term2LBW_4</vt:lpstr>
      <vt:lpstr>Term2NBW_1</vt:lpstr>
      <vt:lpstr>Term2NBW_2</vt:lpstr>
      <vt:lpstr>Term2NBW_3</vt:lpstr>
      <vt:lpstr>Term2NBW_4</vt:lpstr>
      <vt:lpstr>Term2norm_1</vt:lpstr>
      <vt:lpstr>Term2norm_2</vt:lpstr>
      <vt:lpstr>Term2sb_1</vt:lpstr>
      <vt:lpstr>Term2sb_2</vt:lpstr>
      <vt:lpstr>Term2SGA_1</vt:lpstr>
      <vt:lpstr>Term2SGA_2</vt:lpstr>
      <vt:lpstr>'Pop estimates'!Threshold</vt:lpstr>
      <vt:lpstr>Threshold</vt:lpstr>
      <vt:lpstr>Total_births</vt:lpstr>
      <vt:lpstr>Total_pregnancies</vt:lpstr>
      <vt:lpstr>Total_PSG_uptake</vt:lpstr>
      <vt:lpstr>u_ChronicResp</vt:lpstr>
      <vt:lpstr>u_CongnitiveImpairement</vt:lpstr>
      <vt:lpstr>u_Death</vt:lpstr>
      <vt:lpstr>u_Healthy</vt:lpstr>
      <vt:lpstr>u_parental</vt:lpstr>
      <vt:lpstr>USD_conversion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Winfrida Mdewa</dc:creator>
  <cp:lastModifiedBy>Aisha Moolla</cp:lastModifiedBy>
  <dcterms:created xsi:type="dcterms:W3CDTF">2021-07-04T06:24:30Z</dcterms:created>
  <dcterms:modified xsi:type="dcterms:W3CDTF">2023-08-17T11:05:05Z</dcterms:modified>
</cp:coreProperties>
</file>